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defaultThemeVersion="124226"/>
  <mc:AlternateContent xmlns:mc="http://schemas.openxmlformats.org/markup-compatibility/2006">
    <mc:Choice Requires="x15">
      <x15ac:absPath xmlns:x15ac="http://schemas.microsoft.com/office/spreadsheetml/2010/11/ac" url="C:\Users\joel\Downloads\"/>
    </mc:Choice>
  </mc:AlternateContent>
  <xr:revisionPtr revIDLastSave="0" documentId="13_ncr:1_{E116D90F-48D1-4DA0-82A1-E24AB3C3A6B5}" xr6:coauthVersionLast="47" xr6:coauthVersionMax="47" xr10:uidLastSave="{00000000-0000-0000-0000-000000000000}"/>
  <bookViews>
    <workbookView xWindow="768" yWindow="768" windowWidth="17280" windowHeight="9960" activeTab="3" xr2:uid="{F7850EC4-C0CA-4F54-A8DF-7C01AE1E6085}"/>
  </bookViews>
  <sheets>
    <sheet name="DirTecTeMe" sheetId="23" r:id="rId1"/>
    <sheet name="Sorteo" sheetId="9" r:id="rId2"/>
    <sheet name="Sheet1" sheetId="21" state="hidden" r:id="rId3"/>
    <sheet name="Grupos" sheetId="1" r:id="rId4"/>
    <sheet name="Qadro" sheetId="20" r:id="rId5"/>
    <sheet name="Sheet2" sheetId="22" state="hidden" r:id="rId6"/>
    <sheet name="Ranking" sheetId="4" r:id="rId7"/>
    <sheet name="Tablas" sheetId="5" state="hidden" r:id="rId8"/>
    <sheet name="Table" sheetId="6" r:id="rId9"/>
  </sheets>
  <definedNames>
    <definedName name="_xlnm._FilterDatabase" localSheetId="6" hidden="1">Ranking!$C$3:$F$34</definedName>
    <definedName name="Advancing">Sorteo!$J$12</definedName>
    <definedName name="Dist_Llav">Grupos!$AF$11:$AK$141</definedName>
    <definedName name="Draw">Sorteo!$A$17:$H$143</definedName>
    <definedName name="G_1">Grupos!$G$9:$R$12</definedName>
    <definedName name="G_10">Grupos!$G$342:$R$345</definedName>
    <definedName name="G_11">Grupos!$G$379:$R$382</definedName>
    <definedName name="G_12">Grupos!$G$416:$R$419</definedName>
    <definedName name="G_13">Grupos!$G$453:$R$456</definedName>
    <definedName name="G_14">Grupos!$G$490:$R$493</definedName>
    <definedName name="G_15">Grupos!$G$527:$R$530</definedName>
    <definedName name="G_16">Grupos!$G$564:$R$567</definedName>
    <definedName name="G_17">Grupos!$G$602:$R$605</definedName>
    <definedName name="G_18">Grupos!$G$639:$R$642</definedName>
    <definedName name="G_19">Grupos!$G$676:$R$679</definedName>
    <definedName name="G_2">Grupos!$G$46:$R$49</definedName>
    <definedName name="G_20">Grupos!$G$713:$R$716</definedName>
    <definedName name="G_21">Grupos!$G$750:$R$753</definedName>
    <definedName name="G_22">Grupos!$G$787:$R$790</definedName>
    <definedName name="G_23">Grupos!$G$824:$R$827</definedName>
    <definedName name="G_24">Grupos!$G$861:$R$864</definedName>
    <definedName name="G_25">Grupos!$G$898:$R$901</definedName>
    <definedName name="G_26">Grupos!$G$935:$R$938</definedName>
    <definedName name="G_27">Grupos!$G$972:$R$975</definedName>
    <definedName name="G_28">Grupos!$G$1009:$R$1012</definedName>
    <definedName name="G_29">Grupos!$G$1046:$R$1049</definedName>
    <definedName name="G_3">Grupos!$G$83:$R$86</definedName>
    <definedName name="G_30">Grupos!$G$1083:$R$1086</definedName>
    <definedName name="G_31">Grupos!$G$1120:$R$1123</definedName>
    <definedName name="G_32">Grupos!$G$1157:$R$1160</definedName>
    <definedName name="G_33">Grupos!$G$1194:$R$1197</definedName>
    <definedName name="G_34">Grupos!$G$1231:$R$1234</definedName>
    <definedName name="G_35">Grupos!$G$1268:$R$1271</definedName>
    <definedName name="G_36">Grupos!$G$1305:$R$1308</definedName>
    <definedName name="G_37">Grupos!$G$1342:$R$1345</definedName>
    <definedName name="G_38">Grupos!$G$1379:$R$1382</definedName>
    <definedName name="G_39">Grupos!$G$1416:$R$1419</definedName>
    <definedName name="G_4">Grupos!$G$120:$R$123</definedName>
    <definedName name="G_40">Grupos!$G$1453:$R$1456</definedName>
    <definedName name="G_41">Grupos!$G$1490:$R$1493</definedName>
    <definedName name="G_42">Grupos!$G$1527:$R$1530</definedName>
    <definedName name="G_43">Grupos!$G$1564:$R$1567</definedName>
    <definedName name="G_5">Grupos!$G$157:$R$160</definedName>
    <definedName name="G_6">Grupos!$G$194:$R$197</definedName>
    <definedName name="G_7">Grupos!$G$231:$R$234</definedName>
    <definedName name="G_8">Grupos!$G$268:$R$271</definedName>
    <definedName name="G_9">Grupos!$G$305:$R$308</definedName>
    <definedName name="GP_1">Grupos!$F$6:$S$27</definedName>
    <definedName name="GP_10">Grupos!$F$339:$S$360</definedName>
    <definedName name="GP_11">Grupos!$F$376:$S$397</definedName>
    <definedName name="GP_12">Grupos!$F$413:$S$434</definedName>
    <definedName name="GP_13">Grupos!$F$450:$S$471</definedName>
    <definedName name="GP_14">Grupos!$F$487:$S$508</definedName>
    <definedName name="GP_15">Grupos!$F$524:$S$545</definedName>
    <definedName name="GP_16">Grupos!$F$561:$S$582</definedName>
    <definedName name="GP_17">Grupos!$F$599:$S$620</definedName>
    <definedName name="GP_18">Grupos!$F$636:$S$657</definedName>
    <definedName name="GP_19">Grupos!$F$673:$S$694</definedName>
    <definedName name="GP_2">Grupos!$F$43:$S$64</definedName>
    <definedName name="GP_20">Grupos!$F$710:$S$731</definedName>
    <definedName name="GP_21">Grupos!$F$747:$S$768</definedName>
    <definedName name="GP_22">Grupos!$F$784:$S$805</definedName>
    <definedName name="GP_23">Grupos!$F$821:$S$842</definedName>
    <definedName name="GP_24">Grupos!$F$858:$S$879</definedName>
    <definedName name="GP_25">Grupos!$F$895:$S$916</definedName>
    <definedName name="GP_26">Grupos!$F$932:$S$953</definedName>
    <definedName name="GP_27">Grupos!$F$969:$S$990</definedName>
    <definedName name="GP_28">Grupos!$F$1006:$S$1027</definedName>
    <definedName name="GP_29">Grupos!$F$1043:$S$1064</definedName>
    <definedName name="GP_3">Grupos!$F$80:$S$101</definedName>
    <definedName name="GP_30">Grupos!$F$1080:$S$1101</definedName>
    <definedName name="GP_31">Grupos!$F$1117:$S$1138</definedName>
    <definedName name="GP_32">Grupos!$F$1154:$S$1175</definedName>
    <definedName name="GP_33">Grupos!$F$1191:$S$1212</definedName>
    <definedName name="GP_34">Grupos!$F$1228:$S$1249</definedName>
    <definedName name="GP_35">Grupos!$F$1265:$S$1286</definedName>
    <definedName name="GP_36">Grupos!$F$1302:$S$1323</definedName>
    <definedName name="GP_37">Grupos!$F$1339:$S$1360</definedName>
    <definedName name="GP_38">Grupos!$F$1376:$S$1397</definedName>
    <definedName name="GP_39">Grupos!$F$1413:$S$1434</definedName>
    <definedName name="GP_4">Grupos!$F$117:$S$138</definedName>
    <definedName name="GP_40">Grupos!$F$1450:$S$1471</definedName>
    <definedName name="GP_41">Grupos!$F$1487:$S$1505</definedName>
    <definedName name="GP_42">Grupos!$F$1524:$S$1545</definedName>
    <definedName name="GP_43">Grupos!$F$1561:$S$1582</definedName>
    <definedName name="GP_44">Grupos!$F$1561:$S$1582</definedName>
    <definedName name="GP_5">Grupos!$F$154:$S$175</definedName>
    <definedName name="GP_6">Grupos!$F$191:$S$212</definedName>
    <definedName name="GP_7">Grupos!$F$228:$S$249</definedName>
    <definedName name="GP_8">Grupos!$F$265:$S$286</definedName>
    <definedName name="GP_9">Grupos!$F$302:$S$323</definedName>
    <definedName name="Group_players">Sorteo!$E$11</definedName>
    <definedName name="Group_Points">Tablas!$BK$167:$DA$171</definedName>
    <definedName name="Group_Results">Tablas!$BK$153:$DA$157</definedName>
    <definedName name="Groups">Sorteo!$I$11</definedName>
    <definedName name="Grps">Sorteo!$I$11</definedName>
    <definedName name="Jug_llave">Tablas!$BB$154:$BH$281</definedName>
    <definedName name="Key">Tablas!$BB$153:$BD$281</definedName>
    <definedName name="Knockout">Tablas!$BH$20:$GD$148</definedName>
    <definedName name="Knok_dist">Tablas!$BH$20:$GD$148</definedName>
    <definedName name="LL_128">#REF!</definedName>
    <definedName name="LL_16">#REF!</definedName>
    <definedName name="LL_32">#REF!</definedName>
    <definedName name="LL_4">Qadro!$B$1:$P$11</definedName>
    <definedName name="LL_64">#REF!</definedName>
    <definedName name="LL_8">#REF!</definedName>
    <definedName name="Llave">Sorteo!$J$11</definedName>
    <definedName name="Llave2">Qadro!$A$1</definedName>
    <definedName name="LLave4">Qadro!$B$2:$P$11</definedName>
    <definedName name="Mesas">Table!$B$2:$N$90</definedName>
    <definedName name="New_Rank">Grupos!$DE$11:$DF$91</definedName>
    <definedName name="PG_1">Grupos!$F$6:$S$27</definedName>
    <definedName name="PG_2">Grupos!$F$43:$S$64</definedName>
    <definedName name="PG_3">Grupos!$F$80:$S$101</definedName>
    <definedName name="PG_4">Grupos!$F$117:$S$138</definedName>
    <definedName name="PG_5">Grupos!$F$154:$S$175</definedName>
    <definedName name="Plyrs_val">Grupos!$AK$10</definedName>
    <definedName name="PlyrsTest">Grupos!$AG$8</definedName>
    <definedName name="Point_dif">Tablas!$G$19:$I$1519</definedName>
    <definedName name="Pos_draw" comment="Aquí se define el numero del jugador (en la columna de inscripción) en la posición del draw">Tablas!$BH$20:$GC$148</definedName>
    <definedName name="Pos_G1">Grupos!$J$9:$K$12</definedName>
    <definedName name="Pos_G10">Grupos!$J$342:$K$345</definedName>
    <definedName name="Pos_G11">Grupos!$J$379:$K$382</definedName>
    <definedName name="Pos_G12">Grupos!$J$416:$K$419</definedName>
    <definedName name="Pos_G13">Grupos!$J$453:$K$456</definedName>
    <definedName name="Pos_G14">Grupos!$J$490:$K$493</definedName>
    <definedName name="Pos_G15">Grupos!$J$527:$K$530</definedName>
    <definedName name="Pos_G16">Grupos!$J$564:$K$567</definedName>
    <definedName name="Pos_G17">Grupos!$J$602:$K$605</definedName>
    <definedName name="Pos_G18">Grupos!$J$639:$K$642</definedName>
    <definedName name="Pos_G19">Grupos!$J$676:$K$679</definedName>
    <definedName name="Pos_G2">Grupos!$J$46:$K$49</definedName>
    <definedName name="Pos_G20">Grupos!$J$713:$K$716</definedName>
    <definedName name="Pos_G21">Grupos!$J$750:$K$753</definedName>
    <definedName name="Pos_G23">Grupos!$J$824:$K$827</definedName>
    <definedName name="Pos_G24">Grupos!$J$861:$K$864</definedName>
    <definedName name="Pos_G25">Grupos!$J$898:$K$901</definedName>
    <definedName name="Pos_G26">Grupos!$J$935:$K$938</definedName>
    <definedName name="Pos_G27">Grupos!$J$972:$K$975</definedName>
    <definedName name="Pos_G28">Grupos!$J$1009:$K$1012</definedName>
    <definedName name="Pos_G29">Grupos!$J$1046:$K$1049</definedName>
    <definedName name="Pos_G3">Grupos!$J$83:$K$86</definedName>
    <definedName name="Pos_G30">Grupos!$J$1083:$K$1086</definedName>
    <definedName name="Pos_G31">Grupos!$J$1120:$K$1123</definedName>
    <definedName name="Pos_G32">Grupos!$J$1157:$K$1160</definedName>
    <definedName name="Pos_G4">Grupos!$J$120:$K$123</definedName>
    <definedName name="Pos_G5">Grupos!$J$157:$K$160</definedName>
    <definedName name="Pos_G6" comment="Group results">Grupos!$J$194:$K$197</definedName>
    <definedName name="Pos_G7">Grupos!$J$231:$K$234</definedName>
    <definedName name="Pos_G8">Grupos!$J$268:$K$271</definedName>
    <definedName name="Pos_G9">Grupos!$J$305:$K$308</definedName>
    <definedName name="Pos_KO">Grupos!$AF$11:$AI$136</definedName>
    <definedName name="Premios">Sorteo!$J$14</definedName>
    <definedName name="_xlnm.Print_Area" localSheetId="0">DirTecTeMe!$D$6:$Q$26</definedName>
    <definedName name="_xlnm.Print_Area" localSheetId="3">Grupos!$F$6:$S$21,Grupos!$F$43:$S$58,Grupos!$F$80:$S$101,Grupos!$F$117:$S$138,Grupos!$F$154:$S$175,Grupos!$F$191:$S$212,Grupos!$F$228:$S$249,Grupos!$F$265:$S$286,Grupos!$F$302:$S$323</definedName>
    <definedName name="_xlnm.Print_Area" localSheetId="4">Qadro!$B$1:$X$94</definedName>
    <definedName name="_xlnm.Print_Area" localSheetId="6">Ranking!$A$2:$F$28</definedName>
    <definedName name="_xlnm.Print_Area" localSheetId="2">Sheet1!$B$1:$H$7</definedName>
    <definedName name="_xlnm.Print_Area" localSheetId="1">Sorteo!$A$2:$L$41</definedName>
    <definedName name="_xlnm.Print_Area" localSheetId="8">Table!$B$1:$N$43</definedName>
    <definedName name="_xlnm.Print_Titles" localSheetId="6">Ranking!$2:$3</definedName>
    <definedName name="_xlnm.Print_Titles" localSheetId="1">Sorteo!$15:$16</definedName>
    <definedName name="Q_16">Qadro!$B$1:$X$47</definedName>
    <definedName name="Q_32">Qadro!$B$1:$AB$95</definedName>
    <definedName name="Q_4">Qadro!$B$1:$P$11</definedName>
    <definedName name="Q_8">Qadro!$B$1:$T$23</definedName>
    <definedName name="Rank_Points">Sorteo!$B$17:$D$143</definedName>
    <definedName name="Ranking">Ranking!$C$4:$F$131</definedName>
    <definedName name="Registration">Sorteo!$A$17:$G$143</definedName>
    <definedName name="Results">Qadro!$BQ$8:$BT$135</definedName>
    <definedName name="Siembra">Sorteo!$B$17:$E$143</definedName>
    <definedName name="Tot_Jug">Sorteo!$H$11</definedName>
    <definedName name="Z_38F6D2D9_C407_4ECC_89E8_8F1090CBE836_.wvu.Cols" localSheetId="3" hidden="1">Grupos!$J:$J,Grupos!$T:$AN,Grupos!$CY:$DC</definedName>
    <definedName name="Z_38F6D2D9_C407_4ECC_89E8_8F1090CBE836_.wvu.Cols" localSheetId="6" hidden="1">Ranking!$B:$B</definedName>
    <definedName name="Z_38F6D2D9_C407_4ECC_89E8_8F1090CBE836_.wvu.FilterData" localSheetId="6" hidden="1">Ranking!$C$3:$F$34</definedName>
    <definedName name="Z_38F6D2D9_C407_4ECC_89E8_8F1090CBE836_.wvu.PrintArea" localSheetId="3" hidden="1">Sorteo!$A$1:$J$35,Grupos!$E$6:$S$21,Grupos!$E$43:$S$58,Grupos!$E$80:$S$101,Grupos!$E$117:$S$138</definedName>
    <definedName name="Z_38F6D2D9_C407_4ECC_89E8_8F1090CBE836_.wvu.PrintArea" localSheetId="6" hidden="1">Ranking!$A$2:$F$60</definedName>
  </definedNames>
  <calcPr calcId="191028"/>
  <customWorkbookViews>
    <customWorkbookView name="Pacof - Personal View" guid="{38F6D2D9-C407-4ECC-89E8-8F1090CBE836}" mergeInterval="0" personalView="1" maximized="1" windowWidth="1362" windowHeight="523"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4" l="1"/>
  <c r="G520" i="5"/>
  <c r="G521" i="5" s="1"/>
  <c r="G522" i="5" s="1"/>
  <c r="G523" i="5" s="1"/>
  <c r="G524" i="5" s="1"/>
  <c r="G525" i="5" s="1"/>
  <c r="G526" i="5" s="1"/>
  <c r="G527" i="5" s="1"/>
  <c r="G528" i="5" s="1"/>
  <c r="G529" i="5" s="1"/>
  <c r="G530" i="5" s="1"/>
  <c r="G531" i="5" s="1"/>
  <c r="G532" i="5" s="1"/>
  <c r="G533" i="5" s="1"/>
  <c r="G534" i="5" s="1"/>
  <c r="G535" i="5" s="1"/>
  <c r="G536" i="5" s="1"/>
  <c r="G537" i="5" s="1"/>
  <c r="G538" i="5" s="1"/>
  <c r="G539" i="5" s="1"/>
  <c r="G540" i="5" s="1"/>
  <c r="G541" i="5" s="1"/>
  <c r="G542" i="5" s="1"/>
  <c r="G543" i="5" s="1"/>
  <c r="G544" i="5" s="1"/>
  <c r="G545" i="5" s="1"/>
  <c r="G546" i="5" s="1"/>
  <c r="G547" i="5" s="1"/>
  <c r="G548" i="5" s="1"/>
  <c r="G549" i="5" s="1"/>
  <c r="G550" i="5" s="1"/>
  <c r="G551" i="5" s="1"/>
  <c r="G552" i="5" s="1"/>
  <c r="G553" i="5" s="1"/>
  <c r="G554" i="5" s="1"/>
  <c r="G555" i="5" s="1"/>
  <c r="G556" i="5" s="1"/>
  <c r="G557" i="5" s="1"/>
  <c r="G558" i="5" s="1"/>
  <c r="G559" i="5" s="1"/>
  <c r="G560" i="5" s="1"/>
  <c r="G561" i="5" s="1"/>
  <c r="G562" i="5" s="1"/>
  <c r="G563" i="5" s="1"/>
  <c r="G564" i="5" s="1"/>
  <c r="G565" i="5" s="1"/>
  <c r="G566" i="5" s="1"/>
  <c r="G567" i="5" s="1"/>
  <c r="G568" i="5" s="1"/>
  <c r="G569" i="5" s="1"/>
  <c r="G570" i="5" s="1"/>
  <c r="G571" i="5" s="1"/>
  <c r="G572" i="5" s="1"/>
  <c r="G573" i="5" s="1"/>
  <c r="G574" i="5" s="1"/>
  <c r="G575" i="5" s="1"/>
  <c r="G576" i="5" s="1"/>
  <c r="G577" i="5" s="1"/>
  <c r="G578" i="5" s="1"/>
  <c r="G579" i="5" s="1"/>
  <c r="G580" i="5" s="1"/>
  <c r="G581" i="5" s="1"/>
  <c r="G582" i="5" s="1"/>
  <c r="G583" i="5" s="1"/>
  <c r="G584" i="5" s="1"/>
  <c r="G585" i="5" s="1"/>
  <c r="G586" i="5" s="1"/>
  <c r="G587" i="5" s="1"/>
  <c r="G588" i="5" s="1"/>
  <c r="G589" i="5" s="1"/>
  <c r="G590" i="5" s="1"/>
  <c r="G591" i="5" s="1"/>
  <c r="G592" i="5" s="1"/>
  <c r="G593" i="5" s="1"/>
  <c r="G594" i="5" s="1"/>
  <c r="G595" i="5" s="1"/>
  <c r="G596" i="5" s="1"/>
  <c r="G597" i="5" s="1"/>
  <c r="G598" i="5" s="1"/>
  <c r="G599" i="5" s="1"/>
  <c r="G600" i="5" s="1"/>
  <c r="G601" i="5" s="1"/>
  <c r="G602" i="5" s="1"/>
  <c r="G603" i="5" s="1"/>
  <c r="G604" i="5" s="1"/>
  <c r="G605" i="5" s="1"/>
  <c r="G606" i="5" s="1"/>
  <c r="G607" i="5" s="1"/>
  <c r="G608" i="5" s="1"/>
  <c r="G609" i="5" s="1"/>
  <c r="G610" i="5" s="1"/>
  <c r="G611" i="5" s="1"/>
  <c r="G612" i="5" s="1"/>
  <c r="G613" i="5" s="1"/>
  <c r="G614" i="5" s="1"/>
  <c r="G615" i="5" s="1"/>
  <c r="G616" i="5" s="1"/>
  <c r="G617" i="5" s="1"/>
  <c r="G618" i="5" s="1"/>
  <c r="G619" i="5" s="1"/>
  <c r="G620" i="5" s="1"/>
  <c r="G621" i="5" s="1"/>
  <c r="G622" i="5" s="1"/>
  <c r="G623" i="5" s="1"/>
  <c r="G624" i="5" s="1"/>
  <c r="G625" i="5" s="1"/>
  <c r="G626" i="5" s="1"/>
  <c r="G627" i="5" s="1"/>
  <c r="G628" i="5" s="1"/>
  <c r="G629" i="5" s="1"/>
  <c r="G630" i="5" s="1"/>
  <c r="G631" i="5" s="1"/>
  <c r="G632" i="5" s="1"/>
  <c r="G633" i="5" s="1"/>
  <c r="G634" i="5" s="1"/>
  <c r="G635" i="5" s="1"/>
  <c r="G636" i="5" s="1"/>
  <c r="G637" i="5" s="1"/>
  <c r="G638" i="5" s="1"/>
  <c r="G639" i="5" s="1"/>
  <c r="G640" i="5" s="1"/>
  <c r="G641" i="5" s="1"/>
  <c r="G642" i="5" s="1"/>
  <c r="G643" i="5" s="1"/>
  <c r="G644" i="5" s="1"/>
  <c r="G645" i="5" s="1"/>
  <c r="G646" i="5" s="1"/>
  <c r="G647" i="5" s="1"/>
  <c r="G648" i="5" s="1"/>
  <c r="G649" i="5" s="1"/>
  <c r="G650" i="5" s="1"/>
  <c r="G651" i="5" s="1"/>
  <c r="G652" i="5" s="1"/>
  <c r="G653" i="5" s="1"/>
  <c r="G654" i="5" s="1"/>
  <c r="G655" i="5" s="1"/>
  <c r="G656" i="5" s="1"/>
  <c r="G657" i="5" s="1"/>
  <c r="G658" i="5" s="1"/>
  <c r="G659" i="5" s="1"/>
  <c r="G660" i="5" s="1"/>
  <c r="G661" i="5" s="1"/>
  <c r="G662" i="5" s="1"/>
  <c r="G663" i="5" s="1"/>
  <c r="G664" i="5" s="1"/>
  <c r="G665" i="5" s="1"/>
  <c r="G666" i="5" s="1"/>
  <c r="G667" i="5" s="1"/>
  <c r="G668" i="5" s="1"/>
  <c r="G669" i="5" s="1"/>
  <c r="G670" i="5" s="1"/>
  <c r="G671" i="5" s="1"/>
  <c r="G672" i="5" s="1"/>
  <c r="G673" i="5" s="1"/>
  <c r="G674" i="5" s="1"/>
  <c r="G675" i="5" s="1"/>
  <c r="G676" i="5" s="1"/>
  <c r="G677" i="5" s="1"/>
  <c r="G678" i="5" s="1"/>
  <c r="G679" i="5" s="1"/>
  <c r="G680" i="5" s="1"/>
  <c r="G681" i="5" s="1"/>
  <c r="G682" i="5" s="1"/>
  <c r="G683" i="5" s="1"/>
  <c r="G684" i="5" s="1"/>
  <c r="G685" i="5" s="1"/>
  <c r="G686" i="5" s="1"/>
  <c r="G687" i="5" s="1"/>
  <c r="G688" i="5" s="1"/>
  <c r="G689" i="5" s="1"/>
  <c r="G690" i="5" s="1"/>
  <c r="G691" i="5" s="1"/>
  <c r="G692" i="5" s="1"/>
  <c r="G693" i="5" s="1"/>
  <c r="G694" i="5" s="1"/>
  <c r="G695" i="5" s="1"/>
  <c r="G696" i="5" s="1"/>
  <c r="G697" i="5" s="1"/>
  <c r="G698" i="5" s="1"/>
  <c r="G699" i="5" s="1"/>
  <c r="G700" i="5" s="1"/>
  <c r="G701" i="5" s="1"/>
  <c r="G702" i="5" s="1"/>
  <c r="G703" i="5" s="1"/>
  <c r="G704" i="5" s="1"/>
  <c r="G705" i="5" s="1"/>
  <c r="G706" i="5" s="1"/>
  <c r="G707" i="5" s="1"/>
  <c r="G708" i="5" s="1"/>
  <c r="G709" i="5" s="1"/>
  <c r="G710" i="5" s="1"/>
  <c r="G711" i="5" s="1"/>
  <c r="G712" i="5" s="1"/>
  <c r="G713" i="5" s="1"/>
  <c r="G714" i="5" s="1"/>
  <c r="G715" i="5" s="1"/>
  <c r="G716" i="5" s="1"/>
  <c r="G717" i="5" s="1"/>
  <c r="G718" i="5" s="1"/>
  <c r="G719" i="5" s="1"/>
  <c r="G720" i="5" s="1"/>
  <c r="G721" i="5" s="1"/>
  <c r="G722" i="5" s="1"/>
  <c r="G723" i="5" s="1"/>
  <c r="G724" i="5" s="1"/>
  <c r="G725" i="5" s="1"/>
  <c r="G726" i="5" s="1"/>
  <c r="G727" i="5" s="1"/>
  <c r="G728" i="5" s="1"/>
  <c r="G729" i="5" s="1"/>
  <c r="G730" i="5" s="1"/>
  <c r="G731" i="5" s="1"/>
  <c r="G732" i="5" s="1"/>
  <c r="G733" i="5" s="1"/>
  <c r="G734" i="5" s="1"/>
  <c r="G735" i="5" s="1"/>
  <c r="G736" i="5" s="1"/>
  <c r="G737" i="5" s="1"/>
  <c r="G738" i="5" s="1"/>
  <c r="G739" i="5" s="1"/>
  <c r="G740" i="5" s="1"/>
  <c r="G741" i="5" s="1"/>
  <c r="G742" i="5" s="1"/>
  <c r="G743" i="5" s="1"/>
  <c r="G744" i="5" s="1"/>
  <c r="G745" i="5" s="1"/>
  <c r="G746" i="5" s="1"/>
  <c r="G747" i="5" s="1"/>
  <c r="G748" i="5" s="1"/>
  <c r="G749" i="5" s="1"/>
  <c r="G750" i="5" s="1"/>
  <c r="G751" i="5" s="1"/>
  <c r="G752" i="5" s="1"/>
  <c r="G753" i="5" s="1"/>
  <c r="G754" i="5" s="1"/>
  <c r="G755" i="5" s="1"/>
  <c r="G756" i="5" s="1"/>
  <c r="G757" i="5" s="1"/>
  <c r="G758" i="5" s="1"/>
  <c r="G759" i="5" s="1"/>
  <c r="G760" i="5" s="1"/>
  <c r="G761" i="5" s="1"/>
  <c r="G762" i="5" s="1"/>
  <c r="G763" i="5" s="1"/>
  <c r="G764" i="5" s="1"/>
  <c r="G765" i="5" s="1"/>
  <c r="G766" i="5" s="1"/>
  <c r="G767" i="5" s="1"/>
  <c r="G768" i="5" s="1"/>
  <c r="G769" i="5" s="1"/>
  <c r="G770" i="5" s="1"/>
  <c r="G771" i="5" s="1"/>
  <c r="G772" i="5" s="1"/>
  <c r="G773" i="5" s="1"/>
  <c r="G774" i="5" s="1"/>
  <c r="G775" i="5" s="1"/>
  <c r="G776" i="5" s="1"/>
  <c r="G777" i="5" s="1"/>
  <c r="G778" i="5" s="1"/>
  <c r="G779" i="5" s="1"/>
  <c r="G780" i="5" s="1"/>
  <c r="G781" i="5" s="1"/>
  <c r="G782" i="5" s="1"/>
  <c r="G783" i="5" s="1"/>
  <c r="G784" i="5" s="1"/>
  <c r="G785" i="5" s="1"/>
  <c r="G786" i="5" s="1"/>
  <c r="G787" i="5" s="1"/>
  <c r="G788" i="5" s="1"/>
  <c r="G789" i="5" s="1"/>
  <c r="G790" i="5" s="1"/>
  <c r="G791" i="5" s="1"/>
  <c r="G792" i="5" s="1"/>
  <c r="G793" i="5" s="1"/>
  <c r="G794" i="5" s="1"/>
  <c r="G795" i="5" s="1"/>
  <c r="G796" i="5" s="1"/>
  <c r="G797" i="5" s="1"/>
  <c r="G798" i="5" s="1"/>
  <c r="G799" i="5" s="1"/>
  <c r="G800" i="5" s="1"/>
  <c r="G801" i="5" s="1"/>
  <c r="G802" i="5" s="1"/>
  <c r="G803" i="5" s="1"/>
  <c r="G804" i="5" s="1"/>
  <c r="G805" i="5" s="1"/>
  <c r="G806" i="5" s="1"/>
  <c r="G807" i="5" s="1"/>
  <c r="G808" i="5" s="1"/>
  <c r="G809" i="5" s="1"/>
  <c r="G810" i="5" s="1"/>
  <c r="G811" i="5" s="1"/>
  <c r="G812" i="5" s="1"/>
  <c r="G813" i="5" s="1"/>
  <c r="G814" i="5" s="1"/>
  <c r="G815" i="5" s="1"/>
  <c r="G816" i="5" s="1"/>
  <c r="G817" i="5" s="1"/>
  <c r="G818" i="5" s="1"/>
  <c r="G819" i="5" s="1"/>
  <c r="G820" i="5" s="1"/>
  <c r="G821" i="5" s="1"/>
  <c r="G822" i="5" s="1"/>
  <c r="G823" i="5" s="1"/>
  <c r="G824" i="5" s="1"/>
  <c r="G825" i="5" s="1"/>
  <c r="G826" i="5" s="1"/>
  <c r="G827" i="5" s="1"/>
  <c r="G828" i="5" s="1"/>
  <c r="G829" i="5" s="1"/>
  <c r="G830" i="5" s="1"/>
  <c r="G831" i="5" s="1"/>
  <c r="G832" i="5" s="1"/>
  <c r="G833" i="5" s="1"/>
  <c r="G834" i="5" s="1"/>
  <c r="G835" i="5" s="1"/>
  <c r="G836" i="5" s="1"/>
  <c r="G837" i="5" s="1"/>
  <c r="G838" i="5" s="1"/>
  <c r="G839" i="5" s="1"/>
  <c r="G840" i="5" s="1"/>
  <c r="G841" i="5" s="1"/>
  <c r="G842" i="5" s="1"/>
  <c r="G843" i="5" s="1"/>
  <c r="G844" i="5" s="1"/>
  <c r="G845" i="5" s="1"/>
  <c r="G846" i="5" s="1"/>
  <c r="G847" i="5" s="1"/>
  <c r="G848" i="5" s="1"/>
  <c r="G849" i="5" s="1"/>
  <c r="G850" i="5" s="1"/>
  <c r="G851" i="5" s="1"/>
  <c r="G852" i="5" s="1"/>
  <c r="G853" i="5" s="1"/>
  <c r="G854" i="5" s="1"/>
  <c r="G855" i="5" s="1"/>
  <c r="G856" i="5" s="1"/>
  <c r="G857" i="5" s="1"/>
  <c r="G858" i="5" s="1"/>
  <c r="G859" i="5" s="1"/>
  <c r="G860" i="5" s="1"/>
  <c r="G861" i="5" s="1"/>
  <c r="G862" i="5" s="1"/>
  <c r="G863" i="5" s="1"/>
  <c r="G864" i="5" s="1"/>
  <c r="G865" i="5" s="1"/>
  <c r="G866" i="5" s="1"/>
  <c r="G867" i="5" s="1"/>
  <c r="G868" i="5" s="1"/>
  <c r="G869" i="5" s="1"/>
  <c r="G870" i="5" s="1"/>
  <c r="G871" i="5" s="1"/>
  <c r="G872" i="5" s="1"/>
  <c r="G873" i="5" s="1"/>
  <c r="G874" i="5" s="1"/>
  <c r="G875" i="5" s="1"/>
  <c r="G876" i="5" s="1"/>
  <c r="G877" i="5" s="1"/>
  <c r="G878" i="5" s="1"/>
  <c r="G879" i="5" s="1"/>
  <c r="G880" i="5" s="1"/>
  <c r="G881" i="5" s="1"/>
  <c r="G882" i="5" s="1"/>
  <c r="G883" i="5" s="1"/>
  <c r="G884" i="5" s="1"/>
  <c r="G885" i="5" s="1"/>
  <c r="G886" i="5" s="1"/>
  <c r="G887" i="5" s="1"/>
  <c r="G888" i="5" s="1"/>
  <c r="G889" i="5" s="1"/>
  <c r="G890" i="5" s="1"/>
  <c r="G891" i="5" s="1"/>
  <c r="G892" i="5" s="1"/>
  <c r="G893" i="5" s="1"/>
  <c r="G894" i="5" s="1"/>
  <c r="G895" i="5" s="1"/>
  <c r="G896" i="5" s="1"/>
  <c r="G897" i="5" s="1"/>
  <c r="G898" i="5" s="1"/>
  <c r="G899" i="5" s="1"/>
  <c r="G900" i="5" s="1"/>
  <c r="G901" i="5" s="1"/>
  <c r="G902" i="5" s="1"/>
  <c r="G903" i="5" s="1"/>
  <c r="G904" i="5" s="1"/>
  <c r="G905" i="5" s="1"/>
  <c r="G906" i="5" s="1"/>
  <c r="G907" i="5" s="1"/>
  <c r="G908" i="5" s="1"/>
  <c r="G909" i="5" s="1"/>
  <c r="G910" i="5" s="1"/>
  <c r="G911" i="5" s="1"/>
  <c r="G912" i="5" s="1"/>
  <c r="G913" i="5" s="1"/>
  <c r="G914" i="5" s="1"/>
  <c r="G915" i="5" s="1"/>
  <c r="G916" i="5" s="1"/>
  <c r="G917" i="5" s="1"/>
  <c r="G918" i="5" s="1"/>
  <c r="G919" i="5" s="1"/>
  <c r="G920" i="5" s="1"/>
  <c r="G921" i="5" s="1"/>
  <c r="G922" i="5" s="1"/>
  <c r="G923" i="5" s="1"/>
  <c r="G924" i="5" s="1"/>
  <c r="G925" i="5" s="1"/>
  <c r="G926" i="5" s="1"/>
  <c r="G927" i="5" s="1"/>
  <c r="G928" i="5" s="1"/>
  <c r="G929" i="5" s="1"/>
  <c r="G930" i="5" s="1"/>
  <c r="G931" i="5" s="1"/>
  <c r="G932" i="5" s="1"/>
  <c r="G933" i="5" s="1"/>
  <c r="G934" i="5" s="1"/>
  <c r="G935" i="5" s="1"/>
  <c r="G936" i="5" s="1"/>
  <c r="G937" i="5" s="1"/>
  <c r="G938" i="5" s="1"/>
  <c r="G939" i="5" s="1"/>
  <c r="G940" i="5" s="1"/>
  <c r="G941" i="5" s="1"/>
  <c r="G942" i="5" s="1"/>
  <c r="G943" i="5" s="1"/>
  <c r="G944" i="5" s="1"/>
  <c r="G945" i="5" s="1"/>
  <c r="G946" i="5" s="1"/>
  <c r="G947" i="5" s="1"/>
  <c r="G948" i="5" s="1"/>
  <c r="G949" i="5" s="1"/>
  <c r="G950" i="5" s="1"/>
  <c r="G951" i="5" s="1"/>
  <c r="G952" i="5" s="1"/>
  <c r="G953" i="5" s="1"/>
  <c r="G954" i="5" s="1"/>
  <c r="G955" i="5" s="1"/>
  <c r="G956" i="5" s="1"/>
  <c r="G957" i="5" s="1"/>
  <c r="G958" i="5" s="1"/>
  <c r="G959" i="5" s="1"/>
  <c r="G960" i="5" s="1"/>
  <c r="G961" i="5" s="1"/>
  <c r="G962" i="5" s="1"/>
  <c r="G963" i="5" s="1"/>
  <c r="G964" i="5" s="1"/>
  <c r="G965" i="5" s="1"/>
  <c r="G966" i="5" s="1"/>
  <c r="G967" i="5" s="1"/>
  <c r="G968" i="5" s="1"/>
  <c r="G969" i="5" s="1"/>
  <c r="G970" i="5" s="1"/>
  <c r="G971" i="5" s="1"/>
  <c r="G972" i="5" s="1"/>
  <c r="G973" i="5" s="1"/>
  <c r="G974" i="5" s="1"/>
  <c r="G975" i="5" s="1"/>
  <c r="G976" i="5" s="1"/>
  <c r="G977" i="5" s="1"/>
  <c r="G978" i="5" s="1"/>
  <c r="G979" i="5" s="1"/>
  <c r="G980" i="5" s="1"/>
  <c r="G981" i="5" s="1"/>
  <c r="G982" i="5" s="1"/>
  <c r="G983" i="5" s="1"/>
  <c r="G984" i="5" s="1"/>
  <c r="G985" i="5" s="1"/>
  <c r="G986" i="5" s="1"/>
  <c r="G987" i="5" s="1"/>
  <c r="G988" i="5" s="1"/>
  <c r="G989" i="5" s="1"/>
  <c r="G990" i="5" s="1"/>
  <c r="G991" i="5" s="1"/>
  <c r="G992" i="5" s="1"/>
  <c r="G993" i="5" s="1"/>
  <c r="G994" i="5" s="1"/>
  <c r="G995" i="5" s="1"/>
  <c r="G996" i="5" s="1"/>
  <c r="G997" i="5" s="1"/>
  <c r="G998" i="5" s="1"/>
  <c r="G999" i="5" s="1"/>
  <c r="G1000" i="5" s="1"/>
  <c r="G1001" i="5" s="1"/>
  <c r="G1002" i="5" s="1"/>
  <c r="G1003" i="5" s="1"/>
  <c r="G1004" i="5" s="1"/>
  <c r="G1005" i="5" s="1"/>
  <c r="G1006" i="5" s="1"/>
  <c r="G1007" i="5" s="1"/>
  <c r="G1008" i="5" s="1"/>
  <c r="G1009" i="5" s="1"/>
  <c r="G1010" i="5" s="1"/>
  <c r="G1011" i="5" s="1"/>
  <c r="G1012" i="5" s="1"/>
  <c r="G1013" i="5" s="1"/>
  <c r="G1014" i="5" s="1"/>
  <c r="G1015" i="5" s="1"/>
  <c r="G1016" i="5" s="1"/>
  <c r="G1017" i="5" s="1"/>
  <c r="G1018" i="5" s="1"/>
  <c r="G1019" i="5" s="1"/>
  <c r="G1020" i="5" s="1"/>
  <c r="G1021" i="5" s="1"/>
  <c r="G1022" i="5" s="1"/>
  <c r="G1023" i="5" s="1"/>
  <c r="G1024" i="5" s="1"/>
  <c r="G1025" i="5" s="1"/>
  <c r="G1026" i="5" s="1"/>
  <c r="G1027" i="5" s="1"/>
  <c r="G1028" i="5" s="1"/>
  <c r="G1029" i="5" s="1"/>
  <c r="G1030" i="5" s="1"/>
  <c r="G1031" i="5" s="1"/>
  <c r="G1032" i="5" s="1"/>
  <c r="G1033" i="5" s="1"/>
  <c r="G1034" i="5" s="1"/>
  <c r="G1035" i="5" s="1"/>
  <c r="G1036" i="5" s="1"/>
  <c r="G1037" i="5" s="1"/>
  <c r="G1038" i="5" s="1"/>
  <c r="G1039" i="5" s="1"/>
  <c r="G1040" i="5" s="1"/>
  <c r="G1041" i="5" s="1"/>
  <c r="G1042" i="5" s="1"/>
  <c r="G1043" i="5" s="1"/>
  <c r="G1044" i="5" s="1"/>
  <c r="G1045" i="5" s="1"/>
  <c r="G1046" i="5" s="1"/>
  <c r="G1047" i="5" s="1"/>
  <c r="G1048" i="5" s="1"/>
  <c r="G1049" i="5" s="1"/>
  <c r="G1050" i="5" s="1"/>
  <c r="G1051" i="5" s="1"/>
  <c r="G1052" i="5" s="1"/>
  <c r="G1053" i="5" s="1"/>
  <c r="G1054" i="5" s="1"/>
  <c r="G1055" i="5" s="1"/>
  <c r="G1056" i="5" s="1"/>
  <c r="G1057" i="5" s="1"/>
  <c r="G1058" i="5" s="1"/>
  <c r="G1059" i="5" s="1"/>
  <c r="G1060" i="5" s="1"/>
  <c r="G1061" i="5" s="1"/>
  <c r="G1062" i="5" s="1"/>
  <c r="G1063" i="5" s="1"/>
  <c r="G1064" i="5" s="1"/>
  <c r="G1065" i="5" s="1"/>
  <c r="G1066" i="5" s="1"/>
  <c r="G1067" i="5" s="1"/>
  <c r="G1068" i="5" s="1"/>
  <c r="G1069" i="5" s="1"/>
  <c r="G1070" i="5" s="1"/>
  <c r="G1071" i="5" s="1"/>
  <c r="G1072" i="5" s="1"/>
  <c r="G1073" i="5" s="1"/>
  <c r="G1074" i="5" s="1"/>
  <c r="G1075" i="5" s="1"/>
  <c r="G1076" i="5" s="1"/>
  <c r="G1077" i="5" s="1"/>
  <c r="G1078" i="5" s="1"/>
  <c r="G1079" i="5" s="1"/>
  <c r="G1080" i="5" s="1"/>
  <c r="G1081" i="5" s="1"/>
  <c r="G1082" i="5" s="1"/>
  <c r="G1083" i="5" s="1"/>
  <c r="G1084" i="5" s="1"/>
  <c r="G1085" i="5" s="1"/>
  <c r="G1086" i="5" s="1"/>
  <c r="G1087" i="5" s="1"/>
  <c r="G1088" i="5" s="1"/>
  <c r="G1089" i="5" s="1"/>
  <c r="G1090" i="5" s="1"/>
  <c r="G1091" i="5" s="1"/>
  <c r="G1092" i="5" s="1"/>
  <c r="G1093" i="5" s="1"/>
  <c r="G1094" i="5" s="1"/>
  <c r="G1095" i="5" s="1"/>
  <c r="G1096" i="5" s="1"/>
  <c r="G1097" i="5" s="1"/>
  <c r="G1098" i="5" s="1"/>
  <c r="G1099" i="5" s="1"/>
  <c r="G1100" i="5" s="1"/>
  <c r="G1101" i="5" s="1"/>
  <c r="G1102" i="5" s="1"/>
  <c r="G1103" i="5" s="1"/>
  <c r="G1104" i="5" s="1"/>
  <c r="G1105" i="5" s="1"/>
  <c r="G1106" i="5" s="1"/>
  <c r="G1107" i="5" s="1"/>
  <c r="G1108" i="5" s="1"/>
  <c r="G1109" i="5" s="1"/>
  <c r="G1110" i="5" s="1"/>
  <c r="G1111" i="5" s="1"/>
  <c r="G1112" i="5" s="1"/>
  <c r="G1113" i="5" s="1"/>
  <c r="G1114" i="5" s="1"/>
  <c r="G1115" i="5" s="1"/>
  <c r="G1116" i="5" s="1"/>
  <c r="G1117" i="5" s="1"/>
  <c r="G1118" i="5" s="1"/>
  <c r="G1119" i="5" s="1"/>
  <c r="G1120" i="5" s="1"/>
  <c r="G1121" i="5" s="1"/>
  <c r="G1122" i="5" s="1"/>
  <c r="G1123" i="5" s="1"/>
  <c r="G1124" i="5" s="1"/>
  <c r="G1125" i="5" s="1"/>
  <c r="G1126" i="5" s="1"/>
  <c r="G1127" i="5" s="1"/>
  <c r="G1128" i="5" s="1"/>
  <c r="G1129" i="5" s="1"/>
  <c r="G1130" i="5" s="1"/>
  <c r="G1131" i="5" s="1"/>
  <c r="G1132" i="5" s="1"/>
  <c r="G1133" i="5" s="1"/>
  <c r="G1134" i="5" s="1"/>
  <c r="G1135" i="5" s="1"/>
  <c r="G1136" i="5" s="1"/>
  <c r="G1137" i="5" s="1"/>
  <c r="G1138" i="5" s="1"/>
  <c r="G1139" i="5" s="1"/>
  <c r="G1140" i="5" s="1"/>
  <c r="G1141" i="5" s="1"/>
  <c r="G1142" i="5" s="1"/>
  <c r="G1143" i="5" s="1"/>
  <c r="G1144" i="5" s="1"/>
  <c r="G1145" i="5" s="1"/>
  <c r="G1146" i="5" s="1"/>
  <c r="G1147" i="5" s="1"/>
  <c r="G1148" i="5" s="1"/>
  <c r="G1149" i="5" s="1"/>
  <c r="G1150" i="5" s="1"/>
  <c r="G1151" i="5" s="1"/>
  <c r="G1152" i="5" s="1"/>
  <c r="G1153" i="5" s="1"/>
  <c r="G1154" i="5" s="1"/>
  <c r="G1155" i="5" s="1"/>
  <c r="G1156" i="5" s="1"/>
  <c r="G1157" i="5" s="1"/>
  <c r="G1158" i="5" s="1"/>
  <c r="G1159" i="5" s="1"/>
  <c r="G1160" i="5" s="1"/>
  <c r="G1161" i="5" s="1"/>
  <c r="G1162" i="5" s="1"/>
  <c r="G1163" i="5" s="1"/>
  <c r="G1164" i="5" s="1"/>
  <c r="G1165" i="5" s="1"/>
  <c r="G1166" i="5" s="1"/>
  <c r="G1167" i="5" s="1"/>
  <c r="G1168" i="5" s="1"/>
  <c r="G1169" i="5" s="1"/>
  <c r="G1170" i="5" s="1"/>
  <c r="G1171" i="5" s="1"/>
  <c r="G1172" i="5" s="1"/>
  <c r="G1173" i="5" s="1"/>
  <c r="G1174" i="5" s="1"/>
  <c r="G1175" i="5" s="1"/>
  <c r="G1176" i="5" s="1"/>
  <c r="G1177" i="5" s="1"/>
  <c r="G1178" i="5" s="1"/>
  <c r="G1179" i="5" s="1"/>
  <c r="G1180" i="5" s="1"/>
  <c r="G1181" i="5" s="1"/>
  <c r="G1182" i="5" s="1"/>
  <c r="G1183" i="5" s="1"/>
  <c r="G1184" i="5" s="1"/>
  <c r="G1185" i="5" s="1"/>
  <c r="G1186" i="5" s="1"/>
  <c r="G1187" i="5" s="1"/>
  <c r="G1188" i="5" s="1"/>
  <c r="G1189" i="5" s="1"/>
  <c r="G1190" i="5" s="1"/>
  <c r="G1191" i="5" s="1"/>
  <c r="G1192" i="5" s="1"/>
  <c r="G1193" i="5" s="1"/>
  <c r="G1194" i="5" s="1"/>
  <c r="G1195" i="5" s="1"/>
  <c r="G1196" i="5" s="1"/>
  <c r="G1197" i="5" s="1"/>
  <c r="G1198" i="5" s="1"/>
  <c r="G1199" i="5" s="1"/>
  <c r="G1200" i="5" s="1"/>
  <c r="G1201" i="5" s="1"/>
  <c r="G1202" i="5" s="1"/>
  <c r="G1203" i="5" s="1"/>
  <c r="G1204" i="5" s="1"/>
  <c r="G1205" i="5" s="1"/>
  <c r="G1206" i="5" s="1"/>
  <c r="G1207" i="5" s="1"/>
  <c r="G1208" i="5" s="1"/>
  <c r="G1209" i="5" s="1"/>
  <c r="G1210" i="5" s="1"/>
  <c r="G1211" i="5" s="1"/>
  <c r="G1212" i="5" s="1"/>
  <c r="G1213" i="5" s="1"/>
  <c r="G1214" i="5" s="1"/>
  <c r="G1215" i="5" s="1"/>
  <c r="G1216" i="5" s="1"/>
  <c r="G1217" i="5" s="1"/>
  <c r="G1218" i="5" s="1"/>
  <c r="G1219" i="5" s="1"/>
  <c r="G1220" i="5" s="1"/>
  <c r="G1221" i="5" s="1"/>
  <c r="G1222" i="5" s="1"/>
  <c r="G1223" i="5" s="1"/>
  <c r="G1224" i="5" s="1"/>
  <c r="G1225" i="5" s="1"/>
  <c r="G1226" i="5" s="1"/>
  <c r="G1227" i="5" s="1"/>
  <c r="G1228" i="5" s="1"/>
  <c r="G1229" i="5" s="1"/>
  <c r="G1230" i="5" s="1"/>
  <c r="G1231" i="5" s="1"/>
  <c r="G1232" i="5" s="1"/>
  <c r="G1233" i="5" s="1"/>
  <c r="G1234" i="5" s="1"/>
  <c r="G1235" i="5" s="1"/>
  <c r="G1236" i="5" s="1"/>
  <c r="G1237" i="5" s="1"/>
  <c r="G1238" i="5" s="1"/>
  <c r="G1239" i="5" s="1"/>
  <c r="G1240" i="5" s="1"/>
  <c r="G1241" i="5" s="1"/>
  <c r="G1242" i="5" s="1"/>
  <c r="G1243" i="5" s="1"/>
  <c r="G1244" i="5" s="1"/>
  <c r="G1245" i="5" s="1"/>
  <c r="G1246" i="5" s="1"/>
  <c r="G1247" i="5" s="1"/>
  <c r="G1248" i="5" s="1"/>
  <c r="G1249" i="5" s="1"/>
  <c r="G1250" i="5" s="1"/>
  <c r="G1251" i="5" s="1"/>
  <c r="G1252" i="5" s="1"/>
  <c r="G1253" i="5" s="1"/>
  <c r="G1254" i="5" s="1"/>
  <c r="G1255" i="5" s="1"/>
  <c r="G1256" i="5" s="1"/>
  <c r="G1257" i="5" s="1"/>
  <c r="G1258" i="5" s="1"/>
  <c r="G1259" i="5" s="1"/>
  <c r="G1260" i="5" s="1"/>
  <c r="G1261" i="5" s="1"/>
  <c r="G1262" i="5" s="1"/>
  <c r="G1263" i="5" s="1"/>
  <c r="G1264" i="5" s="1"/>
  <c r="G1265" i="5" s="1"/>
  <c r="G1266" i="5" s="1"/>
  <c r="G1267" i="5" s="1"/>
  <c r="G1268" i="5" s="1"/>
  <c r="G1269" i="5" s="1"/>
  <c r="G1270" i="5" s="1"/>
  <c r="G1271" i="5" s="1"/>
  <c r="G1272" i="5" s="1"/>
  <c r="G1273" i="5" s="1"/>
  <c r="G1274" i="5" s="1"/>
  <c r="G1275" i="5" s="1"/>
  <c r="G1276" i="5" s="1"/>
  <c r="G1277" i="5" s="1"/>
  <c r="G1278" i="5" s="1"/>
  <c r="G1279" i="5" s="1"/>
  <c r="G1280" i="5" s="1"/>
  <c r="G1281" i="5" s="1"/>
  <c r="G1282" i="5" s="1"/>
  <c r="G1283" i="5" s="1"/>
  <c r="G1284" i="5" s="1"/>
  <c r="G1285" i="5" s="1"/>
  <c r="G1286" i="5" s="1"/>
  <c r="G1287" i="5" s="1"/>
  <c r="G1288" i="5" s="1"/>
  <c r="G1289" i="5" s="1"/>
  <c r="G1290" i="5" s="1"/>
  <c r="G1291" i="5" s="1"/>
  <c r="G1292" i="5" s="1"/>
  <c r="G1293" i="5" s="1"/>
  <c r="G1294" i="5" s="1"/>
  <c r="G1295" i="5" s="1"/>
  <c r="G1296" i="5" s="1"/>
  <c r="G1297" i="5" s="1"/>
  <c r="G1298" i="5" s="1"/>
  <c r="G1299" i="5" s="1"/>
  <c r="G1300" i="5" s="1"/>
  <c r="G1301" i="5" s="1"/>
  <c r="G1302" i="5" s="1"/>
  <c r="G1303" i="5" s="1"/>
  <c r="G1304" i="5" s="1"/>
  <c r="G1305" i="5" s="1"/>
  <c r="G1306" i="5" s="1"/>
  <c r="G1307" i="5" s="1"/>
  <c r="G1308" i="5" s="1"/>
  <c r="G1309" i="5" s="1"/>
  <c r="G1310" i="5" s="1"/>
  <c r="G1311" i="5" s="1"/>
  <c r="G1312" i="5" s="1"/>
  <c r="G1313" i="5" s="1"/>
  <c r="G1314" i="5" s="1"/>
  <c r="G1315" i="5" s="1"/>
  <c r="G1316" i="5" s="1"/>
  <c r="G1317" i="5" s="1"/>
  <c r="G1318" i="5" s="1"/>
  <c r="G1319" i="5" s="1"/>
  <c r="G1320" i="5" s="1"/>
  <c r="G1321" i="5" s="1"/>
  <c r="G1322" i="5" s="1"/>
  <c r="G1323" i="5" s="1"/>
  <c r="G1324" i="5" s="1"/>
  <c r="G1325" i="5" s="1"/>
  <c r="G1326" i="5" s="1"/>
  <c r="G1327" i="5" s="1"/>
  <c r="G1328" i="5" s="1"/>
  <c r="G1329" i="5" s="1"/>
  <c r="G1330" i="5" s="1"/>
  <c r="G1331" i="5" s="1"/>
  <c r="G1332" i="5" s="1"/>
  <c r="G1333" i="5" s="1"/>
  <c r="G1334" i="5" s="1"/>
  <c r="G1335" i="5" s="1"/>
  <c r="G1336" i="5" s="1"/>
  <c r="G1337" i="5" s="1"/>
  <c r="G1338" i="5" s="1"/>
  <c r="G1339" i="5" s="1"/>
  <c r="G1340" i="5" s="1"/>
  <c r="G1341" i="5" s="1"/>
  <c r="G1342" i="5" s="1"/>
  <c r="G1343" i="5" s="1"/>
  <c r="G1344" i="5" s="1"/>
  <c r="G1345" i="5" s="1"/>
  <c r="G1346" i="5" s="1"/>
  <c r="G1347" i="5" s="1"/>
  <c r="G1348" i="5" s="1"/>
  <c r="G1349" i="5" s="1"/>
  <c r="G1350" i="5" s="1"/>
  <c r="G1351" i="5" s="1"/>
  <c r="G1352" i="5" s="1"/>
  <c r="G1353" i="5" s="1"/>
  <c r="G1354" i="5" s="1"/>
  <c r="G1355" i="5" s="1"/>
  <c r="G1356" i="5" s="1"/>
  <c r="G1357" i="5" s="1"/>
  <c r="G1358" i="5" s="1"/>
  <c r="G1359" i="5" s="1"/>
  <c r="G1360" i="5" s="1"/>
  <c r="G1361" i="5" s="1"/>
  <c r="G1362" i="5" s="1"/>
  <c r="G1363" i="5" s="1"/>
  <c r="G1364" i="5" s="1"/>
  <c r="G1365" i="5" s="1"/>
  <c r="G1366" i="5" s="1"/>
  <c r="G1367" i="5" s="1"/>
  <c r="G1368" i="5" s="1"/>
  <c r="G1369" i="5" s="1"/>
  <c r="G1370" i="5" s="1"/>
  <c r="G1371" i="5" s="1"/>
  <c r="G1372" i="5" s="1"/>
  <c r="G1373" i="5" s="1"/>
  <c r="G1374" i="5" s="1"/>
  <c r="G1375" i="5" s="1"/>
  <c r="G1376" i="5" s="1"/>
  <c r="G1377" i="5" s="1"/>
  <c r="G1378" i="5" s="1"/>
  <c r="G1379" i="5" s="1"/>
  <c r="G1380" i="5" s="1"/>
  <c r="G1381" i="5" s="1"/>
  <c r="G1382" i="5" s="1"/>
  <c r="G1383" i="5" s="1"/>
  <c r="G1384" i="5" s="1"/>
  <c r="G1385" i="5" s="1"/>
  <c r="G1386" i="5" s="1"/>
  <c r="G1387" i="5" s="1"/>
  <c r="G1388" i="5" s="1"/>
  <c r="G1389" i="5" s="1"/>
  <c r="G1390" i="5" s="1"/>
  <c r="G1391" i="5" s="1"/>
  <c r="G1392" i="5" s="1"/>
  <c r="G1393" i="5" s="1"/>
  <c r="G1394" i="5" s="1"/>
  <c r="G1395" i="5" s="1"/>
  <c r="G1396" i="5" s="1"/>
  <c r="G1397" i="5" s="1"/>
  <c r="G1398" i="5" s="1"/>
  <c r="G1399" i="5" s="1"/>
  <c r="G1400" i="5" s="1"/>
  <c r="G1401" i="5" s="1"/>
  <c r="G1402" i="5" s="1"/>
  <c r="G1403" i="5" s="1"/>
  <c r="G1404" i="5" s="1"/>
  <c r="G1405" i="5" s="1"/>
  <c r="G1406" i="5" s="1"/>
  <c r="G1407" i="5" s="1"/>
  <c r="G1408" i="5" s="1"/>
  <c r="G1409" i="5" s="1"/>
  <c r="G1410" i="5" s="1"/>
  <c r="G1411" i="5" s="1"/>
  <c r="G1412" i="5" s="1"/>
  <c r="G1413" i="5" s="1"/>
  <c r="G1414" i="5" s="1"/>
  <c r="G1415" i="5" s="1"/>
  <c r="G1416" i="5" s="1"/>
  <c r="G1417" i="5" s="1"/>
  <c r="G1418" i="5" s="1"/>
  <c r="G1419" i="5" s="1"/>
  <c r="G1420" i="5" s="1"/>
  <c r="G1421" i="5" s="1"/>
  <c r="G1422" i="5" s="1"/>
  <c r="G1423" i="5" s="1"/>
  <c r="G1424" i="5" s="1"/>
  <c r="G1425" i="5" s="1"/>
  <c r="G1426" i="5" s="1"/>
  <c r="G1427" i="5" s="1"/>
  <c r="G1428" i="5" s="1"/>
  <c r="G1429" i="5" s="1"/>
  <c r="G1430" i="5" s="1"/>
  <c r="G1431" i="5" s="1"/>
  <c r="G1432" i="5" s="1"/>
  <c r="G1433" i="5" s="1"/>
  <c r="G1434" i="5" s="1"/>
  <c r="G1435" i="5" s="1"/>
  <c r="G1436" i="5" s="1"/>
  <c r="G1437" i="5" s="1"/>
  <c r="G1438" i="5" s="1"/>
  <c r="G1439" i="5" s="1"/>
  <c r="G1440" i="5" s="1"/>
  <c r="G1441" i="5" s="1"/>
  <c r="G1442" i="5" s="1"/>
  <c r="G1443" i="5" s="1"/>
  <c r="G1444" i="5" s="1"/>
  <c r="G1445" i="5" s="1"/>
  <c r="G1446" i="5" s="1"/>
  <c r="G1447" i="5" s="1"/>
  <c r="G1448" i="5" s="1"/>
  <c r="G1449" i="5" s="1"/>
  <c r="G1450" i="5" s="1"/>
  <c r="G1451" i="5" s="1"/>
  <c r="G1452" i="5" s="1"/>
  <c r="G1453" i="5" s="1"/>
  <c r="G1454" i="5" s="1"/>
  <c r="G1455" i="5" s="1"/>
  <c r="G1456" i="5" s="1"/>
  <c r="G1457" i="5" s="1"/>
  <c r="G1458" i="5" s="1"/>
  <c r="G1459" i="5" s="1"/>
  <c r="G1460" i="5" s="1"/>
  <c r="G1461" i="5" s="1"/>
  <c r="G1462" i="5" s="1"/>
  <c r="G1463" i="5" s="1"/>
  <c r="G1464" i="5" s="1"/>
  <c r="G1465" i="5" s="1"/>
  <c r="G1466" i="5" s="1"/>
  <c r="G1467" i="5" s="1"/>
  <c r="G1468" i="5" s="1"/>
  <c r="G1469" i="5" s="1"/>
  <c r="G1470" i="5" s="1"/>
  <c r="G1471" i="5" s="1"/>
  <c r="G1472" i="5" s="1"/>
  <c r="G1473" i="5" s="1"/>
  <c r="G1474" i="5" s="1"/>
  <c r="G1475" i="5" s="1"/>
  <c r="G1476" i="5" s="1"/>
  <c r="G1477" i="5" s="1"/>
  <c r="G1478" i="5" s="1"/>
  <c r="G1479" i="5" s="1"/>
  <c r="G1480" i="5" s="1"/>
  <c r="G1481" i="5" s="1"/>
  <c r="G1482" i="5" s="1"/>
  <c r="G1483" i="5" s="1"/>
  <c r="G1484" i="5" s="1"/>
  <c r="G1485" i="5" s="1"/>
  <c r="G1486" i="5" s="1"/>
  <c r="G1487" i="5" s="1"/>
  <c r="G1488" i="5" s="1"/>
  <c r="G1489" i="5" s="1"/>
  <c r="G1490" i="5" s="1"/>
  <c r="G1491" i="5" s="1"/>
  <c r="G1492" i="5" s="1"/>
  <c r="G1493" i="5" s="1"/>
  <c r="G1494" i="5" s="1"/>
  <c r="G1495" i="5" s="1"/>
  <c r="G1496" i="5" s="1"/>
  <c r="G1497" i="5" s="1"/>
  <c r="G1498" i="5" s="1"/>
  <c r="G1499" i="5" s="1"/>
  <c r="G1500" i="5" s="1"/>
  <c r="G1501" i="5" s="1"/>
  <c r="G1502" i="5" s="1"/>
  <c r="G1503" i="5" s="1"/>
  <c r="G1504" i="5" s="1"/>
  <c r="G1505" i="5" s="1"/>
  <c r="G1506" i="5" s="1"/>
  <c r="G1507" i="5" s="1"/>
  <c r="G1508" i="5" s="1"/>
  <c r="G1509" i="5" s="1"/>
  <c r="G1510" i="5" s="1"/>
  <c r="G1511" i="5" s="1"/>
  <c r="G1512" i="5" s="1"/>
  <c r="G1513" i="5" s="1"/>
  <c r="G1514" i="5" s="1"/>
  <c r="G1515" i="5" s="1"/>
  <c r="G1516" i="5" s="1"/>
  <c r="G1517" i="5" s="1"/>
  <c r="G1518" i="5" s="1"/>
  <c r="G1519" i="5" s="1"/>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D151" i="4" l="1"/>
  <c r="E151" i="4"/>
  <c r="D183" i="4"/>
  <c r="E183" i="4"/>
  <c r="D207" i="4"/>
  <c r="E207" i="4"/>
  <c r="D239" i="4"/>
  <c r="E239" i="4"/>
  <c r="D247" i="4"/>
  <c r="E247" i="4"/>
  <c r="D263" i="4"/>
  <c r="E263" i="4"/>
  <c r="D279" i="4"/>
  <c r="E279" i="4"/>
  <c r="D295" i="4"/>
  <c r="E295" i="4"/>
  <c r="E136" i="4"/>
  <c r="D136" i="4"/>
  <c r="E152" i="4"/>
  <c r="D152" i="4"/>
  <c r="E168" i="4"/>
  <c r="D168" i="4"/>
  <c r="E184" i="4"/>
  <c r="D184" i="4"/>
  <c r="E200" i="4"/>
  <c r="D200" i="4"/>
  <c r="E208" i="4"/>
  <c r="D208" i="4"/>
  <c r="E224" i="4"/>
  <c r="D224" i="4"/>
  <c r="E232" i="4"/>
  <c r="D232" i="4"/>
  <c r="E240" i="4"/>
  <c r="D240" i="4"/>
  <c r="E248" i="4"/>
  <c r="D248" i="4"/>
  <c r="E256" i="4"/>
  <c r="D256" i="4"/>
  <c r="E264" i="4"/>
  <c r="D264" i="4"/>
  <c r="E272" i="4"/>
  <c r="D272" i="4"/>
  <c r="E280" i="4"/>
  <c r="D280" i="4"/>
  <c r="E288" i="4"/>
  <c r="D288" i="4"/>
  <c r="E296" i="4"/>
  <c r="D296" i="4"/>
  <c r="D138" i="4"/>
  <c r="E138" i="4"/>
  <c r="D146" i="4"/>
  <c r="E146" i="4"/>
  <c r="D154" i="4"/>
  <c r="E154" i="4"/>
  <c r="D162" i="4"/>
  <c r="E162" i="4"/>
  <c r="D170" i="4"/>
  <c r="E170" i="4"/>
  <c r="D178" i="4"/>
  <c r="E178" i="4"/>
  <c r="D186" i="4"/>
  <c r="E186" i="4"/>
  <c r="D194" i="4"/>
  <c r="E194" i="4"/>
  <c r="D202" i="4"/>
  <c r="E202" i="4"/>
  <c r="D210" i="4"/>
  <c r="E210" i="4"/>
  <c r="D218" i="4"/>
  <c r="E218" i="4"/>
  <c r="D226" i="4"/>
  <c r="E226" i="4"/>
  <c r="D234" i="4"/>
  <c r="E234" i="4"/>
  <c r="D242" i="4"/>
  <c r="E242" i="4"/>
  <c r="D250" i="4"/>
  <c r="E250" i="4"/>
  <c r="D258" i="4"/>
  <c r="E258" i="4"/>
  <c r="D266" i="4"/>
  <c r="E266" i="4"/>
  <c r="D274" i="4"/>
  <c r="E274" i="4"/>
  <c r="D282" i="4"/>
  <c r="E282" i="4"/>
  <c r="D290" i="4"/>
  <c r="E290" i="4"/>
  <c r="D298" i="4"/>
  <c r="E298" i="4"/>
  <c r="D135" i="4"/>
  <c r="E135" i="4"/>
  <c r="D167" i="4"/>
  <c r="E167" i="4"/>
  <c r="D215" i="4"/>
  <c r="E215" i="4"/>
  <c r="E139" i="4"/>
  <c r="D139" i="4"/>
  <c r="E155" i="4"/>
  <c r="D155" i="4"/>
  <c r="E163" i="4"/>
  <c r="D163" i="4"/>
  <c r="E179" i="4"/>
  <c r="D179" i="4"/>
  <c r="E195" i="4"/>
  <c r="D195" i="4"/>
  <c r="E211" i="4"/>
  <c r="D211" i="4"/>
  <c r="E227" i="4"/>
  <c r="D227" i="4"/>
  <c r="E235" i="4"/>
  <c r="D235" i="4"/>
  <c r="E251" i="4"/>
  <c r="D251" i="4"/>
  <c r="E267" i="4"/>
  <c r="D267" i="4"/>
  <c r="E283" i="4"/>
  <c r="D283" i="4"/>
  <c r="E299" i="4"/>
  <c r="D299" i="4"/>
  <c r="D140" i="4"/>
  <c r="E140" i="4"/>
  <c r="D156" i="4"/>
  <c r="E156" i="4"/>
  <c r="D172" i="4"/>
  <c r="E172" i="4"/>
  <c r="D188" i="4"/>
  <c r="E188" i="4"/>
  <c r="D204" i="4"/>
  <c r="E204" i="4"/>
  <c r="D220" i="4"/>
  <c r="E220" i="4"/>
  <c r="D236" i="4"/>
  <c r="E236" i="4"/>
  <c r="D252" i="4"/>
  <c r="E252" i="4"/>
  <c r="D268" i="4"/>
  <c r="E268" i="4"/>
  <c r="D284" i="4"/>
  <c r="E284" i="4"/>
  <c r="D292" i="4"/>
  <c r="E292" i="4"/>
  <c r="D300" i="4"/>
  <c r="E300" i="4"/>
  <c r="E133" i="4"/>
  <c r="D133" i="4"/>
  <c r="E141" i="4"/>
  <c r="D141" i="4"/>
  <c r="D149" i="4"/>
  <c r="E149" i="4"/>
  <c r="E157" i="4"/>
  <c r="D157" i="4"/>
  <c r="D165" i="4"/>
  <c r="E165" i="4"/>
  <c r="E173" i="4"/>
  <c r="D173" i="4"/>
  <c r="E181" i="4"/>
  <c r="D181" i="4"/>
  <c r="D189" i="4"/>
  <c r="E189" i="4"/>
  <c r="D197" i="4"/>
  <c r="E197" i="4"/>
  <c r="E205" i="4"/>
  <c r="D205" i="4"/>
  <c r="D213" i="4"/>
  <c r="E213" i="4"/>
  <c r="E221" i="4"/>
  <c r="D221" i="4"/>
  <c r="E229" i="4"/>
  <c r="D229" i="4"/>
  <c r="D237" i="4"/>
  <c r="E237" i="4"/>
  <c r="E245" i="4"/>
  <c r="D245" i="4"/>
  <c r="E253" i="4"/>
  <c r="D253" i="4"/>
  <c r="D261" i="4"/>
  <c r="E261" i="4"/>
  <c r="D269" i="4"/>
  <c r="E269" i="4"/>
  <c r="E277" i="4"/>
  <c r="D277" i="4"/>
  <c r="E285" i="4"/>
  <c r="D285" i="4"/>
  <c r="E293" i="4"/>
  <c r="D293" i="4"/>
  <c r="D301" i="4"/>
  <c r="E301" i="4"/>
  <c r="D159" i="4"/>
  <c r="E159" i="4"/>
  <c r="D191" i="4"/>
  <c r="E191" i="4"/>
  <c r="D223" i="4"/>
  <c r="E223" i="4"/>
  <c r="E147" i="4"/>
  <c r="D147" i="4"/>
  <c r="E171" i="4"/>
  <c r="D171" i="4"/>
  <c r="E187" i="4"/>
  <c r="D187" i="4"/>
  <c r="E203" i="4"/>
  <c r="D203" i="4"/>
  <c r="E219" i="4"/>
  <c r="D219" i="4"/>
  <c r="E243" i="4"/>
  <c r="D243" i="4"/>
  <c r="E259" i="4"/>
  <c r="D259" i="4"/>
  <c r="E275" i="4"/>
  <c r="D275" i="4"/>
  <c r="E291" i="4"/>
  <c r="D291" i="4"/>
  <c r="D132" i="4"/>
  <c r="E132" i="4"/>
  <c r="D148" i="4"/>
  <c r="E148" i="4"/>
  <c r="D164" i="4"/>
  <c r="E164" i="4"/>
  <c r="D180" i="4"/>
  <c r="E180" i="4"/>
  <c r="D196" i="4"/>
  <c r="E196" i="4"/>
  <c r="D212" i="4"/>
  <c r="E212" i="4"/>
  <c r="D228" i="4"/>
  <c r="E228" i="4"/>
  <c r="D244" i="4"/>
  <c r="E244" i="4"/>
  <c r="D260" i="4"/>
  <c r="E260" i="4"/>
  <c r="D276" i="4"/>
  <c r="E276" i="4"/>
  <c r="D134" i="4"/>
  <c r="E134" i="4"/>
  <c r="E142" i="4"/>
  <c r="D142" i="4"/>
  <c r="E150" i="4"/>
  <c r="D150" i="4"/>
  <c r="E158" i="4"/>
  <c r="D158" i="4"/>
  <c r="D166" i="4"/>
  <c r="E166" i="4"/>
  <c r="E174" i="4"/>
  <c r="D174" i="4"/>
  <c r="D182" i="4"/>
  <c r="E182" i="4"/>
  <c r="D190" i="4"/>
  <c r="E190" i="4"/>
  <c r="E198" i="4"/>
  <c r="D198" i="4"/>
  <c r="E206" i="4"/>
  <c r="D206" i="4"/>
  <c r="E214" i="4"/>
  <c r="D214" i="4"/>
  <c r="E222" i="4"/>
  <c r="D222" i="4"/>
  <c r="D230" i="4"/>
  <c r="E230" i="4"/>
  <c r="D238" i="4"/>
  <c r="E238" i="4"/>
  <c r="D246" i="4"/>
  <c r="E246" i="4"/>
  <c r="D254" i="4"/>
  <c r="E254" i="4"/>
  <c r="D262" i="4"/>
  <c r="E262" i="4"/>
  <c r="D270" i="4"/>
  <c r="E270" i="4"/>
  <c r="D278" i="4"/>
  <c r="E278" i="4"/>
  <c r="D286" i="4"/>
  <c r="E286" i="4"/>
  <c r="D294" i="4"/>
  <c r="E294" i="4"/>
  <c r="D302" i="4"/>
  <c r="E302" i="4"/>
  <c r="D143" i="4"/>
  <c r="E143" i="4"/>
  <c r="D175" i="4"/>
  <c r="E175" i="4"/>
  <c r="D199" i="4"/>
  <c r="E199" i="4"/>
  <c r="D231" i="4"/>
  <c r="E231" i="4"/>
  <c r="D255" i="4"/>
  <c r="E255" i="4"/>
  <c r="D271" i="4"/>
  <c r="E271" i="4"/>
  <c r="D287" i="4"/>
  <c r="E287" i="4"/>
  <c r="D303" i="4"/>
  <c r="E303" i="4"/>
  <c r="E144" i="4"/>
  <c r="D144" i="4"/>
  <c r="E160" i="4"/>
  <c r="D160" i="4"/>
  <c r="E176" i="4"/>
  <c r="D176" i="4"/>
  <c r="E192" i="4"/>
  <c r="D192" i="4"/>
  <c r="E216" i="4"/>
  <c r="D216" i="4"/>
  <c r="E137" i="4"/>
  <c r="D137" i="4"/>
  <c r="D145" i="4"/>
  <c r="E145" i="4"/>
  <c r="E153" i="4"/>
  <c r="D153" i="4"/>
  <c r="D161" i="4"/>
  <c r="E161" i="4"/>
  <c r="D169" i="4"/>
  <c r="E169" i="4"/>
  <c r="D177" i="4"/>
  <c r="E177" i="4"/>
  <c r="E185" i="4"/>
  <c r="D185" i="4"/>
  <c r="D193" i="4"/>
  <c r="E193" i="4"/>
  <c r="E201" i="4"/>
  <c r="D201" i="4"/>
  <c r="D209" i="4"/>
  <c r="E209" i="4"/>
  <c r="E217" i="4"/>
  <c r="D217" i="4"/>
  <c r="D225" i="4"/>
  <c r="E225" i="4"/>
  <c r="D233" i="4"/>
  <c r="E233" i="4"/>
  <c r="D241" i="4"/>
  <c r="E241" i="4"/>
  <c r="E249" i="4"/>
  <c r="D249" i="4"/>
  <c r="D257" i="4"/>
  <c r="E257" i="4"/>
  <c r="D265" i="4"/>
  <c r="E265" i="4"/>
  <c r="D273" i="4"/>
  <c r="E273" i="4"/>
  <c r="E281" i="4"/>
  <c r="D281" i="4"/>
  <c r="D289" i="4"/>
  <c r="E289" i="4"/>
  <c r="D297" i="4"/>
  <c r="E297"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2" i="4"/>
  <c r="C1" i="4"/>
  <c r="AJ99" i="20"/>
  <c r="E89" i="4" l="1"/>
  <c r="D89" i="4"/>
  <c r="E121" i="4"/>
  <c r="D121" i="4"/>
  <c r="E90" i="4"/>
  <c r="D90" i="4"/>
  <c r="D106" i="4"/>
  <c r="E106" i="4"/>
  <c r="E122" i="4"/>
  <c r="D122" i="4"/>
  <c r="D76" i="4"/>
  <c r="E76" i="4"/>
  <c r="D84" i="4"/>
  <c r="E84" i="4"/>
  <c r="D92" i="4"/>
  <c r="E92" i="4"/>
  <c r="D100" i="4"/>
  <c r="E100" i="4"/>
  <c r="D108" i="4"/>
  <c r="E108" i="4"/>
  <c r="D116" i="4"/>
  <c r="E116" i="4"/>
  <c r="D124" i="4"/>
  <c r="E124" i="4"/>
  <c r="D109" i="4"/>
  <c r="E109" i="4"/>
  <c r="E101" i="4"/>
  <c r="D101" i="4"/>
  <c r="E110" i="4"/>
  <c r="D110" i="4"/>
  <c r="E77" i="4"/>
  <c r="D77" i="4"/>
  <c r="E93" i="4"/>
  <c r="D93" i="4"/>
  <c r="E125" i="4"/>
  <c r="D125" i="4"/>
  <c r="E86" i="4"/>
  <c r="D86" i="4"/>
  <c r="D102" i="4"/>
  <c r="E102" i="4"/>
  <c r="E126" i="4"/>
  <c r="D126" i="4"/>
  <c r="D79" i="4"/>
  <c r="E79" i="4"/>
  <c r="D87" i="4"/>
  <c r="E87" i="4"/>
  <c r="D95" i="4"/>
  <c r="E95" i="4"/>
  <c r="D103" i="4"/>
  <c r="E103" i="4"/>
  <c r="D111" i="4"/>
  <c r="E111" i="4"/>
  <c r="D119" i="4"/>
  <c r="E119" i="4"/>
  <c r="D127" i="4"/>
  <c r="E127" i="4"/>
  <c r="E85" i="4"/>
  <c r="D85" i="4"/>
  <c r="E117" i="4"/>
  <c r="D117" i="4"/>
  <c r="E78" i="4"/>
  <c r="D78" i="4"/>
  <c r="E94" i="4"/>
  <c r="D94" i="4"/>
  <c r="E118" i="4"/>
  <c r="D118" i="4"/>
  <c r="E80" i="4"/>
  <c r="D80" i="4"/>
  <c r="E88" i="4"/>
  <c r="D88" i="4"/>
  <c r="E96" i="4"/>
  <c r="D96" i="4"/>
  <c r="E104" i="4"/>
  <c r="D104" i="4"/>
  <c r="E112" i="4"/>
  <c r="D112" i="4"/>
  <c r="E120" i="4"/>
  <c r="D120" i="4"/>
  <c r="E128" i="4"/>
  <c r="D128" i="4"/>
  <c r="D113" i="4"/>
  <c r="E113" i="4"/>
  <c r="D81" i="4"/>
  <c r="E81" i="4"/>
  <c r="E105" i="4"/>
  <c r="D105" i="4"/>
  <c r="D74" i="4"/>
  <c r="E74" i="4"/>
  <c r="D130" i="4"/>
  <c r="E130" i="4"/>
  <c r="E73" i="4"/>
  <c r="D73" i="4"/>
  <c r="D97" i="4"/>
  <c r="E97" i="4"/>
  <c r="D129" i="4"/>
  <c r="E129" i="4"/>
  <c r="D82" i="4"/>
  <c r="E82" i="4"/>
  <c r="D98" i="4"/>
  <c r="E98" i="4"/>
  <c r="D114" i="4"/>
  <c r="E114" i="4"/>
  <c r="E75" i="4"/>
  <c r="D75" i="4"/>
  <c r="E83" i="4"/>
  <c r="D83" i="4"/>
  <c r="E91" i="4"/>
  <c r="D91" i="4"/>
  <c r="E99" i="4"/>
  <c r="D99" i="4"/>
  <c r="E107" i="4"/>
  <c r="D107" i="4"/>
  <c r="E115" i="4"/>
  <c r="D115" i="4"/>
  <c r="E123" i="4"/>
  <c r="D123" i="4"/>
  <c r="E131" i="4"/>
  <c r="D131" i="4"/>
  <c r="Q1591" i="1"/>
  <c r="Q1590" i="1"/>
  <c r="R1591" i="1" s="1"/>
  <c r="Q1588" i="1"/>
  <c r="Q1587" i="1"/>
  <c r="Q1585" i="1"/>
  <c r="Q1584" i="1"/>
  <c r="Q1582" i="1"/>
  <c r="Q1581" i="1"/>
  <c r="Q1579" i="1"/>
  <c r="Q1578" i="1"/>
  <c r="R1579" i="1" s="1"/>
  <c r="Q1576" i="1"/>
  <c r="Q1575" i="1"/>
  <c r="Q1554" i="1"/>
  <c r="Q1553" i="1"/>
  <c r="R1554" i="1" s="1"/>
  <c r="Q1551" i="1"/>
  <c r="Q1550" i="1"/>
  <c r="Q1548" i="1"/>
  <c r="Q1547" i="1"/>
  <c r="Q1545" i="1"/>
  <c r="Q1544" i="1"/>
  <c r="Q1542" i="1"/>
  <c r="Q1541" i="1"/>
  <c r="Q1539" i="1"/>
  <c r="Q1538" i="1"/>
  <c r="Q1517" i="1"/>
  <c r="Q1516" i="1"/>
  <c r="Q1514" i="1"/>
  <c r="Q1513" i="1"/>
  <c r="Q1511" i="1"/>
  <c r="Q1510" i="1"/>
  <c r="Q1508" i="1"/>
  <c r="Q1507" i="1"/>
  <c r="Q1505" i="1"/>
  <c r="Q1504" i="1"/>
  <c r="Q1502" i="1"/>
  <c r="Q1501" i="1"/>
  <c r="Q1480" i="1"/>
  <c r="Q1479" i="1"/>
  <c r="Q1477" i="1"/>
  <c r="Q1476" i="1"/>
  <c r="Q1474" i="1"/>
  <c r="Q1473" i="1"/>
  <c r="Q1471" i="1"/>
  <c r="Q1470" i="1"/>
  <c r="R1471" i="1" s="1"/>
  <c r="S1470" i="1" s="1"/>
  <c r="Q1468" i="1"/>
  <c r="Q1467" i="1"/>
  <c r="Q1465" i="1"/>
  <c r="Q1464" i="1"/>
  <c r="R1465" i="1" s="1"/>
  <c r="Q1443" i="1"/>
  <c r="Q1442" i="1"/>
  <c r="Q1440" i="1"/>
  <c r="Q1439" i="1"/>
  <c r="R1440" i="1" s="1"/>
  <c r="S1439" i="1" s="1"/>
  <c r="Q1437" i="1"/>
  <c r="Q1436" i="1"/>
  <c r="Q1434" i="1"/>
  <c r="Q1433" i="1"/>
  <c r="Q1431" i="1"/>
  <c r="Q1430" i="1"/>
  <c r="Q1428" i="1"/>
  <c r="Q1427" i="1"/>
  <c r="R1428" i="1" s="1"/>
  <c r="S1427" i="1" s="1"/>
  <c r="Q1406" i="1"/>
  <c r="Q1405" i="1"/>
  <c r="Q1403" i="1"/>
  <c r="Q1402" i="1"/>
  <c r="R1403" i="1" s="1"/>
  <c r="Q1400" i="1"/>
  <c r="Q1399" i="1"/>
  <c r="Q1397" i="1"/>
  <c r="Q1396" i="1"/>
  <c r="Q1394" i="1"/>
  <c r="Q1393" i="1"/>
  <c r="Q1391" i="1"/>
  <c r="Q1390" i="1"/>
  <c r="Q1369" i="1"/>
  <c r="Q1368" i="1"/>
  <c r="Q1366" i="1"/>
  <c r="Q1365" i="1"/>
  <c r="Q1363" i="1"/>
  <c r="Q1362" i="1"/>
  <c r="Q1360" i="1"/>
  <c r="Q1359" i="1"/>
  <c r="Q1357" i="1"/>
  <c r="R1357" i="1" s="1"/>
  <c r="Q1356" i="1"/>
  <c r="Q1354" i="1"/>
  <c r="Q1353" i="1"/>
  <c r="Q1332" i="1"/>
  <c r="Q1331" i="1"/>
  <c r="Q1329" i="1"/>
  <c r="Q1328" i="1"/>
  <c r="Q1326" i="1"/>
  <c r="R1326" i="1" s="1"/>
  <c r="Q1325" i="1"/>
  <c r="Q1323" i="1"/>
  <c r="Q1322" i="1"/>
  <c r="R1323" i="1" s="1"/>
  <c r="S1322" i="1" s="1"/>
  <c r="Q1320" i="1"/>
  <c r="Q1319" i="1"/>
  <c r="Q1317" i="1"/>
  <c r="Q1316" i="1"/>
  <c r="Q1295" i="1"/>
  <c r="Q1294" i="1"/>
  <c r="Q1292" i="1"/>
  <c r="Q1291" i="1"/>
  <c r="Q1289" i="1"/>
  <c r="Q1288" i="1"/>
  <c r="Q1286" i="1"/>
  <c r="Q1285" i="1"/>
  <c r="Q1283" i="1"/>
  <c r="Q1282" i="1"/>
  <c r="Q1280" i="1"/>
  <c r="Q1279" i="1"/>
  <c r="R1280" i="1" s="1"/>
  <c r="S1279" i="1" s="1"/>
  <c r="Q1258" i="1"/>
  <c r="Q1257" i="1"/>
  <c r="Q1255" i="1"/>
  <c r="Q1254" i="1"/>
  <c r="Q1252" i="1"/>
  <c r="Q1251" i="1"/>
  <c r="Q1249" i="1"/>
  <c r="Q1248" i="1"/>
  <c r="Q1246" i="1"/>
  <c r="Q1245" i="1"/>
  <c r="Q1243" i="1"/>
  <c r="Q1242" i="1"/>
  <c r="Q1221" i="1"/>
  <c r="Q1220" i="1"/>
  <c r="Q1218" i="1"/>
  <c r="Q1217" i="1"/>
  <c r="Q1215" i="1"/>
  <c r="Q1214" i="1"/>
  <c r="Q1212" i="1"/>
  <c r="Q1211" i="1"/>
  <c r="Q1209" i="1"/>
  <c r="Q1208" i="1"/>
  <c r="Q1206" i="1"/>
  <c r="Q1205" i="1"/>
  <c r="Q1184" i="1"/>
  <c r="Q1183" i="1"/>
  <c r="Q1181" i="1"/>
  <c r="Q1180" i="1"/>
  <c r="Q1178" i="1"/>
  <c r="Q1177" i="1"/>
  <c r="Q1175" i="1"/>
  <c r="Q1174" i="1"/>
  <c r="Q1172" i="1"/>
  <c r="Q1171" i="1"/>
  <c r="R1172" i="1" s="1"/>
  <c r="Q1169" i="1"/>
  <c r="Q1168" i="1"/>
  <c r="Q1147" i="1"/>
  <c r="Q1146" i="1"/>
  <c r="Q1144" i="1"/>
  <c r="Q1143" i="1"/>
  <c r="Q1141" i="1"/>
  <c r="Q1140" i="1"/>
  <c r="Q1138" i="1"/>
  <c r="Q1137" i="1"/>
  <c r="Q1135" i="1"/>
  <c r="Q1134" i="1"/>
  <c r="Q1132" i="1"/>
  <c r="Q1131" i="1"/>
  <c r="Q1110" i="1"/>
  <c r="Q1109" i="1"/>
  <c r="Q1107" i="1"/>
  <c r="Q1106" i="1"/>
  <c r="Q1104" i="1"/>
  <c r="Q1103" i="1"/>
  <c r="Q1101" i="1"/>
  <c r="Q1100" i="1"/>
  <c r="Q1098" i="1"/>
  <c r="Q1097" i="1"/>
  <c r="Q1095" i="1"/>
  <c r="Q1094" i="1"/>
  <c r="Q1073" i="1"/>
  <c r="Q1072" i="1"/>
  <c r="Q1070" i="1"/>
  <c r="Q1069" i="1"/>
  <c r="Q1067" i="1"/>
  <c r="Q1066" i="1"/>
  <c r="Q1064" i="1"/>
  <c r="Q1063" i="1"/>
  <c r="Q1061" i="1"/>
  <c r="Q1060" i="1"/>
  <c r="Q1058" i="1"/>
  <c r="Q1057" i="1"/>
  <c r="Q1036" i="1"/>
  <c r="Q1035" i="1"/>
  <c r="Q1033" i="1"/>
  <c r="Q1032" i="1"/>
  <c r="Q1030" i="1"/>
  <c r="Q1029" i="1"/>
  <c r="Q1027" i="1"/>
  <c r="Q1026" i="1"/>
  <c r="Q1024" i="1"/>
  <c r="Q1023" i="1"/>
  <c r="Q1021" i="1"/>
  <c r="Q1020" i="1"/>
  <c r="Q999" i="1"/>
  <c r="Q998" i="1"/>
  <c r="Q996" i="1"/>
  <c r="Q995" i="1"/>
  <c r="Q993" i="1"/>
  <c r="Q992" i="1"/>
  <c r="Q990" i="1"/>
  <c r="Q989" i="1"/>
  <c r="Q987" i="1"/>
  <c r="Q986" i="1"/>
  <c r="Q984" i="1"/>
  <c r="Q983" i="1"/>
  <c r="Q962" i="1"/>
  <c r="Q961" i="1"/>
  <c r="Q959" i="1"/>
  <c r="Q958" i="1"/>
  <c r="Q956" i="1"/>
  <c r="Q955" i="1"/>
  <c r="Q953" i="1"/>
  <c r="Q952" i="1"/>
  <c r="Q950" i="1"/>
  <c r="Q949" i="1"/>
  <c r="Q947" i="1"/>
  <c r="Q946" i="1"/>
  <c r="Q925" i="1"/>
  <c r="Q924" i="1"/>
  <c r="Q922" i="1"/>
  <c r="Q921" i="1"/>
  <c r="Q919" i="1"/>
  <c r="Q918" i="1"/>
  <c r="R919" i="1" s="1"/>
  <c r="Q916" i="1"/>
  <c r="Q915" i="1"/>
  <c r="Q913" i="1"/>
  <c r="Q912" i="1"/>
  <c r="Q910" i="1"/>
  <c r="Q909" i="1"/>
  <c r="Q888" i="1"/>
  <c r="Q887" i="1"/>
  <c r="R888" i="1" s="1"/>
  <c r="Q885" i="1"/>
  <c r="Q884" i="1"/>
  <c r="Q882" i="1"/>
  <c r="Q881" i="1"/>
  <c r="Q879" i="1"/>
  <c r="Q878" i="1"/>
  <c r="Q876" i="1"/>
  <c r="Q875" i="1"/>
  <c r="Q873" i="1"/>
  <c r="Q872" i="1"/>
  <c r="Q851" i="1"/>
  <c r="R851" i="1" s="1"/>
  <c r="S851" i="1" s="1"/>
  <c r="Q850" i="1"/>
  <c r="Q848" i="1"/>
  <c r="Q847" i="1"/>
  <c r="Q845" i="1"/>
  <c r="Q844" i="1"/>
  <c r="Q842" i="1"/>
  <c r="Q841" i="1"/>
  <c r="R839" i="1"/>
  <c r="S839" i="1" s="1"/>
  <c r="Q839" i="1"/>
  <c r="Q838" i="1"/>
  <c r="Q836" i="1"/>
  <c r="Q835" i="1"/>
  <c r="Q814" i="1"/>
  <c r="Q813" i="1"/>
  <c r="Q811" i="1"/>
  <c r="Q810" i="1"/>
  <c r="Q808" i="1"/>
  <c r="Q807" i="1"/>
  <c r="Q805" i="1"/>
  <c r="Q804" i="1"/>
  <c r="Q802" i="1"/>
  <c r="Q801" i="1"/>
  <c r="Q799" i="1"/>
  <c r="Q798" i="1"/>
  <c r="Q777" i="1"/>
  <c r="Q776" i="1"/>
  <c r="Q774" i="1"/>
  <c r="Q773" i="1"/>
  <c r="R774" i="1" s="1"/>
  <c r="Q771" i="1"/>
  <c r="Q770" i="1"/>
  <c r="Q768" i="1"/>
  <c r="Q767" i="1"/>
  <c r="Q765" i="1"/>
  <c r="R765" i="1" s="1"/>
  <c r="S765" i="1" s="1"/>
  <c r="Q764" i="1"/>
  <c r="Q762" i="1"/>
  <c r="Q761" i="1"/>
  <c r="Q740" i="1"/>
  <c r="Q739" i="1"/>
  <c r="Q737" i="1"/>
  <c r="Q736" i="1"/>
  <c r="Q734" i="1"/>
  <c r="Q733" i="1"/>
  <c r="Q731" i="1"/>
  <c r="Q730" i="1"/>
  <c r="Q728" i="1"/>
  <c r="Q727" i="1"/>
  <c r="Q725" i="1"/>
  <c r="Q724" i="1"/>
  <c r="Q703" i="1"/>
  <c r="R703" i="1" s="1"/>
  <c r="S703" i="1" s="1"/>
  <c r="Q702" i="1"/>
  <c r="Q700" i="1"/>
  <c r="Q699" i="1"/>
  <c r="R700" i="1" s="1"/>
  <c r="Q697" i="1"/>
  <c r="Q696" i="1"/>
  <c r="Q694" i="1"/>
  <c r="Q693" i="1"/>
  <c r="R694" i="1" s="1"/>
  <c r="S693" i="1" s="1"/>
  <c r="Q691" i="1"/>
  <c r="Q690" i="1"/>
  <c r="Q688" i="1"/>
  <c r="Q687" i="1"/>
  <c r="Q666" i="1"/>
  <c r="Q665" i="1"/>
  <c r="Q663" i="1"/>
  <c r="Q662" i="1"/>
  <c r="Q660" i="1"/>
  <c r="Q659" i="1"/>
  <c r="Q657" i="1"/>
  <c r="Q656" i="1"/>
  <c r="Q654" i="1"/>
  <c r="Q653" i="1"/>
  <c r="Q651" i="1"/>
  <c r="Q650" i="1"/>
  <c r="Q629" i="1"/>
  <c r="Q628" i="1"/>
  <c r="Q626" i="1"/>
  <c r="Q625" i="1"/>
  <c r="Q623" i="1"/>
  <c r="Q622" i="1"/>
  <c r="Q620" i="1"/>
  <c r="Q619" i="1"/>
  <c r="Q617" i="1"/>
  <c r="Q616" i="1"/>
  <c r="Q614" i="1"/>
  <c r="Q613" i="1"/>
  <c r="Q591" i="1"/>
  <c r="Q590" i="1"/>
  <c r="Q588" i="1"/>
  <c r="Q587" i="1"/>
  <c r="Q585" i="1"/>
  <c r="Q584" i="1"/>
  <c r="Q582" i="1"/>
  <c r="Q581" i="1"/>
  <c r="Q579" i="1"/>
  <c r="Q578" i="1"/>
  <c r="Q576" i="1"/>
  <c r="Q575" i="1"/>
  <c r="Q554" i="1"/>
  <c r="Q553" i="1"/>
  <c r="R554" i="1" s="1"/>
  <c r="S554" i="1" s="1"/>
  <c r="Q551" i="1"/>
  <c r="Q550" i="1"/>
  <c r="Q548" i="1"/>
  <c r="Q547" i="1"/>
  <c r="Q545" i="1"/>
  <c r="Q544" i="1"/>
  <c r="Q542" i="1"/>
  <c r="Q541" i="1"/>
  <c r="Q539" i="1"/>
  <c r="Q538" i="1"/>
  <c r="Q517" i="1"/>
  <c r="Q516" i="1"/>
  <c r="Q514" i="1"/>
  <c r="Q513" i="1"/>
  <c r="Q511" i="1"/>
  <c r="Q510" i="1"/>
  <c r="Q508" i="1"/>
  <c r="Q507" i="1"/>
  <c r="Q505" i="1"/>
  <c r="Q504" i="1"/>
  <c r="Q502" i="1"/>
  <c r="Q501" i="1"/>
  <c r="Q480" i="1"/>
  <c r="Q479" i="1"/>
  <c r="Q477" i="1"/>
  <c r="Q476" i="1"/>
  <c r="Q474" i="1"/>
  <c r="Q473" i="1"/>
  <c r="Q471" i="1"/>
  <c r="Q470" i="1"/>
  <c r="Q468" i="1"/>
  <c r="Q467" i="1"/>
  <c r="Q465" i="1"/>
  <c r="Q464" i="1"/>
  <c r="Q443" i="1"/>
  <c r="Q442" i="1"/>
  <c r="Q440" i="1"/>
  <c r="Q439" i="1"/>
  <c r="Q437" i="1"/>
  <c r="Q436" i="1"/>
  <c r="Q434" i="1"/>
  <c r="Q433" i="1"/>
  <c r="Q431" i="1"/>
  <c r="Q430" i="1"/>
  <c r="Q428" i="1"/>
  <c r="Q427" i="1"/>
  <c r="Q406" i="1"/>
  <c r="Q405" i="1"/>
  <c r="Q403" i="1"/>
  <c r="Q402" i="1"/>
  <c r="R403" i="1" s="1"/>
  <c r="S402" i="1" s="1"/>
  <c r="Q400" i="1"/>
  <c r="Q399" i="1"/>
  <c r="Q397" i="1"/>
  <c r="Q396" i="1"/>
  <c r="Q394" i="1"/>
  <c r="Q393" i="1"/>
  <c r="Q391" i="1"/>
  <c r="Q390" i="1"/>
  <c r="Q369" i="1"/>
  <c r="Q368" i="1"/>
  <c r="Q366" i="1"/>
  <c r="Q365" i="1"/>
  <c r="Q363" i="1"/>
  <c r="Q362" i="1"/>
  <c r="Q360" i="1"/>
  <c r="Q359" i="1"/>
  <c r="Q357" i="1"/>
  <c r="Q356" i="1"/>
  <c r="Q354" i="1"/>
  <c r="Q353" i="1"/>
  <c r="Q332" i="1"/>
  <c r="Q331" i="1"/>
  <c r="Q329" i="1"/>
  <c r="Q328" i="1"/>
  <c r="Q326" i="1"/>
  <c r="Q325" i="1"/>
  <c r="R326" i="1" s="1"/>
  <c r="S326" i="1" s="1"/>
  <c r="Q323" i="1"/>
  <c r="Q322" i="1"/>
  <c r="Q320" i="1"/>
  <c r="Q319" i="1"/>
  <c r="Q317" i="1"/>
  <c r="Q316" i="1"/>
  <c r="Q295" i="1"/>
  <c r="Q294" i="1"/>
  <c r="Q292" i="1"/>
  <c r="Q291" i="1"/>
  <c r="Q289" i="1"/>
  <c r="Q288" i="1"/>
  <c r="Q286" i="1"/>
  <c r="Q285" i="1"/>
  <c r="Q283" i="1"/>
  <c r="Q282" i="1"/>
  <c r="Q280" i="1"/>
  <c r="Q279" i="1"/>
  <c r="Q258" i="1"/>
  <c r="Q257" i="1"/>
  <c r="Q255" i="1"/>
  <c r="Q254" i="1"/>
  <c r="Q252" i="1"/>
  <c r="Q251" i="1"/>
  <c r="Q249" i="1"/>
  <c r="Q248" i="1"/>
  <c r="Q246" i="1"/>
  <c r="Q245" i="1"/>
  <c r="Q243" i="1"/>
  <c r="Q242" i="1"/>
  <c r="Q221" i="1"/>
  <c r="Q220" i="1"/>
  <c r="Q218" i="1"/>
  <c r="Q217" i="1"/>
  <c r="Q215" i="1"/>
  <c r="Q214" i="1"/>
  <c r="R215" i="1" s="1"/>
  <c r="S215" i="1" s="1"/>
  <c r="Q212" i="1"/>
  <c r="Q211" i="1"/>
  <c r="Q209" i="1"/>
  <c r="Q208" i="1"/>
  <c r="Q206" i="1"/>
  <c r="Q205" i="1"/>
  <c r="Q184" i="1"/>
  <c r="Q183" i="1"/>
  <c r="Q181" i="1"/>
  <c r="Q180" i="1"/>
  <c r="Q178" i="1"/>
  <c r="Q177" i="1"/>
  <c r="Q175" i="1"/>
  <c r="Q174" i="1"/>
  <c r="Q172" i="1"/>
  <c r="Q171" i="1"/>
  <c r="Q169" i="1"/>
  <c r="Q168" i="1"/>
  <c r="Q147" i="1"/>
  <c r="Q146" i="1"/>
  <c r="Q144" i="1"/>
  <c r="Q143" i="1"/>
  <c r="Q141" i="1"/>
  <c r="Q140" i="1"/>
  <c r="R141" i="1" s="1"/>
  <c r="S141" i="1" s="1"/>
  <c r="Q138" i="1"/>
  <c r="Q137" i="1"/>
  <c r="Q135" i="1"/>
  <c r="Q134" i="1"/>
  <c r="Q132" i="1"/>
  <c r="Q131" i="1"/>
  <c r="R842" i="1" l="1"/>
  <c r="S841" i="1" s="1"/>
  <c r="R1095" i="1"/>
  <c r="S1094" i="1" s="1"/>
  <c r="R474" i="1"/>
  <c r="S473" i="1" s="1"/>
  <c r="R1033" i="1"/>
  <c r="S1033" i="1" s="1"/>
  <c r="R1107" i="1"/>
  <c r="S1107" i="1" s="1"/>
  <c r="R1218" i="1"/>
  <c r="S1217" i="1" s="1"/>
  <c r="R218" i="1"/>
  <c r="S217" i="1" s="1"/>
  <c r="R956" i="1"/>
  <c r="S956" i="1" s="1"/>
  <c r="R1030" i="1"/>
  <c r="S1030" i="1" s="1"/>
  <c r="R1073" i="1"/>
  <c r="S1073" i="1" s="1"/>
  <c r="R1104" i="1"/>
  <c r="S1104" i="1" s="1"/>
  <c r="R1502" i="1"/>
  <c r="S1501" i="1" s="1"/>
  <c r="R477" i="1"/>
  <c r="S476" i="1" s="1"/>
  <c r="R292" i="1"/>
  <c r="S291" i="1" s="1"/>
  <c r="R480" i="1"/>
  <c r="S480" i="1" s="1"/>
  <c r="R922" i="1"/>
  <c r="S921" i="1" s="1"/>
  <c r="R1289" i="1"/>
  <c r="S1289" i="1" s="1"/>
  <c r="R1320" i="1"/>
  <c r="S1319" i="1" s="1"/>
  <c r="R1539" i="1"/>
  <c r="S1539" i="1" s="1"/>
  <c r="R1551" i="1"/>
  <c r="S1550" i="1" s="1"/>
  <c r="R629" i="1"/>
  <c r="S629" i="1" s="1"/>
  <c r="R660" i="1"/>
  <c r="S660" i="1" s="1"/>
  <c r="R691" i="1"/>
  <c r="S691" i="1" s="1"/>
  <c r="R808" i="1"/>
  <c r="S808" i="1" s="1"/>
  <c r="R1058" i="1"/>
  <c r="S1058" i="1" s="1"/>
  <c r="R1070" i="1"/>
  <c r="S1069" i="1" s="1"/>
  <c r="R1132" i="1"/>
  <c r="S1131" i="1" s="1"/>
  <c r="R1144" i="1"/>
  <c r="S1143" i="1" s="1"/>
  <c r="R1175" i="1"/>
  <c r="S1174" i="1" s="1"/>
  <c r="R1206" i="1"/>
  <c r="S1205" i="1" s="1"/>
  <c r="R1406" i="1"/>
  <c r="S1406" i="1" s="1"/>
  <c r="R221" i="1"/>
  <c r="S220" i="1" s="1"/>
  <c r="R252" i="1"/>
  <c r="S252" i="1" s="1"/>
  <c r="R295" i="1"/>
  <c r="S295" i="1" s="1"/>
  <c r="R366" i="1"/>
  <c r="S365" i="1" s="1"/>
  <c r="R514" i="1"/>
  <c r="S513" i="1" s="1"/>
  <c r="R882" i="1"/>
  <c r="S882" i="1" s="1"/>
  <c r="R913" i="1"/>
  <c r="S913" i="1" s="1"/>
  <c r="R925" i="1"/>
  <c r="S925" i="1" s="1"/>
  <c r="R144" i="1"/>
  <c r="S143" i="1" s="1"/>
  <c r="R1292" i="1"/>
  <c r="S1291" i="1" s="1"/>
  <c r="R181" i="1"/>
  <c r="S180" i="1" s="1"/>
  <c r="R255" i="1"/>
  <c r="S254" i="1" s="1"/>
  <c r="R517" i="1"/>
  <c r="S517" i="1" s="1"/>
  <c r="R588" i="1"/>
  <c r="S587" i="1" s="1"/>
  <c r="R663" i="1"/>
  <c r="S662" i="1" s="1"/>
  <c r="R1135" i="1"/>
  <c r="S1134" i="1" s="1"/>
  <c r="R1147" i="1"/>
  <c r="S1147" i="1" s="1"/>
  <c r="R1221" i="1"/>
  <c r="S1220" i="1" s="1"/>
  <c r="R1397" i="1"/>
  <c r="S1396" i="1" s="1"/>
  <c r="R1514" i="1"/>
  <c r="S1513" i="1" s="1"/>
  <c r="R1545" i="1"/>
  <c r="S1544" i="1" s="1"/>
  <c r="R1576" i="1"/>
  <c r="S1575" i="1" s="1"/>
  <c r="R1588" i="1"/>
  <c r="S1587" i="1" s="1"/>
  <c r="R329" i="1"/>
  <c r="S328" i="1" s="1"/>
  <c r="R623" i="1"/>
  <c r="S623" i="1" s="1"/>
  <c r="R771" i="1"/>
  <c r="S770" i="1" s="1"/>
  <c r="R814" i="1"/>
  <c r="S813" i="1" s="1"/>
  <c r="R1138" i="1"/>
  <c r="S1137" i="1" s="1"/>
  <c r="R1169" i="1"/>
  <c r="S1169" i="1" s="1"/>
  <c r="R1443" i="1"/>
  <c r="S1442" i="1" s="1"/>
  <c r="R400" i="1"/>
  <c r="S399" i="1" s="1"/>
  <c r="R443" i="1"/>
  <c r="S443" i="1" s="1"/>
  <c r="R885" i="1"/>
  <c r="S885" i="1" s="1"/>
  <c r="R916" i="1"/>
  <c r="S915" i="1" s="1"/>
  <c r="R1061" i="1"/>
  <c r="S1061" i="1" s="1"/>
  <c r="R1249" i="1"/>
  <c r="S1248" i="1" s="1"/>
  <c r="R1363" i="1"/>
  <c r="S1362" i="1" s="1"/>
  <c r="R990" i="1"/>
  <c r="S989" i="1" s="1"/>
  <c r="R363" i="1"/>
  <c r="S363" i="1" s="1"/>
  <c r="R734" i="1"/>
  <c r="S734" i="1" s="1"/>
  <c r="R848" i="1"/>
  <c r="S848" i="1" s="1"/>
  <c r="R879" i="1"/>
  <c r="S879" i="1" s="1"/>
  <c r="R962" i="1"/>
  <c r="S961" i="1" s="1"/>
  <c r="R1024" i="1"/>
  <c r="S1023" i="1" s="1"/>
  <c r="R1354" i="1"/>
  <c r="S1353" i="1" s="1"/>
  <c r="R1366" i="1"/>
  <c r="S1365" i="1" s="1"/>
  <c r="R1480" i="1"/>
  <c r="S1480" i="1" s="1"/>
  <c r="R1511" i="1"/>
  <c r="S1510" i="1" s="1"/>
  <c r="R147" i="1"/>
  <c r="S146" i="1" s="1"/>
  <c r="R437" i="1"/>
  <c r="S437" i="1" s="1"/>
  <c r="R725" i="1"/>
  <c r="S724" i="1" s="1"/>
  <c r="R737" i="1"/>
  <c r="S736" i="1" s="1"/>
  <c r="R777" i="1"/>
  <c r="S777" i="1" s="1"/>
  <c r="R984" i="1"/>
  <c r="S984" i="1" s="1"/>
  <c r="R1098" i="1"/>
  <c r="S1097" i="1" s="1"/>
  <c r="R1110" i="1"/>
  <c r="S1110" i="1" s="1"/>
  <c r="R1212" i="1"/>
  <c r="S1212" i="1" s="1"/>
  <c r="R1255" i="1"/>
  <c r="S1255" i="1" s="1"/>
  <c r="R1283" i="1"/>
  <c r="S1282" i="1" s="1"/>
  <c r="R1585" i="1"/>
  <c r="S1585" i="1" s="1"/>
  <c r="R440" i="1"/>
  <c r="S439" i="1" s="1"/>
  <c r="R511" i="1"/>
  <c r="S511" i="1" s="1"/>
  <c r="R585" i="1"/>
  <c r="S585" i="1" s="1"/>
  <c r="R728" i="1"/>
  <c r="S728" i="1" s="1"/>
  <c r="R799" i="1"/>
  <c r="S798" i="1" s="1"/>
  <c r="R987" i="1"/>
  <c r="S987" i="1" s="1"/>
  <c r="R999" i="1"/>
  <c r="S999" i="1" s="1"/>
  <c r="R1215" i="1"/>
  <c r="S1215" i="1" s="1"/>
  <c r="R1329" i="1"/>
  <c r="S1329" i="1" s="1"/>
  <c r="R1360" i="1"/>
  <c r="S1360" i="1" s="1"/>
  <c r="R1505" i="1"/>
  <c r="S1505" i="1" s="1"/>
  <c r="R184" i="1"/>
  <c r="S184" i="1" s="1"/>
  <c r="R289" i="1"/>
  <c r="S288" i="1" s="1"/>
  <c r="R406" i="1"/>
  <c r="S406" i="1" s="1"/>
  <c r="R551" i="1"/>
  <c r="S550" i="1" s="1"/>
  <c r="R666" i="1"/>
  <c r="S666" i="1" s="1"/>
  <c r="R762" i="1"/>
  <c r="S761" i="1" s="1"/>
  <c r="R802" i="1"/>
  <c r="S801" i="1" s="1"/>
  <c r="R811" i="1"/>
  <c r="S811" i="1" s="1"/>
  <c r="R953" i="1"/>
  <c r="S953" i="1" s="1"/>
  <c r="R993" i="1"/>
  <c r="S992" i="1" s="1"/>
  <c r="R1021" i="1"/>
  <c r="S1021" i="1" s="1"/>
  <c r="R1184" i="1"/>
  <c r="S1183" i="1" s="1"/>
  <c r="R1243" i="1"/>
  <c r="S1242" i="1" s="1"/>
  <c r="R1252" i="1"/>
  <c r="S1251" i="1" s="1"/>
  <c r="R1394" i="1"/>
  <c r="S1394" i="1" s="1"/>
  <c r="R1434" i="1"/>
  <c r="S1434" i="1" s="1"/>
  <c r="R1474" i="1"/>
  <c r="S1474" i="1" s="1"/>
  <c r="R369" i="1"/>
  <c r="S369" i="1" s="1"/>
  <c r="R591" i="1"/>
  <c r="S591" i="1" s="1"/>
  <c r="R688" i="1"/>
  <c r="S688" i="1" s="1"/>
  <c r="R697" i="1"/>
  <c r="S697" i="1" s="1"/>
  <c r="R805" i="1"/>
  <c r="S804" i="1" s="1"/>
  <c r="R845" i="1"/>
  <c r="S844" i="1" s="1"/>
  <c r="R873" i="1"/>
  <c r="S873" i="1" s="1"/>
  <c r="R996" i="1"/>
  <c r="S995" i="1" s="1"/>
  <c r="R1036" i="1"/>
  <c r="S1035" i="1" s="1"/>
  <c r="R1064" i="1"/>
  <c r="S1064" i="1" s="1"/>
  <c r="R1246" i="1"/>
  <c r="S1246" i="1" s="1"/>
  <c r="R1286" i="1"/>
  <c r="S1285" i="1" s="1"/>
  <c r="R1295" i="1"/>
  <c r="S1295" i="1" s="1"/>
  <c r="R1437" i="1"/>
  <c r="S1437" i="1" s="1"/>
  <c r="R1477" i="1"/>
  <c r="S1477" i="1" s="1"/>
  <c r="R1517" i="1"/>
  <c r="S1516" i="1" s="1"/>
  <c r="R178" i="1"/>
  <c r="S177" i="1" s="1"/>
  <c r="R332" i="1"/>
  <c r="S332" i="1" s="1"/>
  <c r="R836" i="1"/>
  <c r="S835" i="1" s="1"/>
  <c r="R876" i="1"/>
  <c r="S876" i="1" s="1"/>
  <c r="R1027" i="1"/>
  <c r="S1027" i="1" s="1"/>
  <c r="R1067" i="1"/>
  <c r="S1066" i="1" s="1"/>
  <c r="R1258" i="1"/>
  <c r="S1258" i="1" s="1"/>
  <c r="R1317" i="1"/>
  <c r="S1317" i="1" s="1"/>
  <c r="R1468" i="1"/>
  <c r="S1468" i="1" s="1"/>
  <c r="R1508" i="1"/>
  <c r="S1507" i="1" s="1"/>
  <c r="R1548" i="1"/>
  <c r="S1547" i="1" s="1"/>
  <c r="R947" i="1"/>
  <c r="S946" i="1" s="1"/>
  <c r="R1178" i="1"/>
  <c r="S1177" i="1" s="1"/>
  <c r="R1369" i="1"/>
  <c r="S1369" i="1" s="1"/>
  <c r="R258" i="1"/>
  <c r="S258" i="1" s="1"/>
  <c r="R548" i="1"/>
  <c r="S547" i="1" s="1"/>
  <c r="R626" i="1"/>
  <c r="S626" i="1" s="1"/>
  <c r="R731" i="1"/>
  <c r="S731" i="1" s="1"/>
  <c r="R740" i="1"/>
  <c r="S739" i="1" s="1"/>
  <c r="R768" i="1"/>
  <c r="S767" i="1" s="1"/>
  <c r="R910" i="1"/>
  <c r="S910" i="1" s="1"/>
  <c r="R950" i="1"/>
  <c r="S949" i="1" s="1"/>
  <c r="R959" i="1"/>
  <c r="S959" i="1" s="1"/>
  <c r="R1101" i="1"/>
  <c r="S1101" i="1" s="1"/>
  <c r="R1141" i="1"/>
  <c r="S1141" i="1" s="1"/>
  <c r="R1181" i="1"/>
  <c r="S1181" i="1" s="1"/>
  <c r="R1209" i="1"/>
  <c r="S1208" i="1" s="1"/>
  <c r="R1332" i="1"/>
  <c r="S1332" i="1" s="1"/>
  <c r="R1391" i="1"/>
  <c r="S1390" i="1" s="1"/>
  <c r="R1400" i="1"/>
  <c r="S1400" i="1" s="1"/>
  <c r="R1431" i="1"/>
  <c r="S1431" i="1" s="1"/>
  <c r="R1542" i="1"/>
  <c r="S1541" i="1" s="1"/>
  <c r="R1582" i="1"/>
  <c r="S1582" i="1" s="1"/>
  <c r="S553" i="1"/>
  <c r="S1465" i="1"/>
  <c r="S1464" i="1"/>
  <c r="S1326" i="1"/>
  <c r="S1325" i="1"/>
  <c r="S1172" i="1"/>
  <c r="S1171" i="1"/>
  <c r="S1554" i="1"/>
  <c r="S1553" i="1"/>
  <c r="S1357" i="1"/>
  <c r="S1356" i="1"/>
  <c r="S1579" i="1"/>
  <c r="S1578" i="1"/>
  <c r="S1591" i="1"/>
  <c r="S1590" i="1"/>
  <c r="S1403" i="1"/>
  <c r="S1402" i="1"/>
  <c r="S1280" i="1"/>
  <c r="S1323" i="1"/>
  <c r="S1428" i="1"/>
  <c r="S1440" i="1"/>
  <c r="S1471" i="1"/>
  <c r="S774" i="1"/>
  <c r="S773" i="1"/>
  <c r="S888" i="1"/>
  <c r="S887" i="1"/>
  <c r="S918" i="1"/>
  <c r="S919" i="1"/>
  <c r="S838" i="1"/>
  <c r="S850" i="1"/>
  <c r="S764" i="1"/>
  <c r="S702" i="1"/>
  <c r="S700" i="1"/>
  <c r="S699" i="1"/>
  <c r="S694" i="1"/>
  <c r="S403" i="1"/>
  <c r="S325" i="1"/>
  <c r="S214" i="1"/>
  <c r="S140" i="1"/>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W120" i="1"/>
  <c r="AX120" i="1" s="1"/>
  <c r="AV120" i="1"/>
  <c r="AU121" i="1"/>
  <c r="AU122" i="1" s="1"/>
  <c r="AU123" i="1" s="1"/>
  <c r="AU124" i="1" s="1"/>
  <c r="AU125" i="1" s="1"/>
  <c r="AU126" i="1" s="1"/>
  <c r="AU127" i="1" s="1"/>
  <c r="AU128" i="1" s="1"/>
  <c r="AU129" i="1" s="1"/>
  <c r="AU130" i="1" s="1"/>
  <c r="AU131" i="1" s="1"/>
  <c r="AU132" i="1" s="1"/>
  <c r="AU133" i="1" s="1"/>
  <c r="AU134" i="1" s="1"/>
  <c r="AU135" i="1" s="1"/>
  <c r="AU136" i="1" s="1"/>
  <c r="AU137" i="1" s="1"/>
  <c r="AU138" i="1" s="1"/>
  <c r="AU139" i="1" s="1"/>
  <c r="AU140" i="1" s="1"/>
  <c r="AU141" i="1" s="1"/>
  <c r="AU142" i="1" s="1"/>
  <c r="AU143" i="1" s="1"/>
  <c r="AU144" i="1" s="1"/>
  <c r="AU145" i="1" s="1"/>
  <c r="AU146" i="1" s="1"/>
  <c r="AU147" i="1" s="1"/>
  <c r="AU148" i="1" s="1"/>
  <c r="AU149" i="1" s="1"/>
  <c r="AU150" i="1" s="1"/>
  <c r="AU151" i="1" s="1"/>
  <c r="AU152" i="1" s="1"/>
  <c r="AU153" i="1" s="1"/>
  <c r="AU154" i="1" s="1"/>
  <c r="AU155" i="1" s="1"/>
  <c r="AU156" i="1" s="1"/>
  <c r="AU157" i="1" s="1"/>
  <c r="AU158" i="1" s="1"/>
  <c r="AU159" i="1" s="1"/>
  <c r="AU160" i="1" s="1"/>
  <c r="AU161" i="1" s="1"/>
  <c r="AU162" i="1" s="1"/>
  <c r="S1095" i="1" l="1"/>
  <c r="S1288" i="1"/>
  <c r="S1103" i="1"/>
  <c r="S1538" i="1"/>
  <c r="S1397" i="1"/>
  <c r="S1029" i="1"/>
  <c r="S1132" i="1"/>
  <c r="S1514" i="1"/>
  <c r="S1072" i="1"/>
  <c r="S1070" i="1"/>
  <c r="S1138" i="1"/>
  <c r="S1024" i="1"/>
  <c r="S737" i="1"/>
  <c r="S1443" i="1"/>
  <c r="S1292" i="1"/>
  <c r="S1363" i="1"/>
  <c r="S1106" i="1"/>
  <c r="S990" i="1"/>
  <c r="S1576" i="1"/>
  <c r="S1584" i="1"/>
  <c r="S628" i="1"/>
  <c r="S588" i="1"/>
  <c r="S474" i="1"/>
  <c r="S366" i="1"/>
  <c r="S255" i="1"/>
  <c r="S842" i="1"/>
  <c r="S1175" i="1"/>
  <c r="S1254" i="1"/>
  <c r="S1221" i="1"/>
  <c r="S912" i="1"/>
  <c r="S1588" i="1"/>
  <c r="S400" i="1"/>
  <c r="S1218" i="1"/>
  <c r="S659" i="1"/>
  <c r="S292" i="1"/>
  <c r="S294" i="1"/>
  <c r="S1098" i="1"/>
  <c r="S1206" i="1"/>
  <c r="S1405" i="1"/>
  <c r="S479" i="1"/>
  <c r="S799" i="1"/>
  <c r="S221" i="1"/>
  <c r="S218" i="1"/>
  <c r="S690" i="1"/>
  <c r="S251" i="1"/>
  <c r="S436" i="1"/>
  <c r="S878" i="1"/>
  <c r="S771" i="1"/>
  <c r="S1366" i="1"/>
  <c r="S477" i="1"/>
  <c r="S881" i="1"/>
  <c r="S1057" i="1"/>
  <c r="S1032" i="1"/>
  <c r="S181" i="1"/>
  <c r="S986" i="1"/>
  <c r="S1502" i="1"/>
  <c r="S1511" i="1"/>
  <c r="S362" i="1"/>
  <c r="S1135" i="1"/>
  <c r="S1214" i="1"/>
  <c r="S725" i="1"/>
  <c r="S622" i="1"/>
  <c r="S962" i="1"/>
  <c r="S998" i="1"/>
  <c r="S147" i="1"/>
  <c r="S916" i="1"/>
  <c r="S1249" i="1"/>
  <c r="S1283" i="1"/>
  <c r="S1146" i="1"/>
  <c r="S884" i="1"/>
  <c r="S922" i="1"/>
  <c r="S1545" i="1"/>
  <c r="S1354" i="1"/>
  <c r="S1144" i="1"/>
  <c r="S1551" i="1"/>
  <c r="S144" i="1"/>
  <c r="S514" i="1"/>
  <c r="S807" i="1"/>
  <c r="S955" i="1"/>
  <c r="S1109" i="1"/>
  <c r="S1168" i="1"/>
  <c r="S1328" i="1"/>
  <c r="S440" i="1"/>
  <c r="S516" i="1"/>
  <c r="S727" i="1"/>
  <c r="S776" i="1"/>
  <c r="S924" i="1"/>
  <c r="S329" i="1"/>
  <c r="S1211" i="1"/>
  <c r="S1359" i="1"/>
  <c r="S814" i="1"/>
  <c r="S1504" i="1"/>
  <c r="S663" i="1"/>
  <c r="S1320" i="1"/>
  <c r="S1060" i="1"/>
  <c r="S847" i="1"/>
  <c r="S983" i="1"/>
  <c r="S584" i="1"/>
  <c r="S1479" i="1"/>
  <c r="S442" i="1"/>
  <c r="S510" i="1"/>
  <c r="S733" i="1"/>
  <c r="S836" i="1"/>
  <c r="S958" i="1"/>
  <c r="S996" i="1"/>
  <c r="S548" i="1"/>
  <c r="S551" i="1"/>
  <c r="S1430" i="1"/>
  <c r="S805" i="1"/>
  <c r="S1473" i="1"/>
  <c r="S1548" i="1"/>
  <c r="S405" i="1"/>
  <c r="S952" i="1"/>
  <c r="S1294" i="1"/>
  <c r="S810" i="1"/>
  <c r="S1245" i="1"/>
  <c r="S875" i="1"/>
  <c r="S845" i="1"/>
  <c r="S625" i="1"/>
  <c r="S1067" i="1"/>
  <c r="S696" i="1"/>
  <c r="S768" i="1"/>
  <c r="S1433" i="1"/>
  <c r="S762" i="1"/>
  <c r="S1368" i="1"/>
  <c r="S1184" i="1"/>
  <c r="S1100" i="1"/>
  <c r="S1436" i="1"/>
  <c r="S1542" i="1"/>
  <c r="S1517" i="1"/>
  <c r="S947" i="1"/>
  <c r="S993" i="1"/>
  <c r="S289" i="1"/>
  <c r="S802" i="1"/>
  <c r="S1399" i="1"/>
  <c r="S687" i="1"/>
  <c r="S1391" i="1"/>
  <c r="S909" i="1"/>
  <c r="S1393" i="1"/>
  <c r="S1467" i="1"/>
  <c r="S730" i="1"/>
  <c r="S1180" i="1"/>
  <c r="S331" i="1"/>
  <c r="S1063" i="1"/>
  <c r="S1331" i="1"/>
  <c r="S950" i="1"/>
  <c r="S1316" i="1"/>
  <c r="S1508" i="1"/>
  <c r="S1252" i="1"/>
  <c r="S740" i="1"/>
  <c r="S1036" i="1"/>
  <c r="S1243" i="1"/>
  <c r="S1286" i="1"/>
  <c r="S1209" i="1"/>
  <c r="S183" i="1"/>
  <c r="S1178" i="1"/>
  <c r="S872" i="1"/>
  <c r="S1020" i="1"/>
  <c r="S1026" i="1"/>
  <c r="S178" i="1"/>
  <c r="S257" i="1"/>
  <c r="S665" i="1"/>
  <c r="S590" i="1"/>
  <c r="S1581" i="1"/>
  <c r="S1140" i="1"/>
  <c r="S1257" i="1"/>
  <c r="S1476" i="1"/>
  <c r="S368" i="1"/>
  <c r="A42" i="9" l="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C138" i="21" l="1"/>
  <c r="C137" i="21"/>
  <c r="C136" i="21"/>
  <c r="C135" i="21"/>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C6" i="21"/>
  <c r="C5" i="21"/>
  <c r="C4" i="21"/>
  <c r="B4" i="21" s="1"/>
  <c r="H138" i="21"/>
  <c r="H137" i="21"/>
  <c r="H136" i="21"/>
  <c r="H135" i="21"/>
  <c r="H134" i="21"/>
  <c r="H133" i="21"/>
  <c r="H132" i="21"/>
  <c r="H131" i="21"/>
  <c r="H130" i="21"/>
  <c r="H129" i="21"/>
  <c r="H128" i="21"/>
  <c r="H127" i="21"/>
  <c r="H126" i="21"/>
  <c r="H125" i="21"/>
  <c r="H124" i="21"/>
  <c r="H123" i="21"/>
  <c r="H122" i="21"/>
  <c r="H121" i="21"/>
  <c r="H120" i="21"/>
  <c r="H119" i="21"/>
  <c r="H118" i="21"/>
  <c r="H117" i="21"/>
  <c r="H116" i="21"/>
  <c r="H115" i="21"/>
  <c r="H114" i="21"/>
  <c r="H113" i="21"/>
  <c r="H112" i="21"/>
  <c r="H111" i="21"/>
  <c r="H110" i="21"/>
  <c r="H109" i="21"/>
  <c r="H108" i="21"/>
  <c r="H107" i="21"/>
  <c r="H106" i="21"/>
  <c r="H105" i="21"/>
  <c r="H104" i="21"/>
  <c r="H103" i="21"/>
  <c r="H102" i="21"/>
  <c r="H101" i="21"/>
  <c r="H100" i="21"/>
  <c r="H99" i="21"/>
  <c r="H98" i="21"/>
  <c r="H97" i="21"/>
  <c r="H96" i="21"/>
  <c r="H95" i="21"/>
  <c r="H94" i="21"/>
  <c r="H93" i="21"/>
  <c r="H92" i="21"/>
  <c r="H91" i="21"/>
  <c r="H90" i="21"/>
  <c r="H89" i="21"/>
  <c r="H88" i="21"/>
  <c r="H87" i="21"/>
  <c r="H86" i="21"/>
  <c r="H85" i="21"/>
  <c r="H84" i="21"/>
  <c r="H83" i="21"/>
  <c r="H82" i="21"/>
  <c r="H81" i="21"/>
  <c r="H80" i="21"/>
  <c r="H79" i="21"/>
  <c r="H78" i="21"/>
  <c r="H77" i="21"/>
  <c r="H76" i="21"/>
  <c r="H75" i="21"/>
  <c r="H74" i="21"/>
  <c r="H73" i="21"/>
  <c r="H72" i="21"/>
  <c r="H71" i="21"/>
  <c r="H70" i="21"/>
  <c r="H69" i="21"/>
  <c r="H68" i="21"/>
  <c r="H67" i="21"/>
  <c r="H66" i="21"/>
  <c r="H65" i="21"/>
  <c r="H64" i="21"/>
  <c r="H63" i="21"/>
  <c r="H62" i="21"/>
  <c r="H61" i="21"/>
  <c r="H60" i="21"/>
  <c r="H59" i="21"/>
  <c r="H58" i="21"/>
  <c r="H57" i="21"/>
  <c r="H56" i="21"/>
  <c r="H55" i="21"/>
  <c r="H54" i="21"/>
  <c r="H53" i="21"/>
  <c r="H52" i="21"/>
  <c r="H51" i="21"/>
  <c r="H50" i="21"/>
  <c r="H49" i="21"/>
  <c r="H48" i="21"/>
  <c r="H47" i="21"/>
  <c r="H46" i="21"/>
  <c r="H45" i="21"/>
  <c r="H44" i="21"/>
  <c r="H43" i="21"/>
  <c r="H42" i="21"/>
  <c r="H41" i="21"/>
  <c r="H40" i="21"/>
  <c r="H39" i="21"/>
  <c r="H38" i="21"/>
  <c r="H37" i="21"/>
  <c r="H36" i="21"/>
  <c r="H35" i="21"/>
  <c r="H34" i="21"/>
  <c r="H33" i="21"/>
  <c r="H32" i="21"/>
  <c r="H31" i="21"/>
  <c r="H30" i="21"/>
  <c r="H29" i="21"/>
  <c r="H28" i="21"/>
  <c r="H27" i="21"/>
  <c r="H26" i="21"/>
  <c r="H25" i="21"/>
  <c r="H24" i="21"/>
  <c r="H23" i="21"/>
  <c r="H22" i="21"/>
  <c r="H21" i="21"/>
  <c r="H20" i="21"/>
  <c r="H19" i="21"/>
  <c r="H18" i="21"/>
  <c r="H17" i="21"/>
  <c r="H16" i="21"/>
  <c r="H15" i="21"/>
  <c r="H14" i="21"/>
  <c r="H13" i="21"/>
  <c r="H12" i="21"/>
  <c r="H11" i="21"/>
  <c r="H10" i="21"/>
  <c r="H9" i="21"/>
  <c r="H8" i="21"/>
  <c r="H7" i="21"/>
  <c r="H6" i="21"/>
  <c r="H5" i="21"/>
  <c r="H4" i="21"/>
  <c r="F138" i="21"/>
  <c r="F137" i="21"/>
  <c r="F136" i="21"/>
  <c r="F135" i="21"/>
  <c r="F134" i="21"/>
  <c r="F133" i="21"/>
  <c r="F132" i="21"/>
  <c r="F131" i="21"/>
  <c r="F130" i="21"/>
  <c r="F129" i="21"/>
  <c r="F128" i="21"/>
  <c r="F127" i="21"/>
  <c r="F126" i="21"/>
  <c r="F125" i="21"/>
  <c r="F124" i="21"/>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F31" i="21"/>
  <c r="F30" i="21"/>
  <c r="F29" i="21"/>
  <c r="F28" i="21"/>
  <c r="F27" i="21"/>
  <c r="F26" i="21"/>
  <c r="F25" i="21"/>
  <c r="F24" i="21"/>
  <c r="F23" i="21"/>
  <c r="F22" i="21"/>
  <c r="F21" i="21"/>
  <c r="F20" i="21"/>
  <c r="F19" i="21"/>
  <c r="F18" i="21"/>
  <c r="F17" i="21"/>
  <c r="F16" i="21"/>
  <c r="F15" i="21"/>
  <c r="F14" i="21"/>
  <c r="F13" i="21"/>
  <c r="F12" i="21"/>
  <c r="F11" i="21"/>
  <c r="F10" i="21"/>
  <c r="F9" i="21"/>
  <c r="F8" i="21"/>
  <c r="F7" i="21"/>
  <c r="F6" i="21"/>
  <c r="F5" i="21"/>
  <c r="F4" i="21"/>
  <c r="B5" i="21" l="1"/>
  <c r="B6" i="21" s="1"/>
  <c r="B7" i="21" s="1"/>
  <c r="B8" i="21" s="1"/>
  <c r="B9" i="21" s="1"/>
  <c r="B10" i="21" s="1"/>
  <c r="B11" i="21" s="1"/>
  <c r="B12" i="21" s="1"/>
  <c r="B13" i="21" s="1"/>
  <c r="B14" i="21" s="1"/>
  <c r="B15" i="21" s="1"/>
  <c r="B16" i="21" s="1"/>
  <c r="B17" i="21" s="1"/>
  <c r="B18" i="21" s="1"/>
  <c r="B19" i="21" s="1"/>
  <c r="B20" i="21" s="1"/>
  <c r="B21" i="21" s="1"/>
  <c r="B22" i="21" s="1"/>
  <c r="B23" i="21" s="1"/>
  <c r="B24" i="21" s="1"/>
  <c r="B25" i="21" s="1"/>
  <c r="B26" i="21" s="1"/>
  <c r="B27" i="21" s="1"/>
  <c r="B28" i="21" s="1"/>
  <c r="B29" i="21" s="1"/>
  <c r="B30" i="21" s="1"/>
  <c r="B31" i="21" s="1"/>
  <c r="B32" i="21" s="1"/>
  <c r="B33" i="21" s="1"/>
  <c r="B34" i="21" s="1"/>
  <c r="B35" i="21" s="1"/>
  <c r="B36" i="21" s="1"/>
  <c r="B37" i="21" s="1"/>
  <c r="B38" i="21" s="1"/>
  <c r="B39" i="21" s="1"/>
  <c r="B40" i="21" s="1"/>
  <c r="B41" i="21" s="1"/>
  <c r="B42" i="21" s="1"/>
  <c r="B43" i="21" s="1"/>
  <c r="B44" i="21" s="1"/>
  <c r="B45" i="21" s="1"/>
  <c r="B46" i="21" s="1"/>
  <c r="B47" i="21" s="1"/>
  <c r="B48" i="21" s="1"/>
  <c r="B49" i="21" s="1"/>
  <c r="B50" i="21" s="1"/>
  <c r="B51" i="21" s="1"/>
  <c r="B52" i="21" s="1"/>
  <c r="B53" i="21" s="1"/>
  <c r="B54" i="21" s="1"/>
  <c r="B55" i="21" s="1"/>
  <c r="B56" i="21" s="1"/>
  <c r="B57" i="21" s="1"/>
  <c r="B58" i="21" s="1"/>
  <c r="B59" i="21" s="1"/>
  <c r="B60" i="21" s="1"/>
  <c r="B61" i="21" s="1"/>
  <c r="B62" i="21" s="1"/>
  <c r="B63" i="21" s="1"/>
  <c r="B64" i="21" s="1"/>
  <c r="B65" i="21" s="1"/>
  <c r="B66" i="21" s="1"/>
  <c r="B67" i="21" s="1"/>
  <c r="B68" i="21" s="1"/>
  <c r="B69" i="21" s="1"/>
  <c r="B70" i="21" s="1"/>
  <c r="B71" i="21" s="1"/>
  <c r="B72" i="21" s="1"/>
  <c r="B73" i="21" s="1"/>
  <c r="B74" i="21" s="1"/>
  <c r="B75" i="21" s="1"/>
  <c r="B76" i="21" s="1"/>
  <c r="B77" i="21" s="1"/>
  <c r="B78" i="21" s="1"/>
  <c r="B79" i="21" s="1"/>
  <c r="B80" i="21" s="1"/>
  <c r="B81" i="21" s="1"/>
  <c r="B82" i="21" s="1"/>
  <c r="B83" i="21" s="1"/>
  <c r="B84" i="21" s="1"/>
  <c r="B85" i="21" s="1"/>
  <c r="B86" i="21" s="1"/>
  <c r="B87" i="21" s="1"/>
  <c r="B88" i="21" s="1"/>
  <c r="B89" i="21" s="1"/>
  <c r="B90" i="21" s="1"/>
  <c r="B91" i="21" s="1"/>
  <c r="B92" i="21" s="1"/>
  <c r="B93" i="21" s="1"/>
  <c r="B94" i="21" s="1"/>
  <c r="B95" i="21" s="1"/>
  <c r="B96" i="21" s="1"/>
  <c r="B97" i="21" s="1"/>
  <c r="B98" i="21" s="1"/>
  <c r="B99" i="21" s="1"/>
  <c r="B100" i="21" s="1"/>
  <c r="B101" i="21" s="1"/>
  <c r="B102" i="21" s="1"/>
  <c r="B103" i="21" s="1"/>
  <c r="B104" i="21" s="1"/>
  <c r="B105" i="21" s="1"/>
  <c r="B106" i="21" s="1"/>
  <c r="B107" i="21" s="1"/>
  <c r="B108" i="21" s="1"/>
  <c r="B109" i="21" s="1"/>
  <c r="B110" i="21" s="1"/>
  <c r="B111" i="21" s="1"/>
  <c r="B112" i="21" s="1"/>
  <c r="B113" i="21" s="1"/>
  <c r="B114" i="21" s="1"/>
  <c r="B115" i="21" s="1"/>
  <c r="B116" i="21" s="1"/>
  <c r="B117" i="21" s="1"/>
  <c r="B118" i="21" s="1"/>
  <c r="B119" i="21" s="1"/>
  <c r="B120" i="21" s="1"/>
  <c r="B121" i="21" s="1"/>
  <c r="B122" i="21" s="1"/>
  <c r="B123" i="21" s="1"/>
  <c r="B124" i="21" s="1"/>
  <c r="B125" i="21" s="1"/>
  <c r="B126" i="21" s="1"/>
  <c r="B127" i="21" s="1"/>
  <c r="B128" i="21" s="1"/>
  <c r="B129" i="21" s="1"/>
  <c r="B130" i="21" s="1"/>
  <c r="B131" i="21" s="1"/>
  <c r="B132" i="21" s="1"/>
  <c r="B133" i="21" s="1"/>
  <c r="B134" i="21" s="1"/>
  <c r="B135" i="21" s="1"/>
  <c r="B136" i="21" s="1"/>
  <c r="B137" i="21" s="1"/>
  <c r="B138" i="21" s="1"/>
  <c r="C1" i="21"/>
  <c r="B17" i="20" l="1"/>
  <c r="B20" i="20" s="1"/>
  <c r="B23" i="20" s="1"/>
  <c r="B26" i="20" s="1"/>
  <c r="B29" i="20" s="1"/>
  <c r="B32" i="20" s="1"/>
  <c r="B35" i="20" s="1"/>
  <c r="B38" i="20" s="1"/>
  <c r="B41" i="20" s="1"/>
  <c r="B44" i="20" s="1"/>
  <c r="B47" i="20" s="1"/>
  <c r="B50" i="20" s="1"/>
  <c r="B53" i="20" s="1"/>
  <c r="B56" i="20" s="1"/>
  <c r="B59" i="20" s="1"/>
  <c r="B62" i="20" s="1"/>
  <c r="B65" i="20" s="1"/>
  <c r="B68" i="20" s="1"/>
  <c r="B71" i="20" s="1"/>
  <c r="B74" i="20" s="1"/>
  <c r="B77" i="20" s="1"/>
  <c r="B80" i="20" s="1"/>
  <c r="B83" i="20" s="1"/>
  <c r="B86" i="20" s="1"/>
  <c r="B89" i="20" s="1"/>
  <c r="B92" i="20" s="1"/>
  <c r="B95" i="20" s="1"/>
  <c r="B98" i="20" s="1"/>
  <c r="B101" i="20" s="1"/>
  <c r="B104" i="20" s="1"/>
  <c r="B107" i="20" s="1"/>
  <c r="B110" i="20" s="1"/>
  <c r="B113" i="20" s="1"/>
  <c r="B116" i="20" s="1"/>
  <c r="B119" i="20" s="1"/>
  <c r="B122" i="20" s="1"/>
  <c r="B125" i="20" s="1"/>
  <c r="B128" i="20" s="1"/>
  <c r="B131" i="20" s="1"/>
  <c r="B134" i="20" s="1"/>
  <c r="B137" i="20" s="1"/>
  <c r="B140" i="20" s="1"/>
  <c r="B143" i="20" s="1"/>
  <c r="B146" i="20" s="1"/>
  <c r="B149" i="20" s="1"/>
  <c r="B152" i="20" s="1"/>
  <c r="B155" i="20" s="1"/>
  <c r="B158" i="20" s="1"/>
  <c r="B161" i="20" s="1"/>
  <c r="B164" i="20" s="1"/>
  <c r="B167" i="20" s="1"/>
  <c r="B170" i="20" s="1"/>
  <c r="B173" i="20" s="1"/>
  <c r="B176" i="20" s="1"/>
  <c r="B179" i="20" s="1"/>
  <c r="B182" i="20" s="1"/>
  <c r="B185" i="20" s="1"/>
  <c r="B188" i="20" s="1"/>
  <c r="B191" i="20" s="1"/>
  <c r="BO5" i="20"/>
  <c r="B5" i="20"/>
  <c r="B8" i="20" s="1"/>
  <c r="B11" i="20" s="1"/>
  <c r="BO8" i="20" l="1"/>
  <c r="BO11" i="20" l="1"/>
  <c r="BO14" i="20" l="1"/>
  <c r="BO17" i="20" l="1"/>
  <c r="BO20" i="20" l="1"/>
  <c r="BO23" i="20" s="1"/>
  <c r="BO26" i="20" s="1"/>
  <c r="BO29" i="20" s="1"/>
  <c r="BO32" i="20" s="1"/>
  <c r="BO35" i="20" s="1"/>
  <c r="BO38" i="20" s="1"/>
  <c r="BO41" i="20" s="1"/>
  <c r="BO44" i="20" s="1"/>
  <c r="BO47" i="20" s="1"/>
  <c r="BO50" i="20" s="1"/>
  <c r="BO53" i="20" s="1"/>
  <c r="BO56" i="20" s="1"/>
  <c r="BO59" i="20" s="1"/>
  <c r="BO62" i="20" s="1"/>
  <c r="BO65" i="20" s="1"/>
  <c r="BO68" i="20" s="1"/>
  <c r="BO71" i="20" s="1"/>
  <c r="BO74" i="20" s="1"/>
  <c r="BO77" i="20" s="1"/>
  <c r="BO80" i="20" s="1"/>
  <c r="BO83" i="20" s="1"/>
  <c r="BO86" i="20" s="1"/>
  <c r="BO89" i="20" s="1"/>
  <c r="BO92" i="20" s="1"/>
  <c r="BO95" i="20" s="1"/>
  <c r="BO98" i="20" s="1"/>
  <c r="BO101" i="20" s="1"/>
  <c r="BO104" i="20" s="1"/>
  <c r="BO107" i="20" s="1"/>
  <c r="BO110" i="20" s="1"/>
  <c r="BO113" i="20" s="1"/>
  <c r="BO116" i="20" s="1"/>
  <c r="BO119" i="20" s="1"/>
  <c r="BO122" i="20" s="1"/>
  <c r="BO125" i="20" s="1"/>
  <c r="BO128" i="20" s="1"/>
  <c r="BO131" i="20" s="1"/>
  <c r="BO134" i="20" s="1"/>
  <c r="BO137" i="20" s="1"/>
  <c r="BO140" i="20" s="1"/>
  <c r="BO143" i="20" s="1"/>
  <c r="BO146" i="20" s="1"/>
  <c r="BO149" i="20" s="1"/>
  <c r="BO152" i="20" s="1"/>
  <c r="BO155" i="20" s="1"/>
  <c r="BO158" i="20" s="1"/>
  <c r="BO161" i="20" s="1"/>
  <c r="BO164" i="20" s="1"/>
  <c r="BO167" i="20" s="1"/>
  <c r="BO170" i="20" s="1"/>
  <c r="BO173" i="20" s="1"/>
  <c r="BO176" i="20" s="1"/>
  <c r="BO179" i="20" s="1"/>
  <c r="BO182" i="20" s="1"/>
  <c r="BO185" i="20" s="1"/>
  <c r="BO188" i="20" s="1"/>
  <c r="BO191" i="20" s="1"/>
  <c r="Q20" i="1" l="1"/>
  <c r="Q21" i="1"/>
  <c r="Q36" i="1" l="1"/>
  <c r="Q32" i="1" l="1"/>
  <c r="Q33" i="1"/>
  <c r="Q27" i="1" l="1"/>
  <c r="Q24" i="1"/>
  <c r="Q23" i="1" l="1"/>
  <c r="Q26" i="1"/>
  <c r="F32" i="1"/>
  <c r="E33" i="1"/>
  <c r="Q29" i="1"/>
  <c r="E29" i="1" s="1"/>
  <c r="F36" i="1"/>
  <c r="Q30" i="1"/>
  <c r="F30" i="1" s="1"/>
  <c r="Q35" i="1"/>
  <c r="E35" i="1" s="1"/>
  <c r="E1590" i="1"/>
  <c r="E1591" i="1"/>
  <c r="F1588" i="1"/>
  <c r="E1584" i="1"/>
  <c r="F1585" i="1"/>
  <c r="E1581" i="1"/>
  <c r="E1582" i="1"/>
  <c r="E1575" i="1"/>
  <c r="F1576" i="1"/>
  <c r="E1553" i="1"/>
  <c r="F1554" i="1"/>
  <c r="E1550" i="1"/>
  <c r="E1551" i="1"/>
  <c r="F1547" i="1"/>
  <c r="E1544" i="1"/>
  <c r="E1538" i="1"/>
  <c r="F1516" i="1"/>
  <c r="F1517" i="1"/>
  <c r="E1513" i="1"/>
  <c r="E1514" i="1"/>
  <c r="E1510" i="1"/>
  <c r="F1507" i="1"/>
  <c r="E1508" i="1"/>
  <c r="E1504" i="1"/>
  <c r="E1479" i="1"/>
  <c r="E1480" i="1"/>
  <c r="E1476" i="1"/>
  <c r="F1477" i="1"/>
  <c r="E1473" i="1"/>
  <c r="E1470" i="1"/>
  <c r="E1467" i="1"/>
  <c r="F1442" i="1"/>
  <c r="E1443" i="1"/>
  <c r="E1439" i="1"/>
  <c r="F1440" i="1"/>
  <c r="F1436" i="1"/>
  <c r="E1433" i="1"/>
  <c r="F1427" i="1"/>
  <c r="E1428" i="1"/>
  <c r="F1405" i="1"/>
  <c r="F1406" i="1"/>
  <c r="E1402" i="1"/>
  <c r="E1403" i="1"/>
  <c r="E1396" i="1"/>
  <c r="E1397" i="1"/>
  <c r="E1391" i="1"/>
  <c r="E1368" i="1"/>
  <c r="E1369" i="1"/>
  <c r="E1365" i="1"/>
  <c r="E1366" i="1"/>
  <c r="E1362" i="1"/>
  <c r="E1359" i="1"/>
  <c r="E1360" i="1"/>
  <c r="F1356" i="1"/>
  <c r="E1331" i="1"/>
  <c r="E1332" i="1"/>
  <c r="E1328" i="1"/>
  <c r="F1329" i="1"/>
  <c r="E1325" i="1"/>
  <c r="F1322" i="1"/>
  <c r="E1323" i="1"/>
  <c r="F1319" i="1"/>
  <c r="E1294" i="1"/>
  <c r="F1295" i="1"/>
  <c r="E1291" i="1"/>
  <c r="E1292" i="1"/>
  <c r="F1288" i="1"/>
  <c r="E1289" i="1"/>
  <c r="E1285" i="1"/>
  <c r="F1280" i="1"/>
  <c r="F1257" i="1"/>
  <c r="E1258" i="1"/>
  <c r="E1254" i="1"/>
  <c r="E1255" i="1"/>
  <c r="F1251" i="1"/>
  <c r="F1248" i="1"/>
  <c r="E1246" i="1"/>
  <c r="E1243" i="1"/>
  <c r="E1220" i="1"/>
  <c r="E1217" i="1"/>
  <c r="E1218" i="1"/>
  <c r="F1214" i="1"/>
  <c r="F1211" i="1"/>
  <c r="F1208" i="1"/>
  <c r="E1184" i="1"/>
  <c r="E1180" i="1"/>
  <c r="E1181" i="1"/>
  <c r="E1177" i="1"/>
  <c r="F1174" i="1"/>
  <c r="E1175" i="1"/>
  <c r="F1146" i="1"/>
  <c r="E1147" i="1"/>
  <c r="E1143" i="1"/>
  <c r="E1144" i="1"/>
  <c r="F1140" i="1"/>
  <c r="E1109" i="1"/>
  <c r="E1110" i="1"/>
  <c r="F1106" i="1"/>
  <c r="E1107" i="1"/>
  <c r="F1100" i="1"/>
  <c r="E1094" i="1"/>
  <c r="E1072" i="1"/>
  <c r="E1073" i="1"/>
  <c r="F1069" i="1"/>
  <c r="E1070" i="1"/>
  <c r="E1066" i="1"/>
  <c r="E1060" i="1"/>
  <c r="F1058" i="1"/>
  <c r="E1035" i="1"/>
  <c r="E1036" i="1"/>
  <c r="E1032" i="1"/>
  <c r="E1033" i="1"/>
  <c r="E1029" i="1"/>
  <c r="E1030" i="1"/>
  <c r="F1026" i="1"/>
  <c r="F1023" i="1"/>
  <c r="F998" i="1"/>
  <c r="E999" i="1"/>
  <c r="E995" i="1"/>
  <c r="F992" i="1"/>
  <c r="E993" i="1"/>
  <c r="E989" i="1"/>
  <c r="E986" i="1"/>
  <c r="F961" i="1"/>
  <c r="E962" i="1"/>
  <c r="E958" i="1"/>
  <c r="E959" i="1"/>
  <c r="F955" i="1"/>
  <c r="E952" i="1"/>
  <c r="F949" i="1"/>
  <c r="E924" i="1"/>
  <c r="E925" i="1"/>
  <c r="F921" i="1"/>
  <c r="E922" i="1"/>
  <c r="F918" i="1"/>
  <c r="F916" i="1"/>
  <c r="E910" i="1"/>
  <c r="E887" i="1"/>
  <c r="E888" i="1"/>
  <c r="F885" i="1"/>
  <c r="E881" i="1"/>
  <c r="E878" i="1"/>
  <c r="E850" i="1"/>
  <c r="F851" i="1"/>
  <c r="E847" i="1"/>
  <c r="E848" i="1"/>
  <c r="F844" i="1"/>
  <c r="E842" i="1"/>
  <c r="E838" i="1"/>
  <c r="E813" i="1"/>
  <c r="E814" i="1"/>
  <c r="F810" i="1"/>
  <c r="F811" i="1"/>
  <c r="F804" i="1"/>
  <c r="E801" i="1"/>
  <c r="F798" i="1"/>
  <c r="E776" i="1"/>
  <c r="E777" i="1"/>
  <c r="F773" i="1"/>
  <c r="E774" i="1"/>
  <c r="F770" i="1"/>
  <c r="F767" i="1"/>
  <c r="F764" i="1"/>
  <c r="E761" i="1"/>
  <c r="E762" i="1"/>
  <c r="F739" i="1"/>
  <c r="F740" i="1"/>
  <c r="E736" i="1"/>
  <c r="F737" i="1"/>
  <c r="E733" i="1"/>
  <c r="E734" i="1"/>
  <c r="F730" i="1"/>
  <c r="F731" i="1"/>
  <c r="E727" i="1"/>
  <c r="E725" i="1"/>
  <c r="F702" i="1"/>
  <c r="E703" i="1"/>
  <c r="E699" i="1"/>
  <c r="E700" i="1"/>
  <c r="F696" i="1"/>
  <c r="F688" i="1"/>
  <c r="E665" i="1"/>
  <c r="F666" i="1"/>
  <c r="E662" i="1"/>
  <c r="F663" i="1"/>
  <c r="F659" i="1"/>
  <c r="F656" i="1"/>
  <c r="E653" i="1"/>
  <c r="F654" i="1"/>
  <c r="E628" i="1"/>
  <c r="E629" i="1"/>
  <c r="E625" i="1"/>
  <c r="E626" i="1"/>
  <c r="F622" i="1"/>
  <c r="F623" i="1"/>
  <c r="E619" i="1"/>
  <c r="E613" i="1"/>
  <c r="F614" i="1"/>
  <c r="F590" i="1"/>
  <c r="E591" i="1"/>
  <c r="E588" i="1"/>
  <c r="E584" i="1"/>
  <c r="F581" i="1"/>
  <c r="E576" i="1"/>
  <c r="E553" i="1"/>
  <c r="E554" i="1"/>
  <c r="F550" i="1"/>
  <c r="E551" i="1"/>
  <c r="E544" i="1"/>
  <c r="F541" i="1"/>
  <c r="F513" i="1"/>
  <c r="E514" i="1"/>
  <c r="E510" i="1"/>
  <c r="F511" i="1"/>
  <c r="E507" i="1"/>
  <c r="E504" i="1"/>
  <c r="F505" i="1"/>
  <c r="F479" i="1"/>
  <c r="F480" i="1"/>
  <c r="F476" i="1"/>
  <c r="F473" i="1"/>
  <c r="E474" i="1"/>
  <c r="E470" i="1"/>
  <c r="E467" i="1"/>
  <c r="E442" i="1"/>
  <c r="E443" i="1"/>
  <c r="E436" i="1"/>
  <c r="E437" i="1"/>
  <c r="E433" i="1"/>
  <c r="F434" i="1"/>
  <c r="E319" i="1"/>
  <c r="E320" i="1"/>
  <c r="F246" i="1"/>
  <c r="F206" i="1"/>
  <c r="E132" i="1"/>
  <c r="Q94" i="1"/>
  <c r="Q95" i="1"/>
  <c r="Q97" i="1"/>
  <c r="Q98" i="1"/>
  <c r="Q60" i="1"/>
  <c r="Q61" i="1"/>
  <c r="Q57" i="1"/>
  <c r="E57" i="1" s="1"/>
  <c r="Q58" i="1"/>
  <c r="E405" i="1"/>
  <c r="F406" i="1"/>
  <c r="F402" i="1"/>
  <c r="F399" i="1"/>
  <c r="E368" i="1"/>
  <c r="F369" i="1"/>
  <c r="E365" i="1"/>
  <c r="E362" i="1"/>
  <c r="F363" i="1"/>
  <c r="E359" i="1"/>
  <c r="E331" i="1"/>
  <c r="E325" i="1"/>
  <c r="E326" i="1"/>
  <c r="F322" i="1"/>
  <c r="E294" i="1"/>
  <c r="F295" i="1"/>
  <c r="E291" i="1"/>
  <c r="F288" i="1"/>
  <c r="F289" i="1"/>
  <c r="E285" i="1"/>
  <c r="E257" i="1"/>
  <c r="F251" i="1"/>
  <c r="E248" i="1"/>
  <c r="E220" i="1"/>
  <c r="E221" i="1"/>
  <c r="E217" i="1"/>
  <c r="E214" i="1"/>
  <c r="E215" i="1"/>
  <c r="E211" i="1"/>
  <c r="F183" i="1"/>
  <c r="F184" i="1"/>
  <c r="F180" i="1"/>
  <c r="F177" i="1"/>
  <c r="E178" i="1"/>
  <c r="E174" i="1"/>
  <c r="E146" i="1"/>
  <c r="E147" i="1"/>
  <c r="F140" i="1"/>
  <c r="F141" i="1"/>
  <c r="E137" i="1"/>
  <c r="Q109" i="1"/>
  <c r="F109" i="1" s="1"/>
  <c r="Q110" i="1"/>
  <c r="F110" i="1" s="1"/>
  <c r="Q106" i="1"/>
  <c r="E106" i="1" s="1"/>
  <c r="Q107" i="1"/>
  <c r="Q103" i="1"/>
  <c r="E103" i="1" s="1"/>
  <c r="Q104" i="1"/>
  <c r="Q100" i="1"/>
  <c r="E100" i="1" s="1"/>
  <c r="Q101" i="1"/>
  <c r="Q72" i="1"/>
  <c r="F72" i="1" s="1"/>
  <c r="Q73" i="1"/>
  <c r="E73" i="1" s="1"/>
  <c r="Q69" i="1"/>
  <c r="F69" i="1" s="1"/>
  <c r="Q70" i="1"/>
  <c r="Q66" i="1"/>
  <c r="F66" i="1" s="1"/>
  <c r="Q67" i="1"/>
  <c r="E67" i="1" s="1"/>
  <c r="Q63" i="1"/>
  <c r="Q64" i="1"/>
  <c r="E184" i="1"/>
  <c r="E505" i="1"/>
  <c r="E511" i="1"/>
  <c r="E516" i="1"/>
  <c r="F516" i="1"/>
  <c r="E517" i="1"/>
  <c r="F517" i="1"/>
  <c r="E737" i="1"/>
  <c r="E810" i="1"/>
  <c r="E811" i="1"/>
  <c r="E915" i="1"/>
  <c r="E918" i="1"/>
  <c r="E1140" i="1"/>
  <c r="F1220" i="1"/>
  <c r="E1319" i="1"/>
  <c r="E1406" i="1"/>
  <c r="E1440" i="1"/>
  <c r="F1473" i="1"/>
  <c r="F1514" i="1"/>
  <c r="E1554" i="1"/>
  <c r="G29" i="5"/>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103" i="5" s="1"/>
  <c r="G104" i="5" s="1"/>
  <c r="G105" i="5" s="1"/>
  <c r="G106" i="5" s="1"/>
  <c r="G107" i="5" s="1"/>
  <c r="G108" i="5" s="1"/>
  <c r="G109" i="5" s="1"/>
  <c r="G110" i="5" s="1"/>
  <c r="G111" i="5" s="1"/>
  <c r="G112" i="5" s="1"/>
  <c r="G113" i="5" s="1"/>
  <c r="G114" i="5" s="1"/>
  <c r="G115" i="5" s="1"/>
  <c r="G116" i="5" s="1"/>
  <c r="G117" i="5" s="1"/>
  <c r="G118" i="5" s="1"/>
  <c r="G119" i="5" s="1"/>
  <c r="G120" i="5" s="1"/>
  <c r="G121" i="5" s="1"/>
  <c r="G122" i="5" s="1"/>
  <c r="G123" i="5" s="1"/>
  <c r="G124" i="5" s="1"/>
  <c r="G125" i="5" s="1"/>
  <c r="G126" i="5" s="1"/>
  <c r="G127" i="5" s="1"/>
  <c r="G128" i="5" s="1"/>
  <c r="G129" i="5" s="1"/>
  <c r="G130" i="5" s="1"/>
  <c r="G131" i="5" s="1"/>
  <c r="G132" i="5" s="1"/>
  <c r="G133" i="5" s="1"/>
  <c r="G134" i="5" s="1"/>
  <c r="G135" i="5" s="1"/>
  <c r="G136" i="5" s="1"/>
  <c r="G137" i="5" s="1"/>
  <c r="G138" i="5" s="1"/>
  <c r="G139" i="5" s="1"/>
  <c r="G140" i="5" s="1"/>
  <c r="G141" i="5" s="1"/>
  <c r="G142" i="5" s="1"/>
  <c r="G143" i="5" s="1"/>
  <c r="G144" i="5" s="1"/>
  <c r="G145" i="5" s="1"/>
  <c r="G146" i="5" s="1"/>
  <c r="G147" i="5" s="1"/>
  <c r="G148" i="5" s="1"/>
  <c r="G149" i="5" s="1"/>
  <c r="G150" i="5" s="1"/>
  <c r="G151" i="5" s="1"/>
  <c r="G152" i="5" s="1"/>
  <c r="G153" i="5" s="1"/>
  <c r="G154" i="5" s="1"/>
  <c r="G155" i="5" s="1"/>
  <c r="G156" i="5" s="1"/>
  <c r="G157" i="5" s="1"/>
  <c r="G158" i="5" s="1"/>
  <c r="G159" i="5" s="1"/>
  <c r="G160" i="5" s="1"/>
  <c r="G161" i="5" s="1"/>
  <c r="G162" i="5" s="1"/>
  <c r="G163" i="5" s="1"/>
  <c r="G164" i="5" s="1"/>
  <c r="G165" i="5" s="1"/>
  <c r="G166" i="5" s="1"/>
  <c r="G167" i="5" s="1"/>
  <c r="G168" i="5" s="1"/>
  <c r="G169" i="5" s="1"/>
  <c r="G170" i="5" s="1"/>
  <c r="G171" i="5" s="1"/>
  <c r="G172" i="5" s="1"/>
  <c r="G173" i="5" s="1"/>
  <c r="G174" i="5" s="1"/>
  <c r="G175" i="5" s="1"/>
  <c r="G176" i="5" s="1"/>
  <c r="G177" i="5" s="1"/>
  <c r="G178" i="5" s="1"/>
  <c r="G179" i="5" s="1"/>
  <c r="G180" i="5" s="1"/>
  <c r="G181" i="5" s="1"/>
  <c r="G182" i="5" s="1"/>
  <c r="G183" i="5" s="1"/>
  <c r="G184" i="5" s="1"/>
  <c r="G185" i="5" s="1"/>
  <c r="G186" i="5" s="1"/>
  <c r="G187" i="5" s="1"/>
  <c r="G188" i="5" s="1"/>
  <c r="G189" i="5" s="1"/>
  <c r="G190" i="5" s="1"/>
  <c r="G191" i="5" s="1"/>
  <c r="G192" i="5" s="1"/>
  <c r="G193" i="5" s="1"/>
  <c r="G194" i="5" s="1"/>
  <c r="G195" i="5" s="1"/>
  <c r="G196" i="5" s="1"/>
  <c r="G197" i="5" s="1"/>
  <c r="G198" i="5" s="1"/>
  <c r="G199" i="5" s="1"/>
  <c r="G200" i="5" s="1"/>
  <c r="G201" i="5" s="1"/>
  <c r="G202" i="5" s="1"/>
  <c r="G203" i="5" s="1"/>
  <c r="G204" i="5" s="1"/>
  <c r="G205" i="5" s="1"/>
  <c r="G206" i="5" s="1"/>
  <c r="G207" i="5" s="1"/>
  <c r="G208" i="5" s="1"/>
  <c r="G209" i="5" s="1"/>
  <c r="G210" i="5" s="1"/>
  <c r="G211" i="5" s="1"/>
  <c r="G212" i="5" s="1"/>
  <c r="G213" i="5" s="1"/>
  <c r="G214" i="5" s="1"/>
  <c r="G215" i="5" s="1"/>
  <c r="G216" i="5" s="1"/>
  <c r="G217" i="5" s="1"/>
  <c r="G218" i="5" s="1"/>
  <c r="G219" i="5" s="1"/>
  <c r="G220" i="5" s="1"/>
  <c r="G221" i="5" s="1"/>
  <c r="G222" i="5" s="1"/>
  <c r="G223" i="5" s="1"/>
  <c r="G224" i="5" s="1"/>
  <c r="G225" i="5" s="1"/>
  <c r="G226" i="5" s="1"/>
  <c r="G227" i="5" s="1"/>
  <c r="G228" i="5" s="1"/>
  <c r="G229" i="5" s="1"/>
  <c r="G230" i="5" s="1"/>
  <c r="G231" i="5" s="1"/>
  <c r="G232" i="5" s="1"/>
  <c r="G233" i="5" s="1"/>
  <c r="G234" i="5" s="1"/>
  <c r="G235" i="5" s="1"/>
  <c r="G236" i="5" s="1"/>
  <c r="G237" i="5" s="1"/>
  <c r="G238" i="5" s="1"/>
  <c r="G239" i="5" s="1"/>
  <c r="G240" i="5" s="1"/>
  <c r="G241" i="5" s="1"/>
  <c r="G242" i="5" s="1"/>
  <c r="G243" i="5" s="1"/>
  <c r="G244" i="5" s="1"/>
  <c r="G245" i="5" s="1"/>
  <c r="G246" i="5" s="1"/>
  <c r="G247" i="5" s="1"/>
  <c r="G248" i="5" s="1"/>
  <c r="G249" i="5" s="1"/>
  <c r="G250" i="5" s="1"/>
  <c r="G251" i="5" s="1"/>
  <c r="G252" i="5" s="1"/>
  <c r="G253" i="5" s="1"/>
  <c r="G254" i="5" s="1"/>
  <c r="G255" i="5" s="1"/>
  <c r="G256" i="5" s="1"/>
  <c r="G257" i="5" s="1"/>
  <c r="G258" i="5" s="1"/>
  <c r="G259" i="5" s="1"/>
  <c r="G260" i="5" s="1"/>
  <c r="G261" i="5" s="1"/>
  <c r="G262" i="5" s="1"/>
  <c r="G263" i="5" s="1"/>
  <c r="G264" i="5" s="1"/>
  <c r="G265" i="5" s="1"/>
  <c r="G266" i="5" s="1"/>
  <c r="G267" i="5" s="1"/>
  <c r="G268" i="5" s="1"/>
  <c r="G269" i="5" s="1"/>
  <c r="G270" i="5" s="1"/>
  <c r="G271" i="5" s="1"/>
  <c r="G272" i="5" s="1"/>
  <c r="G273" i="5" s="1"/>
  <c r="G274" i="5" s="1"/>
  <c r="G275" i="5" s="1"/>
  <c r="G276" i="5" s="1"/>
  <c r="G277" i="5" s="1"/>
  <c r="G278" i="5" s="1"/>
  <c r="G279" i="5" s="1"/>
  <c r="G280" i="5" s="1"/>
  <c r="G281" i="5" s="1"/>
  <c r="G282" i="5" s="1"/>
  <c r="G283" i="5" s="1"/>
  <c r="G284" i="5" s="1"/>
  <c r="G285" i="5" s="1"/>
  <c r="G286" i="5" s="1"/>
  <c r="G287" i="5" s="1"/>
  <c r="G288" i="5" s="1"/>
  <c r="G289" i="5" s="1"/>
  <c r="G290" i="5" s="1"/>
  <c r="G291" i="5" s="1"/>
  <c r="G292" i="5" s="1"/>
  <c r="G293" i="5" s="1"/>
  <c r="G294" i="5" s="1"/>
  <c r="G295" i="5" s="1"/>
  <c r="G296" i="5" s="1"/>
  <c r="G297" i="5" s="1"/>
  <c r="G298" i="5" s="1"/>
  <c r="G299" i="5" s="1"/>
  <c r="G300" i="5" s="1"/>
  <c r="G301" i="5" s="1"/>
  <c r="G302" i="5" s="1"/>
  <c r="G303" i="5" s="1"/>
  <c r="G304" i="5" s="1"/>
  <c r="G305" i="5" s="1"/>
  <c r="G306" i="5" s="1"/>
  <c r="G307" i="5" s="1"/>
  <c r="G308" i="5" s="1"/>
  <c r="G309" i="5" s="1"/>
  <c r="G310" i="5" s="1"/>
  <c r="G311" i="5" s="1"/>
  <c r="G312" i="5" s="1"/>
  <c r="G313" i="5" s="1"/>
  <c r="G314" i="5" s="1"/>
  <c r="G315" i="5" s="1"/>
  <c r="G316" i="5" s="1"/>
  <c r="G317" i="5" s="1"/>
  <c r="G318" i="5" s="1"/>
  <c r="G319" i="5" s="1"/>
  <c r="G320" i="5" s="1"/>
  <c r="G321" i="5" s="1"/>
  <c r="G322" i="5" s="1"/>
  <c r="G323" i="5" s="1"/>
  <c r="G324" i="5" s="1"/>
  <c r="G325" i="5" s="1"/>
  <c r="G326" i="5" s="1"/>
  <c r="G327" i="5" s="1"/>
  <c r="G328" i="5" s="1"/>
  <c r="G329" i="5" s="1"/>
  <c r="G330" i="5" s="1"/>
  <c r="G331" i="5" s="1"/>
  <c r="G332" i="5" s="1"/>
  <c r="G333" i="5" s="1"/>
  <c r="G334" i="5" s="1"/>
  <c r="G335" i="5" s="1"/>
  <c r="G336" i="5" s="1"/>
  <c r="G337" i="5" s="1"/>
  <c r="G338" i="5" s="1"/>
  <c r="G339" i="5" s="1"/>
  <c r="G340" i="5" s="1"/>
  <c r="G341" i="5" s="1"/>
  <c r="G342" i="5" s="1"/>
  <c r="G343" i="5" s="1"/>
  <c r="G344" i="5" s="1"/>
  <c r="G345" i="5" s="1"/>
  <c r="G346" i="5" s="1"/>
  <c r="G347" i="5" s="1"/>
  <c r="G348" i="5" s="1"/>
  <c r="G349" i="5" s="1"/>
  <c r="G350" i="5" s="1"/>
  <c r="G351" i="5" s="1"/>
  <c r="G352" i="5" s="1"/>
  <c r="G353" i="5" s="1"/>
  <c r="G354" i="5" s="1"/>
  <c r="G355" i="5" s="1"/>
  <c r="G356" i="5" s="1"/>
  <c r="G357" i="5" s="1"/>
  <c r="G358" i="5" s="1"/>
  <c r="G359" i="5" s="1"/>
  <c r="G360" i="5" s="1"/>
  <c r="G361" i="5" s="1"/>
  <c r="G362" i="5" s="1"/>
  <c r="G363" i="5" s="1"/>
  <c r="G364" i="5" s="1"/>
  <c r="G365" i="5" s="1"/>
  <c r="G366" i="5" s="1"/>
  <c r="G367" i="5" s="1"/>
  <c r="G368" i="5" s="1"/>
  <c r="G369" i="5" s="1"/>
  <c r="G370" i="5" s="1"/>
  <c r="G371" i="5" s="1"/>
  <c r="G372" i="5" s="1"/>
  <c r="G373" i="5" s="1"/>
  <c r="G374" i="5" s="1"/>
  <c r="G375" i="5" s="1"/>
  <c r="G376" i="5" s="1"/>
  <c r="G377" i="5" s="1"/>
  <c r="G378" i="5" s="1"/>
  <c r="G379" i="5" s="1"/>
  <c r="G380" i="5" s="1"/>
  <c r="G381" i="5" s="1"/>
  <c r="G382" i="5" s="1"/>
  <c r="G383" i="5" s="1"/>
  <c r="G384" i="5" s="1"/>
  <c r="G385" i="5" s="1"/>
  <c r="G386" i="5" s="1"/>
  <c r="G387" i="5" s="1"/>
  <c r="G388" i="5" s="1"/>
  <c r="G389" i="5" s="1"/>
  <c r="G390" i="5" s="1"/>
  <c r="G391" i="5" s="1"/>
  <c r="G392" i="5" s="1"/>
  <c r="G393" i="5" s="1"/>
  <c r="G394" i="5" s="1"/>
  <c r="G395" i="5" s="1"/>
  <c r="G396" i="5" s="1"/>
  <c r="G397" i="5" s="1"/>
  <c r="G398" i="5" s="1"/>
  <c r="G399" i="5" s="1"/>
  <c r="G400" i="5" s="1"/>
  <c r="G401" i="5" s="1"/>
  <c r="G402" i="5" s="1"/>
  <c r="G403" i="5" s="1"/>
  <c r="G404" i="5" s="1"/>
  <c r="G405" i="5" s="1"/>
  <c r="G406" i="5" s="1"/>
  <c r="G407" i="5" s="1"/>
  <c r="G408" i="5" s="1"/>
  <c r="G409" i="5" s="1"/>
  <c r="G410" i="5" s="1"/>
  <c r="G411" i="5" s="1"/>
  <c r="G412" i="5" s="1"/>
  <c r="G413" i="5" s="1"/>
  <c r="G414" i="5" s="1"/>
  <c r="G415" i="5" s="1"/>
  <c r="G416" i="5" s="1"/>
  <c r="G417" i="5" s="1"/>
  <c r="G418" i="5" s="1"/>
  <c r="G419" i="5" s="1"/>
  <c r="G420" i="5" s="1"/>
  <c r="G421" i="5" s="1"/>
  <c r="G422" i="5" s="1"/>
  <c r="G423" i="5" s="1"/>
  <c r="G424" i="5" s="1"/>
  <c r="G425" i="5" s="1"/>
  <c r="G426" i="5" s="1"/>
  <c r="G427" i="5" s="1"/>
  <c r="G428" i="5" s="1"/>
  <c r="G429" i="5" s="1"/>
  <c r="G430" i="5" s="1"/>
  <c r="G431" i="5" s="1"/>
  <c r="G432" i="5" s="1"/>
  <c r="G433" i="5" s="1"/>
  <c r="G434" i="5" s="1"/>
  <c r="G435" i="5" s="1"/>
  <c r="G436" i="5" s="1"/>
  <c r="G437" i="5" s="1"/>
  <c r="G438" i="5" s="1"/>
  <c r="G439" i="5" s="1"/>
  <c r="G440" i="5" s="1"/>
  <c r="G441" i="5" s="1"/>
  <c r="G442" i="5" s="1"/>
  <c r="G443" i="5" s="1"/>
  <c r="G444" i="5" s="1"/>
  <c r="G445" i="5" s="1"/>
  <c r="G446" i="5" s="1"/>
  <c r="G447" i="5" s="1"/>
  <c r="G448" i="5" s="1"/>
  <c r="G449" i="5" s="1"/>
  <c r="G450" i="5" s="1"/>
  <c r="G451" i="5" s="1"/>
  <c r="G452" i="5" s="1"/>
  <c r="G453" i="5" s="1"/>
  <c r="G454" i="5" s="1"/>
  <c r="G455" i="5" s="1"/>
  <c r="G456" i="5" s="1"/>
  <c r="G457" i="5" s="1"/>
  <c r="G458" i="5" s="1"/>
  <c r="G459" i="5" s="1"/>
  <c r="G460" i="5" s="1"/>
  <c r="G461" i="5" s="1"/>
  <c r="G462" i="5" s="1"/>
  <c r="G463" i="5" s="1"/>
  <c r="G464" i="5" s="1"/>
  <c r="G465" i="5" s="1"/>
  <c r="G466" i="5" s="1"/>
  <c r="G467" i="5" s="1"/>
  <c r="G468" i="5" s="1"/>
  <c r="G469" i="5" s="1"/>
  <c r="G470" i="5" s="1"/>
  <c r="G471" i="5" s="1"/>
  <c r="G472" i="5" s="1"/>
  <c r="G473" i="5" s="1"/>
  <c r="G474" i="5" s="1"/>
  <c r="G475" i="5" s="1"/>
  <c r="G476" i="5" s="1"/>
  <c r="G477" i="5" s="1"/>
  <c r="G478" i="5" s="1"/>
  <c r="G479" i="5" s="1"/>
  <c r="G480" i="5" s="1"/>
  <c r="G481" i="5" s="1"/>
  <c r="G482" i="5" s="1"/>
  <c r="G483" i="5" s="1"/>
  <c r="G484" i="5" s="1"/>
  <c r="G485" i="5" s="1"/>
  <c r="G486" i="5" s="1"/>
  <c r="G487" i="5" s="1"/>
  <c r="G488" i="5" s="1"/>
  <c r="G489" i="5" s="1"/>
  <c r="G490" i="5" s="1"/>
  <c r="G491" i="5" s="1"/>
  <c r="G492" i="5" s="1"/>
  <c r="G493" i="5" s="1"/>
  <c r="G494" i="5" s="1"/>
  <c r="G495" i="5" s="1"/>
  <c r="G496" i="5" s="1"/>
  <c r="G497" i="5" s="1"/>
  <c r="G498" i="5" s="1"/>
  <c r="G499" i="5" s="1"/>
  <c r="G500" i="5" s="1"/>
  <c r="G501" i="5" s="1"/>
  <c r="G502" i="5" s="1"/>
  <c r="G503" i="5" s="1"/>
  <c r="G504" i="5" s="1"/>
  <c r="G505" i="5" s="1"/>
  <c r="G506" i="5" s="1"/>
  <c r="G507" i="5" s="1"/>
  <c r="G508" i="5" s="1"/>
  <c r="G509" i="5" s="1"/>
  <c r="G510" i="5" s="1"/>
  <c r="G511" i="5" s="1"/>
  <c r="G512" i="5" s="1"/>
  <c r="G513" i="5" s="1"/>
  <c r="G514" i="5" s="1"/>
  <c r="G515" i="5" s="1"/>
  <c r="G516" i="5" s="1"/>
  <c r="G517" i="5" s="1"/>
  <c r="G518" i="5" s="1"/>
  <c r="G519" i="5" s="1"/>
  <c r="GD149" i="5"/>
  <c r="GC149" i="5"/>
  <c r="GB149" i="5"/>
  <c r="GA149" i="5"/>
  <c r="FZ149" i="5"/>
  <c r="FY149" i="5"/>
  <c r="FX149" i="5"/>
  <c r="FW149" i="5"/>
  <c r="FV149" i="5"/>
  <c r="FU149" i="5"/>
  <c r="FT149" i="5"/>
  <c r="FS149" i="5"/>
  <c r="FR149" i="5"/>
  <c r="FQ149" i="5"/>
  <c r="FP149" i="5"/>
  <c r="FO149" i="5"/>
  <c r="FO150" i="5" s="1"/>
  <c r="FN149" i="5"/>
  <c r="FM149" i="5"/>
  <c r="FL149" i="5"/>
  <c r="FK149" i="5"/>
  <c r="FJ149" i="5"/>
  <c r="FI149" i="5"/>
  <c r="FH149" i="5"/>
  <c r="FG149" i="5"/>
  <c r="FF149" i="5"/>
  <c r="FE149" i="5"/>
  <c r="FD149" i="5"/>
  <c r="FC149" i="5"/>
  <c r="FB149" i="5"/>
  <c r="FA149" i="5"/>
  <c r="EZ149" i="5"/>
  <c r="EY149" i="5"/>
  <c r="EX149" i="5"/>
  <c r="EW149" i="5"/>
  <c r="EV149" i="5"/>
  <c r="EU149" i="5"/>
  <c r="ET149" i="5"/>
  <c r="ES149" i="5"/>
  <c r="ER149" i="5"/>
  <c r="EQ149" i="5"/>
  <c r="EP149" i="5"/>
  <c r="EO149" i="5"/>
  <c r="EN149" i="5"/>
  <c r="EM149" i="5"/>
  <c r="EL149" i="5"/>
  <c r="EK149" i="5"/>
  <c r="EJ149" i="5"/>
  <c r="EI149" i="5"/>
  <c r="EH149" i="5"/>
  <c r="EG149" i="5"/>
  <c r="EF149" i="5"/>
  <c r="EE149" i="5"/>
  <c r="ED149" i="5"/>
  <c r="EC149" i="5"/>
  <c r="EB149" i="5"/>
  <c r="EA149" i="5"/>
  <c r="DZ149" i="5"/>
  <c r="DY149" i="5"/>
  <c r="DX149" i="5"/>
  <c r="DW149" i="5"/>
  <c r="DV149" i="5"/>
  <c r="DU149" i="5"/>
  <c r="DT149" i="5"/>
  <c r="DS149" i="5"/>
  <c r="DR149" i="5"/>
  <c r="DQ149" i="5"/>
  <c r="DP149" i="5"/>
  <c r="DO149" i="5"/>
  <c r="DN149" i="5"/>
  <c r="DM149" i="5"/>
  <c r="DL149" i="5"/>
  <c r="DK149" i="5"/>
  <c r="DJ149" i="5"/>
  <c r="DI149" i="5"/>
  <c r="DH149" i="5"/>
  <c r="DG149" i="5"/>
  <c r="DF149" i="5"/>
  <c r="DE149" i="5"/>
  <c r="DD149" i="5"/>
  <c r="DC149" i="5"/>
  <c r="DB149" i="5"/>
  <c r="DA149" i="5"/>
  <c r="DA150" i="5" s="1"/>
  <c r="CZ149" i="5"/>
  <c r="CY149" i="5"/>
  <c r="CX149" i="5"/>
  <c r="CW149" i="5"/>
  <c r="CV149" i="5"/>
  <c r="CU149" i="5"/>
  <c r="CT149" i="5"/>
  <c r="CS149" i="5"/>
  <c r="CR149" i="5"/>
  <c r="CQ149" i="5"/>
  <c r="CP149" i="5"/>
  <c r="CO149" i="5"/>
  <c r="CN149" i="5"/>
  <c r="CM149" i="5"/>
  <c r="CN150" i="5" s="1"/>
  <c r="CL149" i="5"/>
  <c r="CK149" i="5"/>
  <c r="CJ149" i="5"/>
  <c r="CI149" i="5"/>
  <c r="CH149" i="5"/>
  <c r="CG149" i="5"/>
  <c r="CF149" i="5"/>
  <c r="CE149" i="5"/>
  <c r="CD149" i="5"/>
  <c r="CC149" i="5"/>
  <c r="CD150" i="5" s="1"/>
  <c r="CB149" i="5"/>
  <c r="CA149" i="5"/>
  <c r="BZ149" i="5"/>
  <c r="BY149" i="5"/>
  <c r="BX149" i="5"/>
  <c r="BW149" i="5"/>
  <c r="BV149" i="5"/>
  <c r="BU149" i="5"/>
  <c r="BT149" i="5"/>
  <c r="BS149" i="5"/>
  <c r="BR149" i="5"/>
  <c r="BQ149" i="5"/>
  <c r="BP149" i="5"/>
  <c r="BO149" i="5"/>
  <c r="BN149" i="5"/>
  <c r="BM149" i="5"/>
  <c r="BL149" i="5"/>
  <c r="BK149" i="5"/>
  <c r="BJ149" i="5"/>
  <c r="BI149" i="5"/>
  <c r="BH149" i="5"/>
  <c r="B1" i="6"/>
  <c r="BI20" i="5"/>
  <c r="BJ20" i="5" s="1"/>
  <c r="EV19" i="5"/>
  <c r="EV18" i="5"/>
  <c r="FH12" i="5"/>
  <c r="FI12" i="5" s="1"/>
  <c r="FJ12" i="5" s="1"/>
  <c r="FJ13" i="5" s="1"/>
  <c r="FI13" i="5" s="1"/>
  <c r="FH13" i="5" s="1"/>
  <c r="FG13" i="5" s="1"/>
  <c r="FF13" i="5" s="1"/>
  <c r="FE13" i="5" s="1"/>
  <c r="FD13" i="5" s="1"/>
  <c r="FC13" i="5" s="1"/>
  <c r="FB13" i="5" s="1"/>
  <c r="FA13" i="5" s="1"/>
  <c r="EZ13" i="5" s="1"/>
  <c r="FJ14" i="5" s="1"/>
  <c r="FI14" i="5" s="1"/>
  <c r="FH14" i="5" s="1"/>
  <c r="FG14" i="5" s="1"/>
  <c r="FF14" i="5" s="1"/>
  <c r="FE14" i="5" s="1"/>
  <c r="FD14" i="5" s="1"/>
  <c r="FC14" i="5" s="1"/>
  <c r="FB14" i="5" s="1"/>
  <c r="FA14" i="5" s="1"/>
  <c r="FF11" i="5"/>
  <c r="FG11" i="5" s="1"/>
  <c r="FH11" i="5" s="1"/>
  <c r="FI11" i="5" s="1"/>
  <c r="FJ11" i="5" s="1"/>
  <c r="FK11" i="5" s="1"/>
  <c r="FL11" i="5" s="1"/>
  <c r="FM11" i="5" s="1"/>
  <c r="FN11" i="5" s="1"/>
  <c r="FA12" i="5"/>
  <c r="FB12" i="5" s="1"/>
  <c r="FC12" i="5" s="1"/>
  <c r="FD12" i="5" s="1"/>
  <c r="BL167" i="5"/>
  <c r="BM167" i="5" s="1"/>
  <c r="BN167" i="5" s="1"/>
  <c r="BO167" i="5" s="1"/>
  <c r="BP167" i="5" s="1"/>
  <c r="BQ167" i="5" s="1"/>
  <c r="BR167" i="5" s="1"/>
  <c r="BS167" i="5" s="1"/>
  <c r="BT167" i="5" s="1"/>
  <c r="BU167" i="5" s="1"/>
  <c r="BV167" i="5" s="1"/>
  <c r="BW167" i="5" s="1"/>
  <c r="BX167" i="5" s="1"/>
  <c r="BY167" i="5" s="1"/>
  <c r="BZ167" i="5" s="1"/>
  <c r="CA167" i="5" s="1"/>
  <c r="CB167" i="5" s="1"/>
  <c r="CC167" i="5" s="1"/>
  <c r="CD167" i="5" s="1"/>
  <c r="CE167" i="5" s="1"/>
  <c r="CF167" i="5" s="1"/>
  <c r="CG167" i="5" s="1"/>
  <c r="CH167" i="5" s="1"/>
  <c r="CI167" i="5" s="1"/>
  <c r="CJ167" i="5" s="1"/>
  <c r="CK167" i="5" s="1"/>
  <c r="CL167" i="5" s="1"/>
  <c r="CM167" i="5" s="1"/>
  <c r="CN167" i="5" s="1"/>
  <c r="CO167" i="5" s="1"/>
  <c r="CP167" i="5" s="1"/>
  <c r="CQ167" i="5" s="1"/>
  <c r="CR167" i="5" s="1"/>
  <c r="CS167" i="5" s="1"/>
  <c r="CT167" i="5" s="1"/>
  <c r="CU167" i="5" s="1"/>
  <c r="CV167" i="5" s="1"/>
  <c r="CW167" i="5" s="1"/>
  <c r="CX167" i="5" s="1"/>
  <c r="CY167" i="5" s="1"/>
  <c r="CZ167" i="5" s="1"/>
  <c r="BB155" i="5"/>
  <c r="BB156" i="5" s="1"/>
  <c r="BB157" i="5" s="1"/>
  <c r="BB158" i="5" s="1"/>
  <c r="BB159" i="5" s="1"/>
  <c r="BB160" i="5" s="1"/>
  <c r="BB161" i="5" s="1"/>
  <c r="BB162" i="5" s="1"/>
  <c r="BB163" i="5" s="1"/>
  <c r="BB164" i="5" s="1"/>
  <c r="BB165" i="5" s="1"/>
  <c r="BB166" i="5" s="1"/>
  <c r="BB167" i="5" s="1"/>
  <c r="BB168" i="5" s="1"/>
  <c r="BB169" i="5" s="1"/>
  <c r="BB170" i="5" s="1"/>
  <c r="BB171" i="5" s="1"/>
  <c r="BB172" i="5" s="1"/>
  <c r="BB173" i="5" s="1"/>
  <c r="BB174" i="5" s="1"/>
  <c r="BB175" i="5" s="1"/>
  <c r="BB176" i="5" s="1"/>
  <c r="BB177" i="5" s="1"/>
  <c r="BB178" i="5" s="1"/>
  <c r="BB179" i="5" s="1"/>
  <c r="BB180" i="5" s="1"/>
  <c r="BB181" i="5" s="1"/>
  <c r="BB182" i="5" s="1"/>
  <c r="BB183" i="5" s="1"/>
  <c r="BB184" i="5" s="1"/>
  <c r="BB185" i="5" s="1"/>
  <c r="BB186" i="5" s="1"/>
  <c r="BB187" i="5" s="1"/>
  <c r="BB188" i="5" s="1"/>
  <c r="BB189" i="5" s="1"/>
  <c r="BB190" i="5" s="1"/>
  <c r="BB191" i="5" s="1"/>
  <c r="BB192" i="5" s="1"/>
  <c r="BB193" i="5" s="1"/>
  <c r="BB194" i="5" s="1"/>
  <c r="BB195" i="5" s="1"/>
  <c r="BB196" i="5" s="1"/>
  <c r="BB197" i="5" s="1"/>
  <c r="BB198" i="5" s="1"/>
  <c r="BB199" i="5" s="1"/>
  <c r="BB200" i="5" s="1"/>
  <c r="BB201" i="5" s="1"/>
  <c r="BB202" i="5" s="1"/>
  <c r="BB203" i="5" s="1"/>
  <c r="BB204" i="5" s="1"/>
  <c r="BB205" i="5" s="1"/>
  <c r="BB206" i="5" s="1"/>
  <c r="BB207" i="5" s="1"/>
  <c r="BB208" i="5" s="1"/>
  <c r="BB209" i="5" s="1"/>
  <c r="BB210" i="5" s="1"/>
  <c r="BB211" i="5" s="1"/>
  <c r="BB212" i="5" s="1"/>
  <c r="BB213" i="5" s="1"/>
  <c r="BB214" i="5" s="1"/>
  <c r="BB215" i="5" s="1"/>
  <c r="BB216" i="5" s="1"/>
  <c r="BB217" i="5" s="1"/>
  <c r="BB218" i="5" s="1"/>
  <c r="BB219" i="5" s="1"/>
  <c r="BB220" i="5" s="1"/>
  <c r="BB221" i="5" s="1"/>
  <c r="BB222" i="5" s="1"/>
  <c r="BB223" i="5" s="1"/>
  <c r="BB224" i="5" s="1"/>
  <c r="BB225" i="5" s="1"/>
  <c r="BB226" i="5" s="1"/>
  <c r="BB227" i="5" s="1"/>
  <c r="BB228" i="5" s="1"/>
  <c r="BB229" i="5" s="1"/>
  <c r="BB230" i="5" s="1"/>
  <c r="BB231" i="5" s="1"/>
  <c r="BB232" i="5" s="1"/>
  <c r="BB233" i="5" s="1"/>
  <c r="BB234" i="5" s="1"/>
  <c r="BB235" i="5" s="1"/>
  <c r="BB236" i="5" s="1"/>
  <c r="BB237" i="5" s="1"/>
  <c r="BB238" i="5" s="1"/>
  <c r="BB239" i="5" s="1"/>
  <c r="BB240" i="5" s="1"/>
  <c r="BB241" i="5" s="1"/>
  <c r="BB242" i="5" s="1"/>
  <c r="BB243" i="5" s="1"/>
  <c r="BB244" i="5" s="1"/>
  <c r="BB245" i="5" s="1"/>
  <c r="BB246" i="5" s="1"/>
  <c r="BB247" i="5" s="1"/>
  <c r="BB248" i="5" s="1"/>
  <c r="BB249" i="5" s="1"/>
  <c r="BB250" i="5" s="1"/>
  <c r="BB251" i="5" s="1"/>
  <c r="BB252" i="5" s="1"/>
  <c r="BB253" i="5" s="1"/>
  <c r="BB254" i="5" s="1"/>
  <c r="BB255" i="5" s="1"/>
  <c r="BB256" i="5" s="1"/>
  <c r="BB257" i="5" s="1"/>
  <c r="BB258" i="5" s="1"/>
  <c r="BB259" i="5" s="1"/>
  <c r="BB260" i="5" s="1"/>
  <c r="BB261" i="5" s="1"/>
  <c r="BB262" i="5" s="1"/>
  <c r="BB263" i="5" s="1"/>
  <c r="BB264" i="5" s="1"/>
  <c r="BB265" i="5" s="1"/>
  <c r="BB266" i="5" s="1"/>
  <c r="BB267" i="5" s="1"/>
  <c r="BB268" i="5" s="1"/>
  <c r="BB269" i="5" s="1"/>
  <c r="BB270" i="5" s="1"/>
  <c r="BB271" i="5" s="1"/>
  <c r="BB272" i="5" s="1"/>
  <c r="BB273" i="5" s="1"/>
  <c r="BB274" i="5" s="1"/>
  <c r="BB275" i="5" s="1"/>
  <c r="BB276" i="5" s="1"/>
  <c r="BB277" i="5" s="1"/>
  <c r="BB278" i="5" s="1"/>
  <c r="BB279" i="5" s="1"/>
  <c r="BB280" i="5" s="1"/>
  <c r="BB281" i="5" s="1"/>
  <c r="BL153" i="5"/>
  <c r="BM153" i="5" s="1"/>
  <c r="BN153" i="5" s="1"/>
  <c r="BO153" i="5" s="1"/>
  <c r="BP153" i="5" s="1"/>
  <c r="BQ153" i="5" s="1"/>
  <c r="BR153" i="5" s="1"/>
  <c r="BS153" i="5" s="1"/>
  <c r="BT153" i="5" s="1"/>
  <c r="BU153" i="5" s="1"/>
  <c r="BV153" i="5" s="1"/>
  <c r="BW153" i="5" s="1"/>
  <c r="BX153" i="5" s="1"/>
  <c r="BY153" i="5" s="1"/>
  <c r="BZ153" i="5" s="1"/>
  <c r="CA153" i="5" s="1"/>
  <c r="CB153" i="5" s="1"/>
  <c r="CC153" i="5" s="1"/>
  <c r="CD153" i="5" s="1"/>
  <c r="CE153" i="5" s="1"/>
  <c r="CF153" i="5" s="1"/>
  <c r="CG153" i="5" s="1"/>
  <c r="CH153" i="5" s="1"/>
  <c r="CI153" i="5" s="1"/>
  <c r="CJ153" i="5" s="1"/>
  <c r="CK153" i="5" s="1"/>
  <c r="CL153" i="5" s="1"/>
  <c r="CM153" i="5" s="1"/>
  <c r="CN153" i="5" s="1"/>
  <c r="CO153" i="5" s="1"/>
  <c r="CP153" i="5" s="1"/>
  <c r="CQ153" i="5" s="1"/>
  <c r="CR153" i="5" s="1"/>
  <c r="CS153" i="5" s="1"/>
  <c r="CT153" i="5" s="1"/>
  <c r="CU153" i="5" s="1"/>
  <c r="CV153" i="5" s="1"/>
  <c r="CW153" i="5" s="1"/>
  <c r="CX153" i="5" s="1"/>
  <c r="CY153" i="5" s="1"/>
  <c r="CZ153" i="5" s="1"/>
  <c r="BE148" i="5"/>
  <c r="BE147" i="5"/>
  <c r="BE146" i="5"/>
  <c r="BE145" i="5"/>
  <c r="BE144" i="5"/>
  <c r="BE143" i="5"/>
  <c r="BE142" i="5"/>
  <c r="BE141" i="5"/>
  <c r="BE140" i="5"/>
  <c r="BE139" i="5"/>
  <c r="BE138" i="5"/>
  <c r="BE137" i="5"/>
  <c r="BE136" i="5"/>
  <c r="BE135" i="5"/>
  <c r="BE134" i="5"/>
  <c r="BE133" i="5"/>
  <c r="BE132" i="5"/>
  <c r="BE131" i="5"/>
  <c r="GK130" i="5"/>
  <c r="BE130" i="5"/>
  <c r="GK129" i="5"/>
  <c r="BE129" i="5"/>
  <c r="GK128" i="5"/>
  <c r="BE128" i="5"/>
  <c r="BE127" i="5"/>
  <c r="GK126" i="5"/>
  <c r="BE126" i="5"/>
  <c r="GK125" i="5"/>
  <c r="BE125" i="5"/>
  <c r="GK124" i="5"/>
  <c r="BE124" i="5"/>
  <c r="BE123" i="5"/>
  <c r="GK122" i="5"/>
  <c r="BE122" i="5"/>
  <c r="GK121" i="5"/>
  <c r="BE121" i="5"/>
  <c r="GK120" i="5"/>
  <c r="BE120" i="5"/>
  <c r="BE119" i="5"/>
  <c r="GK118" i="5"/>
  <c r="BE118" i="5"/>
  <c r="GK117" i="5"/>
  <c r="BE117" i="5"/>
  <c r="GK116" i="5"/>
  <c r="BE116" i="5"/>
  <c r="BE115" i="5"/>
  <c r="GK114" i="5"/>
  <c r="BE114" i="5"/>
  <c r="GK113" i="5"/>
  <c r="BE113" i="5"/>
  <c r="GK112" i="5"/>
  <c r="BE112" i="5"/>
  <c r="BE111" i="5"/>
  <c r="GK110" i="5"/>
  <c r="BE110" i="5"/>
  <c r="GK109" i="5"/>
  <c r="BE109" i="5"/>
  <c r="GK108" i="5"/>
  <c r="BE108" i="5"/>
  <c r="BE107" i="5"/>
  <c r="GK106" i="5"/>
  <c r="BE106" i="5"/>
  <c r="GK105" i="5"/>
  <c r="BE105" i="5"/>
  <c r="GK104" i="5"/>
  <c r="BE104" i="5"/>
  <c r="BE103" i="5"/>
  <c r="GK102" i="5"/>
  <c r="BE102" i="5"/>
  <c r="GK101" i="5"/>
  <c r="BE101" i="5"/>
  <c r="GK100" i="5"/>
  <c r="BE100" i="5"/>
  <c r="BE99" i="5"/>
  <c r="GK98" i="5"/>
  <c r="BE98" i="5"/>
  <c r="GK97" i="5"/>
  <c r="BE97" i="5"/>
  <c r="GK96" i="5"/>
  <c r="BE96" i="5"/>
  <c r="BE95" i="5"/>
  <c r="GK94" i="5"/>
  <c r="BE94" i="5"/>
  <c r="GK93" i="5"/>
  <c r="BE93" i="5"/>
  <c r="GK92" i="5"/>
  <c r="BE92" i="5"/>
  <c r="BE91" i="5"/>
  <c r="GK90" i="5"/>
  <c r="BE90" i="5"/>
  <c r="GK89" i="5"/>
  <c r="BE89" i="5"/>
  <c r="GK88" i="5"/>
  <c r="BE88" i="5"/>
  <c r="BE87" i="5"/>
  <c r="GK86" i="5"/>
  <c r="BE86" i="5"/>
  <c r="GK85" i="5"/>
  <c r="BE85" i="5"/>
  <c r="GK84" i="5"/>
  <c r="BE84" i="5"/>
  <c r="BE83" i="5"/>
  <c r="GK82" i="5"/>
  <c r="BE82" i="5"/>
  <c r="GK81" i="5"/>
  <c r="BE81" i="5"/>
  <c r="GK80" i="5"/>
  <c r="BE80" i="5"/>
  <c r="BE79" i="5"/>
  <c r="GK78" i="5"/>
  <c r="BE78" i="5"/>
  <c r="GK77" i="5"/>
  <c r="BE77" i="5"/>
  <c r="GK76" i="5"/>
  <c r="BE76" i="5"/>
  <c r="BE75" i="5"/>
  <c r="GK74" i="5"/>
  <c r="BE74" i="5"/>
  <c r="GK73" i="5"/>
  <c r="BE73" i="5"/>
  <c r="GK72" i="5"/>
  <c r="BE72" i="5"/>
  <c r="BE71" i="5"/>
  <c r="GK70" i="5"/>
  <c r="BE70" i="5"/>
  <c r="GK69" i="5"/>
  <c r="BE69" i="5"/>
  <c r="GK68" i="5"/>
  <c r="BE68" i="5"/>
  <c r="BE67" i="5"/>
  <c r="GK66" i="5"/>
  <c r="BE66" i="5"/>
  <c r="GK65" i="5"/>
  <c r="BE65" i="5"/>
  <c r="GK64" i="5"/>
  <c r="BE64" i="5"/>
  <c r="BE63" i="5"/>
  <c r="GK62" i="5"/>
  <c r="BE62" i="5"/>
  <c r="GK61" i="5"/>
  <c r="BE61" i="5"/>
  <c r="GK60" i="5"/>
  <c r="BE60" i="5"/>
  <c r="BE59" i="5"/>
  <c r="GK58" i="5"/>
  <c r="BE58" i="5"/>
  <c r="GK57" i="5"/>
  <c r="BE57" i="5"/>
  <c r="GK56" i="5"/>
  <c r="BE56" i="5"/>
  <c r="BE55" i="5"/>
  <c r="GK54" i="5"/>
  <c r="BE54" i="5"/>
  <c r="GK53" i="5"/>
  <c r="BE53" i="5"/>
  <c r="GK52" i="5"/>
  <c r="BE52" i="5"/>
  <c r="BE51" i="5"/>
  <c r="GK50" i="5"/>
  <c r="BE50" i="5"/>
  <c r="GK49" i="5"/>
  <c r="BE49" i="5"/>
  <c r="GK48" i="5"/>
  <c r="BE48" i="5"/>
  <c r="BE47" i="5"/>
  <c r="GK46" i="5"/>
  <c r="BE46" i="5"/>
  <c r="GK45" i="5"/>
  <c r="BE45" i="5"/>
  <c r="GK44" i="5"/>
  <c r="BE44" i="5"/>
  <c r="BE43" i="5"/>
  <c r="GK42" i="5"/>
  <c r="BE42" i="5"/>
  <c r="GK41" i="5"/>
  <c r="BE41" i="5"/>
  <c r="GK40" i="5"/>
  <c r="BE40" i="5"/>
  <c r="BE39" i="5"/>
  <c r="GK38" i="5"/>
  <c r="BE38" i="5"/>
  <c r="BE37" i="5"/>
  <c r="GK36" i="5"/>
  <c r="BE36" i="5"/>
  <c r="BE35" i="5"/>
  <c r="GK34" i="5"/>
  <c r="BE34" i="5"/>
  <c r="BE33" i="5"/>
  <c r="GK32" i="5"/>
  <c r="BE32" i="5"/>
  <c r="BE31" i="5"/>
  <c r="BE30" i="5"/>
  <c r="BE29" i="5"/>
  <c r="BE28" i="5"/>
  <c r="BE27" i="5"/>
  <c r="BE26" i="5"/>
  <c r="BE25" i="5"/>
  <c r="BE24" i="5"/>
  <c r="AF24" i="5"/>
  <c r="AG24" i="5" s="1"/>
  <c r="BE23" i="5"/>
  <c r="AF23" i="5"/>
  <c r="AG23" i="5" s="1"/>
  <c r="BE22" i="5"/>
  <c r="AF22" i="5"/>
  <c r="AG22" i="5" s="1"/>
  <c r="BE21" i="5"/>
  <c r="AH20" i="5"/>
  <c r="AH21" i="5" s="1"/>
  <c r="AH22" i="5" s="1"/>
  <c r="AH23" i="5" s="1"/>
  <c r="AH24" i="5" s="1"/>
  <c r="AG21" i="5"/>
  <c r="AC20" i="5"/>
  <c r="AC21" i="5" s="1"/>
  <c r="AC22" i="5" s="1"/>
  <c r="AC23" i="5" s="1"/>
  <c r="AC24" i="5" s="1"/>
  <c r="AA20" i="5"/>
  <c r="AA21" i="5" s="1"/>
  <c r="AA22" i="5" s="1"/>
  <c r="AA23" i="5" s="1"/>
  <c r="AA24" i="5" s="1"/>
  <c r="AG20" i="5"/>
  <c r="GD19" i="5"/>
  <c r="GC19" i="5"/>
  <c r="GB19" i="5"/>
  <c r="GA19" i="5"/>
  <c r="FZ19" i="5"/>
  <c r="FY19"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AG19" i="5"/>
  <c r="GD18" i="5"/>
  <c r="GC18" i="5"/>
  <c r="GB18" i="5"/>
  <c r="GA18" i="5"/>
  <c r="FZ18" i="5"/>
  <c r="FY18" i="5"/>
  <c r="FX18" i="5"/>
  <c r="FW18" i="5"/>
  <c r="FV18" i="5"/>
  <c r="FU18" i="5"/>
  <c r="FT18" i="5"/>
  <c r="FS18" i="5"/>
  <c r="FR18" i="5"/>
  <c r="FQ18" i="5"/>
  <c r="FP18" i="5"/>
  <c r="FO18" i="5"/>
  <c r="FN18" i="5"/>
  <c r="FM18" i="5"/>
  <c r="FL18" i="5"/>
  <c r="FK18" i="5"/>
  <c r="FJ18" i="5"/>
  <c r="FI18" i="5"/>
  <c r="FH18" i="5"/>
  <c r="FG18" i="5"/>
  <c r="FF18" i="5"/>
  <c r="FE18" i="5"/>
  <c r="FD18" i="5"/>
  <c r="FC18" i="5"/>
  <c r="FB18" i="5"/>
  <c r="FA18" i="5"/>
  <c r="EZ18" i="5"/>
  <c r="EY18" i="5"/>
  <c r="EX18" i="5"/>
  <c r="EW18" i="5"/>
  <c r="EU18" i="5"/>
  <c r="ET18" i="5"/>
  <c r="ES18" i="5"/>
  <c r="ER18" i="5"/>
  <c r="EQ18" i="5"/>
  <c r="EP18" i="5"/>
  <c r="EO18" i="5"/>
  <c r="EN18" i="5"/>
  <c r="EM18" i="5"/>
  <c r="EL18" i="5"/>
  <c r="EK18" i="5"/>
  <c r="EJ18" i="5"/>
  <c r="EI18" i="5"/>
  <c r="EH18" i="5"/>
  <c r="EG18" i="5"/>
  <c r="EF18" i="5"/>
  <c r="EE18" i="5"/>
  <c r="ED18" i="5"/>
  <c r="EC18" i="5"/>
  <c r="EB18" i="5"/>
  <c r="EA18" i="5"/>
  <c r="DZ18" i="5"/>
  <c r="DY18" i="5"/>
  <c r="DX18" i="5"/>
  <c r="DW18" i="5"/>
  <c r="DV18" i="5"/>
  <c r="DU18" i="5"/>
  <c r="DT18" i="5"/>
  <c r="DS18" i="5"/>
  <c r="DR18" i="5"/>
  <c r="DQ18" i="5"/>
  <c r="DP18" i="5"/>
  <c r="DO18" i="5"/>
  <c r="DN18" i="5"/>
  <c r="DM18" i="5"/>
  <c r="DL18" i="5"/>
  <c r="DK18" i="5"/>
  <c r="DJ18" i="5"/>
  <c r="DI18" i="5"/>
  <c r="DH18" i="5"/>
  <c r="DG18" i="5"/>
  <c r="DF18" i="5"/>
  <c r="DE18" i="5"/>
  <c r="DD18"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7" i="5"/>
  <c r="BH15" i="5"/>
  <c r="GJ7" i="5"/>
  <c r="GJ11" i="5" s="1"/>
  <c r="GJ15" i="5" s="1"/>
  <c r="GJ19" i="5" s="1"/>
  <c r="GJ23" i="5" s="1"/>
  <c r="GJ27" i="5" s="1"/>
  <c r="GJ31" i="5" s="1"/>
  <c r="GJ35" i="5" s="1"/>
  <c r="GJ39" i="5" s="1"/>
  <c r="GJ43" i="5" s="1"/>
  <c r="GJ47" i="5" s="1"/>
  <c r="GJ51" i="5" s="1"/>
  <c r="GJ55" i="5" s="1"/>
  <c r="GJ59" i="5" s="1"/>
  <c r="GJ63" i="5" s="1"/>
  <c r="GJ67" i="5" s="1"/>
  <c r="GJ71" i="5" s="1"/>
  <c r="GJ75" i="5" s="1"/>
  <c r="GJ79" i="5" s="1"/>
  <c r="GJ83" i="5" s="1"/>
  <c r="GJ87" i="5" s="1"/>
  <c r="GJ91" i="5" s="1"/>
  <c r="GJ95" i="5" s="1"/>
  <c r="GJ99" i="5" s="1"/>
  <c r="GJ103" i="5" s="1"/>
  <c r="GJ107" i="5" s="1"/>
  <c r="GJ111" i="5" s="1"/>
  <c r="GJ115" i="5" s="1"/>
  <c r="GJ119" i="5" s="1"/>
  <c r="GJ123" i="5" s="1"/>
  <c r="GJ127" i="5" s="1"/>
  <c r="BN150" i="5"/>
  <c r="DX150" i="5"/>
  <c r="EE150" i="5"/>
  <c r="EU150" i="5"/>
  <c r="FS150" i="5"/>
  <c r="GA150" i="5"/>
  <c r="F881" i="1" l="1"/>
  <c r="CA150" i="5"/>
  <c r="E659" i="1"/>
  <c r="E363" i="1"/>
  <c r="BX150" i="5"/>
  <c r="DD150" i="5"/>
  <c r="EZ150" i="5"/>
  <c r="CK150" i="5"/>
  <c r="EG150" i="5"/>
  <c r="EW150" i="5"/>
  <c r="E1023" i="1"/>
  <c r="BU150" i="5"/>
  <c r="DQ150" i="5"/>
  <c r="F217" i="1"/>
  <c r="FH150" i="5"/>
  <c r="FP150" i="5"/>
  <c r="E773" i="1"/>
  <c r="ED150" i="5"/>
  <c r="ET150" i="5"/>
  <c r="F995" i="1"/>
  <c r="EN150" i="5"/>
  <c r="FD150" i="5"/>
  <c r="GB150" i="5"/>
  <c r="F215" i="1"/>
  <c r="F847" i="1"/>
  <c r="DP150" i="5"/>
  <c r="BI150" i="5"/>
  <c r="BM150" i="5"/>
  <c r="BQ150" i="5"/>
  <c r="BY150" i="5"/>
  <c r="CG150" i="5"/>
  <c r="CO150" i="5"/>
  <c r="CS150" i="5"/>
  <c r="CW150" i="5"/>
  <c r="DE150" i="5"/>
  <c r="DI150" i="5"/>
  <c r="DM150" i="5"/>
  <c r="DU150" i="5"/>
  <c r="DY150" i="5"/>
  <c r="EK150" i="5"/>
  <c r="EO150" i="5"/>
  <c r="FA150" i="5"/>
  <c r="FI150" i="5"/>
  <c r="FM150" i="5"/>
  <c r="FU150" i="5"/>
  <c r="FY150" i="5"/>
  <c r="GC150" i="5"/>
  <c r="E1442" i="1"/>
  <c r="E1405" i="1"/>
  <c r="E1257" i="1"/>
  <c r="F613" i="1"/>
  <c r="FQ150" i="5"/>
  <c r="FE150" i="5"/>
  <c r="E1251" i="1"/>
  <c r="E288" i="1"/>
  <c r="F1103" i="1"/>
  <c r="BL150" i="5"/>
  <c r="BP150" i="5"/>
  <c r="BT150" i="5"/>
  <c r="CB150" i="5"/>
  <c r="CF150" i="5"/>
  <c r="CJ150" i="5"/>
  <c r="CR150" i="5"/>
  <c r="CV150" i="5"/>
  <c r="DH150" i="5"/>
  <c r="DL150" i="5"/>
  <c r="DT150" i="5"/>
  <c r="EB150" i="5"/>
  <c r="EF150" i="5"/>
  <c r="EJ150" i="5"/>
  <c r="ER150" i="5"/>
  <c r="EV150" i="5"/>
  <c r="FL150" i="5"/>
  <c r="FT150" i="5"/>
  <c r="FX150" i="5"/>
  <c r="E1436" i="1"/>
  <c r="F1325" i="1"/>
  <c r="E1146" i="1"/>
  <c r="ES150" i="5"/>
  <c r="DF150" i="5"/>
  <c r="BJ150" i="5"/>
  <c r="BR150" i="5"/>
  <c r="BV150" i="5"/>
  <c r="BZ150" i="5"/>
  <c r="CH150" i="5"/>
  <c r="CL150" i="5"/>
  <c r="CT150" i="5"/>
  <c r="CX150" i="5"/>
  <c r="DN150" i="5"/>
  <c r="DR150" i="5"/>
  <c r="DV150" i="5"/>
  <c r="DZ150" i="5"/>
  <c r="EH150" i="5"/>
  <c r="EL150" i="5"/>
  <c r="EP150" i="5"/>
  <c r="EX150" i="5"/>
  <c r="FB150" i="5"/>
  <c r="FF150" i="5"/>
  <c r="FN150" i="5"/>
  <c r="FR150" i="5"/>
  <c r="FZ150" i="5"/>
  <c r="GD150" i="5"/>
  <c r="E1588" i="1"/>
  <c r="E622" i="1"/>
  <c r="E180" i="1"/>
  <c r="F29" i="1"/>
  <c r="CY150" i="5"/>
  <c r="DO150" i="5"/>
  <c r="FC150" i="5"/>
  <c r="E1576" i="1"/>
  <c r="E992" i="1"/>
  <c r="F887" i="1"/>
  <c r="E844" i="1"/>
  <c r="E702" i="1"/>
  <c r="F443" i="1"/>
  <c r="E289" i="1"/>
  <c r="E69" i="1"/>
  <c r="EC150" i="5"/>
  <c r="FJ150" i="5"/>
  <c r="CC150" i="5"/>
  <c r="CP150" i="5"/>
  <c r="F1107" i="1"/>
  <c r="F922" i="1"/>
  <c r="E885" i="1"/>
  <c r="F813" i="1"/>
  <c r="E770" i="1"/>
  <c r="F700" i="1"/>
  <c r="E406" i="1"/>
  <c r="F1360" i="1"/>
  <c r="CZ150" i="5"/>
  <c r="F1582" i="1"/>
  <c r="F1218" i="1"/>
  <c r="F1175" i="1"/>
  <c r="F1144" i="1"/>
  <c r="F1033" i="1"/>
  <c r="F626" i="1"/>
  <c r="BK150" i="5"/>
  <c r="F1551" i="1"/>
  <c r="F1508" i="1"/>
  <c r="F1403" i="1"/>
  <c r="F1366" i="1"/>
  <c r="F1292" i="1"/>
  <c r="F1255" i="1"/>
  <c r="F1243" i="1"/>
  <c r="F1070" i="1"/>
  <c r="F959" i="1"/>
  <c r="E921" i="1"/>
  <c r="F848" i="1"/>
  <c r="F774" i="1"/>
  <c r="E739" i="1"/>
  <c r="F733" i="1"/>
  <c r="E696" i="1"/>
  <c r="F588" i="1"/>
  <c r="E513" i="1"/>
  <c r="E480" i="1"/>
  <c r="F147" i="1"/>
  <c r="BJ17" i="5"/>
  <c r="BO150" i="5"/>
  <c r="CE150" i="5"/>
  <c r="CQ150" i="5"/>
  <c r="DC150" i="5"/>
  <c r="DG150" i="5"/>
  <c r="DK150" i="5"/>
  <c r="FK150" i="5"/>
  <c r="FW150" i="5"/>
  <c r="E1427" i="1"/>
  <c r="E1174" i="1"/>
  <c r="F625" i="1"/>
  <c r="E110" i="1"/>
  <c r="E731" i="1"/>
  <c r="F725" i="1"/>
  <c r="FG150" i="5"/>
  <c r="CM150" i="5"/>
  <c r="BW150" i="5"/>
  <c r="EQ150" i="5"/>
  <c r="EA150" i="5"/>
  <c r="DJ150" i="5"/>
  <c r="CU150" i="5"/>
  <c r="DB150" i="5"/>
  <c r="BI15" i="5"/>
  <c r="BI17" i="5"/>
  <c r="F1553" i="1"/>
  <c r="E1547" i="1"/>
  <c r="F1510" i="1"/>
  <c r="F1504" i="1"/>
  <c r="F1368" i="1"/>
  <c r="F1362" i="1"/>
  <c r="F1294" i="1"/>
  <c r="E1288" i="1"/>
  <c r="F1109" i="1"/>
  <c r="F1035" i="1"/>
  <c r="F1029" i="1"/>
  <c r="E998" i="1"/>
  <c r="E955" i="1"/>
  <c r="F584" i="1"/>
  <c r="FV150" i="5"/>
  <c r="BS150" i="5"/>
  <c r="EM150" i="5"/>
  <c r="F1590" i="1"/>
  <c r="F1584" i="1"/>
  <c r="E1516" i="1"/>
  <c r="F1177" i="1"/>
  <c r="F1072" i="1"/>
  <c r="E961" i="1"/>
  <c r="F924" i="1"/>
  <c r="F850" i="1"/>
  <c r="F838" i="1"/>
  <c r="F776" i="1"/>
  <c r="F628" i="1"/>
  <c r="F365" i="1"/>
  <c r="F291" i="1"/>
  <c r="CI150" i="5"/>
  <c r="DW150" i="5"/>
  <c r="EY150" i="5"/>
  <c r="EI150" i="5"/>
  <c r="DS150" i="5"/>
  <c r="F325" i="1"/>
  <c r="F1544" i="1"/>
  <c r="F1513" i="1"/>
  <c r="F1365" i="1"/>
  <c r="F1291" i="1"/>
  <c r="E1100" i="1"/>
  <c r="E1069" i="1"/>
  <c r="F1032" i="1"/>
  <c r="E590" i="1"/>
  <c r="E550" i="1"/>
  <c r="F436" i="1"/>
  <c r="F405" i="1"/>
  <c r="E399" i="1"/>
  <c r="F362" i="1"/>
  <c r="F214" i="1"/>
  <c r="E183" i="1"/>
  <c r="F178" i="1"/>
  <c r="F146" i="1"/>
  <c r="E140" i="1"/>
  <c r="E109" i="1"/>
  <c r="BK20" i="5"/>
  <c r="BJ15" i="5"/>
  <c r="BE20" i="5"/>
  <c r="E1208" i="1"/>
  <c r="F1217" i="1"/>
  <c r="E72" i="1"/>
  <c r="F1550" i="1"/>
  <c r="F1476" i="1"/>
  <c r="F1396" i="1"/>
  <c r="F1328" i="1"/>
  <c r="F1254" i="1"/>
  <c r="F1143" i="1"/>
  <c r="F1094" i="1"/>
  <c r="F952" i="1"/>
  <c r="E730" i="1"/>
  <c r="F619" i="1"/>
  <c r="F442" i="1"/>
  <c r="F294" i="1"/>
  <c r="F1581" i="1"/>
  <c r="F1575" i="1"/>
  <c r="F1538" i="1"/>
  <c r="F1439" i="1"/>
  <c r="F1402" i="1"/>
  <c r="F1180" i="1"/>
  <c r="F958" i="1"/>
  <c r="F736" i="1"/>
  <c r="F662" i="1"/>
  <c r="F510" i="1"/>
  <c r="F368" i="1"/>
  <c r="F331" i="1"/>
  <c r="F220" i="1"/>
  <c r="E1295" i="1"/>
  <c r="E1252" i="1"/>
  <c r="F919" i="1"/>
  <c r="E740" i="1"/>
  <c r="E666" i="1"/>
  <c r="F660" i="1"/>
  <c r="E329" i="1"/>
  <c r="E255" i="1"/>
  <c r="F218" i="1"/>
  <c r="E144" i="1"/>
  <c r="F1437" i="1"/>
  <c r="F1067" i="1"/>
  <c r="E956" i="1"/>
  <c r="F925" i="1"/>
  <c r="E292" i="1"/>
  <c r="E70" i="1"/>
  <c r="F1591" i="1"/>
  <c r="E1579" i="1"/>
  <c r="E1548" i="1"/>
  <c r="F1443" i="1"/>
  <c r="E1400" i="1"/>
  <c r="F1326" i="1"/>
  <c r="E1178" i="1"/>
  <c r="F1073" i="1"/>
  <c r="E882" i="1"/>
  <c r="F771" i="1"/>
  <c r="F548" i="1"/>
  <c r="E440" i="1"/>
  <c r="F181" i="1"/>
  <c r="E64" i="1"/>
  <c r="F101" i="1"/>
  <c r="E138" i="1"/>
  <c r="E175" i="1"/>
  <c r="E212" i="1"/>
  <c r="F249" i="1"/>
  <c r="E286" i="1"/>
  <c r="E323" i="1"/>
  <c r="E360" i="1"/>
  <c r="E397" i="1"/>
  <c r="F58" i="1"/>
  <c r="E98" i="1"/>
  <c r="F132" i="1"/>
  <c r="F169" i="1"/>
  <c r="E243" i="1"/>
  <c r="E280" i="1"/>
  <c r="E354" i="1"/>
  <c r="E394" i="1"/>
  <c r="F428" i="1"/>
  <c r="E434" i="1"/>
  <c r="E465" i="1"/>
  <c r="F471" i="1"/>
  <c r="E502" i="1"/>
  <c r="E508" i="1"/>
  <c r="E542" i="1"/>
  <c r="E579" i="1"/>
  <c r="E617" i="1"/>
  <c r="E691" i="1"/>
  <c r="E728" i="1"/>
  <c r="F765" i="1"/>
  <c r="E802" i="1"/>
  <c r="F839" i="1"/>
  <c r="E876" i="1"/>
  <c r="E913" i="1"/>
  <c r="E950" i="1"/>
  <c r="E987" i="1"/>
  <c r="F1024" i="1"/>
  <c r="E1061" i="1"/>
  <c r="F1098" i="1"/>
  <c r="F1135" i="1"/>
  <c r="E1209" i="1"/>
  <c r="F1357" i="1"/>
  <c r="F1394" i="1"/>
  <c r="E1431" i="1"/>
  <c r="F1468" i="1"/>
  <c r="E1505" i="1"/>
  <c r="F1542" i="1"/>
  <c r="F1579" i="1"/>
  <c r="F1511" i="1"/>
  <c r="F1480" i="1"/>
  <c r="E1437" i="1"/>
  <c r="F1369" i="1"/>
  <c r="F1363" i="1"/>
  <c r="E1326" i="1"/>
  <c r="F1215" i="1"/>
  <c r="F1141" i="1"/>
  <c r="E1135" i="1"/>
  <c r="E1104" i="1"/>
  <c r="E1098" i="1"/>
  <c r="E1067" i="1"/>
  <c r="F962" i="1"/>
  <c r="E919" i="1"/>
  <c r="E771" i="1"/>
  <c r="F703" i="1"/>
  <c r="E660" i="1"/>
  <c r="E623" i="1"/>
  <c r="F591" i="1"/>
  <c r="E548" i="1"/>
  <c r="E428" i="1"/>
  <c r="E218" i="1"/>
  <c r="E206" i="1"/>
  <c r="E181" i="1"/>
  <c r="F107" i="1"/>
  <c r="F106" i="1"/>
  <c r="E143" i="1"/>
  <c r="F254" i="1"/>
  <c r="E131" i="1"/>
  <c r="E168" i="1"/>
  <c r="E205" i="1"/>
  <c r="E242" i="1"/>
  <c r="F279" i="1"/>
  <c r="E316" i="1"/>
  <c r="E353" i="1"/>
  <c r="E393" i="1"/>
  <c r="E427" i="1"/>
  <c r="E464" i="1"/>
  <c r="E501" i="1"/>
  <c r="E541" i="1"/>
  <c r="E578" i="1"/>
  <c r="E616" i="1"/>
  <c r="F653" i="1"/>
  <c r="E690" i="1"/>
  <c r="F727" i="1"/>
  <c r="E764" i="1"/>
  <c r="F801" i="1"/>
  <c r="E875" i="1"/>
  <c r="E912" i="1"/>
  <c r="E949" i="1"/>
  <c r="F986" i="1"/>
  <c r="F1060" i="1"/>
  <c r="E1097" i="1"/>
  <c r="E1134" i="1"/>
  <c r="E1171" i="1"/>
  <c r="E1282" i="1"/>
  <c r="E1356" i="1"/>
  <c r="F1393" i="1"/>
  <c r="F1467" i="1"/>
  <c r="F1541" i="1"/>
  <c r="E1517" i="1"/>
  <c r="E1511" i="1"/>
  <c r="F1474" i="1"/>
  <c r="E1468" i="1"/>
  <c r="E1363" i="1"/>
  <c r="F1283" i="1"/>
  <c r="E1215" i="1"/>
  <c r="F1184" i="1"/>
  <c r="F1147" i="1"/>
  <c r="E1141" i="1"/>
  <c r="F1110" i="1"/>
  <c r="F999" i="1"/>
  <c r="F845" i="1"/>
  <c r="F814" i="1"/>
  <c r="F808" i="1"/>
  <c r="F554" i="1"/>
  <c r="E477" i="1"/>
  <c r="F403" i="1"/>
  <c r="F366" i="1"/>
  <c r="F317" i="1"/>
  <c r="E107" i="1"/>
  <c r="E58" i="1"/>
  <c r="E252" i="1"/>
  <c r="F61" i="1"/>
  <c r="E172" i="1"/>
  <c r="E209" i="1"/>
  <c r="E246" i="1"/>
  <c r="E283" i="1"/>
  <c r="F320" i="1"/>
  <c r="E357" i="1"/>
  <c r="E391" i="1"/>
  <c r="E431" i="1"/>
  <c r="E468" i="1"/>
  <c r="F474" i="1"/>
  <c r="F539" i="1"/>
  <c r="E545" i="1"/>
  <c r="F551" i="1"/>
  <c r="F576" i="1"/>
  <c r="E582" i="1"/>
  <c r="E614" i="1"/>
  <c r="E620" i="1"/>
  <c r="F651" i="1"/>
  <c r="E657" i="1"/>
  <c r="E688" i="1"/>
  <c r="E694" i="1"/>
  <c r="F762" i="1"/>
  <c r="F768" i="1"/>
  <c r="F799" i="1"/>
  <c r="E805" i="1"/>
  <c r="E836" i="1"/>
  <c r="F842" i="1"/>
  <c r="E873" i="1"/>
  <c r="E879" i="1"/>
  <c r="F910" i="1"/>
  <c r="E916" i="1"/>
  <c r="E947" i="1"/>
  <c r="E953" i="1"/>
  <c r="E984" i="1"/>
  <c r="E990" i="1"/>
  <c r="E996" i="1"/>
  <c r="E1021" i="1"/>
  <c r="E1027" i="1"/>
  <c r="E1058" i="1"/>
  <c r="E1095" i="1"/>
  <c r="E1101" i="1"/>
  <c r="F1132" i="1"/>
  <c r="F1138" i="1"/>
  <c r="E1169" i="1"/>
  <c r="E1206" i="1"/>
  <c r="E1212" i="1"/>
  <c r="E1249" i="1"/>
  <c r="E1280" i="1"/>
  <c r="F1286" i="1"/>
  <c r="E1317" i="1"/>
  <c r="F1323" i="1"/>
  <c r="E1329" i="1"/>
  <c r="E1354" i="1"/>
  <c r="F1391" i="1"/>
  <c r="F1428" i="1"/>
  <c r="F1434" i="1"/>
  <c r="E1465" i="1"/>
  <c r="E1471" i="1"/>
  <c r="E1502" i="1"/>
  <c r="E1539" i="1"/>
  <c r="E1545" i="1"/>
  <c r="F1548" i="1"/>
  <c r="E1474" i="1"/>
  <c r="F1400" i="1"/>
  <c r="F1289" i="1"/>
  <c r="E1283" i="1"/>
  <c r="F1252" i="1"/>
  <c r="F1246" i="1"/>
  <c r="F1178" i="1"/>
  <c r="F1030" i="1"/>
  <c r="E1024" i="1"/>
  <c r="F993" i="1"/>
  <c r="F956" i="1"/>
  <c r="F882" i="1"/>
  <c r="E851" i="1"/>
  <c r="E845" i="1"/>
  <c r="E839" i="1"/>
  <c r="E808" i="1"/>
  <c r="F734" i="1"/>
  <c r="F514" i="1"/>
  <c r="F440" i="1"/>
  <c r="E403" i="1"/>
  <c r="E366" i="1"/>
  <c r="F329" i="1"/>
  <c r="E317" i="1"/>
  <c r="F292" i="1"/>
  <c r="F255" i="1"/>
  <c r="F144" i="1"/>
  <c r="F70" i="1"/>
  <c r="F67" i="1"/>
  <c r="E134" i="1"/>
  <c r="E171" i="1"/>
  <c r="E208" i="1"/>
  <c r="E245" i="1"/>
  <c r="E282" i="1"/>
  <c r="F319" i="1"/>
  <c r="F356" i="1"/>
  <c r="E390" i="1"/>
  <c r="E430" i="1"/>
  <c r="F467" i="1"/>
  <c r="F538" i="1"/>
  <c r="E575" i="1"/>
  <c r="E650" i="1"/>
  <c r="E687" i="1"/>
  <c r="F699" i="1"/>
  <c r="E724" i="1"/>
  <c r="F761" i="1"/>
  <c r="E798" i="1"/>
  <c r="F835" i="1"/>
  <c r="F872" i="1"/>
  <c r="E909" i="1"/>
  <c r="E946" i="1"/>
  <c r="E983" i="1"/>
  <c r="E1057" i="1"/>
  <c r="E1131" i="1"/>
  <c r="E1168" i="1"/>
  <c r="E1205" i="1"/>
  <c r="E1242" i="1"/>
  <c r="E1279" i="1"/>
  <c r="E1316" i="1"/>
  <c r="E1353" i="1"/>
  <c r="F1390" i="1"/>
  <c r="F1501" i="1"/>
  <c r="E1587" i="1"/>
  <c r="F33" i="1"/>
  <c r="E32" i="1"/>
  <c r="E30" i="1"/>
  <c r="F26" i="1"/>
  <c r="E27" i="1"/>
  <c r="E21" i="1"/>
  <c r="F35" i="1"/>
  <c r="E20" i="1"/>
  <c r="E36" i="1"/>
  <c r="E23" i="1"/>
  <c r="E24" i="1"/>
  <c r="F97" i="1"/>
  <c r="E95" i="1"/>
  <c r="F946" i="1"/>
  <c r="E884" i="1"/>
  <c r="F587" i="1"/>
  <c r="F332" i="1"/>
  <c r="E332" i="1"/>
  <c r="F252" i="1"/>
  <c r="E476" i="1"/>
  <c r="F477" i="1"/>
  <c r="E1585" i="1"/>
  <c r="F1587" i="1"/>
  <c r="F1578" i="1"/>
  <c r="E1578" i="1"/>
  <c r="F1539" i="1"/>
  <c r="E1501" i="1"/>
  <c r="E1477" i="1"/>
  <c r="F1479" i="1"/>
  <c r="F1399" i="1"/>
  <c r="E1399" i="1"/>
  <c r="F1397" i="1"/>
  <c r="F1332" i="1"/>
  <c r="E1322" i="1"/>
  <c r="F1331" i="1"/>
  <c r="E1320" i="1"/>
  <c r="E1286" i="1"/>
  <c r="F1258" i="1"/>
  <c r="E1214" i="1"/>
  <c r="F1221" i="1"/>
  <c r="E1211" i="1"/>
  <c r="E1221" i="1"/>
  <c r="F1183" i="1"/>
  <c r="E1183" i="1"/>
  <c r="F1172" i="1"/>
  <c r="F1181" i="1"/>
  <c r="E1172" i="1"/>
  <c r="E1106" i="1"/>
  <c r="E1103" i="1"/>
  <c r="F1104" i="1"/>
  <c r="F1101" i="1"/>
  <c r="F1064" i="1"/>
  <c r="E1064" i="1"/>
  <c r="F1066" i="1"/>
  <c r="F1036" i="1"/>
  <c r="F996" i="1"/>
  <c r="F888" i="1"/>
  <c r="F884" i="1"/>
  <c r="E835" i="1"/>
  <c r="F807" i="1"/>
  <c r="E807" i="1"/>
  <c r="F777" i="1"/>
  <c r="F697" i="1"/>
  <c r="F690" i="1"/>
  <c r="E697" i="1"/>
  <c r="E663" i="1"/>
  <c r="E654" i="1"/>
  <c r="F665" i="1"/>
  <c r="F629" i="1"/>
  <c r="E587" i="1"/>
  <c r="F585" i="1"/>
  <c r="E585" i="1"/>
  <c r="F553" i="1"/>
  <c r="F547" i="1"/>
  <c r="E547" i="1"/>
  <c r="E479" i="1"/>
  <c r="E473" i="1"/>
  <c r="F439" i="1"/>
  <c r="E439" i="1"/>
  <c r="F437" i="1"/>
  <c r="E402" i="1"/>
  <c r="F400" i="1"/>
  <c r="E400" i="1"/>
  <c r="E369" i="1"/>
  <c r="F328" i="1"/>
  <c r="E328" i="1"/>
  <c r="F326" i="1"/>
  <c r="E295" i="1"/>
  <c r="F258" i="1"/>
  <c r="E258" i="1"/>
  <c r="F257" i="1"/>
  <c r="E254" i="1"/>
  <c r="E251" i="1"/>
  <c r="F221" i="1"/>
  <c r="E177" i="1"/>
  <c r="E141" i="1"/>
  <c r="F143" i="1"/>
  <c r="F104" i="1"/>
  <c r="E104" i="1"/>
  <c r="F103" i="1"/>
  <c r="E66" i="1"/>
  <c r="F73" i="1"/>
  <c r="E356" i="1"/>
  <c r="F357" i="1"/>
  <c r="F95" i="1"/>
  <c r="E94" i="1"/>
  <c r="F582" i="1"/>
  <c r="E581" i="1"/>
  <c r="F248" i="1"/>
  <c r="E539" i="1"/>
  <c r="E97" i="1"/>
  <c r="F138" i="1"/>
  <c r="E135" i="1"/>
  <c r="F172" i="1"/>
  <c r="F508" i="1"/>
  <c r="F433" i="1"/>
  <c r="F427" i="1"/>
  <c r="F391" i="1"/>
  <c r="E1507" i="1"/>
  <c r="F1465" i="1"/>
  <c r="F1282" i="1"/>
  <c r="F984" i="1"/>
  <c r="F878" i="1"/>
  <c r="F836" i="1"/>
  <c r="E765" i="1"/>
  <c r="F694" i="1"/>
  <c r="F575" i="1"/>
  <c r="F545" i="1"/>
  <c r="F504" i="1"/>
  <c r="F397" i="1"/>
  <c r="F353" i="1"/>
  <c r="F316" i="1"/>
  <c r="E249" i="1"/>
  <c r="F1545" i="1"/>
  <c r="E1542" i="1"/>
  <c r="E1541" i="1"/>
  <c r="F1505" i="1"/>
  <c r="F1502" i="1"/>
  <c r="F1470" i="1"/>
  <c r="F1471" i="1"/>
  <c r="F1464" i="1"/>
  <c r="E1464" i="1"/>
  <c r="E1434" i="1"/>
  <c r="F1433" i="1"/>
  <c r="F1430" i="1"/>
  <c r="E1430" i="1"/>
  <c r="F1431" i="1"/>
  <c r="E1394" i="1"/>
  <c r="E1393" i="1"/>
  <c r="E1390" i="1"/>
  <c r="F1359" i="1"/>
  <c r="E1357" i="1"/>
  <c r="F1353" i="1"/>
  <c r="F1354" i="1"/>
  <c r="F1320" i="1"/>
  <c r="F1317" i="1"/>
  <c r="F1316" i="1"/>
  <c r="F1285" i="1"/>
  <c r="E1248" i="1"/>
  <c r="F1205" i="1"/>
  <c r="F1169" i="1"/>
  <c r="F1168" i="1"/>
  <c r="E1138" i="1"/>
  <c r="E1132" i="1"/>
  <c r="F1097" i="1"/>
  <c r="F1095" i="1"/>
  <c r="F1061" i="1"/>
  <c r="E1026" i="1"/>
  <c r="F983" i="1"/>
  <c r="F953" i="1"/>
  <c r="F947" i="1"/>
  <c r="F912" i="1"/>
  <c r="F909" i="1"/>
  <c r="F876" i="1"/>
  <c r="E768" i="1"/>
  <c r="F728" i="1"/>
  <c r="F724" i="1"/>
  <c r="F691" i="1"/>
  <c r="E656" i="1"/>
  <c r="F650" i="1"/>
  <c r="E651" i="1"/>
  <c r="F620" i="1"/>
  <c r="F578" i="1"/>
  <c r="F542" i="1"/>
  <c r="E538" i="1"/>
  <c r="F507" i="1"/>
  <c r="F470" i="1"/>
  <c r="E471" i="1"/>
  <c r="F464" i="1"/>
  <c r="F465" i="1"/>
  <c r="F394" i="1"/>
  <c r="F393" i="1"/>
  <c r="F390" i="1"/>
  <c r="F360" i="1"/>
  <c r="F359" i="1"/>
  <c r="F323" i="1"/>
  <c r="F286" i="1"/>
  <c r="F282" i="1"/>
  <c r="F280" i="1"/>
  <c r="F245" i="1"/>
  <c r="F243" i="1"/>
  <c r="F212" i="1"/>
  <c r="F209" i="1"/>
  <c r="F208" i="1"/>
  <c r="F174" i="1"/>
  <c r="F168" i="1"/>
  <c r="E169" i="1"/>
  <c r="F131" i="1"/>
  <c r="E61" i="1"/>
  <c r="F20" i="1"/>
  <c r="F1279" i="1"/>
  <c r="F1212" i="1"/>
  <c r="F1206" i="1"/>
  <c r="F1171" i="1"/>
  <c r="F1134" i="1"/>
  <c r="F1057" i="1"/>
  <c r="F1021" i="1"/>
  <c r="F950" i="1"/>
  <c r="E799" i="1"/>
  <c r="F687" i="1"/>
  <c r="F657" i="1"/>
  <c r="F616" i="1"/>
  <c r="F579" i="1"/>
  <c r="F544" i="1"/>
  <c r="F501" i="1"/>
  <c r="F430" i="1"/>
  <c r="F354" i="1"/>
  <c r="E322" i="1"/>
  <c r="F285" i="1"/>
  <c r="E279" i="1"/>
  <c r="F242" i="1"/>
  <c r="F205" i="1"/>
  <c r="F175" i="1"/>
  <c r="F134" i="1"/>
  <c r="F94" i="1"/>
  <c r="F27" i="1"/>
  <c r="F23" i="1"/>
  <c r="F1027" i="1"/>
  <c r="F1020" i="1"/>
  <c r="E1020" i="1"/>
  <c r="F1249" i="1"/>
  <c r="F1245" i="1"/>
  <c r="E1245" i="1"/>
  <c r="F1242" i="1"/>
  <c r="F879" i="1"/>
  <c r="F875" i="1"/>
  <c r="F873" i="1"/>
  <c r="E872" i="1"/>
  <c r="F1137" i="1"/>
  <c r="E1137" i="1"/>
  <c r="F1131" i="1"/>
  <c r="E26" i="1"/>
  <c r="F805" i="1"/>
  <c r="E804" i="1"/>
  <c r="F802" i="1"/>
  <c r="F915" i="1"/>
  <c r="F913" i="1"/>
  <c r="F1063" i="1"/>
  <c r="E1063" i="1"/>
  <c r="F1209" i="1"/>
  <c r="F841" i="1"/>
  <c r="E841" i="1"/>
  <c r="E767" i="1"/>
  <c r="F989" i="1"/>
  <c r="F990" i="1"/>
  <c r="F987" i="1"/>
  <c r="F693" i="1"/>
  <c r="E693" i="1"/>
  <c r="F617" i="1"/>
  <c r="F502" i="1"/>
  <c r="F468" i="1"/>
  <c r="F431" i="1"/>
  <c r="F283" i="1"/>
  <c r="F211" i="1"/>
  <c r="F64" i="1"/>
  <c r="F63" i="1"/>
  <c r="E63" i="1"/>
  <c r="E60" i="1"/>
  <c r="F60" i="1"/>
  <c r="F57" i="1"/>
  <c r="F24" i="1"/>
  <c r="E101" i="1"/>
  <c r="F100" i="1"/>
  <c r="F98" i="1"/>
  <c r="F137" i="1"/>
  <c r="F396" i="1"/>
  <c r="E396" i="1"/>
  <c r="F171" i="1"/>
  <c r="F21" i="1"/>
  <c r="BL20" i="5" l="1"/>
  <c r="BK17" i="5"/>
  <c r="BK15" i="5"/>
  <c r="BM20" i="5" l="1"/>
  <c r="BL15" i="5"/>
  <c r="BL17" i="5"/>
  <c r="H11" i="9"/>
  <c r="I11" i="9" s="1"/>
  <c r="F303" i="4" l="1"/>
  <c r="F301" i="4"/>
  <c r="F299" i="4"/>
  <c r="F297" i="4"/>
  <c r="F295" i="4"/>
  <c r="F293" i="4"/>
  <c r="F291" i="4"/>
  <c r="F289" i="4"/>
  <c r="F287" i="4"/>
  <c r="F285" i="4"/>
  <c r="F283" i="4"/>
  <c r="F281" i="4"/>
  <c r="F279" i="4"/>
  <c r="F277" i="4"/>
  <c r="F275" i="4"/>
  <c r="F273" i="4"/>
  <c r="F271" i="4"/>
  <c r="F269" i="4"/>
  <c r="F267" i="4"/>
  <c r="F265" i="4"/>
  <c r="F263" i="4"/>
  <c r="F261" i="4"/>
  <c r="F259" i="4"/>
  <c r="F257" i="4"/>
  <c r="F255" i="4"/>
  <c r="F253" i="4"/>
  <c r="F251" i="4"/>
  <c r="F249" i="4"/>
  <c r="F247" i="4"/>
  <c r="F245" i="4"/>
  <c r="F243" i="4"/>
  <c r="F241" i="4"/>
  <c r="F239" i="4"/>
  <c r="F237" i="4"/>
  <c r="F235" i="4"/>
  <c r="F233" i="4"/>
  <c r="F231" i="4"/>
  <c r="F229" i="4"/>
  <c r="F227" i="4"/>
  <c r="F225" i="4"/>
  <c r="F223" i="4"/>
  <c r="F221" i="4"/>
  <c r="F219" i="4"/>
  <c r="F217" i="4"/>
  <c r="F215" i="4"/>
  <c r="F213" i="4"/>
  <c r="F211" i="4"/>
  <c r="F209" i="4"/>
  <c r="F207" i="4"/>
  <c r="F205" i="4"/>
  <c r="F203" i="4"/>
  <c r="F201" i="4"/>
  <c r="F199" i="4"/>
  <c r="F197" i="4"/>
  <c r="F195" i="4"/>
  <c r="F193" i="4"/>
  <c r="F191" i="4"/>
  <c r="F189" i="4"/>
  <c r="F187" i="4"/>
  <c r="F185" i="4"/>
  <c r="F183" i="4"/>
  <c r="F181" i="4"/>
  <c r="F179" i="4"/>
  <c r="F177" i="4"/>
  <c r="F175" i="4"/>
  <c r="F173" i="4"/>
  <c r="J11" i="9"/>
  <c r="F252" i="4"/>
  <c r="F220" i="4"/>
  <c r="F204" i="4"/>
  <c r="F188" i="4"/>
  <c r="F172" i="4"/>
  <c r="F290" i="4"/>
  <c r="F274" i="4"/>
  <c r="F258" i="4"/>
  <c r="F242" i="4"/>
  <c r="F226" i="4"/>
  <c r="F194" i="4"/>
  <c r="F296" i="4"/>
  <c r="F280" i="4"/>
  <c r="F264" i="4"/>
  <c r="F248" i="4"/>
  <c r="F232" i="4"/>
  <c r="F216" i="4"/>
  <c r="F200" i="4"/>
  <c r="F184" i="4"/>
  <c r="F166" i="4"/>
  <c r="F158" i="4"/>
  <c r="F150" i="4"/>
  <c r="F142" i="4"/>
  <c r="F134" i="4"/>
  <c r="F139" i="4"/>
  <c r="F228" i="4"/>
  <c r="F168" i="4"/>
  <c r="F160" i="4"/>
  <c r="F152" i="4"/>
  <c r="F145" i="4"/>
  <c r="F302" i="4"/>
  <c r="F286" i="4"/>
  <c r="F270" i="4"/>
  <c r="F254" i="4"/>
  <c r="F238" i="4"/>
  <c r="F222" i="4"/>
  <c r="F206" i="4"/>
  <c r="F190" i="4"/>
  <c r="F174" i="4"/>
  <c r="F171" i="4"/>
  <c r="F163" i="4"/>
  <c r="F155" i="4"/>
  <c r="F147" i="4"/>
  <c r="F260" i="4"/>
  <c r="F212" i="4"/>
  <c r="F144" i="4"/>
  <c r="F136" i="4"/>
  <c r="F250" i="4"/>
  <c r="F218" i="4"/>
  <c r="F186" i="4"/>
  <c r="F165" i="4"/>
  <c r="F157" i="4"/>
  <c r="F161" i="4"/>
  <c r="F292" i="4"/>
  <c r="F276" i="4"/>
  <c r="F244" i="4"/>
  <c r="F196" i="4"/>
  <c r="F180" i="4"/>
  <c r="F234" i="4"/>
  <c r="F202" i="4"/>
  <c r="F149" i="4"/>
  <c r="F141" i="4"/>
  <c r="F133" i="4"/>
  <c r="F132" i="4"/>
  <c r="F298" i="4"/>
  <c r="F282" i="4"/>
  <c r="F266" i="4"/>
  <c r="F153" i="4"/>
  <c r="F288" i="4"/>
  <c r="F272" i="4"/>
  <c r="F256" i="4"/>
  <c r="F240" i="4"/>
  <c r="F224" i="4"/>
  <c r="F208" i="4"/>
  <c r="F192" i="4"/>
  <c r="F176" i="4"/>
  <c r="F170" i="4"/>
  <c r="F162" i="4"/>
  <c r="F154" i="4"/>
  <c r="F146" i="4"/>
  <c r="F138" i="4"/>
  <c r="F135" i="4"/>
  <c r="F300" i="4"/>
  <c r="F284" i="4"/>
  <c r="F268" i="4"/>
  <c r="F236" i="4"/>
  <c r="F164" i="4"/>
  <c r="F156" i="4"/>
  <c r="F210" i="4"/>
  <c r="F137" i="4"/>
  <c r="F294" i="4"/>
  <c r="F278" i="4"/>
  <c r="F262" i="4"/>
  <c r="F246" i="4"/>
  <c r="F230" i="4"/>
  <c r="F214" i="4"/>
  <c r="F198" i="4"/>
  <c r="F182" i="4"/>
  <c r="F167" i="4"/>
  <c r="F159" i="4"/>
  <c r="F151" i="4"/>
  <c r="F143" i="4"/>
  <c r="F148" i="4"/>
  <c r="F140" i="4"/>
  <c r="F178" i="4"/>
  <c r="F169" i="4"/>
  <c r="F128" i="4"/>
  <c r="F124" i="4"/>
  <c r="F120" i="4"/>
  <c r="F116" i="4"/>
  <c r="F112" i="4"/>
  <c r="F108" i="4"/>
  <c r="F104" i="4"/>
  <c r="F100" i="4"/>
  <c r="F96" i="4"/>
  <c r="F92" i="4"/>
  <c r="F88" i="4"/>
  <c r="F84" i="4"/>
  <c r="F80" i="4"/>
  <c r="F76" i="4"/>
  <c r="F72" i="4"/>
  <c r="F68" i="4"/>
  <c r="F64" i="4"/>
  <c r="F60" i="4"/>
  <c r="F56" i="4"/>
  <c r="C66" i="4"/>
  <c r="C58" i="4"/>
  <c r="C65" i="4"/>
  <c r="C57" i="4"/>
  <c r="F131" i="4"/>
  <c r="F127" i="4"/>
  <c r="F123" i="4"/>
  <c r="F119" i="4"/>
  <c r="F115" i="4"/>
  <c r="F111" i="4"/>
  <c r="F107" i="4"/>
  <c r="F103" i="4"/>
  <c r="F99" i="4"/>
  <c r="F95" i="4"/>
  <c r="F91" i="4"/>
  <c r="F87" i="4"/>
  <c r="F83" i="4"/>
  <c r="F79" i="4"/>
  <c r="F75" i="4"/>
  <c r="F71" i="4"/>
  <c r="F67" i="4"/>
  <c r="F63" i="4"/>
  <c r="F59" i="4"/>
  <c r="C72" i="4"/>
  <c r="C64" i="4"/>
  <c r="C56" i="4"/>
  <c r="C71" i="4"/>
  <c r="C63" i="4"/>
  <c r="C59" i="4"/>
  <c r="F130" i="4"/>
  <c r="F126" i="4"/>
  <c r="F122" i="4"/>
  <c r="F118" i="4"/>
  <c r="F114" i="4"/>
  <c r="F110" i="4"/>
  <c r="F106" i="4"/>
  <c r="F102" i="4"/>
  <c r="F98" i="4"/>
  <c r="F94" i="4"/>
  <c r="F90" i="4"/>
  <c r="F86" i="4"/>
  <c r="F82" i="4"/>
  <c r="F78" i="4"/>
  <c r="F74" i="4"/>
  <c r="F70" i="4"/>
  <c r="F66" i="4"/>
  <c r="F62" i="4"/>
  <c r="F58" i="4"/>
  <c r="C70" i="4"/>
  <c r="C62" i="4"/>
  <c r="C69" i="4"/>
  <c r="C61" i="4"/>
  <c r="C67" i="4"/>
  <c r="F129" i="4"/>
  <c r="F125" i="4"/>
  <c r="F121" i="4"/>
  <c r="F117" i="4"/>
  <c r="F113" i="4"/>
  <c r="F109" i="4"/>
  <c r="F105" i="4"/>
  <c r="F101" i="4"/>
  <c r="F97" i="4"/>
  <c r="F93" i="4"/>
  <c r="F89" i="4"/>
  <c r="F85" i="4"/>
  <c r="F81" i="4"/>
  <c r="F77" i="4"/>
  <c r="F73" i="4"/>
  <c r="F69" i="4"/>
  <c r="F65" i="4"/>
  <c r="F61" i="4"/>
  <c r="F57" i="4"/>
  <c r="C68" i="4"/>
  <c r="C60" i="4"/>
  <c r="BN20" i="5"/>
  <c r="BM15" i="5"/>
  <c r="BM17" i="5"/>
  <c r="DH11" i="5"/>
  <c r="DQ11" i="5"/>
  <c r="EF11" i="5"/>
  <c r="EO11" i="5"/>
  <c r="DI11" i="5"/>
  <c r="ED11" i="5"/>
  <c r="DX11" i="5"/>
  <c r="EG11" i="5"/>
  <c r="EM11" i="5"/>
  <c r="BG2" i="5"/>
  <c r="CW3" i="5" s="1"/>
  <c r="DP11" i="5"/>
  <c r="DY11" i="5"/>
  <c r="DG11" i="5"/>
  <c r="DV11" i="5"/>
  <c r="EE11" i="5"/>
  <c r="DN11" i="5"/>
  <c r="DW11" i="5"/>
  <c r="EB11" i="5"/>
  <c r="BF154" i="5"/>
  <c r="BF155" i="5" s="1"/>
  <c r="BF156" i="5" s="1"/>
  <c r="BF157" i="5" s="1"/>
  <c r="EL11" i="5"/>
  <c r="DO11" i="5"/>
  <c r="DL11" i="5"/>
  <c r="EA11" i="5"/>
  <c r="EH11" i="5"/>
  <c r="EK11" i="5"/>
  <c r="DZ11" i="5"/>
  <c r="DR11" i="5"/>
  <c r="DU11" i="5"/>
  <c r="EJ11" i="5"/>
  <c r="EO12" i="5"/>
  <c r="DM11" i="5"/>
  <c r="BH11" i="5"/>
  <c r="K9" i="1" s="1"/>
  <c r="DJ11" i="5"/>
  <c r="EN11" i="5"/>
  <c r="DT11" i="5"/>
  <c r="EC11" i="5"/>
  <c r="DS11" i="5"/>
  <c r="DK11" i="5"/>
  <c r="EI11" i="5"/>
  <c r="A1" i="1"/>
  <c r="AH85" i="20" l="1"/>
  <c r="D61" i="4"/>
  <c r="E61" i="4"/>
  <c r="D70" i="4"/>
  <c r="E70" i="4"/>
  <c r="E57" i="4"/>
  <c r="D57" i="4"/>
  <c r="D60" i="4"/>
  <c r="E60" i="4"/>
  <c r="D68" i="4"/>
  <c r="E68" i="4"/>
  <c r="E64" i="4"/>
  <c r="D64" i="4"/>
  <c r="E56" i="4"/>
  <c r="D56" i="4"/>
  <c r="D71" i="4"/>
  <c r="E71" i="4"/>
  <c r="E72" i="4"/>
  <c r="D72" i="4"/>
  <c r="D63" i="4"/>
  <c r="E63" i="4"/>
  <c r="E59" i="4"/>
  <c r="D59" i="4"/>
  <c r="E62" i="4"/>
  <c r="D62" i="4"/>
  <c r="E58" i="4"/>
  <c r="D58" i="4"/>
  <c r="E69" i="4"/>
  <c r="D69" i="4"/>
  <c r="D66" i="4"/>
  <c r="E66" i="4"/>
  <c r="E67" i="4"/>
  <c r="D67" i="4"/>
  <c r="D65" i="4"/>
  <c r="E65" i="4"/>
  <c r="AV43" i="20"/>
  <c r="S43" i="20"/>
  <c r="S140" i="20"/>
  <c r="AV142" i="20"/>
  <c r="BR8" i="20"/>
  <c r="BR9" i="20" s="1"/>
  <c r="BR10" i="20" s="1"/>
  <c r="BR11" i="20" s="1"/>
  <c r="BR12" i="20" s="1"/>
  <c r="BR13" i="20" s="1"/>
  <c r="BR14" i="20" s="1"/>
  <c r="BR15" i="20" s="1"/>
  <c r="BR16" i="20" s="1"/>
  <c r="BR17" i="20" s="1"/>
  <c r="BR18" i="20" s="1"/>
  <c r="BR19" i="20" s="1"/>
  <c r="BR20" i="20" s="1"/>
  <c r="BR21" i="20" s="1"/>
  <c r="BR22" i="20" s="1"/>
  <c r="BR23" i="20" s="1"/>
  <c r="BR24" i="20" s="1"/>
  <c r="BR25" i="20" s="1"/>
  <c r="BR26" i="20" s="1"/>
  <c r="BR27" i="20" s="1"/>
  <c r="BR28" i="20" s="1"/>
  <c r="BR29" i="20" s="1"/>
  <c r="BR30" i="20" s="1"/>
  <c r="BR31" i="20" s="1"/>
  <c r="BR32" i="20" s="1"/>
  <c r="BR33" i="20" s="1"/>
  <c r="BR34" i="20" s="1"/>
  <c r="BR35" i="20" s="1"/>
  <c r="BR36" i="20" s="1"/>
  <c r="BR37" i="20" s="1"/>
  <c r="BR38" i="20" s="1"/>
  <c r="BR39" i="20" s="1"/>
  <c r="BR40" i="20" s="1"/>
  <c r="BR41" i="20" s="1"/>
  <c r="BR42" i="20" s="1"/>
  <c r="BR43" i="20" s="1"/>
  <c r="BR44" i="20" s="1"/>
  <c r="BR45" i="20" s="1"/>
  <c r="BR46" i="20" s="1"/>
  <c r="BR47" i="20" s="1"/>
  <c r="BR48" i="20" s="1"/>
  <c r="BR49" i="20" s="1"/>
  <c r="BR50" i="20" s="1"/>
  <c r="BR51" i="20" s="1"/>
  <c r="BR52" i="20" s="1"/>
  <c r="BR53" i="20" s="1"/>
  <c r="BR54" i="20" s="1"/>
  <c r="BR55" i="20" s="1"/>
  <c r="BR56" i="20" s="1"/>
  <c r="BR57" i="20" s="1"/>
  <c r="BR58" i="20" s="1"/>
  <c r="BR59" i="20" s="1"/>
  <c r="BR60" i="20" s="1"/>
  <c r="BR61" i="20" s="1"/>
  <c r="BR62" i="20" s="1"/>
  <c r="BR63" i="20" s="1"/>
  <c r="BR64" i="20" s="1"/>
  <c r="BR65" i="20" s="1"/>
  <c r="BR66" i="20" s="1"/>
  <c r="BR67" i="20" s="1"/>
  <c r="BR68" i="20" s="1"/>
  <c r="BR69" i="20" s="1"/>
  <c r="BR70" i="20" s="1"/>
  <c r="BR71" i="20" s="1"/>
  <c r="BR72" i="20" s="1"/>
  <c r="BR73" i="20" s="1"/>
  <c r="BR74" i="20" s="1"/>
  <c r="BR75" i="20" s="1"/>
  <c r="BR76" i="20" s="1"/>
  <c r="BR77" i="20" s="1"/>
  <c r="BR78" i="20" s="1"/>
  <c r="BR79" i="20" s="1"/>
  <c r="BR80" i="20" s="1"/>
  <c r="BR81" i="20" s="1"/>
  <c r="BR82" i="20" s="1"/>
  <c r="BR83" i="20" s="1"/>
  <c r="BR84" i="20" s="1"/>
  <c r="BR85" i="20" s="1"/>
  <c r="BR86" i="20" s="1"/>
  <c r="BR87" i="20" s="1"/>
  <c r="BR88" i="20" s="1"/>
  <c r="BR89" i="20" s="1"/>
  <c r="BR90" i="20" s="1"/>
  <c r="BR91" i="20" s="1"/>
  <c r="BR92" i="20" s="1"/>
  <c r="BR93" i="20" s="1"/>
  <c r="BR94" i="20" s="1"/>
  <c r="BR95" i="20" s="1"/>
  <c r="BR96" i="20" s="1"/>
  <c r="BR97" i="20" s="1"/>
  <c r="BR98" i="20" s="1"/>
  <c r="BR99" i="20" s="1"/>
  <c r="BR100" i="20" s="1"/>
  <c r="BR101" i="20" s="1"/>
  <c r="BR102" i="20" s="1"/>
  <c r="BR103" i="20" s="1"/>
  <c r="BR104" i="20" s="1"/>
  <c r="BR105" i="20" s="1"/>
  <c r="BR106" i="20" s="1"/>
  <c r="BR107" i="20" s="1"/>
  <c r="BR108" i="20" s="1"/>
  <c r="BR109" i="20" s="1"/>
  <c r="BR110" i="20" s="1"/>
  <c r="BR111" i="20" s="1"/>
  <c r="BR112" i="20" s="1"/>
  <c r="BR113" i="20" s="1"/>
  <c r="BR114" i="20" s="1"/>
  <c r="BR115" i="20" s="1"/>
  <c r="BR116" i="20" s="1"/>
  <c r="BR117" i="20" s="1"/>
  <c r="BR118" i="20" s="1"/>
  <c r="BR119" i="20" s="1"/>
  <c r="BR120" i="20" s="1"/>
  <c r="BR121" i="20" s="1"/>
  <c r="BR122" i="20" s="1"/>
  <c r="BR123" i="20" s="1"/>
  <c r="BR124" i="20" s="1"/>
  <c r="BR125" i="20" s="1"/>
  <c r="BR126" i="20" s="1"/>
  <c r="BR127" i="20" s="1"/>
  <c r="BR128" i="20" s="1"/>
  <c r="BR129" i="20" s="1"/>
  <c r="BR130" i="20" s="1"/>
  <c r="BR131" i="20" s="1"/>
  <c r="BR132" i="20" s="1"/>
  <c r="BR133" i="20" s="1"/>
  <c r="BR134" i="20" s="1"/>
  <c r="BR135" i="20" s="1"/>
  <c r="I9" i="1"/>
  <c r="L9" i="1" s="1"/>
  <c r="AU144" i="20"/>
  <c r="AG11" i="1"/>
  <c r="V48" i="20"/>
  <c r="V144" i="20" s="1"/>
  <c r="AU48" i="20"/>
  <c r="B3" i="20"/>
  <c r="B9" i="20" s="1"/>
  <c r="B15" i="20" s="1"/>
  <c r="B21" i="20" s="1"/>
  <c r="B27" i="20" s="1"/>
  <c r="B33" i="20" s="1"/>
  <c r="B39" i="20" s="1"/>
  <c r="B45" i="20" s="1"/>
  <c r="B51" i="20" s="1"/>
  <c r="B57" i="20" s="1"/>
  <c r="B63" i="20" s="1"/>
  <c r="B69" i="20" s="1"/>
  <c r="B75" i="20" s="1"/>
  <c r="B81" i="20" s="1"/>
  <c r="B87" i="20" s="1"/>
  <c r="B93" i="20" s="1"/>
  <c r="B99" i="20" s="1"/>
  <c r="B105" i="20" s="1"/>
  <c r="B111" i="20" s="1"/>
  <c r="B117" i="20" s="1"/>
  <c r="B123" i="20" s="1"/>
  <c r="B129" i="20" s="1"/>
  <c r="B135" i="20" s="1"/>
  <c r="B141" i="20" s="1"/>
  <c r="B147" i="20" s="1"/>
  <c r="B153" i="20" s="1"/>
  <c r="B159" i="20" s="1"/>
  <c r="B165" i="20" s="1"/>
  <c r="B171" i="20" s="1"/>
  <c r="B177" i="20" s="1"/>
  <c r="B183" i="20" s="1"/>
  <c r="B189" i="20" s="1"/>
  <c r="AY23" i="20"/>
  <c r="AY71" i="20" s="1"/>
  <c r="AY120" i="20" s="1"/>
  <c r="AY168" i="20" s="1"/>
  <c r="AG10" i="1"/>
  <c r="BO3" i="20"/>
  <c r="BO9" i="20" s="1"/>
  <c r="BO15" i="20" s="1"/>
  <c r="BO21" i="20" s="1"/>
  <c r="BO27" i="20" s="1"/>
  <c r="BO33" i="20" s="1"/>
  <c r="BO39" i="20" s="1"/>
  <c r="BO45" i="20" s="1"/>
  <c r="BO51" i="20" s="1"/>
  <c r="BO57" i="20" s="1"/>
  <c r="BO63" i="20" s="1"/>
  <c r="BO69" i="20" s="1"/>
  <c r="BO75" i="20" s="1"/>
  <c r="BO81" i="20" s="1"/>
  <c r="BO87" i="20" s="1"/>
  <c r="BO93" i="20" s="1"/>
  <c r="BO99" i="20" s="1"/>
  <c r="BO105" i="20" s="1"/>
  <c r="BO111" i="20" s="1"/>
  <c r="BO117" i="20" s="1"/>
  <c r="BO123" i="20" s="1"/>
  <c r="BO129" i="20" s="1"/>
  <c r="BO135" i="20" s="1"/>
  <c r="BO141" i="20" s="1"/>
  <c r="BO147" i="20" s="1"/>
  <c r="BO153" i="20" s="1"/>
  <c r="BO159" i="20" s="1"/>
  <c r="BO165" i="20" s="1"/>
  <c r="BO171" i="20" s="1"/>
  <c r="BO177" i="20" s="1"/>
  <c r="BO183" i="20" s="1"/>
  <c r="BO189" i="20" s="1"/>
  <c r="M12" i="20"/>
  <c r="N36" i="20" s="1"/>
  <c r="I6" i="20"/>
  <c r="I18" i="20" s="1"/>
  <c r="I30" i="20" s="1"/>
  <c r="I42" i="20" s="1"/>
  <c r="I54" i="20" s="1"/>
  <c r="I66" i="20" s="1"/>
  <c r="I78" i="20" s="1"/>
  <c r="I90" i="20" s="1"/>
  <c r="I102" i="20" s="1"/>
  <c r="I114" i="20" s="1"/>
  <c r="I126" i="20" s="1"/>
  <c r="I138" i="20" s="1"/>
  <c r="I150" i="20" s="1"/>
  <c r="I162" i="20" s="1"/>
  <c r="I174" i="20" s="1"/>
  <c r="I186" i="20" s="1"/>
  <c r="BH6" i="20"/>
  <c r="BH18" i="20" s="1"/>
  <c r="BH30" i="20" s="1"/>
  <c r="BH42" i="20" s="1"/>
  <c r="BH54" i="20" s="1"/>
  <c r="BH66" i="20" s="1"/>
  <c r="BH78" i="20" s="1"/>
  <c r="BH90" i="20" s="1"/>
  <c r="BH102" i="20" s="1"/>
  <c r="BH114" i="20" s="1"/>
  <c r="BH126" i="20" s="1"/>
  <c r="BH138" i="20" s="1"/>
  <c r="BH150" i="20" s="1"/>
  <c r="BH162" i="20" s="1"/>
  <c r="BH174" i="20" s="1"/>
  <c r="BH186" i="20" s="1"/>
  <c r="AF12" i="1"/>
  <c r="AF13" i="1" s="1"/>
  <c r="AG13" i="1" s="1"/>
  <c r="N12" i="20"/>
  <c r="R24" i="20"/>
  <c r="R72" i="20" s="1"/>
  <c r="R120" i="20" s="1"/>
  <c r="R168" i="20" s="1"/>
  <c r="BC12" i="20"/>
  <c r="BC36" i="20" s="1"/>
  <c r="BC60" i="20" s="1"/>
  <c r="BC84" i="20" s="1"/>
  <c r="BC108" i="20" s="1"/>
  <c r="BC132" i="20" s="1"/>
  <c r="BC156" i="20" s="1"/>
  <c r="BC180" i="20" s="1"/>
  <c r="Z96" i="20"/>
  <c r="AQ96" i="20" s="1"/>
  <c r="DD3" i="5"/>
  <c r="CU5" i="5"/>
  <c r="DN4" i="5"/>
  <c r="DI5" i="5"/>
  <c r="DQ4" i="5"/>
  <c r="BI3" i="5"/>
  <c r="BJ3" i="5" s="1"/>
  <c r="BK3" i="5" s="1"/>
  <c r="BL3" i="5" s="1"/>
  <c r="EN12" i="5"/>
  <c r="EM12" i="5" s="1"/>
  <c r="EL12" i="5" s="1"/>
  <c r="EK12" i="5" s="1"/>
  <c r="EJ12" i="5" s="1"/>
  <c r="EI12" i="5" s="1"/>
  <c r="EH12" i="5" s="1"/>
  <c r="EG12" i="5" s="1"/>
  <c r="EF12" i="5" s="1"/>
  <c r="EE12" i="5" s="1"/>
  <c r="ED12" i="5" s="1"/>
  <c r="EC12" i="5" s="1"/>
  <c r="EB12" i="5" s="1"/>
  <c r="EA12" i="5" s="1"/>
  <c r="DZ12" i="5" s="1"/>
  <c r="DY12" i="5" s="1"/>
  <c r="DX12" i="5" s="1"/>
  <c r="DW12" i="5" s="1"/>
  <c r="DV12" i="5" s="1"/>
  <c r="DU12" i="5" s="1"/>
  <c r="DT12" i="5" s="1"/>
  <c r="DS12" i="5" s="1"/>
  <c r="DR12" i="5" s="1"/>
  <c r="DQ12" i="5" s="1"/>
  <c r="DP12" i="5" s="1"/>
  <c r="DO12" i="5" s="1"/>
  <c r="DN12" i="5" s="1"/>
  <c r="DM12" i="5" s="1"/>
  <c r="DL12" i="5" s="1"/>
  <c r="DK12" i="5" s="1"/>
  <c r="DJ12" i="5" s="1"/>
  <c r="DI12" i="5" s="1"/>
  <c r="DH12" i="5" s="1"/>
  <c r="DG12" i="5" s="1"/>
  <c r="BO20" i="5"/>
  <c r="BN17" i="5"/>
  <c r="BN15" i="5"/>
  <c r="DC5" i="5"/>
  <c r="DR5" i="5"/>
  <c r="DQ6" i="5"/>
  <c r="CT3" i="5"/>
  <c r="DR4" i="5"/>
  <c r="DK4" i="5"/>
  <c r="CY5" i="5"/>
  <c r="CY3" i="5"/>
  <c r="CX6" i="5"/>
  <c r="K1567" i="1" s="1"/>
  <c r="L1567" i="1" s="1"/>
  <c r="DO6" i="5"/>
  <c r="DQ3" i="5"/>
  <c r="DF4" i="5"/>
  <c r="DN6" i="5"/>
  <c r="DK5" i="5"/>
  <c r="CZ3" i="5"/>
  <c r="CV4" i="5"/>
  <c r="DK3" i="5"/>
  <c r="DN5" i="5"/>
  <c r="CT5" i="5"/>
  <c r="CX4" i="5"/>
  <c r="DR6" i="5"/>
  <c r="DS5" i="5"/>
  <c r="DS6" i="5" s="1"/>
  <c r="DK6" i="5"/>
  <c r="DA3" i="5"/>
  <c r="CU4" i="5"/>
  <c r="DD5" i="5"/>
  <c r="DP4" i="5"/>
  <c r="DL4" i="5"/>
  <c r="CZ4" i="5"/>
  <c r="DA4" i="5"/>
  <c r="CV5" i="5"/>
  <c r="CW5" i="5"/>
  <c r="DP5" i="5"/>
  <c r="DL3" i="5"/>
  <c r="DS3" i="5"/>
  <c r="DS4" i="5" s="1"/>
  <c r="DO5" i="5"/>
  <c r="DP6" i="5"/>
  <c r="CW4" i="5"/>
  <c r="CU6" i="5"/>
  <c r="K1456" i="1" s="1"/>
  <c r="L1456" i="1" s="1"/>
  <c r="DI6" i="5"/>
  <c r="DE3" i="5"/>
  <c r="DR3" i="5"/>
  <c r="CZ5" i="5"/>
  <c r="DF3" i="5"/>
  <c r="CY4" i="5"/>
  <c r="CX5" i="5"/>
  <c r="DB5" i="5"/>
  <c r="CZ6" i="5"/>
  <c r="DA6" i="5"/>
  <c r="DM5" i="5"/>
  <c r="DA5" i="5"/>
  <c r="DE6" i="5"/>
  <c r="DL6" i="5"/>
  <c r="DD6" i="5"/>
  <c r="DG3" i="5"/>
  <c r="DH5" i="5"/>
  <c r="CT6" i="5"/>
  <c r="K1419" i="1" s="1"/>
  <c r="L1419" i="1" s="1"/>
  <c r="DH3" i="5"/>
  <c r="DB3" i="5"/>
  <c r="DG6" i="5"/>
  <c r="DB6" i="5"/>
  <c r="DJ4" i="5"/>
  <c r="CX3" i="5"/>
  <c r="DN3" i="5"/>
  <c r="DP3" i="5"/>
  <c r="DO4" i="5"/>
  <c r="DJ3" i="5"/>
  <c r="DO3" i="5"/>
  <c r="BI11" i="5"/>
  <c r="BJ11" i="5" s="1"/>
  <c r="K83" i="1" s="1"/>
  <c r="DJ5" i="5"/>
  <c r="CV3" i="5"/>
  <c r="DC6" i="5"/>
  <c r="CV6" i="5"/>
  <c r="K1493" i="1" s="1"/>
  <c r="L1493" i="1" s="1"/>
  <c r="DG5" i="5"/>
  <c r="DF6" i="5"/>
  <c r="DD4" i="5"/>
  <c r="DL5" i="5"/>
  <c r="DJ6" i="5"/>
  <c r="CT4" i="5"/>
  <c r="DE5" i="5"/>
  <c r="DC3" i="5"/>
  <c r="DG4" i="5"/>
  <c r="DI3" i="5"/>
  <c r="CU3" i="5"/>
  <c r="CW6" i="5"/>
  <c r="K1530" i="1" s="1"/>
  <c r="L1530" i="1" s="1"/>
  <c r="DH6" i="5"/>
  <c r="DI4" i="5"/>
  <c r="DE4" i="5"/>
  <c r="DM6" i="5"/>
  <c r="CY6" i="5"/>
  <c r="DM4" i="5"/>
  <c r="DF5" i="5"/>
  <c r="DM3" i="5"/>
  <c r="DQ5" i="5"/>
  <c r="DC4" i="5"/>
  <c r="DH4" i="5"/>
  <c r="DB4" i="5"/>
  <c r="GK123" i="5"/>
  <c r="GK55" i="5"/>
  <c r="GK7" i="5"/>
  <c r="GK6" i="5"/>
  <c r="GK23" i="5"/>
  <c r="GK21" i="5"/>
  <c r="BE156" i="5"/>
  <c r="BH156" i="5" s="1"/>
  <c r="BE152" i="5"/>
  <c r="GK71" i="5"/>
  <c r="GK22" i="5"/>
  <c r="GK26" i="5"/>
  <c r="GK107" i="5"/>
  <c r="GK115" i="5"/>
  <c r="GK47" i="5"/>
  <c r="GK79" i="5"/>
  <c r="GK29" i="5"/>
  <c r="GK37" i="5"/>
  <c r="GK31" i="5"/>
  <c r="GK59" i="5"/>
  <c r="GK99" i="5"/>
  <c r="GK43" i="5"/>
  <c r="GK14" i="5"/>
  <c r="BE154" i="5"/>
  <c r="BH154" i="5" s="1"/>
  <c r="GK18" i="5"/>
  <c r="GK10" i="5"/>
  <c r="GK103" i="5"/>
  <c r="GK63" i="5"/>
  <c r="GK5" i="5"/>
  <c r="GK83" i="5"/>
  <c r="GK33" i="5"/>
  <c r="GK91" i="5"/>
  <c r="BE155" i="5"/>
  <c r="BH155" i="5" s="1"/>
  <c r="GK35" i="5"/>
  <c r="GK51" i="5"/>
  <c r="GK95" i="5"/>
  <c r="GK13" i="5"/>
  <c r="GK119" i="5"/>
  <c r="GK25" i="5"/>
  <c r="GK39" i="5"/>
  <c r="GK87" i="5"/>
  <c r="GK9" i="5"/>
  <c r="GK75" i="5"/>
  <c r="GK111" i="5"/>
  <c r="GK17" i="5"/>
  <c r="GK15" i="5"/>
  <c r="GK127" i="5"/>
  <c r="GK4" i="5"/>
  <c r="GK8" i="5" s="1"/>
  <c r="GK12" i="5" s="1"/>
  <c r="GK16" i="5" s="1"/>
  <c r="GK20" i="5" s="1"/>
  <c r="GK24" i="5" s="1"/>
  <c r="GK28" i="5" s="1"/>
  <c r="GK27" i="5"/>
  <c r="GK30" i="5"/>
  <c r="GK19" i="5"/>
  <c r="GK67" i="5"/>
  <c r="GK11" i="5"/>
  <c r="BF158" i="5"/>
  <c r="I83" i="1" l="1"/>
  <c r="F83" i="1" s="1"/>
  <c r="H20" i="1"/>
  <c r="I20" i="1" s="1"/>
  <c r="F9" i="1"/>
  <c r="I1419" i="1"/>
  <c r="I1567" i="1"/>
  <c r="F1567" i="1" s="1"/>
  <c r="I1456" i="1"/>
  <c r="F1456" i="1" s="1"/>
  <c r="GN3" i="5"/>
  <c r="B3" i="6"/>
  <c r="C3" i="6" s="1"/>
  <c r="AH11" i="1"/>
  <c r="BK11" i="5"/>
  <c r="K120" i="1" s="1"/>
  <c r="AG12" i="1"/>
  <c r="AF14" i="1"/>
  <c r="AG14" i="1" s="1"/>
  <c r="N60" i="20"/>
  <c r="K46" i="1"/>
  <c r="BP20" i="5"/>
  <c r="BO17" i="5"/>
  <c r="BO15" i="5"/>
  <c r="BE157" i="5"/>
  <c r="BH157" i="5" s="1"/>
  <c r="I1530" i="1"/>
  <c r="F1530" i="1" s="1"/>
  <c r="I1493" i="1"/>
  <c r="F1493" i="1" s="1"/>
  <c r="M1567" i="1"/>
  <c r="O1567" i="1" s="1"/>
  <c r="M1456" i="1"/>
  <c r="O1456" i="1" s="1"/>
  <c r="M1419" i="1"/>
  <c r="O1419" i="1" s="1"/>
  <c r="BF159" i="5"/>
  <c r="BM3" i="5"/>
  <c r="K3" i="6" l="1"/>
  <c r="L3" i="6" s="1"/>
  <c r="H94" i="1"/>
  <c r="I94" i="1" s="1"/>
  <c r="K94" i="1" s="1"/>
  <c r="I46" i="1"/>
  <c r="F46" i="1" s="1"/>
  <c r="L83" i="1"/>
  <c r="H1439" i="1"/>
  <c r="I1439" i="1" s="1"/>
  <c r="F1419" i="1"/>
  <c r="H1479" i="1"/>
  <c r="I1479" i="1" s="1"/>
  <c r="H1436" i="1"/>
  <c r="I1436" i="1" s="1"/>
  <c r="H1477" i="1"/>
  <c r="I1477" i="1" s="1"/>
  <c r="H1473" i="1"/>
  <c r="I1473" i="1" s="1"/>
  <c r="H1480" i="1"/>
  <c r="I1480" i="1" s="1"/>
  <c r="B84" i="6"/>
  <c r="H1474" i="1"/>
  <c r="I1474" i="1" s="1"/>
  <c r="H1585" i="1"/>
  <c r="I1585" i="1" s="1"/>
  <c r="H1476" i="1"/>
  <c r="I1476" i="1" s="1"/>
  <c r="H1590" i="1"/>
  <c r="I1590" i="1" s="1"/>
  <c r="H1437" i="1"/>
  <c r="I1437" i="1" s="1"/>
  <c r="H1587" i="1"/>
  <c r="I1587" i="1" s="1"/>
  <c r="H1591" i="1"/>
  <c r="I1591" i="1" s="1"/>
  <c r="H1440" i="1"/>
  <c r="I1440" i="1" s="1"/>
  <c r="H1588" i="1"/>
  <c r="I1588" i="1" s="1"/>
  <c r="H1443" i="1"/>
  <c r="I1443" i="1" s="1"/>
  <c r="H1442" i="1"/>
  <c r="I1442" i="1" s="1"/>
  <c r="B90" i="6"/>
  <c r="K78" i="6"/>
  <c r="H1584" i="1"/>
  <c r="I1584" i="1" s="1"/>
  <c r="M1530" i="1"/>
  <c r="O1530" i="1" s="1"/>
  <c r="BL11" i="5"/>
  <c r="BM11" i="5" s="1"/>
  <c r="K194" i="1" s="1"/>
  <c r="AH12" i="1"/>
  <c r="AH13" i="1" s="1"/>
  <c r="AH14" i="1" s="1"/>
  <c r="AF15" i="1"/>
  <c r="AG15" i="1" s="1"/>
  <c r="N84" i="20"/>
  <c r="BQ20" i="5"/>
  <c r="BP15" i="5"/>
  <c r="BP17" i="5"/>
  <c r="H1551" i="1"/>
  <c r="I1551" i="1" s="1"/>
  <c r="K84" i="6"/>
  <c r="Q1419" i="1"/>
  <c r="H1548" i="1"/>
  <c r="I1548" i="1" s="1"/>
  <c r="R1419" i="1"/>
  <c r="H1547" i="1"/>
  <c r="I1547" i="1" s="1"/>
  <c r="N1419" i="1"/>
  <c r="H1553" i="1"/>
  <c r="I1553" i="1" s="1"/>
  <c r="H1550" i="1"/>
  <c r="I1550" i="1" s="1"/>
  <c r="H1554" i="1"/>
  <c r="I1554" i="1" s="1"/>
  <c r="BE158" i="5"/>
  <c r="BH158" i="5" s="1"/>
  <c r="F84" i="6"/>
  <c r="N1456" i="1"/>
  <c r="H1517" i="1"/>
  <c r="I1517" i="1" s="1"/>
  <c r="H1510" i="1"/>
  <c r="I1510" i="1" s="1"/>
  <c r="H1513" i="1"/>
  <c r="I1513" i="1" s="1"/>
  <c r="H1514" i="1"/>
  <c r="I1514" i="1" s="1"/>
  <c r="M1493" i="1"/>
  <c r="O1493" i="1" s="1"/>
  <c r="H1516" i="1"/>
  <c r="I1516" i="1" s="1"/>
  <c r="H1511" i="1"/>
  <c r="I1511" i="1" s="1"/>
  <c r="R1567" i="1"/>
  <c r="Q1567" i="1"/>
  <c r="Q1456" i="1"/>
  <c r="R1456" i="1"/>
  <c r="N1567" i="1"/>
  <c r="I120" i="1"/>
  <c r="F120" i="1" s="1"/>
  <c r="BN3" i="5"/>
  <c r="BF160" i="5"/>
  <c r="H57" i="1" l="1"/>
  <c r="I57" i="1" s="1"/>
  <c r="F3" i="6"/>
  <c r="G3" i="6" s="1"/>
  <c r="L120" i="1"/>
  <c r="R1439" i="1"/>
  <c r="R1479" i="1"/>
  <c r="R1436" i="1"/>
  <c r="R1473" i="1"/>
  <c r="R1476" i="1"/>
  <c r="R1584" i="1"/>
  <c r="R1590" i="1"/>
  <c r="R1587" i="1"/>
  <c r="R1442" i="1"/>
  <c r="Q1530" i="1"/>
  <c r="R1530" i="1"/>
  <c r="N1530" i="1"/>
  <c r="R1516" i="1"/>
  <c r="R1550" i="1"/>
  <c r="R1510" i="1"/>
  <c r="R1553" i="1"/>
  <c r="R1547" i="1"/>
  <c r="R1513" i="1"/>
  <c r="K157" i="1"/>
  <c r="AF16" i="1"/>
  <c r="AG16" i="1" s="1"/>
  <c r="BE159" i="5"/>
  <c r="BH159" i="5" s="1"/>
  <c r="N108" i="20"/>
  <c r="AH15" i="1"/>
  <c r="BR20" i="5"/>
  <c r="BQ17" i="5"/>
  <c r="BQ15" i="5"/>
  <c r="R1493" i="1"/>
  <c r="N1493" i="1"/>
  <c r="Q1493" i="1"/>
  <c r="I194" i="1"/>
  <c r="F194" i="1" s="1"/>
  <c r="BN11" i="5"/>
  <c r="K231" i="1" s="1"/>
  <c r="B9" i="6"/>
  <c r="C9" i="6" s="1"/>
  <c r="H131" i="1"/>
  <c r="I131" i="1" s="1"/>
  <c r="BO3" i="5"/>
  <c r="BF161" i="5"/>
  <c r="L194" i="1" l="1"/>
  <c r="I157" i="1"/>
  <c r="F157" i="1" s="1"/>
  <c r="BE160" i="5"/>
  <c r="BH160" i="5" s="1"/>
  <c r="AF17" i="1"/>
  <c r="AG17" i="1" s="1"/>
  <c r="N132" i="20"/>
  <c r="AH16" i="1"/>
  <c r="BS20" i="5"/>
  <c r="BR17" i="5"/>
  <c r="BR15" i="5"/>
  <c r="K131" i="1"/>
  <c r="BO11" i="5"/>
  <c r="K268" i="1" s="1"/>
  <c r="BF162" i="5"/>
  <c r="BP3" i="5"/>
  <c r="L157" i="1" l="1"/>
  <c r="F9" i="6"/>
  <c r="G9" i="6" s="1"/>
  <c r="H168" i="1"/>
  <c r="I168" i="1" s="1"/>
  <c r="BE161" i="5"/>
  <c r="BH161" i="5" s="1"/>
  <c r="AF18" i="1"/>
  <c r="AG18" i="1" s="1"/>
  <c r="N156" i="20"/>
  <c r="N180" i="20" s="1"/>
  <c r="AH17" i="1"/>
  <c r="BT20" i="5"/>
  <c r="BS17" i="5"/>
  <c r="BS15" i="5"/>
  <c r="I231" i="1"/>
  <c r="BP11" i="5"/>
  <c r="K305" i="1" s="1"/>
  <c r="K9" i="6"/>
  <c r="L9" i="6" s="1"/>
  <c r="H205" i="1"/>
  <c r="I205" i="1" s="1"/>
  <c r="BQ3" i="5"/>
  <c r="BF163" i="5"/>
  <c r="F231" i="1" l="1"/>
  <c r="L231" i="1"/>
  <c r="I305" i="1"/>
  <c r="F305" i="1" s="1"/>
  <c r="BE162" i="5"/>
  <c r="BH162" i="5" s="1"/>
  <c r="AF19" i="1"/>
  <c r="AG19" i="1" s="1"/>
  <c r="AH18" i="1"/>
  <c r="BU20" i="5"/>
  <c r="BT15" i="5"/>
  <c r="BT17" i="5"/>
  <c r="I268" i="1"/>
  <c r="BQ11" i="5"/>
  <c r="K342" i="1" s="1"/>
  <c r="B15" i="6"/>
  <c r="C15" i="6" s="1"/>
  <c r="H242" i="1"/>
  <c r="I242" i="1" s="1"/>
  <c r="BR3" i="5"/>
  <c r="BF164" i="5"/>
  <c r="F268" i="1" l="1"/>
  <c r="L268" i="1"/>
  <c r="L305" i="1"/>
  <c r="BE163" i="5"/>
  <c r="BH163" i="5" s="1"/>
  <c r="AF20" i="1"/>
  <c r="AG20" i="1" s="1"/>
  <c r="AH19" i="1"/>
  <c r="BV20" i="5"/>
  <c r="BU15" i="5"/>
  <c r="BU17" i="5"/>
  <c r="K242" i="1"/>
  <c r="BR11" i="5"/>
  <c r="K379" i="1" s="1"/>
  <c r="F15" i="6"/>
  <c r="G15" i="6" s="1"/>
  <c r="H279" i="1"/>
  <c r="I279" i="1" s="1"/>
  <c r="BF165" i="5"/>
  <c r="BS3" i="5"/>
  <c r="BE164" i="5" l="1"/>
  <c r="BH164" i="5" s="1"/>
  <c r="AF21" i="1"/>
  <c r="AG21" i="1" s="1"/>
  <c r="AH20" i="1"/>
  <c r="BW20" i="5"/>
  <c r="BV17" i="5"/>
  <c r="BV15" i="5"/>
  <c r="K279" i="1"/>
  <c r="I342" i="1"/>
  <c r="BS11" i="5"/>
  <c r="K416" i="1" s="1"/>
  <c r="K15" i="6"/>
  <c r="L15" i="6" s="1"/>
  <c r="H316" i="1"/>
  <c r="I316" i="1" s="1"/>
  <c r="BT3" i="5"/>
  <c r="BF166" i="5"/>
  <c r="F342" i="1" l="1"/>
  <c r="L342" i="1"/>
  <c r="I416" i="1"/>
  <c r="F416" i="1" s="1"/>
  <c r="BE165" i="5"/>
  <c r="BH165" i="5" s="1"/>
  <c r="AF22" i="1"/>
  <c r="AG22" i="1" s="1"/>
  <c r="AH21" i="1"/>
  <c r="BX20" i="5"/>
  <c r="BW17" i="5"/>
  <c r="BW15" i="5"/>
  <c r="K316" i="1"/>
  <c r="H353" i="1"/>
  <c r="I353" i="1" s="1"/>
  <c r="B21" i="6"/>
  <c r="C21" i="6" s="1"/>
  <c r="I379" i="1"/>
  <c r="BT11" i="5"/>
  <c r="K453" i="1" s="1"/>
  <c r="BU3" i="5"/>
  <c r="BF167" i="5"/>
  <c r="F379" i="1" l="1"/>
  <c r="L379" i="1"/>
  <c r="L416" i="1"/>
  <c r="I453" i="1"/>
  <c r="F453" i="1" s="1"/>
  <c r="BE166" i="5"/>
  <c r="BH166" i="5" s="1"/>
  <c r="AH22" i="1"/>
  <c r="AF23" i="1"/>
  <c r="AG23" i="1" s="1"/>
  <c r="BY20" i="5"/>
  <c r="BX15" i="5"/>
  <c r="BX17" i="5"/>
  <c r="K353" i="1"/>
  <c r="F21" i="6"/>
  <c r="G21" i="6" s="1"/>
  <c r="H390" i="1"/>
  <c r="I390" i="1" s="1"/>
  <c r="BU11" i="5"/>
  <c r="K490" i="1" s="1"/>
  <c r="BF168" i="5"/>
  <c r="BV3" i="5"/>
  <c r="L453" i="1" l="1"/>
  <c r="BE167" i="5"/>
  <c r="BH167" i="5" s="1"/>
  <c r="AH23" i="1"/>
  <c r="AF24" i="1"/>
  <c r="AG24" i="1" s="1"/>
  <c r="BZ20" i="5"/>
  <c r="BY17" i="5"/>
  <c r="BY15" i="5"/>
  <c r="K390" i="1"/>
  <c r="K21" i="6"/>
  <c r="L21" i="6" s="1"/>
  <c r="H427" i="1"/>
  <c r="I427" i="1" s="1"/>
  <c r="BV11" i="5"/>
  <c r="K527" i="1" s="1"/>
  <c r="BW3" i="5"/>
  <c r="BF169" i="5"/>
  <c r="BE168" i="5" l="1"/>
  <c r="BH168" i="5" s="1"/>
  <c r="AH24" i="1"/>
  <c r="AF25" i="1"/>
  <c r="AG25" i="1" s="1"/>
  <c r="BZ17" i="5"/>
  <c r="BZ15" i="5"/>
  <c r="CA20" i="5"/>
  <c r="K427" i="1"/>
  <c r="B27" i="6"/>
  <c r="C27" i="6" s="1"/>
  <c r="H464" i="1"/>
  <c r="I464" i="1" s="1"/>
  <c r="I490" i="1"/>
  <c r="BW11" i="5"/>
  <c r="K564" i="1" s="1"/>
  <c r="BF170" i="5"/>
  <c r="BX3" i="5"/>
  <c r="F490" i="1" l="1"/>
  <c r="L490" i="1"/>
  <c r="BE169" i="5"/>
  <c r="BH169" i="5" s="1"/>
  <c r="AH25" i="1"/>
  <c r="AF26" i="1"/>
  <c r="AG26" i="1" s="1"/>
  <c r="CB20" i="5"/>
  <c r="CA17" i="5"/>
  <c r="CA15" i="5"/>
  <c r="K464" i="1"/>
  <c r="H501" i="1"/>
  <c r="I501" i="1" s="1"/>
  <c r="F27" i="6"/>
  <c r="G27" i="6" s="1"/>
  <c r="I527" i="1"/>
  <c r="BX11" i="5"/>
  <c r="K602" i="1" s="1"/>
  <c r="BY3" i="5"/>
  <c r="BF171" i="5"/>
  <c r="F527" i="1" l="1"/>
  <c r="L527" i="1"/>
  <c r="BE170" i="5"/>
  <c r="BH170" i="5" s="1"/>
  <c r="AH26" i="1"/>
  <c r="AF27" i="1"/>
  <c r="AG27" i="1" s="1"/>
  <c r="CC20" i="5"/>
  <c r="CB15" i="5"/>
  <c r="CB17" i="5"/>
  <c r="K501" i="1"/>
  <c r="I564" i="1"/>
  <c r="K27" i="6"/>
  <c r="L27" i="6" s="1"/>
  <c r="H538" i="1"/>
  <c r="I538" i="1" s="1"/>
  <c r="BY11" i="5"/>
  <c r="K639" i="1" s="1"/>
  <c r="BF172" i="5"/>
  <c r="BZ3" i="5"/>
  <c r="F564" i="1" l="1"/>
  <c r="L564" i="1"/>
  <c r="BE171" i="5"/>
  <c r="BH171" i="5" s="1"/>
  <c r="AH27" i="1"/>
  <c r="AF28" i="1"/>
  <c r="AG28" i="1" s="1"/>
  <c r="CD20" i="5"/>
  <c r="CC15" i="5"/>
  <c r="CC17" i="5"/>
  <c r="K538" i="1"/>
  <c r="I602" i="1"/>
  <c r="BZ11" i="5"/>
  <c r="K676" i="1" s="1"/>
  <c r="L676" i="1" s="1"/>
  <c r="B33" i="6"/>
  <c r="C33" i="6" s="1"/>
  <c r="H575" i="1"/>
  <c r="I575" i="1" s="1"/>
  <c r="BF173" i="5"/>
  <c r="CA3" i="5"/>
  <c r="F602" i="1" l="1"/>
  <c r="L602" i="1"/>
  <c r="BE172" i="5"/>
  <c r="BH172" i="5" s="1"/>
  <c r="AH28" i="1"/>
  <c r="AF29" i="1"/>
  <c r="AG29" i="1" s="1"/>
  <c r="CE20" i="5"/>
  <c r="CD17" i="5"/>
  <c r="CD15" i="5"/>
  <c r="K575" i="1"/>
  <c r="I639" i="1"/>
  <c r="F33" i="6"/>
  <c r="G33" i="6" s="1"/>
  <c r="H613" i="1"/>
  <c r="I613" i="1" s="1"/>
  <c r="CA11" i="5"/>
  <c r="K713" i="1" s="1"/>
  <c r="L713" i="1" s="1"/>
  <c r="BF174" i="5"/>
  <c r="CB3" i="5"/>
  <c r="F639" i="1" l="1"/>
  <c r="L639" i="1"/>
  <c r="BE173" i="5"/>
  <c r="BH173" i="5" s="1"/>
  <c r="AH29" i="1"/>
  <c r="AF30" i="1"/>
  <c r="AG30" i="1" s="1"/>
  <c r="CF20" i="5"/>
  <c r="CE17" i="5"/>
  <c r="CE15" i="5"/>
  <c r="K613" i="1"/>
  <c r="I676" i="1"/>
  <c r="F676" i="1" s="1"/>
  <c r="CB11" i="5"/>
  <c r="K750" i="1" s="1"/>
  <c r="L750" i="1" s="1"/>
  <c r="K33" i="6"/>
  <c r="L33" i="6" s="1"/>
  <c r="H650" i="1"/>
  <c r="I650" i="1" s="1"/>
  <c r="CC3" i="5"/>
  <c r="BF175" i="5"/>
  <c r="BE174" i="5" l="1"/>
  <c r="BH174" i="5" s="1"/>
  <c r="AH30" i="1"/>
  <c r="AF31" i="1"/>
  <c r="AG31" i="1" s="1"/>
  <c r="CG20" i="5"/>
  <c r="CF15" i="5"/>
  <c r="CF17" i="5"/>
  <c r="K650" i="1"/>
  <c r="B39" i="6"/>
  <c r="C39" i="6" s="1"/>
  <c r="H687" i="1"/>
  <c r="I687" i="1" s="1"/>
  <c r="I713" i="1"/>
  <c r="F713" i="1" s="1"/>
  <c r="CC11" i="5"/>
  <c r="K787" i="1" s="1"/>
  <c r="L787" i="1" s="1"/>
  <c r="BF176" i="5"/>
  <c r="CD3" i="5"/>
  <c r="BE175" i="5" l="1"/>
  <c r="BH175" i="5" s="1"/>
  <c r="AH31" i="1"/>
  <c r="AF32" i="1"/>
  <c r="AG32" i="1" s="1"/>
  <c r="CH20" i="5"/>
  <c r="CG17" i="5"/>
  <c r="CG15" i="5"/>
  <c r="K687" i="1"/>
  <c r="H724" i="1"/>
  <c r="I724" i="1" s="1"/>
  <c r="F39" i="6"/>
  <c r="G39" i="6" s="1"/>
  <c r="CD11" i="5"/>
  <c r="K824" i="1" s="1"/>
  <c r="L824" i="1" s="1"/>
  <c r="BF177" i="5"/>
  <c r="CE3" i="5"/>
  <c r="BE176" i="5" l="1"/>
  <c r="BH176" i="5" s="1"/>
  <c r="AH32" i="1"/>
  <c r="AF33" i="1"/>
  <c r="AG33" i="1" s="1"/>
  <c r="CI20" i="5"/>
  <c r="CH17" i="5"/>
  <c r="CH15" i="5"/>
  <c r="K724" i="1"/>
  <c r="I787" i="1"/>
  <c r="F787" i="1" s="1"/>
  <c r="CE11" i="5"/>
  <c r="K861" i="1" s="1"/>
  <c r="L861" i="1" s="1"/>
  <c r="CF3" i="5"/>
  <c r="BF178" i="5"/>
  <c r="BE177" i="5" l="1"/>
  <c r="BH177" i="5" s="1"/>
  <c r="AH33" i="1"/>
  <c r="AF34" i="1"/>
  <c r="AG34" i="1" s="1"/>
  <c r="CJ20" i="5"/>
  <c r="CI15" i="5"/>
  <c r="CI17" i="5"/>
  <c r="I824" i="1"/>
  <c r="F824" i="1" s="1"/>
  <c r="CF11" i="5"/>
  <c r="K898" i="1" s="1"/>
  <c r="L898" i="1" s="1"/>
  <c r="H798" i="1"/>
  <c r="I798" i="1" s="1"/>
  <c r="B45" i="6"/>
  <c r="C45" i="6" s="1"/>
  <c r="BF179" i="5"/>
  <c r="CG3" i="5"/>
  <c r="BE178" i="5" l="1"/>
  <c r="BH178" i="5" s="1"/>
  <c r="AH34" i="1"/>
  <c r="AF35" i="1"/>
  <c r="AG35" i="1" s="1"/>
  <c r="CK20" i="5"/>
  <c r="CJ15" i="5"/>
  <c r="CJ17" i="5"/>
  <c r="K798" i="1"/>
  <c r="CH3" i="5"/>
  <c r="CI3" i="5" s="1"/>
  <c r="I861" i="1"/>
  <c r="F861" i="1" s="1"/>
  <c r="CG11" i="5"/>
  <c r="K935" i="1" s="1"/>
  <c r="L935" i="1" s="1"/>
  <c r="F45" i="6"/>
  <c r="G45" i="6" s="1"/>
  <c r="H835" i="1"/>
  <c r="I835" i="1" s="1"/>
  <c r="BF180" i="5"/>
  <c r="BE179" i="5" l="1"/>
  <c r="BH179" i="5" s="1"/>
  <c r="AH35" i="1"/>
  <c r="AF36" i="1"/>
  <c r="AG36" i="1" s="1"/>
  <c r="CL20" i="5"/>
  <c r="CK15" i="5"/>
  <c r="CK17" i="5"/>
  <c r="K835" i="1"/>
  <c r="CJ3" i="5"/>
  <c r="CK3" i="5" s="1"/>
  <c r="I898" i="1"/>
  <c r="F898" i="1" s="1"/>
  <c r="CH11" i="5"/>
  <c r="K972" i="1" s="1"/>
  <c r="L972" i="1" s="1"/>
  <c r="K45" i="6"/>
  <c r="L45" i="6" s="1"/>
  <c r="H872" i="1"/>
  <c r="I872" i="1" s="1"/>
  <c r="BF181" i="5"/>
  <c r="BE180" i="5" l="1"/>
  <c r="BH180" i="5" s="1"/>
  <c r="AH36" i="1"/>
  <c r="AF37" i="1"/>
  <c r="AG37" i="1" s="1"/>
  <c r="CM20" i="5"/>
  <c r="CL17" i="5"/>
  <c r="CL15" i="5"/>
  <c r="K872" i="1"/>
  <c r="CL3" i="5"/>
  <c r="CM3" i="5" s="1"/>
  <c r="I935" i="1"/>
  <c r="F935" i="1" s="1"/>
  <c r="CI11" i="5"/>
  <c r="K1009" i="1" s="1"/>
  <c r="L1009" i="1" s="1"/>
  <c r="B51" i="6"/>
  <c r="C51" i="6" s="1"/>
  <c r="H909" i="1"/>
  <c r="I909" i="1" s="1"/>
  <c r="BF182" i="5"/>
  <c r="BE181" i="5" l="1"/>
  <c r="BH181" i="5" s="1"/>
  <c r="AH37" i="1"/>
  <c r="AF38" i="1"/>
  <c r="AG38" i="1" s="1"/>
  <c r="CN20" i="5"/>
  <c r="CM17" i="5"/>
  <c r="CM15" i="5"/>
  <c r="K909" i="1"/>
  <c r="CN3" i="5"/>
  <c r="I972" i="1"/>
  <c r="F972" i="1" s="1"/>
  <c r="CJ11" i="5"/>
  <c r="K1046" i="1" s="1"/>
  <c r="L1046" i="1" s="1"/>
  <c r="F51" i="6"/>
  <c r="G51" i="6" s="1"/>
  <c r="H946" i="1"/>
  <c r="I946" i="1" s="1"/>
  <c r="BF183" i="5"/>
  <c r="BE182" i="5" l="1"/>
  <c r="BH182" i="5" s="1"/>
  <c r="AH38" i="1"/>
  <c r="AF39" i="1"/>
  <c r="AG39" i="1" s="1"/>
  <c r="CO20" i="5"/>
  <c r="CN15" i="5"/>
  <c r="CN17" i="5"/>
  <c r="K946" i="1"/>
  <c r="CO3" i="5"/>
  <c r="CP3" i="5" s="1"/>
  <c r="CK11" i="5"/>
  <c r="K1083" i="1" s="1"/>
  <c r="L1083" i="1" s="1"/>
  <c r="I1009" i="1"/>
  <c r="F1009" i="1" s="1"/>
  <c r="K51" i="6"/>
  <c r="L51" i="6" s="1"/>
  <c r="H983" i="1"/>
  <c r="I983" i="1" s="1"/>
  <c r="BF184" i="5"/>
  <c r="BE183" i="5" l="1"/>
  <c r="BH183" i="5" s="1"/>
  <c r="AH39" i="1"/>
  <c r="AF40" i="1"/>
  <c r="AG40" i="1" s="1"/>
  <c r="CP20" i="5"/>
  <c r="CO17" i="5"/>
  <c r="CO15" i="5"/>
  <c r="K983" i="1"/>
  <c r="CQ3" i="5"/>
  <c r="H1020" i="1"/>
  <c r="I1020" i="1" s="1"/>
  <c r="B57" i="6"/>
  <c r="C57" i="6" s="1"/>
  <c r="I1046" i="1"/>
  <c r="F1046" i="1" s="1"/>
  <c r="CL11" i="5"/>
  <c r="K1120" i="1" s="1"/>
  <c r="L1120" i="1" s="1"/>
  <c r="BF185" i="5"/>
  <c r="BE184" i="5" l="1"/>
  <c r="BH184" i="5" s="1"/>
  <c r="AH40" i="1"/>
  <c r="AF41" i="1"/>
  <c r="AG41" i="1" s="1"/>
  <c r="CQ20" i="5"/>
  <c r="CP17" i="5"/>
  <c r="CP15" i="5"/>
  <c r="K1020" i="1"/>
  <c r="CR3" i="5"/>
  <c r="CS3" i="5" s="1"/>
  <c r="CS4" i="5" s="1"/>
  <c r="H1057" i="1"/>
  <c r="I1057" i="1" s="1"/>
  <c r="F57" i="6"/>
  <c r="G57" i="6" s="1"/>
  <c r="I1083" i="1"/>
  <c r="F1083" i="1" s="1"/>
  <c r="CM11" i="5"/>
  <c r="K1157" i="1" s="1"/>
  <c r="L1157" i="1" s="1"/>
  <c r="BF186" i="5"/>
  <c r="BE185" i="5" l="1"/>
  <c r="BH185" i="5" s="1"/>
  <c r="AH41" i="1"/>
  <c r="AF42" i="1"/>
  <c r="AG42" i="1" s="1"/>
  <c r="CR20" i="5"/>
  <c r="CQ17" i="5"/>
  <c r="CQ15" i="5"/>
  <c r="K1057" i="1"/>
  <c r="CR4" i="5"/>
  <c r="H1094" i="1"/>
  <c r="I1094" i="1" s="1"/>
  <c r="K57" i="6"/>
  <c r="L57" i="6" s="1"/>
  <c r="I1120" i="1"/>
  <c r="F1120" i="1" s="1"/>
  <c r="CN11" i="5"/>
  <c r="K1194" i="1" s="1"/>
  <c r="L1194" i="1" s="1"/>
  <c r="BF187" i="5"/>
  <c r="BE186" i="5" l="1"/>
  <c r="BH186" i="5" s="1"/>
  <c r="AH42" i="1"/>
  <c r="AF43" i="1"/>
  <c r="AG43" i="1" s="1"/>
  <c r="CS20" i="5"/>
  <c r="CR15" i="5"/>
  <c r="CR17" i="5"/>
  <c r="K1094" i="1"/>
  <c r="CQ4" i="5"/>
  <c r="H1131" i="1"/>
  <c r="I1131" i="1" s="1"/>
  <c r="B63" i="6"/>
  <c r="C63" i="6" s="1"/>
  <c r="I1157" i="1"/>
  <c r="F1157" i="1" s="1"/>
  <c r="CO11" i="5"/>
  <c r="K1231" i="1" s="1"/>
  <c r="L1231" i="1" s="1"/>
  <c r="BF188" i="5"/>
  <c r="BE187" i="5" l="1"/>
  <c r="BH187" i="5" s="1"/>
  <c r="AH43" i="1"/>
  <c r="AF44" i="1"/>
  <c r="AG44" i="1" s="1"/>
  <c r="CT20" i="5"/>
  <c r="CS15" i="5"/>
  <c r="CS17" i="5"/>
  <c r="K1131" i="1"/>
  <c r="CP4" i="5"/>
  <c r="F63" i="6"/>
  <c r="G63" i="6" s="1"/>
  <c r="H1168" i="1"/>
  <c r="I1168" i="1" s="1"/>
  <c r="I1194" i="1"/>
  <c r="F1194" i="1" s="1"/>
  <c r="CP11" i="5"/>
  <c r="K1268" i="1" s="1"/>
  <c r="L1268" i="1" s="1"/>
  <c r="BF189" i="5"/>
  <c r="BE188" i="5" l="1"/>
  <c r="BH188" i="5" s="1"/>
  <c r="AH44" i="1"/>
  <c r="AF45" i="1"/>
  <c r="AG45" i="1" s="1"/>
  <c r="CU20" i="5"/>
  <c r="CT17" i="5"/>
  <c r="CT15" i="5"/>
  <c r="K1168" i="1"/>
  <c r="CO4" i="5"/>
  <c r="CQ11" i="5"/>
  <c r="K63" i="6"/>
  <c r="L63" i="6" s="1"/>
  <c r="H1205" i="1"/>
  <c r="I1205" i="1" s="1"/>
  <c r="I1231" i="1"/>
  <c r="F1231" i="1" s="1"/>
  <c r="BF190" i="5"/>
  <c r="BE189" i="5" l="1"/>
  <c r="BH189" i="5" s="1"/>
  <c r="AH45" i="1"/>
  <c r="AF46" i="1"/>
  <c r="AG46" i="1" s="1"/>
  <c r="CV20" i="5"/>
  <c r="CU17" i="5"/>
  <c r="CU15" i="5"/>
  <c r="K1205" i="1"/>
  <c r="CR11" i="5"/>
  <c r="K1342" i="1" s="1"/>
  <c r="L1342" i="1" s="1"/>
  <c r="K1305" i="1"/>
  <c r="L1305" i="1" s="1"/>
  <c r="CN4" i="5"/>
  <c r="CM4" i="5" s="1"/>
  <c r="CL4" i="5" s="1"/>
  <c r="CK4" i="5" s="1"/>
  <c r="CJ4" i="5" s="1"/>
  <c r="CI4" i="5" s="1"/>
  <c r="CH4" i="5" s="1"/>
  <c r="H1242" i="1"/>
  <c r="I1242" i="1" s="1"/>
  <c r="B69" i="6"/>
  <c r="C69" i="6" s="1"/>
  <c r="I1268" i="1"/>
  <c r="F1268" i="1" s="1"/>
  <c r="BF191" i="5"/>
  <c r="BE190" i="5" l="1"/>
  <c r="BH190" i="5" s="1"/>
  <c r="AH46" i="1"/>
  <c r="AF47" i="1"/>
  <c r="AG47" i="1" s="1"/>
  <c r="CW20" i="5"/>
  <c r="CV15" i="5"/>
  <c r="CV17" i="5"/>
  <c r="CS11" i="5"/>
  <c r="K1379" i="1" s="1"/>
  <c r="L1379" i="1" s="1"/>
  <c r="K1242" i="1"/>
  <c r="CG4" i="5"/>
  <c r="I1342" i="1"/>
  <c r="F1342" i="1" s="1"/>
  <c r="I1305" i="1"/>
  <c r="F1305" i="1" s="1"/>
  <c r="F69" i="6"/>
  <c r="G69" i="6" s="1"/>
  <c r="H1279" i="1"/>
  <c r="I1279" i="1" s="1"/>
  <c r="BF192" i="5"/>
  <c r="BE191" i="5" l="1"/>
  <c r="BH191" i="5" s="1"/>
  <c r="AH47" i="1"/>
  <c r="AF48" i="1"/>
  <c r="AG48" i="1" s="1"/>
  <c r="CX20" i="5"/>
  <c r="CW17" i="5"/>
  <c r="CW15" i="5"/>
  <c r="CT11" i="5"/>
  <c r="K1416" i="1" s="1"/>
  <c r="L1416" i="1" s="1"/>
  <c r="K1279" i="1"/>
  <c r="CF4" i="5"/>
  <c r="H1353" i="1"/>
  <c r="I1353" i="1" s="1"/>
  <c r="B75" i="6"/>
  <c r="C75" i="6" s="1"/>
  <c r="I1379" i="1"/>
  <c r="F1379" i="1" s="1"/>
  <c r="K69" i="6"/>
  <c r="L69" i="6" s="1"/>
  <c r="H1316" i="1"/>
  <c r="I1316" i="1" s="1"/>
  <c r="BF193" i="5"/>
  <c r="BE192" i="5" l="1"/>
  <c r="BH192" i="5" s="1"/>
  <c r="AH48" i="1"/>
  <c r="AF49" i="1"/>
  <c r="AG49" i="1" s="1"/>
  <c r="CY20" i="5"/>
  <c r="CX17" i="5"/>
  <c r="CX15" i="5"/>
  <c r="CU11" i="5"/>
  <c r="CV11" i="5" s="1"/>
  <c r="CE4" i="5"/>
  <c r="I1416" i="1"/>
  <c r="F1416" i="1" s="1"/>
  <c r="F75" i="6"/>
  <c r="G75" i="6" s="1"/>
  <c r="H1390" i="1"/>
  <c r="I1390" i="1" s="1"/>
  <c r="K1353" i="1"/>
  <c r="K1316" i="1"/>
  <c r="BF194" i="5"/>
  <c r="BE193" i="5" l="1"/>
  <c r="BH193" i="5" s="1"/>
  <c r="AH49" i="1"/>
  <c r="AF50" i="1"/>
  <c r="AG50" i="1" s="1"/>
  <c r="CZ20" i="5"/>
  <c r="CY17" i="5"/>
  <c r="CY15" i="5"/>
  <c r="K1453" i="1"/>
  <c r="L1453" i="1" s="1"/>
  <c r="CW11" i="5"/>
  <c r="K1490" i="1"/>
  <c r="L1490" i="1" s="1"/>
  <c r="CD4" i="5"/>
  <c r="H1427" i="1"/>
  <c r="I1427" i="1" s="1"/>
  <c r="K75" i="6"/>
  <c r="L75" i="6" s="1"/>
  <c r="K1390" i="1"/>
  <c r="BF195" i="5"/>
  <c r="BE194" i="5" l="1"/>
  <c r="BH194" i="5" s="1"/>
  <c r="I1490" i="1"/>
  <c r="F1490" i="1" s="1"/>
  <c r="I1453" i="1"/>
  <c r="F1453" i="1" s="1"/>
  <c r="AH50" i="1"/>
  <c r="AF51" i="1"/>
  <c r="AG51" i="1" s="1"/>
  <c r="DA20" i="5"/>
  <c r="CZ17" i="5"/>
  <c r="CZ15" i="5"/>
  <c r="CX11" i="5"/>
  <c r="K1527" i="1"/>
  <c r="L1527" i="1" s="1"/>
  <c r="CC4" i="5"/>
  <c r="K1427" i="1"/>
  <c r="BF196" i="5"/>
  <c r="BE195" i="5" l="1"/>
  <c r="BH195" i="5" s="1"/>
  <c r="F81" i="6"/>
  <c r="G81" i="6" s="1"/>
  <c r="H1501" i="1"/>
  <c r="I1501" i="1" s="1"/>
  <c r="K1501" i="1" s="1"/>
  <c r="I1527" i="1"/>
  <c r="F1527" i="1" s="1"/>
  <c r="H1464" i="1"/>
  <c r="I1464" i="1" s="1"/>
  <c r="K1464" i="1" s="1"/>
  <c r="B81" i="6"/>
  <c r="C81" i="6" s="1"/>
  <c r="AH51" i="1"/>
  <c r="AF52" i="1"/>
  <c r="AG52" i="1" s="1"/>
  <c r="DB20" i="5"/>
  <c r="DA15" i="5"/>
  <c r="DA17" i="5"/>
  <c r="CY11" i="5"/>
  <c r="CZ11" i="5" s="1"/>
  <c r="K1564" i="1"/>
  <c r="L1564" i="1" s="1"/>
  <c r="CB4" i="5"/>
  <c r="BF197" i="5"/>
  <c r="BE196" i="5" l="1"/>
  <c r="BH196" i="5" s="1"/>
  <c r="K81" i="6"/>
  <c r="L81" i="6" s="1"/>
  <c r="H1538" i="1"/>
  <c r="I1538" i="1" s="1"/>
  <c r="K1538" i="1" s="1"/>
  <c r="AH52" i="1"/>
  <c r="AF53" i="1"/>
  <c r="AG53" i="1" s="1"/>
  <c r="DC20" i="5"/>
  <c r="DB15" i="5"/>
  <c r="DB17" i="5"/>
  <c r="I1564" i="1"/>
  <c r="F1564" i="1" s="1"/>
  <c r="DA11" i="5"/>
  <c r="DB11" i="5" s="1"/>
  <c r="DC11" i="5" s="1"/>
  <c r="DD11" i="5" s="1"/>
  <c r="DE11" i="5" s="1"/>
  <c r="CA4" i="5"/>
  <c r="BF198" i="5"/>
  <c r="BE197" i="5" l="1"/>
  <c r="BH197" i="5" s="1"/>
  <c r="AH53" i="1"/>
  <c r="AF54" i="1"/>
  <c r="AG54" i="1" s="1"/>
  <c r="DF11" i="5"/>
  <c r="DF12" i="5" s="1"/>
  <c r="DE12" i="5" s="1"/>
  <c r="DD12" i="5" s="1"/>
  <c r="DC12" i="5" s="1"/>
  <c r="DB12" i="5" s="1"/>
  <c r="DA12" i="5" s="1"/>
  <c r="CZ12" i="5" s="1"/>
  <c r="CY12" i="5" s="1"/>
  <c r="CX12" i="5" s="1"/>
  <c r="DD20" i="5"/>
  <c r="DC15" i="5"/>
  <c r="DC17" i="5"/>
  <c r="H1575" i="1"/>
  <c r="I1575" i="1" s="1"/>
  <c r="B87" i="6"/>
  <c r="C87" i="6" s="1"/>
  <c r="BZ4" i="5"/>
  <c r="BF199" i="5"/>
  <c r="BE198" i="5" l="1"/>
  <c r="BH198" i="5" s="1"/>
  <c r="AH54" i="1"/>
  <c r="AF55" i="1"/>
  <c r="AG55" i="1" s="1"/>
  <c r="K1565" i="1"/>
  <c r="L1565" i="1" s="1"/>
  <c r="CW12" i="5"/>
  <c r="CV12" i="5" s="1"/>
  <c r="DE20" i="5"/>
  <c r="DD17" i="5"/>
  <c r="DD15" i="5"/>
  <c r="K1575" i="1"/>
  <c r="BY4" i="5"/>
  <c r="BE199" i="5"/>
  <c r="BH199" i="5" s="1"/>
  <c r="BF200" i="5"/>
  <c r="I1565" i="1" l="1"/>
  <c r="F1565" i="1" s="1"/>
  <c r="AH55" i="1"/>
  <c r="AF56" i="1"/>
  <c r="AG56" i="1" s="1"/>
  <c r="K1528" i="1"/>
  <c r="L1528" i="1" s="1"/>
  <c r="DF20" i="5"/>
  <c r="DE15" i="5"/>
  <c r="DE17" i="5"/>
  <c r="K1491" i="1"/>
  <c r="L1491" i="1" s="1"/>
  <c r="CU12" i="5"/>
  <c r="BX4" i="5"/>
  <c r="BF201" i="5"/>
  <c r="BE200" i="5"/>
  <c r="BH200" i="5" s="1"/>
  <c r="B88" i="6" l="1"/>
  <c r="C88" i="6" s="1"/>
  <c r="I1528" i="1"/>
  <c r="F1528" i="1" s="1"/>
  <c r="AH56" i="1"/>
  <c r="AF57" i="1"/>
  <c r="AG57" i="1" s="1"/>
  <c r="DG20" i="5"/>
  <c r="DF15" i="5"/>
  <c r="DF17" i="5"/>
  <c r="CT12" i="5"/>
  <c r="K1454" i="1"/>
  <c r="L1454" i="1" s="1"/>
  <c r="I1491" i="1"/>
  <c r="F1491" i="1" s="1"/>
  <c r="BW4" i="5"/>
  <c r="BF202" i="5"/>
  <c r="BE201" i="5"/>
  <c r="BH201" i="5" s="1"/>
  <c r="K82" i="6" l="1"/>
  <c r="L82" i="6" s="1"/>
  <c r="AH57" i="1"/>
  <c r="AF58" i="1"/>
  <c r="AG58" i="1" s="1"/>
  <c r="DH20" i="5"/>
  <c r="DG17" i="5"/>
  <c r="DG15" i="5"/>
  <c r="F82" i="6"/>
  <c r="G82" i="6" s="1"/>
  <c r="I1454" i="1"/>
  <c r="F1454" i="1" s="1"/>
  <c r="K1417" i="1"/>
  <c r="L1417" i="1" s="1"/>
  <c r="CS12" i="5"/>
  <c r="BV4" i="5"/>
  <c r="BF203" i="5"/>
  <c r="BE202" i="5"/>
  <c r="BH202" i="5" s="1"/>
  <c r="AH58" i="1" l="1"/>
  <c r="AF59" i="1"/>
  <c r="AG59" i="1" s="1"/>
  <c r="DI20" i="5"/>
  <c r="DH17" i="5"/>
  <c r="DH15" i="5"/>
  <c r="K1380" i="1"/>
  <c r="L1380" i="1" s="1"/>
  <c r="CR12" i="5"/>
  <c r="I1417" i="1"/>
  <c r="F1417" i="1" s="1"/>
  <c r="B82" i="6"/>
  <c r="C82" i="6" s="1"/>
  <c r="BU4" i="5"/>
  <c r="BE203" i="5"/>
  <c r="BH203" i="5" s="1"/>
  <c r="BF204" i="5"/>
  <c r="AH59" i="1" l="1"/>
  <c r="AF60" i="1"/>
  <c r="AG60" i="1" s="1"/>
  <c r="DJ20" i="5"/>
  <c r="DI15" i="5"/>
  <c r="DI17" i="5"/>
  <c r="K76" i="6"/>
  <c r="L76" i="6" s="1"/>
  <c r="K1343" i="1"/>
  <c r="L1343" i="1" s="1"/>
  <c r="CQ12" i="5"/>
  <c r="I1380" i="1"/>
  <c r="F1380" i="1" s="1"/>
  <c r="BT4" i="5"/>
  <c r="BF205" i="5"/>
  <c r="BE204" i="5"/>
  <c r="BH204" i="5" s="1"/>
  <c r="AH60" i="1" l="1"/>
  <c r="AF61" i="1"/>
  <c r="AG61" i="1" s="1"/>
  <c r="DK20" i="5"/>
  <c r="DJ15" i="5"/>
  <c r="DJ17" i="5"/>
  <c r="I1343" i="1"/>
  <c r="F1343" i="1" s="1"/>
  <c r="F76" i="6"/>
  <c r="G76" i="6" s="1"/>
  <c r="K1306" i="1"/>
  <c r="L1306" i="1" s="1"/>
  <c r="CP12" i="5"/>
  <c r="BS4" i="5"/>
  <c r="BF206" i="5"/>
  <c r="BE205" i="5"/>
  <c r="BH205" i="5" s="1"/>
  <c r="AH61" i="1" l="1"/>
  <c r="AF62" i="1"/>
  <c r="AG62" i="1" s="1"/>
  <c r="DK17" i="5"/>
  <c r="DK15" i="5"/>
  <c r="DL20" i="5"/>
  <c r="K1269" i="1"/>
  <c r="L1269" i="1" s="1"/>
  <c r="CO12" i="5"/>
  <c r="I1306" i="1"/>
  <c r="F1306" i="1" s="1"/>
  <c r="B76" i="6"/>
  <c r="C76" i="6" s="1"/>
  <c r="BR4" i="5"/>
  <c r="BE206" i="5"/>
  <c r="BH206" i="5" s="1"/>
  <c r="BF207" i="5"/>
  <c r="AH62" i="1" l="1"/>
  <c r="AF63" i="1"/>
  <c r="AG63" i="1" s="1"/>
  <c r="DM20" i="5"/>
  <c r="DL17" i="5"/>
  <c r="DL15" i="5"/>
  <c r="K70" i="6"/>
  <c r="L70" i="6" s="1"/>
  <c r="K1232" i="1"/>
  <c r="L1232" i="1" s="1"/>
  <c r="CN12" i="5"/>
  <c r="I1269" i="1"/>
  <c r="F1269" i="1" s="1"/>
  <c r="BQ4" i="5"/>
  <c r="BE207" i="5"/>
  <c r="BH207" i="5" s="1"/>
  <c r="BF208" i="5"/>
  <c r="AH63" i="1" l="1"/>
  <c r="AF64" i="1"/>
  <c r="AG64" i="1" s="1"/>
  <c r="DN20" i="5"/>
  <c r="DM15" i="5"/>
  <c r="DM17" i="5"/>
  <c r="I1232" i="1"/>
  <c r="F1232" i="1" s="1"/>
  <c r="F70" i="6"/>
  <c r="G70" i="6" s="1"/>
  <c r="K1195" i="1"/>
  <c r="L1195" i="1" s="1"/>
  <c r="CM12" i="5"/>
  <c r="BP4" i="5"/>
  <c r="BF209" i="5"/>
  <c r="BE208" i="5"/>
  <c r="BH208" i="5" s="1"/>
  <c r="AH64" i="1" l="1"/>
  <c r="AF65" i="1"/>
  <c r="AG65" i="1" s="1"/>
  <c r="DO20" i="5"/>
  <c r="DN15" i="5"/>
  <c r="DN17" i="5"/>
  <c r="K1158" i="1"/>
  <c r="L1158" i="1" s="1"/>
  <c r="CL12" i="5"/>
  <c r="I1195" i="1"/>
  <c r="F1195" i="1" s="1"/>
  <c r="B70" i="6"/>
  <c r="C70" i="6" s="1"/>
  <c r="BO4" i="5"/>
  <c r="BF210" i="5"/>
  <c r="BE209" i="5"/>
  <c r="BH209" i="5" s="1"/>
  <c r="AH65" i="1" l="1"/>
  <c r="AF66" i="1"/>
  <c r="AG66" i="1" s="1"/>
  <c r="DP20" i="5"/>
  <c r="DO15" i="5"/>
  <c r="DO17" i="5"/>
  <c r="K64" i="6"/>
  <c r="L64" i="6" s="1"/>
  <c r="K1121" i="1"/>
  <c r="L1121" i="1" s="1"/>
  <c r="CK12" i="5"/>
  <c r="I1158" i="1"/>
  <c r="F1158" i="1" s="1"/>
  <c r="BN4" i="5"/>
  <c r="BE210" i="5"/>
  <c r="BH210" i="5" s="1"/>
  <c r="BF211" i="5"/>
  <c r="AH66" i="1" l="1"/>
  <c r="AF67" i="1"/>
  <c r="AG67" i="1" s="1"/>
  <c r="DQ20" i="5"/>
  <c r="DP17" i="5"/>
  <c r="DP15" i="5"/>
  <c r="I1121" i="1"/>
  <c r="F1121" i="1" s="1"/>
  <c r="F64" i="6"/>
  <c r="G64" i="6" s="1"/>
  <c r="K1084" i="1"/>
  <c r="L1084" i="1" s="1"/>
  <c r="CJ12" i="5"/>
  <c r="BM4" i="5"/>
  <c r="BF212" i="5"/>
  <c r="BE211" i="5"/>
  <c r="BH211" i="5" s="1"/>
  <c r="AH67" i="1" l="1"/>
  <c r="AF68" i="1"/>
  <c r="AG68" i="1" s="1"/>
  <c r="DR20" i="5"/>
  <c r="DQ15" i="5"/>
  <c r="DQ17" i="5"/>
  <c r="K1047" i="1"/>
  <c r="L1047" i="1" s="1"/>
  <c r="CI12" i="5"/>
  <c r="I1084" i="1"/>
  <c r="F1084" i="1" s="1"/>
  <c r="B64" i="6"/>
  <c r="C64" i="6" s="1"/>
  <c r="BL4" i="5"/>
  <c r="BK4" i="5" s="1"/>
  <c r="BJ4" i="5" s="1"/>
  <c r="BI4" i="5" s="1"/>
  <c r="BH4" i="5" s="1"/>
  <c r="BH5" i="5" s="1"/>
  <c r="BI5" i="5" s="1"/>
  <c r="BJ5" i="5" s="1"/>
  <c r="BF213" i="5"/>
  <c r="BE212" i="5"/>
  <c r="BH212" i="5" s="1"/>
  <c r="AH68" i="1" l="1"/>
  <c r="AF69" i="1"/>
  <c r="AG69" i="1" s="1"/>
  <c r="DS20" i="5"/>
  <c r="DR15" i="5"/>
  <c r="DR17" i="5"/>
  <c r="K58" i="6"/>
  <c r="L58" i="6" s="1"/>
  <c r="K1010" i="1"/>
  <c r="L1010" i="1" s="1"/>
  <c r="CH12" i="5"/>
  <c r="I1047" i="1"/>
  <c r="F1047" i="1" s="1"/>
  <c r="BK5" i="5"/>
  <c r="BL5" i="5" s="1"/>
  <c r="BF214" i="5"/>
  <c r="BE213" i="5"/>
  <c r="BH213" i="5" s="1"/>
  <c r="AH69" i="1" l="1"/>
  <c r="AF70" i="1"/>
  <c r="AG70" i="1" s="1"/>
  <c r="DT20" i="5"/>
  <c r="DS15" i="5"/>
  <c r="DS17" i="5"/>
  <c r="I1010" i="1"/>
  <c r="F1010" i="1" s="1"/>
  <c r="F58" i="6"/>
  <c r="G58" i="6" s="1"/>
  <c r="K973" i="1"/>
  <c r="L973" i="1" s="1"/>
  <c r="CG12" i="5"/>
  <c r="BM5" i="5"/>
  <c r="BN5" i="5" s="1"/>
  <c r="BO5" i="5" s="1"/>
  <c r="BP5" i="5" s="1"/>
  <c r="BF215" i="5"/>
  <c r="BE214" i="5"/>
  <c r="BH214" i="5" s="1"/>
  <c r="AH70" i="1" l="1"/>
  <c r="AF71" i="1"/>
  <c r="AG71" i="1" s="1"/>
  <c r="DU20" i="5"/>
  <c r="DT17" i="5"/>
  <c r="DT15" i="5"/>
  <c r="K936" i="1"/>
  <c r="L936" i="1" s="1"/>
  <c r="CF12" i="5"/>
  <c r="I973" i="1"/>
  <c r="F973" i="1" s="1"/>
  <c r="B58" i="6"/>
  <c r="C58" i="6" s="1"/>
  <c r="BQ5" i="5"/>
  <c r="BR5" i="5" s="1"/>
  <c r="BS5" i="5" s="1"/>
  <c r="BT5" i="5" s="1"/>
  <c r="BU5" i="5" s="1"/>
  <c r="BV5" i="5" s="1"/>
  <c r="BW5" i="5" s="1"/>
  <c r="BX5" i="5" s="1"/>
  <c r="BY5" i="5" s="1"/>
  <c r="BZ5" i="5" s="1"/>
  <c r="CA5" i="5" s="1"/>
  <c r="CB5" i="5" s="1"/>
  <c r="CC5" i="5" s="1"/>
  <c r="CD5" i="5" s="1"/>
  <c r="CE5" i="5" s="1"/>
  <c r="CF5" i="5" s="1"/>
  <c r="CG5" i="5" s="1"/>
  <c r="CH5" i="5" s="1"/>
  <c r="BE215" i="5"/>
  <c r="BH215" i="5" s="1"/>
  <c r="BF216" i="5"/>
  <c r="AH71" i="1" l="1"/>
  <c r="AF72" i="1"/>
  <c r="AG72" i="1" s="1"/>
  <c r="DV20" i="5"/>
  <c r="DU15" i="5"/>
  <c r="DU17" i="5"/>
  <c r="K52" i="6"/>
  <c r="L52" i="6" s="1"/>
  <c r="K899" i="1"/>
  <c r="L899" i="1" s="1"/>
  <c r="CE12" i="5"/>
  <c r="CI5" i="5"/>
  <c r="I936" i="1"/>
  <c r="F936" i="1" s="1"/>
  <c r="BF217" i="5"/>
  <c r="BE216" i="5"/>
  <c r="BH216" i="5" s="1"/>
  <c r="AH72" i="1" l="1"/>
  <c r="AF73" i="1"/>
  <c r="AG73" i="1" s="1"/>
  <c r="DW20" i="5"/>
  <c r="DV15" i="5"/>
  <c r="DV17" i="5"/>
  <c r="CJ5" i="5"/>
  <c r="K862" i="1"/>
  <c r="L862" i="1" s="1"/>
  <c r="CD12" i="5"/>
  <c r="F52" i="6"/>
  <c r="G52" i="6" s="1"/>
  <c r="I899" i="1"/>
  <c r="F899" i="1" s="1"/>
  <c r="BF218" i="5"/>
  <c r="BE217" i="5"/>
  <c r="BH217" i="5" s="1"/>
  <c r="AH73" i="1" l="1"/>
  <c r="AF74" i="1"/>
  <c r="AG74" i="1" s="1"/>
  <c r="DX20" i="5"/>
  <c r="DW15" i="5"/>
  <c r="DW17" i="5"/>
  <c r="I862" i="1"/>
  <c r="F862" i="1" s="1"/>
  <c r="B52" i="6"/>
  <c r="C52" i="6" s="1"/>
  <c r="K825" i="1"/>
  <c r="L825" i="1" s="1"/>
  <c r="CC12" i="5"/>
  <c r="CK5" i="5"/>
  <c r="BE218" i="5"/>
  <c r="BH218" i="5" s="1"/>
  <c r="BF219" i="5"/>
  <c r="AH74" i="1" l="1"/>
  <c r="AF75" i="1"/>
  <c r="AG75" i="1" s="1"/>
  <c r="DY20" i="5"/>
  <c r="DX17" i="5"/>
  <c r="DX15" i="5"/>
  <c r="CL5" i="5"/>
  <c r="K788" i="1"/>
  <c r="L788" i="1" s="1"/>
  <c r="CB12" i="5"/>
  <c r="I825" i="1"/>
  <c r="F825" i="1" s="1"/>
  <c r="K46" i="6"/>
  <c r="L46" i="6" s="1"/>
  <c r="BE219" i="5"/>
  <c r="BH219" i="5" s="1"/>
  <c r="BF220" i="5"/>
  <c r="AH75" i="1" l="1"/>
  <c r="AF76" i="1"/>
  <c r="AG76" i="1" s="1"/>
  <c r="DZ20" i="5"/>
  <c r="DY15" i="5"/>
  <c r="DY17" i="5"/>
  <c r="K751" i="1"/>
  <c r="L751" i="1" s="1"/>
  <c r="CA12" i="5"/>
  <c r="I788" i="1"/>
  <c r="F788" i="1" s="1"/>
  <c r="F46" i="6"/>
  <c r="G46" i="6" s="1"/>
  <c r="CM5" i="5"/>
  <c r="BF221" i="5"/>
  <c r="BE220" i="5"/>
  <c r="BH220" i="5" s="1"/>
  <c r="AH76" i="1" l="1"/>
  <c r="AF77" i="1"/>
  <c r="AG77" i="1" s="1"/>
  <c r="EA20" i="5"/>
  <c r="DZ15" i="5"/>
  <c r="DZ17" i="5"/>
  <c r="CN5" i="5"/>
  <c r="B46" i="6"/>
  <c r="C46" i="6" s="1"/>
  <c r="K714" i="1"/>
  <c r="L714" i="1" s="1"/>
  <c r="BZ12" i="5"/>
  <c r="BE221" i="5"/>
  <c r="BH221" i="5" s="1"/>
  <c r="BF222" i="5"/>
  <c r="AH77" i="1" l="1"/>
  <c r="AF78" i="1"/>
  <c r="AG78" i="1" s="1"/>
  <c r="EA17" i="5"/>
  <c r="EB20" i="5"/>
  <c r="EA15" i="5"/>
  <c r="K677" i="1"/>
  <c r="L677" i="1" s="1"/>
  <c r="BY12" i="5"/>
  <c r="I714" i="1"/>
  <c r="F714" i="1" s="1"/>
  <c r="CO5" i="5"/>
  <c r="BE222" i="5"/>
  <c r="BH222" i="5" s="1"/>
  <c r="BF223" i="5"/>
  <c r="AH78" i="1" l="1"/>
  <c r="AF79" i="1"/>
  <c r="AG79" i="1" s="1"/>
  <c r="EC20" i="5"/>
  <c r="EB17" i="5"/>
  <c r="EB15" i="5"/>
  <c r="F40" i="6"/>
  <c r="G40" i="6" s="1"/>
  <c r="CP5" i="5"/>
  <c r="CQ5" i="5" s="1"/>
  <c r="K640" i="1"/>
  <c r="BX12" i="5"/>
  <c r="I677" i="1"/>
  <c r="F677" i="1" s="1"/>
  <c r="BF224" i="5"/>
  <c r="BE223" i="5"/>
  <c r="BH223" i="5" s="1"/>
  <c r="AH79" i="1" l="1"/>
  <c r="AF80" i="1"/>
  <c r="AG80" i="1" s="1"/>
  <c r="ED20" i="5"/>
  <c r="EC15" i="5"/>
  <c r="EC17" i="5"/>
  <c r="B40" i="6"/>
  <c r="C40" i="6" s="1"/>
  <c r="CR5" i="5"/>
  <c r="CS5" i="5" s="1"/>
  <c r="CS6" i="5" s="1"/>
  <c r="K1382" i="1" s="1"/>
  <c r="L1382" i="1" s="1"/>
  <c r="K603" i="1"/>
  <c r="BW12" i="5"/>
  <c r="I640" i="1"/>
  <c r="F640" i="1" s="1"/>
  <c r="BE224" i="5"/>
  <c r="BH224" i="5" s="1"/>
  <c r="BF225" i="5"/>
  <c r="L640" i="1" l="1"/>
  <c r="AH80" i="1"/>
  <c r="AF81" i="1"/>
  <c r="AG81" i="1" s="1"/>
  <c r="AH81" i="1" s="1"/>
  <c r="I1382" i="1"/>
  <c r="F1382" i="1" s="1"/>
  <c r="EE20" i="5"/>
  <c r="ED15" i="5"/>
  <c r="ED17" i="5"/>
  <c r="CR6" i="5"/>
  <c r="K1345" i="1" s="1"/>
  <c r="L1345" i="1" s="1"/>
  <c r="K565" i="1"/>
  <c r="BV12" i="5"/>
  <c r="I603" i="1"/>
  <c r="F603" i="1" s="1"/>
  <c r="K34" i="6"/>
  <c r="L34" i="6" s="1"/>
  <c r="BF226" i="5"/>
  <c r="BE225" i="5"/>
  <c r="BH225" i="5" s="1"/>
  <c r="L603" i="1" l="1"/>
  <c r="M1382" i="1"/>
  <c r="R1382" i="1" s="1"/>
  <c r="AF82" i="1"/>
  <c r="AG82" i="1" s="1"/>
  <c r="AH82" i="1" s="1"/>
  <c r="H1399" i="1"/>
  <c r="I1399" i="1" s="1"/>
  <c r="H1406" i="1"/>
  <c r="I1406" i="1" s="1"/>
  <c r="H1402" i="1"/>
  <c r="I1402" i="1" s="1"/>
  <c r="H1405" i="1"/>
  <c r="I1405" i="1" s="1"/>
  <c r="H1403" i="1"/>
  <c r="I1403" i="1" s="1"/>
  <c r="F78" i="6"/>
  <c r="H1400" i="1"/>
  <c r="I1400" i="1" s="1"/>
  <c r="EF20" i="5"/>
  <c r="EE15" i="5"/>
  <c r="EE17" i="5"/>
  <c r="K528" i="1"/>
  <c r="BU12" i="5"/>
  <c r="I565" i="1"/>
  <c r="F565" i="1" s="1"/>
  <c r="I1345" i="1"/>
  <c r="F1345" i="1" s="1"/>
  <c r="F34" i="6"/>
  <c r="G34" i="6" s="1"/>
  <c r="CQ6" i="5"/>
  <c r="BE226" i="5"/>
  <c r="BH226" i="5" s="1"/>
  <c r="BF227" i="5"/>
  <c r="L565" i="1" l="1"/>
  <c r="N1382" i="1"/>
  <c r="Q1382" i="1"/>
  <c r="O1382" i="1"/>
  <c r="R1399" i="1"/>
  <c r="R1405" i="1"/>
  <c r="R1402" i="1"/>
  <c r="AF83" i="1"/>
  <c r="AG83" i="1" s="1"/>
  <c r="AH83" i="1" s="1"/>
  <c r="EG20" i="5"/>
  <c r="EF17" i="5"/>
  <c r="EF15" i="5"/>
  <c r="M1345" i="1"/>
  <c r="O1345" i="1" s="1"/>
  <c r="B34" i="6"/>
  <c r="C34" i="6" s="1"/>
  <c r="K1308" i="1"/>
  <c r="L1308" i="1" s="1"/>
  <c r="CP6" i="5"/>
  <c r="K491" i="1"/>
  <c r="BT12" i="5"/>
  <c r="H1366" i="1"/>
  <c r="I1366" i="1" s="1"/>
  <c r="H1362" i="1"/>
  <c r="I1362" i="1" s="1"/>
  <c r="B78" i="6"/>
  <c r="H1369" i="1"/>
  <c r="I1369" i="1" s="1"/>
  <c r="H1368" i="1"/>
  <c r="I1368" i="1" s="1"/>
  <c r="H1365" i="1"/>
  <c r="I1365" i="1" s="1"/>
  <c r="H1363" i="1"/>
  <c r="I1363" i="1" s="1"/>
  <c r="I528" i="1"/>
  <c r="F528" i="1" s="1"/>
  <c r="BE227" i="5"/>
  <c r="BH227" i="5" s="1"/>
  <c r="BF228" i="5"/>
  <c r="L528" i="1" l="1"/>
  <c r="R1362" i="1"/>
  <c r="R1365" i="1"/>
  <c r="R1368" i="1"/>
  <c r="AF84" i="1"/>
  <c r="AG84" i="1" s="1"/>
  <c r="AH84" i="1" s="1"/>
  <c r="EH20" i="5"/>
  <c r="EG17" i="5"/>
  <c r="EG15" i="5"/>
  <c r="N1345" i="1"/>
  <c r="Q1345" i="1"/>
  <c r="R1345" i="1"/>
  <c r="I1308" i="1"/>
  <c r="F1308" i="1" s="1"/>
  <c r="K454" i="1"/>
  <c r="BS12" i="5"/>
  <c r="I491" i="1"/>
  <c r="F491" i="1" s="1"/>
  <c r="K28" i="6"/>
  <c r="L28" i="6" s="1"/>
  <c r="K1271" i="1"/>
  <c r="L1271" i="1" s="1"/>
  <c r="CO6" i="5"/>
  <c r="BF229" i="5"/>
  <c r="BE228" i="5"/>
  <c r="BH228" i="5" s="1"/>
  <c r="L491" i="1" l="1"/>
  <c r="I454" i="1"/>
  <c r="F454" i="1" s="1"/>
  <c r="AF85" i="1"/>
  <c r="AG85" i="1" s="1"/>
  <c r="AH85" i="1" s="1"/>
  <c r="EI20" i="5"/>
  <c r="EH15" i="5"/>
  <c r="EH17" i="5"/>
  <c r="M1308" i="1"/>
  <c r="O1308" i="1" s="1"/>
  <c r="I1271" i="1"/>
  <c r="F1271" i="1" s="1"/>
  <c r="F28" i="6"/>
  <c r="G28" i="6" s="1"/>
  <c r="H1326" i="1"/>
  <c r="I1326" i="1" s="1"/>
  <c r="H1329" i="1"/>
  <c r="I1329" i="1" s="1"/>
  <c r="H1325" i="1"/>
  <c r="I1325" i="1" s="1"/>
  <c r="K72" i="6"/>
  <c r="H1328" i="1"/>
  <c r="I1328" i="1" s="1"/>
  <c r="H1332" i="1"/>
  <c r="I1332" i="1" s="1"/>
  <c r="H1331" i="1"/>
  <c r="I1331" i="1" s="1"/>
  <c r="K1234" i="1"/>
  <c r="L1234" i="1" s="1"/>
  <c r="CN6" i="5"/>
  <c r="K417" i="1"/>
  <c r="BR12" i="5"/>
  <c r="BF230" i="5"/>
  <c r="BE229" i="5"/>
  <c r="BH229" i="5" s="1"/>
  <c r="L454" i="1" l="1"/>
  <c r="I417" i="1"/>
  <c r="F417" i="1" s="1"/>
  <c r="R1331" i="1"/>
  <c r="R1328" i="1"/>
  <c r="R1325" i="1"/>
  <c r="AF86" i="1"/>
  <c r="AG86" i="1" s="1"/>
  <c r="AH86" i="1" s="1"/>
  <c r="EJ20" i="5"/>
  <c r="EI15" i="5"/>
  <c r="EI17" i="5"/>
  <c r="CM6" i="5"/>
  <c r="K1197" i="1"/>
  <c r="L1197" i="1" s="1"/>
  <c r="M1271" i="1"/>
  <c r="O1271" i="1" s="1"/>
  <c r="N1308" i="1"/>
  <c r="R1308" i="1"/>
  <c r="Q1308" i="1"/>
  <c r="I1234" i="1"/>
  <c r="F1234" i="1" s="1"/>
  <c r="K380" i="1"/>
  <c r="BQ12" i="5"/>
  <c r="H1295" i="1"/>
  <c r="I1295" i="1" s="1"/>
  <c r="H1292" i="1"/>
  <c r="I1292" i="1" s="1"/>
  <c r="H1291" i="1"/>
  <c r="I1291" i="1" s="1"/>
  <c r="H1294" i="1"/>
  <c r="I1294" i="1" s="1"/>
  <c r="H1288" i="1"/>
  <c r="I1288" i="1" s="1"/>
  <c r="H1289" i="1"/>
  <c r="I1289" i="1" s="1"/>
  <c r="F72" i="6"/>
  <c r="B28" i="6"/>
  <c r="C28" i="6" s="1"/>
  <c r="BE230" i="5"/>
  <c r="BH230" i="5" s="1"/>
  <c r="BF231" i="5"/>
  <c r="L417" i="1" l="1"/>
  <c r="R1288" i="1"/>
  <c r="R1294" i="1"/>
  <c r="R1291" i="1"/>
  <c r="AF87" i="1"/>
  <c r="AG87" i="1" s="1"/>
  <c r="AH87" i="1" s="1"/>
  <c r="EK20" i="5"/>
  <c r="EJ17" i="5"/>
  <c r="EJ15" i="5"/>
  <c r="I1197" i="1"/>
  <c r="F1197" i="1" s="1"/>
  <c r="CL6" i="5"/>
  <c r="K1160" i="1"/>
  <c r="L1160" i="1" s="1"/>
  <c r="R1271" i="1"/>
  <c r="Q1271" i="1"/>
  <c r="N1271" i="1"/>
  <c r="M1234" i="1"/>
  <c r="O1234" i="1" s="1"/>
  <c r="K22" i="6"/>
  <c r="L22" i="6" s="1"/>
  <c r="K343" i="1"/>
  <c r="BP12" i="5"/>
  <c r="I380" i="1"/>
  <c r="F380" i="1" s="1"/>
  <c r="H1251" i="1"/>
  <c r="I1251" i="1" s="1"/>
  <c r="H1252" i="1"/>
  <c r="I1252" i="1" s="1"/>
  <c r="B72" i="6"/>
  <c r="H1255" i="1"/>
  <c r="I1255" i="1" s="1"/>
  <c r="H1257" i="1"/>
  <c r="I1257" i="1" s="1"/>
  <c r="H1258" i="1"/>
  <c r="I1258" i="1" s="1"/>
  <c r="H1254" i="1"/>
  <c r="I1254" i="1" s="1"/>
  <c r="BF232" i="5"/>
  <c r="BE231" i="5"/>
  <c r="BH231" i="5" s="1"/>
  <c r="L380" i="1" l="1"/>
  <c r="R1251" i="1"/>
  <c r="R1257" i="1"/>
  <c r="R1254" i="1"/>
  <c r="AF88" i="1"/>
  <c r="AG88" i="1" s="1"/>
  <c r="AH88" i="1" s="1"/>
  <c r="EL20" i="5"/>
  <c r="EK15" i="5"/>
  <c r="EK17" i="5"/>
  <c r="I1160" i="1"/>
  <c r="F1160" i="1" s="1"/>
  <c r="CK6" i="5"/>
  <c r="K1123" i="1"/>
  <c r="L1123" i="1" s="1"/>
  <c r="H1215" i="1"/>
  <c r="I1215" i="1" s="1"/>
  <c r="H1217" i="1"/>
  <c r="I1217" i="1" s="1"/>
  <c r="K66" i="6"/>
  <c r="H1218" i="1"/>
  <c r="I1218" i="1" s="1"/>
  <c r="M1197" i="1"/>
  <c r="O1197" i="1" s="1"/>
  <c r="H1220" i="1"/>
  <c r="I1220" i="1" s="1"/>
  <c r="H1214" i="1"/>
  <c r="I1214" i="1" s="1"/>
  <c r="H1221" i="1"/>
  <c r="I1221" i="1" s="1"/>
  <c r="N1234" i="1"/>
  <c r="R1234" i="1"/>
  <c r="Q1234" i="1"/>
  <c r="K306" i="1"/>
  <c r="BO12" i="5"/>
  <c r="F22" i="6"/>
  <c r="G22" i="6" s="1"/>
  <c r="I343" i="1"/>
  <c r="F343" i="1" s="1"/>
  <c r="BF233" i="5"/>
  <c r="BE232" i="5"/>
  <c r="BH232" i="5" s="1"/>
  <c r="L343" i="1" l="1"/>
  <c r="R1220" i="1"/>
  <c r="R1214" i="1"/>
  <c r="R1217" i="1"/>
  <c r="AF89" i="1"/>
  <c r="AG89" i="1" s="1"/>
  <c r="AH89" i="1" s="1"/>
  <c r="EM20" i="5"/>
  <c r="EL15" i="5"/>
  <c r="EL17" i="5"/>
  <c r="I1123" i="1"/>
  <c r="F1123" i="1" s="1"/>
  <c r="CJ6" i="5"/>
  <c r="K1086" i="1"/>
  <c r="L1086" i="1" s="1"/>
  <c r="N1197" i="1"/>
  <c r="Q1197" i="1"/>
  <c r="R1197" i="1"/>
  <c r="H1180" i="1"/>
  <c r="I1180" i="1" s="1"/>
  <c r="H1181" i="1"/>
  <c r="I1181" i="1" s="1"/>
  <c r="H1178" i="1"/>
  <c r="H1177" i="1"/>
  <c r="I1177" i="1" s="1"/>
  <c r="F66" i="6"/>
  <c r="H1183" i="1"/>
  <c r="H1184" i="1"/>
  <c r="I1184" i="1" s="1"/>
  <c r="B22" i="6"/>
  <c r="C22" i="6" s="1"/>
  <c r="K269" i="1"/>
  <c r="BN12" i="5"/>
  <c r="I306" i="1"/>
  <c r="F306" i="1" s="1"/>
  <c r="BE233" i="5"/>
  <c r="BH233" i="5" s="1"/>
  <c r="BF234" i="5"/>
  <c r="L306" i="1" l="1"/>
  <c r="R1180" i="1"/>
  <c r="AF90" i="1"/>
  <c r="AG90" i="1" s="1"/>
  <c r="AH90" i="1" s="1"/>
  <c r="EN20" i="5"/>
  <c r="EM15" i="5"/>
  <c r="EM17" i="5"/>
  <c r="I1086" i="1"/>
  <c r="F1086" i="1" s="1"/>
  <c r="CI6" i="5"/>
  <c r="K1049" i="1"/>
  <c r="L1049" i="1" s="1"/>
  <c r="H1141" i="1"/>
  <c r="H1144" i="1"/>
  <c r="I1144" i="1" s="1"/>
  <c r="B66" i="6"/>
  <c r="H1147" i="1"/>
  <c r="I1147" i="1" s="1"/>
  <c r="H1143" i="1"/>
  <c r="I1143" i="1" s="1"/>
  <c r="H1146" i="1"/>
  <c r="H1140" i="1"/>
  <c r="I1140" i="1" s="1"/>
  <c r="I269" i="1"/>
  <c r="F269" i="1" s="1"/>
  <c r="K16" i="6"/>
  <c r="L16" i="6" s="1"/>
  <c r="K232" i="1"/>
  <c r="BM12" i="5"/>
  <c r="BF235" i="5"/>
  <c r="BE234" i="5"/>
  <c r="BH234" i="5" s="1"/>
  <c r="L269" i="1" l="1"/>
  <c r="R1143" i="1"/>
  <c r="AF91" i="1"/>
  <c r="AG91" i="1" s="1"/>
  <c r="AH91" i="1" s="1"/>
  <c r="EO20" i="5"/>
  <c r="EN17" i="5"/>
  <c r="EN15" i="5"/>
  <c r="I1049" i="1"/>
  <c r="F1049" i="1" s="1"/>
  <c r="CH6" i="5"/>
  <c r="K1012" i="1"/>
  <c r="L1012" i="1" s="1"/>
  <c r="H1106" i="1"/>
  <c r="I1106" i="1" s="1"/>
  <c r="H1110" i="1"/>
  <c r="I1110" i="1" s="1"/>
  <c r="H1103" i="1"/>
  <c r="I1103" i="1" s="1"/>
  <c r="H1104" i="1"/>
  <c r="H1107" i="1"/>
  <c r="I1107" i="1" s="1"/>
  <c r="H1109" i="1"/>
  <c r="K60" i="6"/>
  <c r="K195" i="1"/>
  <c r="BL12" i="5"/>
  <c r="I232" i="1"/>
  <c r="F232" i="1" s="1"/>
  <c r="F16" i="6"/>
  <c r="G16" i="6" s="1"/>
  <c r="BE235" i="5"/>
  <c r="BH235" i="5" s="1"/>
  <c r="BF236" i="5"/>
  <c r="L232" i="1" l="1"/>
  <c r="R1106" i="1"/>
  <c r="AF92" i="1"/>
  <c r="AG92" i="1" s="1"/>
  <c r="AH92" i="1" s="1"/>
  <c r="EP20" i="5"/>
  <c r="EO15" i="5"/>
  <c r="EO17" i="5"/>
  <c r="CG6" i="5"/>
  <c r="K975" i="1"/>
  <c r="L975" i="1" s="1"/>
  <c r="H1072" i="1"/>
  <c r="H1073" i="1"/>
  <c r="I1073" i="1" s="1"/>
  <c r="H1066" i="1"/>
  <c r="I1066" i="1" s="1"/>
  <c r="H1067" i="1"/>
  <c r="H1069" i="1"/>
  <c r="I1069" i="1" s="1"/>
  <c r="F60" i="6"/>
  <c r="H1070" i="1"/>
  <c r="I1070" i="1" s="1"/>
  <c r="I1012" i="1"/>
  <c r="F1012" i="1" s="1"/>
  <c r="B16" i="6"/>
  <c r="C16" i="6" s="1"/>
  <c r="BK12" i="5"/>
  <c r="K158" i="1"/>
  <c r="I195" i="1"/>
  <c r="F195" i="1" s="1"/>
  <c r="BF237" i="5"/>
  <c r="BE236" i="5"/>
  <c r="BH236" i="5" s="1"/>
  <c r="L195" i="1" l="1"/>
  <c r="R1069" i="1"/>
  <c r="AF93" i="1"/>
  <c r="AG93" i="1" s="1"/>
  <c r="AH93" i="1" s="1"/>
  <c r="EQ20" i="5"/>
  <c r="EP15" i="5"/>
  <c r="EP17" i="5"/>
  <c r="H1035" i="1"/>
  <c r="H1036" i="1"/>
  <c r="I1036" i="1" s="1"/>
  <c r="H1032" i="1"/>
  <c r="I1032" i="1" s="1"/>
  <c r="B60" i="6"/>
  <c r="H1033" i="1"/>
  <c r="I1033" i="1" s="1"/>
  <c r="H1029" i="1"/>
  <c r="I1029" i="1" s="1"/>
  <c r="H1030" i="1"/>
  <c r="I975" i="1"/>
  <c r="F975" i="1" s="1"/>
  <c r="CF6" i="5"/>
  <c r="K938" i="1"/>
  <c r="L938" i="1" s="1"/>
  <c r="K121" i="1"/>
  <c r="BJ12" i="5"/>
  <c r="K10" i="6"/>
  <c r="L10" i="6" s="1"/>
  <c r="I158" i="1"/>
  <c r="F158" i="1" s="1"/>
  <c r="BF238" i="5"/>
  <c r="BE237" i="5"/>
  <c r="BH237" i="5" s="1"/>
  <c r="L158" i="1" l="1"/>
  <c r="I938" i="1"/>
  <c r="F938" i="1" s="1"/>
  <c r="R1032" i="1"/>
  <c r="AF94" i="1"/>
  <c r="AG94" i="1" s="1"/>
  <c r="AH94" i="1" s="1"/>
  <c r="EQ17" i="5"/>
  <c r="EQ15" i="5"/>
  <c r="ER20" i="5"/>
  <c r="CE6" i="5"/>
  <c r="K901" i="1"/>
  <c r="L901" i="1" s="1"/>
  <c r="K54" i="6"/>
  <c r="H999" i="1"/>
  <c r="I999" i="1" s="1"/>
  <c r="H996" i="1"/>
  <c r="I996" i="1" s="1"/>
  <c r="H993" i="1"/>
  <c r="H992" i="1"/>
  <c r="I992" i="1" s="1"/>
  <c r="H998" i="1"/>
  <c r="H995" i="1"/>
  <c r="I995" i="1" s="1"/>
  <c r="F10" i="6"/>
  <c r="G10" i="6" s="1"/>
  <c r="BI12" i="5"/>
  <c r="K84" i="1"/>
  <c r="I121" i="1"/>
  <c r="F121" i="1" s="1"/>
  <c r="BF239" i="5"/>
  <c r="BE238" i="5"/>
  <c r="BH238" i="5" s="1"/>
  <c r="L121" i="1" l="1"/>
  <c r="I901" i="1"/>
  <c r="F901" i="1" s="1"/>
  <c r="H956" i="1"/>
  <c r="H961" i="1"/>
  <c r="H955" i="1"/>
  <c r="I955" i="1" s="1"/>
  <c r="F54" i="6"/>
  <c r="H958" i="1"/>
  <c r="I958" i="1" s="1"/>
  <c r="H962" i="1"/>
  <c r="I962" i="1" s="1"/>
  <c r="H959" i="1"/>
  <c r="I959" i="1" s="1"/>
  <c r="R995" i="1"/>
  <c r="AF95" i="1"/>
  <c r="AG95" i="1" s="1"/>
  <c r="AH95" i="1" s="1"/>
  <c r="ES20" i="5"/>
  <c r="ER17" i="5"/>
  <c r="ER15" i="5"/>
  <c r="CD6" i="5"/>
  <c r="K864" i="1"/>
  <c r="L864" i="1" s="1"/>
  <c r="I84" i="1"/>
  <c r="F84" i="1" s="1"/>
  <c r="K47" i="1"/>
  <c r="BH12" i="5"/>
  <c r="B10" i="6"/>
  <c r="C10" i="6" s="1"/>
  <c r="BE239" i="5"/>
  <c r="BH239" i="5" s="1"/>
  <c r="BF240" i="5"/>
  <c r="L84" i="1" l="1"/>
  <c r="R958" i="1"/>
  <c r="B54" i="6"/>
  <c r="H919" i="1"/>
  <c r="H925" i="1"/>
  <c r="I925" i="1" s="1"/>
  <c r="H922" i="1"/>
  <c r="I922" i="1" s="1"/>
  <c r="H921" i="1"/>
  <c r="I921" i="1" s="1"/>
  <c r="H924" i="1"/>
  <c r="H918" i="1"/>
  <c r="I918" i="1" s="1"/>
  <c r="AF96" i="1"/>
  <c r="AG96" i="1" s="1"/>
  <c r="AH96" i="1" s="1"/>
  <c r="ET20" i="5"/>
  <c r="ES15" i="5"/>
  <c r="ES17" i="5"/>
  <c r="CC6" i="5"/>
  <c r="K827" i="1"/>
  <c r="L827" i="1" s="1"/>
  <c r="I864" i="1"/>
  <c r="F864" i="1" s="1"/>
  <c r="BH13" i="5"/>
  <c r="K11" i="1" s="1"/>
  <c r="K10" i="1"/>
  <c r="I47" i="1"/>
  <c r="F47" i="1" s="1"/>
  <c r="K4" i="6"/>
  <c r="L4" i="6" s="1"/>
  <c r="BE240" i="5"/>
  <c r="BH240" i="5" s="1"/>
  <c r="BF241" i="5"/>
  <c r="L47" i="1" l="1"/>
  <c r="I10" i="1"/>
  <c r="F10" i="1" s="1"/>
  <c r="R921" i="1"/>
  <c r="I827" i="1"/>
  <c r="F827" i="1" s="1"/>
  <c r="AF97" i="1"/>
  <c r="AG97" i="1" s="1"/>
  <c r="AH97" i="1" s="1"/>
  <c r="I11" i="1"/>
  <c r="EU20" i="5"/>
  <c r="ET15" i="5"/>
  <c r="ET17" i="5"/>
  <c r="K48" i="6"/>
  <c r="H885" i="1"/>
  <c r="I885" i="1" s="1"/>
  <c r="H881" i="1"/>
  <c r="I881" i="1" s="1"/>
  <c r="H887" i="1"/>
  <c r="H888" i="1"/>
  <c r="I888" i="1" s="1"/>
  <c r="H884" i="1"/>
  <c r="I884" i="1" s="1"/>
  <c r="H882" i="1"/>
  <c r="CB6" i="5"/>
  <c r="K790" i="1"/>
  <c r="L790" i="1" s="1"/>
  <c r="BI13" i="5"/>
  <c r="K48" i="1" s="1"/>
  <c r="F4" i="6"/>
  <c r="G4" i="6" s="1"/>
  <c r="BE241" i="5"/>
  <c r="BH241" i="5" s="1"/>
  <c r="BF242" i="5"/>
  <c r="K20" i="1" l="1"/>
  <c r="F11" i="1"/>
  <c r="L11" i="1"/>
  <c r="L10" i="1"/>
  <c r="H851" i="1"/>
  <c r="I851" i="1" s="1"/>
  <c r="H848" i="1"/>
  <c r="I848" i="1" s="1"/>
  <c r="H845" i="1"/>
  <c r="H844" i="1"/>
  <c r="I844" i="1" s="1"/>
  <c r="H850" i="1"/>
  <c r="F48" i="6"/>
  <c r="H847" i="1"/>
  <c r="I847" i="1" s="1"/>
  <c r="R884" i="1"/>
  <c r="AF98" i="1"/>
  <c r="AG98" i="1" s="1"/>
  <c r="AH98" i="1" s="1"/>
  <c r="H23" i="1"/>
  <c r="I23" i="1" s="1"/>
  <c r="H26" i="1"/>
  <c r="I26" i="1" s="1"/>
  <c r="B5" i="6"/>
  <c r="C5" i="6" s="1"/>
  <c r="GN5" i="5"/>
  <c r="EV20" i="5"/>
  <c r="EU15" i="5"/>
  <c r="EU17" i="5"/>
  <c r="I790" i="1"/>
  <c r="F790" i="1" s="1"/>
  <c r="CA6" i="5"/>
  <c r="K753" i="1"/>
  <c r="L753" i="1" s="1"/>
  <c r="I48" i="1"/>
  <c r="BJ13" i="5"/>
  <c r="B4" i="6"/>
  <c r="C4" i="6" s="1"/>
  <c r="GN4" i="5"/>
  <c r="H21" i="1"/>
  <c r="I21" i="1" s="1"/>
  <c r="BE242" i="5"/>
  <c r="BH242" i="5" s="1"/>
  <c r="BF243" i="5"/>
  <c r="F48" i="1" l="1"/>
  <c r="L48" i="1"/>
  <c r="R847" i="1"/>
  <c r="AF99" i="1"/>
  <c r="AG99" i="1" s="1"/>
  <c r="AH99" i="1" s="1"/>
  <c r="EV15" i="5"/>
  <c r="EW20" i="5"/>
  <c r="EV17" i="5"/>
  <c r="H813" i="1"/>
  <c r="H808" i="1"/>
  <c r="H811" i="1"/>
  <c r="I811" i="1" s="1"/>
  <c r="H807" i="1"/>
  <c r="I807" i="1" s="1"/>
  <c r="H810" i="1"/>
  <c r="I810" i="1" s="1"/>
  <c r="B48" i="6"/>
  <c r="H814" i="1"/>
  <c r="I814" i="1" s="1"/>
  <c r="I753" i="1"/>
  <c r="F753" i="1" s="1"/>
  <c r="BZ6" i="5"/>
  <c r="K716" i="1"/>
  <c r="L716" i="1" s="1"/>
  <c r="BK13" i="5"/>
  <c r="K85" i="1"/>
  <c r="F5" i="6"/>
  <c r="G5" i="6" s="1"/>
  <c r="H60" i="1"/>
  <c r="I60" i="1" s="1"/>
  <c r="H63" i="1"/>
  <c r="I63" i="1" s="1"/>
  <c r="H58" i="1"/>
  <c r="I58" i="1" s="1"/>
  <c r="BE243" i="5"/>
  <c r="BH243" i="5" s="1"/>
  <c r="BF244" i="5"/>
  <c r="I85" i="1" l="1"/>
  <c r="F85" i="1" s="1"/>
  <c r="R810" i="1"/>
  <c r="AF100" i="1"/>
  <c r="AG100" i="1" s="1"/>
  <c r="AH100" i="1" s="1"/>
  <c r="EW17" i="5"/>
  <c r="EW15" i="5"/>
  <c r="EX20" i="5"/>
  <c r="I716" i="1"/>
  <c r="F716" i="1" s="1"/>
  <c r="BY6" i="5"/>
  <c r="K679" i="1"/>
  <c r="L679" i="1" s="1"/>
  <c r="H776" i="1"/>
  <c r="H777" i="1"/>
  <c r="I777" i="1" s="1"/>
  <c r="H770" i="1"/>
  <c r="H773" i="1"/>
  <c r="H771" i="1"/>
  <c r="H774" i="1"/>
  <c r="K42" i="6"/>
  <c r="BL13" i="5"/>
  <c r="K122" i="1"/>
  <c r="BF245" i="5"/>
  <c r="BE244" i="5"/>
  <c r="BH244" i="5" s="1"/>
  <c r="L85" i="1" l="1"/>
  <c r="H97" i="1"/>
  <c r="I97" i="1" s="1"/>
  <c r="H95" i="1"/>
  <c r="I95" i="1" s="1"/>
  <c r="H100" i="1"/>
  <c r="I100" i="1" s="1"/>
  <c r="K5" i="6"/>
  <c r="L5" i="6" s="1"/>
  <c r="I122" i="1"/>
  <c r="F122" i="1" s="1"/>
  <c r="AF101" i="1"/>
  <c r="AG101" i="1" s="1"/>
  <c r="AH101" i="1" s="1"/>
  <c r="EX15" i="5"/>
  <c r="EY20" i="5"/>
  <c r="EX17" i="5"/>
  <c r="I679" i="1"/>
  <c r="F679" i="1" s="1"/>
  <c r="BX6" i="5"/>
  <c r="K642" i="1"/>
  <c r="L642" i="1" s="1"/>
  <c r="H736" i="1"/>
  <c r="I736" i="1" s="1"/>
  <c r="H733" i="1"/>
  <c r="I733" i="1" s="1"/>
  <c r="F42" i="6"/>
  <c r="H734" i="1"/>
  <c r="H739" i="1"/>
  <c r="H740" i="1"/>
  <c r="I740" i="1" s="1"/>
  <c r="H737" i="1"/>
  <c r="I737" i="1" s="1"/>
  <c r="BM13" i="5"/>
  <c r="K159" i="1"/>
  <c r="BF246" i="5"/>
  <c r="BE245" i="5"/>
  <c r="BH245" i="5" s="1"/>
  <c r="L122" i="1" l="1"/>
  <c r="H132" i="1"/>
  <c r="I132" i="1" s="1"/>
  <c r="B11" i="6"/>
  <c r="C11" i="6" s="1"/>
  <c r="H134" i="1"/>
  <c r="I134" i="1" s="1"/>
  <c r="H137" i="1"/>
  <c r="I137" i="1" s="1"/>
  <c r="I159" i="1"/>
  <c r="F159" i="1" s="1"/>
  <c r="R736" i="1"/>
  <c r="AF102" i="1"/>
  <c r="AG102" i="1" s="1"/>
  <c r="AH102" i="1" s="1"/>
  <c r="EZ20" i="5"/>
  <c r="EY17" i="5"/>
  <c r="EY15" i="5"/>
  <c r="I642" i="1"/>
  <c r="F642" i="1" s="1"/>
  <c r="H696" i="1"/>
  <c r="I696" i="1" s="1"/>
  <c r="H700" i="1"/>
  <c r="I700" i="1" s="1"/>
  <c r="B42" i="6"/>
  <c r="H699" i="1"/>
  <c r="I699" i="1" s="1"/>
  <c r="H697" i="1"/>
  <c r="H702" i="1"/>
  <c r="H703" i="1"/>
  <c r="I703" i="1" s="1"/>
  <c r="BW6" i="5"/>
  <c r="K605" i="1"/>
  <c r="L605" i="1" s="1"/>
  <c r="K196" i="1"/>
  <c r="BN13" i="5"/>
  <c r="BE246" i="5"/>
  <c r="BH246" i="5" s="1"/>
  <c r="BF247" i="5"/>
  <c r="L159" i="1" l="1"/>
  <c r="H169" i="1"/>
  <c r="I169" i="1" s="1"/>
  <c r="R131" i="1"/>
  <c r="R132" i="1" s="1"/>
  <c r="H171" i="1"/>
  <c r="I171" i="1" s="1"/>
  <c r="H174" i="1"/>
  <c r="I174" i="1" s="1"/>
  <c r="F11" i="6"/>
  <c r="G11" i="6" s="1"/>
  <c r="I196" i="1"/>
  <c r="F196" i="1" s="1"/>
  <c r="R699" i="1"/>
  <c r="AF103" i="1"/>
  <c r="AG103" i="1" s="1"/>
  <c r="AH103" i="1" s="1"/>
  <c r="EZ17" i="5"/>
  <c r="FA20" i="5"/>
  <c r="EZ15" i="5"/>
  <c r="I605" i="1"/>
  <c r="F605" i="1" s="1"/>
  <c r="H660" i="1"/>
  <c r="H663" i="1"/>
  <c r="I663" i="1" s="1"/>
  <c r="K36" i="6"/>
  <c r="H659" i="1"/>
  <c r="I659" i="1" s="1"/>
  <c r="H662" i="1"/>
  <c r="I662" i="1" s="1"/>
  <c r="H665" i="1"/>
  <c r="H666" i="1"/>
  <c r="I666" i="1" s="1"/>
  <c r="BV6" i="5"/>
  <c r="K567" i="1"/>
  <c r="L567" i="1" s="1"/>
  <c r="BO13" i="5"/>
  <c r="K233" i="1"/>
  <c r="BE247" i="5"/>
  <c r="BH247" i="5" s="1"/>
  <c r="BF248" i="5"/>
  <c r="L196" i="1" l="1"/>
  <c r="S131" i="1"/>
  <c r="S132" i="1"/>
  <c r="R168" i="1"/>
  <c r="R169" i="1" s="1"/>
  <c r="H206" i="1"/>
  <c r="I206" i="1" s="1"/>
  <c r="H208" i="1"/>
  <c r="I208" i="1" s="1"/>
  <c r="H211" i="1"/>
  <c r="I211" i="1" s="1"/>
  <c r="K11" i="6"/>
  <c r="L11" i="6" s="1"/>
  <c r="I233" i="1"/>
  <c r="F233" i="1" s="1"/>
  <c r="R662" i="1"/>
  <c r="AF104" i="1"/>
  <c r="AG104" i="1" s="1"/>
  <c r="AH104" i="1" s="1"/>
  <c r="FA17" i="5"/>
  <c r="FA15" i="5"/>
  <c r="FB20" i="5"/>
  <c r="I567" i="1"/>
  <c r="F567" i="1" s="1"/>
  <c r="F36" i="6"/>
  <c r="H622" i="1"/>
  <c r="I622" i="1" s="1"/>
  <c r="H629" i="1"/>
  <c r="I629" i="1" s="1"/>
  <c r="H626" i="1"/>
  <c r="I626" i="1" s="1"/>
  <c r="H625" i="1"/>
  <c r="I625" i="1" s="1"/>
  <c r="H623" i="1"/>
  <c r="H628" i="1"/>
  <c r="BU6" i="5"/>
  <c r="K530" i="1"/>
  <c r="L530" i="1" s="1"/>
  <c r="K270" i="1"/>
  <c r="BP13" i="5"/>
  <c r="BE248" i="5"/>
  <c r="BH248" i="5" s="1"/>
  <c r="BF249" i="5"/>
  <c r="L233" i="1" l="1"/>
  <c r="S168" i="1"/>
  <c r="S169" i="1"/>
  <c r="R205" i="1"/>
  <c r="R206" i="1" s="1"/>
  <c r="H243" i="1"/>
  <c r="I243" i="1" s="1"/>
  <c r="H248" i="1"/>
  <c r="I248" i="1" s="1"/>
  <c r="H245" i="1"/>
  <c r="I245" i="1" s="1"/>
  <c r="B17" i="6"/>
  <c r="C17" i="6" s="1"/>
  <c r="I270" i="1"/>
  <c r="F270" i="1" s="1"/>
  <c r="R625" i="1"/>
  <c r="AF105" i="1"/>
  <c r="AG105" i="1" s="1"/>
  <c r="AH105" i="1" s="1"/>
  <c r="FB15" i="5"/>
  <c r="FB17" i="5"/>
  <c r="FC20" i="5"/>
  <c r="I530" i="1"/>
  <c r="F530" i="1" s="1"/>
  <c r="BT6" i="5"/>
  <c r="K493" i="1"/>
  <c r="L493" i="1" s="1"/>
  <c r="H590" i="1"/>
  <c r="H587" i="1"/>
  <c r="I587" i="1" s="1"/>
  <c r="H585" i="1"/>
  <c r="H591" i="1"/>
  <c r="I591" i="1" s="1"/>
  <c r="H584" i="1"/>
  <c r="I584" i="1" s="1"/>
  <c r="H588" i="1"/>
  <c r="I588" i="1" s="1"/>
  <c r="B36" i="6"/>
  <c r="K307" i="1"/>
  <c r="BQ13" i="5"/>
  <c r="BF250" i="5"/>
  <c r="BE249" i="5"/>
  <c r="BH249" i="5" s="1"/>
  <c r="S205" i="1" l="1"/>
  <c r="S206" i="1"/>
  <c r="L270" i="1"/>
  <c r="H280" i="1"/>
  <c r="I280" i="1" s="1"/>
  <c r="R242" i="1"/>
  <c r="R243" i="1" s="1"/>
  <c r="H282" i="1"/>
  <c r="I282" i="1" s="1"/>
  <c r="F17" i="6"/>
  <c r="G17" i="6" s="1"/>
  <c r="H285" i="1"/>
  <c r="I285" i="1" s="1"/>
  <c r="I307" i="1"/>
  <c r="F307" i="1" s="1"/>
  <c r="R587" i="1"/>
  <c r="AF106" i="1"/>
  <c r="AG106" i="1" s="1"/>
  <c r="AH106" i="1" s="1"/>
  <c r="FC15" i="5"/>
  <c r="FC17" i="5"/>
  <c r="FD20" i="5"/>
  <c r="I493" i="1"/>
  <c r="F493" i="1" s="1"/>
  <c r="BS6" i="5"/>
  <c r="K456" i="1"/>
  <c r="L456" i="1" s="1"/>
  <c r="H554" i="1"/>
  <c r="I554" i="1" s="1"/>
  <c r="H551" i="1"/>
  <c r="I551" i="1" s="1"/>
  <c r="K30" i="6"/>
  <c r="H548" i="1"/>
  <c r="H547" i="1"/>
  <c r="I547" i="1" s="1"/>
  <c r="H553" i="1"/>
  <c r="H550" i="1"/>
  <c r="I550" i="1" s="1"/>
  <c r="K344" i="1"/>
  <c r="BR13" i="5"/>
  <c r="BE250" i="5"/>
  <c r="BH250" i="5" s="1"/>
  <c r="BF251" i="5"/>
  <c r="S242" i="1" l="1"/>
  <c r="S243" i="1"/>
  <c r="L307" i="1"/>
  <c r="H317" i="1"/>
  <c r="I317" i="1" s="1"/>
  <c r="R279" i="1"/>
  <c r="R280" i="1" s="1"/>
  <c r="H319" i="1"/>
  <c r="I319" i="1" s="1"/>
  <c r="H322" i="1"/>
  <c r="I322" i="1" s="1"/>
  <c r="K17" i="6"/>
  <c r="L17" i="6" s="1"/>
  <c r="I344" i="1"/>
  <c r="F344" i="1" s="1"/>
  <c r="R550" i="1"/>
  <c r="AF107" i="1"/>
  <c r="AG107" i="1" s="1"/>
  <c r="AH107" i="1" s="1"/>
  <c r="FD17" i="5"/>
  <c r="FE20" i="5"/>
  <c r="FD15" i="5"/>
  <c r="I456" i="1"/>
  <c r="F456" i="1" s="1"/>
  <c r="F30" i="6"/>
  <c r="H513" i="1"/>
  <c r="I513" i="1" s="1"/>
  <c r="H511" i="1"/>
  <c r="H516" i="1"/>
  <c r="H510" i="1"/>
  <c r="I510" i="1" s="1"/>
  <c r="H514" i="1"/>
  <c r="I514" i="1" s="1"/>
  <c r="H517" i="1"/>
  <c r="I517" i="1" s="1"/>
  <c r="BR6" i="5"/>
  <c r="K419" i="1"/>
  <c r="L419" i="1" s="1"/>
  <c r="K381" i="1"/>
  <c r="BS13" i="5"/>
  <c r="BE251" i="5"/>
  <c r="BH251" i="5" s="1"/>
  <c r="BF252" i="5"/>
  <c r="S279" i="1" l="1"/>
  <c r="S280" i="1"/>
  <c r="L344" i="1"/>
  <c r="R316" i="1"/>
  <c r="R317" i="1" s="1"/>
  <c r="H354" i="1"/>
  <c r="I354" i="1" s="1"/>
  <c r="H359" i="1"/>
  <c r="I359" i="1" s="1"/>
  <c r="B23" i="6"/>
  <c r="C23" i="6" s="1"/>
  <c r="H356" i="1"/>
  <c r="I356" i="1" s="1"/>
  <c r="I381" i="1"/>
  <c r="F381" i="1" s="1"/>
  <c r="R513" i="1"/>
  <c r="AF108" i="1"/>
  <c r="AG108" i="1" s="1"/>
  <c r="AH108" i="1" s="1"/>
  <c r="FE15" i="5"/>
  <c r="FF20" i="5"/>
  <c r="FE17" i="5"/>
  <c r="I419" i="1"/>
  <c r="F419" i="1" s="1"/>
  <c r="H480" i="1"/>
  <c r="I480" i="1" s="1"/>
  <c r="B30" i="6"/>
  <c r="H473" i="1"/>
  <c r="I473" i="1" s="1"/>
  <c r="H479" i="1"/>
  <c r="H477" i="1"/>
  <c r="I477" i="1" s="1"/>
  <c r="H474" i="1"/>
  <c r="H476" i="1"/>
  <c r="I476" i="1" s="1"/>
  <c r="BQ6" i="5"/>
  <c r="K382" i="1"/>
  <c r="L382" i="1" s="1"/>
  <c r="BT13" i="5"/>
  <c r="K418" i="1"/>
  <c r="BF253" i="5"/>
  <c r="BE252" i="5"/>
  <c r="BH252" i="5" s="1"/>
  <c r="S316" i="1" l="1"/>
  <c r="S317" i="1"/>
  <c r="L381" i="1"/>
  <c r="R353" i="1"/>
  <c r="R354" i="1" s="1"/>
  <c r="H391" i="1"/>
  <c r="I391" i="1" s="1"/>
  <c r="H396" i="1"/>
  <c r="I396" i="1" s="1"/>
  <c r="F23" i="6"/>
  <c r="G23" i="6" s="1"/>
  <c r="I418" i="1"/>
  <c r="F418" i="1" s="1"/>
  <c r="H393" i="1"/>
  <c r="I393" i="1" s="1"/>
  <c r="R476" i="1"/>
  <c r="AF109" i="1"/>
  <c r="AG109" i="1" s="1"/>
  <c r="AH109" i="1" s="1"/>
  <c r="FF15" i="5"/>
  <c r="FG20" i="5"/>
  <c r="FF17" i="5"/>
  <c r="I382" i="1"/>
  <c r="F382" i="1" s="1"/>
  <c r="K24" i="6"/>
  <c r="H436" i="1"/>
  <c r="I436" i="1" s="1"/>
  <c r="H443" i="1"/>
  <c r="I443" i="1" s="1"/>
  <c r="H439" i="1"/>
  <c r="I439" i="1" s="1"/>
  <c r="H437" i="1"/>
  <c r="I437" i="1" s="1"/>
  <c r="H440" i="1"/>
  <c r="I440" i="1" s="1"/>
  <c r="H442" i="1"/>
  <c r="I442" i="1" s="1"/>
  <c r="K345" i="1"/>
  <c r="L345" i="1" s="1"/>
  <c r="BP6" i="5"/>
  <c r="K455" i="1"/>
  <c r="BU13" i="5"/>
  <c r="BF254" i="5"/>
  <c r="BE253" i="5"/>
  <c r="BH253" i="5" s="1"/>
  <c r="S353" i="1" l="1"/>
  <c r="S354" i="1"/>
  <c r="L418" i="1"/>
  <c r="R390" i="1"/>
  <c r="R391" i="1" s="1"/>
  <c r="K443" i="1"/>
  <c r="H428" i="1"/>
  <c r="I428" i="1" s="1"/>
  <c r="K428" i="1" s="1"/>
  <c r="K440" i="1"/>
  <c r="K437" i="1"/>
  <c r="K23" i="6"/>
  <c r="L23" i="6" s="1"/>
  <c r="H431" i="1"/>
  <c r="I431" i="1" s="1"/>
  <c r="K431" i="1" s="1"/>
  <c r="H430" i="1"/>
  <c r="I430" i="1" s="1"/>
  <c r="H433" i="1"/>
  <c r="I433" i="1" s="1"/>
  <c r="K433" i="1" s="1"/>
  <c r="H434" i="1"/>
  <c r="I434" i="1" s="1"/>
  <c r="K434" i="1" s="1"/>
  <c r="I455" i="1"/>
  <c r="F455" i="1" s="1"/>
  <c r="K396" i="1"/>
  <c r="R442" i="1"/>
  <c r="R436" i="1"/>
  <c r="R439" i="1"/>
  <c r="K391" i="1"/>
  <c r="K393" i="1"/>
  <c r="AF110" i="1"/>
  <c r="AG110" i="1" s="1"/>
  <c r="AH110" i="1" s="1"/>
  <c r="FH20" i="5"/>
  <c r="FG15" i="5"/>
  <c r="FG17" i="5"/>
  <c r="K439" i="1"/>
  <c r="K436" i="1"/>
  <c r="F24" i="6"/>
  <c r="H400" i="1"/>
  <c r="I400" i="1" s="1"/>
  <c r="K400" i="1" s="1"/>
  <c r="H402" i="1"/>
  <c r="I402" i="1" s="1"/>
  <c r="H405" i="1"/>
  <c r="I405" i="1" s="1"/>
  <c r="H403" i="1"/>
  <c r="I403" i="1" s="1"/>
  <c r="H399" i="1"/>
  <c r="I399" i="1" s="1"/>
  <c r="H406" i="1"/>
  <c r="I406" i="1" s="1"/>
  <c r="K406" i="1" s="1"/>
  <c r="H397" i="1"/>
  <c r="I397" i="1" s="1"/>
  <c r="R396" i="1" s="1"/>
  <c r="R397" i="1" s="1"/>
  <c r="H394" i="1"/>
  <c r="I394" i="1" s="1"/>
  <c r="R393" i="1" s="1"/>
  <c r="R394" i="1" s="1"/>
  <c r="BO6" i="5"/>
  <c r="K308" i="1"/>
  <c r="L308" i="1" s="1"/>
  <c r="I345" i="1"/>
  <c r="F345" i="1" s="1"/>
  <c r="I474" i="1"/>
  <c r="R473" i="1" s="1"/>
  <c r="I479" i="1"/>
  <c r="R479" i="1" s="1"/>
  <c r="M419" i="1"/>
  <c r="K442" i="1"/>
  <c r="K492" i="1"/>
  <c r="BV13" i="5"/>
  <c r="BE254" i="5"/>
  <c r="BH254" i="5" s="1"/>
  <c r="BF255" i="5"/>
  <c r="M416" i="1" l="1"/>
  <c r="M417" i="1"/>
  <c r="M418" i="1"/>
  <c r="S397" i="1"/>
  <c r="S396" i="1"/>
  <c r="S394" i="1"/>
  <c r="S393" i="1"/>
  <c r="S390" i="1"/>
  <c r="S391" i="1"/>
  <c r="L455" i="1"/>
  <c r="K477" i="1"/>
  <c r="H465" i="1"/>
  <c r="I465" i="1" s="1"/>
  <c r="K465" i="1" s="1"/>
  <c r="K476" i="1"/>
  <c r="K480" i="1"/>
  <c r="K473" i="1"/>
  <c r="R427" i="1"/>
  <c r="R428" i="1" s="1"/>
  <c r="R430" i="1"/>
  <c r="R431" i="1" s="1"/>
  <c r="R433" i="1"/>
  <c r="R434" i="1" s="1"/>
  <c r="K430" i="1"/>
  <c r="H470" i="1"/>
  <c r="I470" i="1" s="1"/>
  <c r="K470" i="1" s="1"/>
  <c r="H467" i="1"/>
  <c r="I467" i="1" s="1"/>
  <c r="K467" i="1" s="1"/>
  <c r="H468" i="1"/>
  <c r="I468" i="1" s="1"/>
  <c r="K468" i="1" s="1"/>
  <c r="B29" i="6"/>
  <c r="C29" i="6" s="1"/>
  <c r="H471" i="1"/>
  <c r="I471" i="1" s="1"/>
  <c r="K471" i="1" s="1"/>
  <c r="I492" i="1"/>
  <c r="F492" i="1" s="1"/>
  <c r="R402" i="1"/>
  <c r="R399" i="1"/>
  <c r="R405" i="1"/>
  <c r="K359" i="1"/>
  <c r="K354" i="1"/>
  <c r="K356" i="1"/>
  <c r="AF111" i="1"/>
  <c r="AG111" i="1" s="1"/>
  <c r="AH111" i="1" s="1"/>
  <c r="FH17" i="5"/>
  <c r="FI20" i="5"/>
  <c r="FH15" i="5"/>
  <c r="K479" i="1"/>
  <c r="K474" i="1"/>
  <c r="M456" i="1"/>
  <c r="H362" i="1"/>
  <c r="I362" i="1" s="1"/>
  <c r="B24" i="6"/>
  <c r="H369" i="1"/>
  <c r="I369" i="1" s="1"/>
  <c r="K369" i="1" s="1"/>
  <c r="H365" i="1"/>
  <c r="I365" i="1" s="1"/>
  <c r="H366" i="1"/>
  <c r="I366" i="1" s="1"/>
  <c r="K366" i="1" s="1"/>
  <c r="H363" i="1"/>
  <c r="I363" i="1" s="1"/>
  <c r="K363" i="1" s="1"/>
  <c r="H368" i="1"/>
  <c r="I368" i="1" s="1"/>
  <c r="H357" i="1"/>
  <c r="I357" i="1" s="1"/>
  <c r="R356" i="1" s="1"/>
  <c r="R357" i="1" s="1"/>
  <c r="H360" i="1"/>
  <c r="I360" i="1" s="1"/>
  <c r="R359" i="1" s="1"/>
  <c r="R360" i="1" s="1"/>
  <c r="K271" i="1"/>
  <c r="L271" i="1" s="1"/>
  <c r="BN6" i="5"/>
  <c r="K399" i="1"/>
  <c r="K394" i="1"/>
  <c r="M381" i="1"/>
  <c r="M380" i="1"/>
  <c r="M379" i="1"/>
  <c r="M382" i="1"/>
  <c r="K403" i="1"/>
  <c r="K405" i="1"/>
  <c r="K397" i="1"/>
  <c r="K402" i="1"/>
  <c r="I516" i="1"/>
  <c r="R516" i="1" s="1"/>
  <c r="I511" i="1"/>
  <c r="R510" i="1" s="1"/>
  <c r="N419" i="1"/>
  <c r="BW13" i="5"/>
  <c r="K529" i="1"/>
  <c r="BE255" i="5"/>
  <c r="BH255" i="5" s="1"/>
  <c r="BF256" i="5"/>
  <c r="AB423" i="1" l="1"/>
  <c r="AB427" i="1"/>
  <c r="AB437" i="1"/>
  <c r="N416" i="1"/>
  <c r="V417" i="1"/>
  <c r="AB425" i="1"/>
  <c r="AB419" i="1" s="1"/>
  <c r="O419" i="1" s="1"/>
  <c r="AB436" i="1"/>
  <c r="AB438" i="1"/>
  <c r="AB424" i="1"/>
  <c r="V418" i="1"/>
  <c r="V415" i="1"/>
  <c r="V426" i="1" s="1"/>
  <c r="N418" i="1"/>
  <c r="W416" i="1"/>
  <c r="AB444" i="1"/>
  <c r="AB435" i="1"/>
  <c r="X416" i="1"/>
  <c r="X424" i="1" s="1"/>
  <c r="AB428" i="1"/>
  <c r="U415" i="1"/>
  <c r="Z416" i="1" s="1"/>
  <c r="O416" i="1" s="1"/>
  <c r="AB431" i="1"/>
  <c r="X417" i="1"/>
  <c r="AB430" i="1"/>
  <c r="X418" i="1"/>
  <c r="AB433" i="1"/>
  <c r="AB426" i="1"/>
  <c r="W415" i="1"/>
  <c r="W426" i="1" s="1"/>
  <c r="U417" i="1"/>
  <c r="Z422" i="1" s="1"/>
  <c r="AB429" i="1"/>
  <c r="AB420" i="1"/>
  <c r="AB434" i="1"/>
  <c r="AB421" i="1"/>
  <c r="AB442" i="1"/>
  <c r="U416" i="1"/>
  <c r="Z417" i="1" s="1"/>
  <c r="AB439" i="1"/>
  <c r="AB443" i="1"/>
  <c r="AB422" i="1"/>
  <c r="AB418" i="1" s="1"/>
  <c r="N417" i="1"/>
  <c r="W418" i="1"/>
  <c r="AB441" i="1"/>
  <c r="AB440" i="1"/>
  <c r="AB416" i="1"/>
  <c r="M455" i="1"/>
  <c r="M454" i="1"/>
  <c r="N454" i="1" s="1"/>
  <c r="M453" i="1"/>
  <c r="S434" i="1"/>
  <c r="S433" i="1"/>
  <c r="S431" i="1"/>
  <c r="S430" i="1"/>
  <c r="S427" i="1"/>
  <c r="S428" i="1"/>
  <c r="S359" i="1"/>
  <c r="S360" i="1"/>
  <c r="S357" i="1"/>
  <c r="S356" i="1"/>
  <c r="L492" i="1"/>
  <c r="R464" i="1"/>
  <c r="R465" i="1" s="1"/>
  <c r="K514" i="1"/>
  <c r="K517" i="1"/>
  <c r="K513" i="1"/>
  <c r="H502" i="1"/>
  <c r="I502" i="1" s="1"/>
  <c r="K502" i="1" s="1"/>
  <c r="K510" i="1"/>
  <c r="H505" i="1"/>
  <c r="I505" i="1" s="1"/>
  <c r="K505" i="1" s="1"/>
  <c r="F29" i="6"/>
  <c r="G29" i="6" s="1"/>
  <c r="H504" i="1"/>
  <c r="I504" i="1" s="1"/>
  <c r="H508" i="1"/>
  <c r="I508" i="1" s="1"/>
  <c r="K508" i="1" s="1"/>
  <c r="H507" i="1"/>
  <c r="I507" i="1" s="1"/>
  <c r="K507" i="1" s="1"/>
  <c r="R467" i="1"/>
  <c r="R468" i="1" s="1"/>
  <c r="R470" i="1"/>
  <c r="R471" i="1" s="1"/>
  <c r="I529" i="1"/>
  <c r="F529" i="1" s="1"/>
  <c r="R365" i="1"/>
  <c r="R362" i="1"/>
  <c r="R368" i="1"/>
  <c r="AF112" i="1"/>
  <c r="AG112" i="1" s="1"/>
  <c r="AH112" i="1" s="1"/>
  <c r="AB417" i="1"/>
  <c r="O417" i="1" s="1"/>
  <c r="FI15" i="5"/>
  <c r="FJ20" i="5"/>
  <c r="FI17" i="5"/>
  <c r="O456" i="1"/>
  <c r="G456" i="1" s="1"/>
  <c r="D30" i="6" s="1"/>
  <c r="U378" i="1"/>
  <c r="AB379" i="1"/>
  <c r="AB401" i="1"/>
  <c r="AB400" i="1"/>
  <c r="AB399" i="1"/>
  <c r="AB402" i="1"/>
  <c r="V378" i="1"/>
  <c r="AB388" i="1"/>
  <c r="AB382" i="1" s="1"/>
  <c r="O382" i="1" s="1"/>
  <c r="AB398" i="1"/>
  <c r="AB404" i="1"/>
  <c r="AB390" i="1"/>
  <c r="AB397" i="1"/>
  <c r="AB396" i="1"/>
  <c r="W378" i="1"/>
  <c r="AB403" i="1"/>
  <c r="AB385" i="1"/>
  <c r="AB380" i="1" s="1"/>
  <c r="O380" i="1" s="1"/>
  <c r="AB383" i="1"/>
  <c r="AB384" i="1"/>
  <c r="AB387" i="1"/>
  <c r="AB391" i="1"/>
  <c r="AB389" i="1"/>
  <c r="AB386" i="1"/>
  <c r="U379" i="1"/>
  <c r="AB394" i="1"/>
  <c r="X379" i="1"/>
  <c r="W379" i="1"/>
  <c r="AB393" i="1"/>
  <c r="AB406" i="1"/>
  <c r="AB407" i="1"/>
  <c r="AB392" i="1"/>
  <c r="AB405" i="1"/>
  <c r="U380" i="1"/>
  <c r="V380" i="1"/>
  <c r="X380" i="1"/>
  <c r="W381" i="1"/>
  <c r="X381" i="1"/>
  <c r="V381" i="1"/>
  <c r="K516" i="1"/>
  <c r="K511" i="1"/>
  <c r="M493" i="1"/>
  <c r="N380" i="1"/>
  <c r="I271" i="1"/>
  <c r="F271" i="1" s="1"/>
  <c r="K360" i="1"/>
  <c r="K365" i="1"/>
  <c r="K357" i="1"/>
  <c r="M344" i="1"/>
  <c r="M342" i="1"/>
  <c r="M343" i="1"/>
  <c r="K368" i="1"/>
  <c r="K362" i="1"/>
  <c r="N382" i="1"/>
  <c r="N381" i="1"/>
  <c r="M345" i="1"/>
  <c r="N456" i="1"/>
  <c r="N379" i="1"/>
  <c r="K234" i="1"/>
  <c r="L234" i="1" s="1"/>
  <c r="BM6" i="5"/>
  <c r="I553" i="1"/>
  <c r="R553" i="1" s="1"/>
  <c r="I548" i="1"/>
  <c r="R547" i="1" s="1"/>
  <c r="Q419" i="1"/>
  <c r="R419" i="1" s="1"/>
  <c r="BX13" i="5"/>
  <c r="K566" i="1"/>
  <c r="BE256" i="5"/>
  <c r="BH256" i="5" s="1"/>
  <c r="BF257" i="5"/>
  <c r="V425" i="1" l="1"/>
  <c r="U425" i="1"/>
  <c r="W423" i="1"/>
  <c r="Z418" i="1"/>
  <c r="O418" i="1" s="1"/>
  <c r="X453" i="1"/>
  <c r="X461" i="1" s="1"/>
  <c r="W424" i="1"/>
  <c r="V423" i="1"/>
  <c r="AB473" i="1"/>
  <c r="W452" i="1"/>
  <c r="W461" i="1" s="1"/>
  <c r="V452" i="1"/>
  <c r="V460" i="1" s="1"/>
  <c r="N453" i="1"/>
  <c r="U423" i="1"/>
  <c r="Z420" i="1" s="1"/>
  <c r="X455" i="1"/>
  <c r="AB458" i="1"/>
  <c r="AB468" i="1"/>
  <c r="AB459" i="1"/>
  <c r="AB454" i="1" s="1"/>
  <c r="AB465" i="1"/>
  <c r="AB460" i="1"/>
  <c r="AB474" i="1"/>
  <c r="X454" i="1"/>
  <c r="V455" i="1"/>
  <c r="AB471" i="1"/>
  <c r="AB475" i="1"/>
  <c r="AB461" i="1"/>
  <c r="U452" i="1"/>
  <c r="Z453" i="1" s="1"/>
  <c r="O453" i="1" s="1"/>
  <c r="AB480" i="1"/>
  <c r="V454" i="1"/>
  <c r="AB472" i="1"/>
  <c r="AB481" i="1"/>
  <c r="U424" i="1"/>
  <c r="N455" i="1"/>
  <c r="X426" i="1"/>
  <c r="AB462" i="1"/>
  <c r="AB456" i="1" s="1"/>
  <c r="AB470" i="1"/>
  <c r="AB467" i="1"/>
  <c r="Z421" i="1"/>
  <c r="U454" i="1"/>
  <c r="Z459" i="1" s="1"/>
  <c r="AB476" i="1"/>
  <c r="AB464" i="1"/>
  <c r="AB453" i="1"/>
  <c r="AB466" i="1"/>
  <c r="W455" i="1"/>
  <c r="X425" i="1"/>
  <c r="W453" i="1"/>
  <c r="U453" i="1"/>
  <c r="Z458" i="1" s="1"/>
  <c r="AB477" i="1"/>
  <c r="AB457" i="1"/>
  <c r="AB479" i="1"/>
  <c r="AB478" i="1"/>
  <c r="AB463" i="1"/>
  <c r="M490" i="1"/>
  <c r="M491" i="1"/>
  <c r="M492" i="1"/>
  <c r="N492" i="1" s="1"/>
  <c r="S471" i="1"/>
  <c r="S470" i="1"/>
  <c r="S467" i="1"/>
  <c r="S468" i="1"/>
  <c r="S464" i="1"/>
  <c r="S465" i="1"/>
  <c r="L529" i="1"/>
  <c r="K551" i="1"/>
  <c r="K550" i="1"/>
  <c r="H539" i="1"/>
  <c r="I539" i="1" s="1"/>
  <c r="K539" i="1" s="1"/>
  <c r="K547" i="1"/>
  <c r="K554" i="1"/>
  <c r="R501" i="1"/>
  <c r="R502" i="1" s="1"/>
  <c r="R507" i="1"/>
  <c r="R508" i="1" s="1"/>
  <c r="H542" i="1"/>
  <c r="I542" i="1" s="1"/>
  <c r="K542" i="1" s="1"/>
  <c r="R504" i="1"/>
  <c r="R505" i="1" s="1"/>
  <c r="K504" i="1"/>
  <c r="H545" i="1"/>
  <c r="I545" i="1" s="1"/>
  <c r="K545" i="1" s="1"/>
  <c r="K29" i="6"/>
  <c r="L29" i="6" s="1"/>
  <c r="H541" i="1"/>
  <c r="I541" i="1" s="1"/>
  <c r="H544" i="1"/>
  <c r="I544" i="1" s="1"/>
  <c r="K544" i="1" s="1"/>
  <c r="I566" i="1"/>
  <c r="F566" i="1" s="1"/>
  <c r="K282" i="1"/>
  <c r="K280" i="1"/>
  <c r="K285" i="1"/>
  <c r="AF113" i="1"/>
  <c r="AG113" i="1" s="1"/>
  <c r="AH113" i="1" s="1"/>
  <c r="AB381" i="1"/>
  <c r="O381" i="1" s="1"/>
  <c r="FJ17" i="5"/>
  <c r="FK20" i="5"/>
  <c r="FJ15" i="5"/>
  <c r="O345" i="1"/>
  <c r="O493" i="1"/>
  <c r="J493" i="1" s="1"/>
  <c r="U342" i="1"/>
  <c r="X342" i="1"/>
  <c r="W342" i="1"/>
  <c r="AB368" i="1"/>
  <c r="AB356" i="1"/>
  <c r="AB357" i="1"/>
  <c r="AB355" i="1"/>
  <c r="AB369" i="1"/>
  <c r="AB370" i="1"/>
  <c r="Z384" i="1"/>
  <c r="Z380" i="1"/>
  <c r="U341" i="1"/>
  <c r="AB342" i="1"/>
  <c r="AB361" i="1"/>
  <c r="AB362" i="1"/>
  <c r="AB365" i="1"/>
  <c r="V341" i="1"/>
  <c r="AB360" i="1"/>
  <c r="AB353" i="1"/>
  <c r="AB367" i="1"/>
  <c r="AB349" i="1"/>
  <c r="AB363" i="1"/>
  <c r="AB364" i="1"/>
  <c r="AB350" i="1"/>
  <c r="AB354" i="1"/>
  <c r="AB352" i="1"/>
  <c r="AB359" i="1"/>
  <c r="AB347" i="1"/>
  <c r="AB346" i="1"/>
  <c r="AB366" i="1"/>
  <c r="W341" i="1"/>
  <c r="AB348" i="1"/>
  <c r="AB343" i="1" s="1"/>
  <c r="AB351" i="1"/>
  <c r="AB345" i="1" s="1"/>
  <c r="V389" i="1"/>
  <c r="V388" i="1"/>
  <c r="V386" i="1"/>
  <c r="V344" i="1"/>
  <c r="X344" i="1"/>
  <c r="W344" i="1"/>
  <c r="U343" i="1"/>
  <c r="X343" i="1"/>
  <c r="V343" i="1"/>
  <c r="Z381" i="1"/>
  <c r="Z385" i="1"/>
  <c r="X388" i="1"/>
  <c r="X389" i="1"/>
  <c r="X387" i="1"/>
  <c r="W386" i="1"/>
  <c r="W389" i="1"/>
  <c r="W387" i="1"/>
  <c r="U388" i="1"/>
  <c r="Z379" i="1"/>
  <c r="O379" i="1" s="1"/>
  <c r="U386" i="1"/>
  <c r="Z383" i="1" s="1"/>
  <c r="U387" i="1"/>
  <c r="N493" i="1"/>
  <c r="Q382" i="1"/>
  <c r="R382" i="1" s="1"/>
  <c r="M530" i="1"/>
  <c r="N342" i="1"/>
  <c r="N345" i="1"/>
  <c r="N344" i="1"/>
  <c r="BL6" i="5"/>
  <c r="K197" i="1"/>
  <c r="L197" i="1" s="1"/>
  <c r="I234" i="1"/>
  <c r="F234" i="1" s="1"/>
  <c r="N343" i="1"/>
  <c r="H295" i="1"/>
  <c r="I295" i="1" s="1"/>
  <c r="K295" i="1" s="1"/>
  <c r="H288" i="1"/>
  <c r="I288" i="1" s="1"/>
  <c r="H292" i="1"/>
  <c r="I292" i="1" s="1"/>
  <c r="K292" i="1" s="1"/>
  <c r="H289" i="1"/>
  <c r="I289" i="1" s="1"/>
  <c r="K289" i="1" s="1"/>
  <c r="H294" i="1"/>
  <c r="I294" i="1" s="1"/>
  <c r="H291" i="1"/>
  <c r="I291" i="1" s="1"/>
  <c r="F18" i="6"/>
  <c r="H286" i="1"/>
  <c r="I286" i="1" s="1"/>
  <c r="R285" i="1" s="1"/>
  <c r="R286" i="1" s="1"/>
  <c r="H283" i="1"/>
  <c r="I283" i="1" s="1"/>
  <c r="R282" i="1" s="1"/>
  <c r="R283" i="1" s="1"/>
  <c r="Q456" i="1"/>
  <c r="R456" i="1" s="1"/>
  <c r="I585" i="1"/>
  <c r="R584" i="1" s="1"/>
  <c r="I590" i="1"/>
  <c r="R590" i="1" s="1"/>
  <c r="K548" i="1"/>
  <c r="K553" i="1"/>
  <c r="K604" i="1"/>
  <c r="BY13" i="5"/>
  <c r="J456" i="1"/>
  <c r="J419" i="1"/>
  <c r="G419" i="1"/>
  <c r="M24" i="6" s="1"/>
  <c r="BE257" i="5"/>
  <c r="BH257" i="5" s="1"/>
  <c r="BF258" i="5"/>
  <c r="X462" i="1" l="1"/>
  <c r="X463" i="1"/>
  <c r="W460" i="1"/>
  <c r="W463" i="1"/>
  <c r="V463" i="1"/>
  <c r="V462" i="1"/>
  <c r="Z455" i="1"/>
  <c r="O455" i="1" s="1"/>
  <c r="AB455" i="1"/>
  <c r="AB344" i="1"/>
  <c r="U460" i="1"/>
  <c r="Z457" i="1" s="1"/>
  <c r="U462" i="1"/>
  <c r="AB513" i="1"/>
  <c r="P417" i="1"/>
  <c r="U461" i="1"/>
  <c r="AB514" i="1"/>
  <c r="P416" i="1"/>
  <c r="AB501" i="1"/>
  <c r="P419" i="1"/>
  <c r="N490" i="1"/>
  <c r="P414" i="1"/>
  <c r="P418" i="1"/>
  <c r="AB511" i="1"/>
  <c r="AB504" i="1"/>
  <c r="AB497" i="1"/>
  <c r="X490" i="1"/>
  <c r="X500" i="1" s="1"/>
  <c r="X491" i="1"/>
  <c r="AB499" i="1"/>
  <c r="AB493" i="1" s="1"/>
  <c r="AB498" i="1"/>
  <c r="Z454" i="1"/>
  <c r="O454" i="1" s="1"/>
  <c r="AB510" i="1"/>
  <c r="AB512" i="1"/>
  <c r="V489" i="1"/>
  <c r="V500" i="1" s="1"/>
  <c r="V492" i="1"/>
  <c r="AB517" i="1"/>
  <c r="AB508" i="1"/>
  <c r="AB505" i="1"/>
  <c r="X492" i="1"/>
  <c r="AB507" i="1"/>
  <c r="AB516" i="1"/>
  <c r="AB496" i="1"/>
  <c r="AB491" i="1" s="1"/>
  <c r="AB518" i="1"/>
  <c r="N491" i="1"/>
  <c r="AB495" i="1"/>
  <c r="AB500" i="1"/>
  <c r="AB503" i="1"/>
  <c r="AB509" i="1"/>
  <c r="W489" i="1"/>
  <c r="W500" i="1" s="1"/>
  <c r="U491" i="1"/>
  <c r="Z496" i="1" s="1"/>
  <c r="AB494" i="1"/>
  <c r="AB490" i="1"/>
  <c r="W492" i="1"/>
  <c r="W490" i="1"/>
  <c r="V491" i="1"/>
  <c r="U490" i="1"/>
  <c r="Z491" i="1" s="1"/>
  <c r="O491" i="1" s="1"/>
  <c r="AB502" i="1"/>
  <c r="AB515" i="1"/>
  <c r="U489" i="1"/>
  <c r="U499" i="1" s="1"/>
  <c r="M529" i="1"/>
  <c r="N529" i="1" s="1"/>
  <c r="M528" i="1"/>
  <c r="N528" i="1" s="1"/>
  <c r="M527" i="1"/>
  <c r="S286" i="1"/>
  <c r="S285" i="1"/>
  <c r="S283" i="1"/>
  <c r="S282" i="1"/>
  <c r="S508" i="1"/>
  <c r="S507" i="1"/>
  <c r="S505" i="1"/>
  <c r="S504" i="1"/>
  <c r="S501" i="1"/>
  <c r="S502" i="1"/>
  <c r="K587" i="1"/>
  <c r="K584" i="1"/>
  <c r="K591" i="1"/>
  <c r="K588" i="1"/>
  <c r="H576" i="1"/>
  <c r="I576" i="1" s="1"/>
  <c r="K576" i="1" s="1"/>
  <c r="L566" i="1"/>
  <c r="R538" i="1"/>
  <c r="R539" i="1" s="1"/>
  <c r="R541" i="1"/>
  <c r="R542" i="1" s="1"/>
  <c r="H578" i="1"/>
  <c r="I578" i="1" s="1"/>
  <c r="K578" i="1" s="1"/>
  <c r="K541" i="1"/>
  <c r="H579" i="1"/>
  <c r="I579" i="1" s="1"/>
  <c r="R544" i="1"/>
  <c r="R545" i="1" s="1"/>
  <c r="H582" i="1"/>
  <c r="I582" i="1" s="1"/>
  <c r="K582" i="1" s="1"/>
  <c r="B35" i="6"/>
  <c r="C35" i="6" s="1"/>
  <c r="H581" i="1"/>
  <c r="I581" i="1" s="1"/>
  <c r="K581" i="1" s="1"/>
  <c r="I604" i="1"/>
  <c r="F604" i="1" s="1"/>
  <c r="R291" i="1"/>
  <c r="R294" i="1"/>
  <c r="R288" i="1"/>
  <c r="K243" i="1"/>
  <c r="K248" i="1"/>
  <c r="K245" i="1"/>
  <c r="AF114" i="1"/>
  <c r="AG114" i="1" s="1"/>
  <c r="AH114" i="1" s="1"/>
  <c r="P377" i="1"/>
  <c r="FL20" i="5"/>
  <c r="FK17" i="5"/>
  <c r="FK15" i="5"/>
  <c r="Z344" i="1"/>
  <c r="O344" i="1" s="1"/>
  <c r="J344" i="1" s="1"/>
  <c r="Z348" i="1"/>
  <c r="V352" i="1"/>
  <c r="V351" i="1"/>
  <c r="V349" i="1"/>
  <c r="X352" i="1"/>
  <c r="X350" i="1"/>
  <c r="X351" i="1"/>
  <c r="U351" i="1"/>
  <c r="Z342" i="1"/>
  <c r="O342" i="1" s="1"/>
  <c r="J342" i="1" s="1"/>
  <c r="U349" i="1"/>
  <c r="Z346" i="1" s="1"/>
  <c r="U350" i="1"/>
  <c r="Z347" i="1"/>
  <c r="Z343" i="1"/>
  <c r="O343" i="1" s="1"/>
  <c r="G343" i="1" s="1"/>
  <c r="D22" i="6" s="1"/>
  <c r="W352" i="1"/>
  <c r="W350" i="1"/>
  <c r="W349" i="1"/>
  <c r="K590" i="1"/>
  <c r="K585" i="1"/>
  <c r="P381" i="1"/>
  <c r="N530" i="1"/>
  <c r="P380" i="1"/>
  <c r="P379" i="1"/>
  <c r="P382" i="1"/>
  <c r="K286" i="1"/>
  <c r="K291" i="1"/>
  <c r="BK6" i="5"/>
  <c r="K160" i="1"/>
  <c r="L160" i="1" s="1"/>
  <c r="G382" i="1"/>
  <c r="H24" i="6" s="1"/>
  <c r="J382" i="1"/>
  <c r="J345" i="1"/>
  <c r="G345" i="1"/>
  <c r="D24" i="6" s="1"/>
  <c r="M271" i="1"/>
  <c r="K294" i="1"/>
  <c r="Q345" i="1"/>
  <c r="R345" i="1" s="1"/>
  <c r="M567" i="1"/>
  <c r="K283" i="1"/>
  <c r="M270" i="1"/>
  <c r="M268" i="1"/>
  <c r="M269" i="1"/>
  <c r="K288" i="1"/>
  <c r="H254" i="1"/>
  <c r="I254" i="1" s="1"/>
  <c r="H257" i="1"/>
  <c r="I257" i="1" s="1"/>
  <c r="H255" i="1"/>
  <c r="I255" i="1" s="1"/>
  <c r="H251" i="1"/>
  <c r="I251" i="1" s="1"/>
  <c r="H258" i="1"/>
  <c r="I258" i="1" s="1"/>
  <c r="K258" i="1" s="1"/>
  <c r="B18" i="6"/>
  <c r="H252" i="1"/>
  <c r="I252" i="1" s="1"/>
  <c r="K252" i="1" s="1"/>
  <c r="H249" i="1"/>
  <c r="I249" i="1" s="1"/>
  <c r="R248" i="1" s="1"/>
  <c r="R249" i="1" s="1"/>
  <c r="H246" i="1"/>
  <c r="I246" i="1" s="1"/>
  <c r="R245" i="1" s="1"/>
  <c r="R246" i="1" s="1"/>
  <c r="I197" i="1"/>
  <c r="F197" i="1" s="1"/>
  <c r="Q493" i="1"/>
  <c r="R493" i="1" s="1"/>
  <c r="I628" i="1"/>
  <c r="R628" i="1" s="1"/>
  <c r="I623" i="1"/>
  <c r="R622" i="1" s="1"/>
  <c r="K641" i="1"/>
  <c r="BZ13" i="5"/>
  <c r="G493" i="1"/>
  <c r="H30" i="6" s="1"/>
  <c r="BE258" i="5"/>
  <c r="BH258" i="5" s="1"/>
  <c r="BF259" i="5"/>
  <c r="P451" i="1" l="1"/>
  <c r="P455" i="1"/>
  <c r="P453" i="1"/>
  <c r="AB492" i="1"/>
  <c r="X499" i="1"/>
  <c r="X498" i="1"/>
  <c r="W497" i="1"/>
  <c r="P454" i="1"/>
  <c r="P456" i="1"/>
  <c r="Z492" i="1"/>
  <c r="O492" i="1" s="1"/>
  <c r="V499" i="1"/>
  <c r="V497" i="1"/>
  <c r="AB545" i="1"/>
  <c r="W498" i="1"/>
  <c r="Z495" i="1"/>
  <c r="W527" i="1"/>
  <c r="M564" i="1"/>
  <c r="U497" i="1"/>
  <c r="Z494" i="1" s="1"/>
  <c r="U498" i="1"/>
  <c r="Z490" i="1"/>
  <c r="O490" i="1" s="1"/>
  <c r="AB535" i="1"/>
  <c r="AB548" i="1"/>
  <c r="AB533" i="1"/>
  <c r="AB529" i="1" s="1"/>
  <c r="O529" i="1" s="1"/>
  <c r="U528" i="1"/>
  <c r="Z529" i="1" s="1"/>
  <c r="V528" i="1"/>
  <c r="AB542" i="1"/>
  <c r="AB531" i="1"/>
  <c r="X527" i="1"/>
  <c r="X537" i="1" s="1"/>
  <c r="AB540" i="1"/>
  <c r="AB552" i="1"/>
  <c r="AB527" i="1"/>
  <c r="AB536" i="1"/>
  <c r="AB530" i="1" s="1"/>
  <c r="O530" i="1" s="1"/>
  <c r="U526" i="1"/>
  <c r="Z527" i="1" s="1"/>
  <c r="O527" i="1" s="1"/>
  <c r="AB546" i="1"/>
  <c r="AB553" i="1"/>
  <c r="AB534" i="1"/>
  <c r="W529" i="1"/>
  <c r="X528" i="1"/>
  <c r="AB554" i="1"/>
  <c r="AB551" i="1"/>
  <c r="AB549" i="1"/>
  <c r="N527" i="1"/>
  <c r="AB541" i="1"/>
  <c r="AB538" i="1"/>
  <c r="AB539" i="1"/>
  <c r="V526" i="1"/>
  <c r="V537" i="1" s="1"/>
  <c r="M565" i="1"/>
  <c r="N565" i="1" s="1"/>
  <c r="AB555" i="1"/>
  <c r="U527" i="1"/>
  <c r="Z532" i="1" s="1"/>
  <c r="AB532" i="1"/>
  <c r="AB537" i="1"/>
  <c r="W526" i="1"/>
  <c r="W535" i="1" s="1"/>
  <c r="X529" i="1"/>
  <c r="M566" i="1"/>
  <c r="AB544" i="1"/>
  <c r="AB547" i="1"/>
  <c r="AB550" i="1"/>
  <c r="V529" i="1"/>
  <c r="S544" i="1"/>
  <c r="S545" i="1"/>
  <c r="S542" i="1"/>
  <c r="S541" i="1"/>
  <c r="S539" i="1"/>
  <c r="S538" i="1"/>
  <c r="S248" i="1"/>
  <c r="S249" i="1"/>
  <c r="S246" i="1"/>
  <c r="S245" i="1"/>
  <c r="K626" i="1"/>
  <c r="K622" i="1"/>
  <c r="K625" i="1"/>
  <c r="H614" i="1"/>
  <c r="I614" i="1" s="1"/>
  <c r="K614" i="1" s="1"/>
  <c r="K629" i="1"/>
  <c r="R575" i="1"/>
  <c r="R576" i="1" s="1"/>
  <c r="L604" i="1"/>
  <c r="R578" i="1"/>
  <c r="R579" i="1" s="1"/>
  <c r="K579" i="1"/>
  <c r="H620" i="1"/>
  <c r="I620" i="1" s="1"/>
  <c r="K620" i="1" s="1"/>
  <c r="R581" i="1"/>
  <c r="R582" i="1" s="1"/>
  <c r="H619" i="1"/>
  <c r="I619" i="1" s="1"/>
  <c r="K619" i="1" s="1"/>
  <c r="H616" i="1"/>
  <c r="I616" i="1" s="1"/>
  <c r="K616" i="1" s="1"/>
  <c r="H617" i="1"/>
  <c r="I617" i="1" s="1"/>
  <c r="K617" i="1" s="1"/>
  <c r="F35" i="6"/>
  <c r="G35" i="6" s="1"/>
  <c r="I641" i="1"/>
  <c r="F641" i="1" s="1"/>
  <c r="K205" i="1"/>
  <c r="R251" i="1"/>
  <c r="R257" i="1"/>
  <c r="R254" i="1"/>
  <c r="K206" i="1"/>
  <c r="K211" i="1"/>
  <c r="K208" i="1"/>
  <c r="AB528" i="1"/>
  <c r="J343" i="1"/>
  <c r="AF115" i="1"/>
  <c r="AG115" i="1" s="1"/>
  <c r="AH115" i="1" s="1"/>
  <c r="G344" i="1"/>
  <c r="D23" i="6" s="1"/>
  <c r="P340" i="1"/>
  <c r="G342" i="1"/>
  <c r="FL17" i="5"/>
  <c r="FL15" i="5"/>
  <c r="FM20" i="5"/>
  <c r="O269" i="1"/>
  <c r="O271" i="1"/>
  <c r="O567" i="1"/>
  <c r="U269" i="1"/>
  <c r="V269" i="1"/>
  <c r="X269" i="1"/>
  <c r="V270" i="1"/>
  <c r="W270" i="1"/>
  <c r="X270" i="1"/>
  <c r="U268" i="1"/>
  <c r="AB281" i="1"/>
  <c r="AB295" i="1"/>
  <c r="W268" i="1"/>
  <c r="AB282" i="1"/>
  <c r="AB283" i="1"/>
  <c r="AB294" i="1"/>
  <c r="X268" i="1"/>
  <c r="AB296" i="1"/>
  <c r="AB268" i="1"/>
  <c r="U267" i="1"/>
  <c r="W267" i="1"/>
  <c r="AB292" i="1"/>
  <c r="AB288" i="1"/>
  <c r="AB287" i="1"/>
  <c r="V267" i="1"/>
  <c r="AB274" i="1"/>
  <c r="AB269" i="1" s="1"/>
  <c r="AB275" i="1"/>
  <c r="AB286" i="1"/>
  <c r="AB289" i="1"/>
  <c r="AB279" i="1"/>
  <c r="AB293" i="1"/>
  <c r="AB278" i="1"/>
  <c r="AB285" i="1"/>
  <c r="AB276" i="1"/>
  <c r="AB290" i="1"/>
  <c r="AB280" i="1"/>
  <c r="AB273" i="1"/>
  <c r="AB277" i="1"/>
  <c r="AB271" i="1" s="1"/>
  <c r="AB272" i="1"/>
  <c r="AB291" i="1"/>
  <c r="K623" i="1"/>
  <c r="P344" i="1"/>
  <c r="P343" i="1"/>
  <c r="P342" i="1"/>
  <c r="P345" i="1"/>
  <c r="N567" i="1"/>
  <c r="M234" i="1"/>
  <c r="I160" i="1"/>
  <c r="F160" i="1" s="1"/>
  <c r="H214" i="1"/>
  <c r="I214" i="1" s="1"/>
  <c r="H215" i="1"/>
  <c r="I215" i="1" s="1"/>
  <c r="K215" i="1" s="1"/>
  <c r="K12" i="6"/>
  <c r="H218" i="1"/>
  <c r="I218" i="1" s="1"/>
  <c r="K218" i="1" s="1"/>
  <c r="H221" i="1"/>
  <c r="I221" i="1" s="1"/>
  <c r="K221" i="1" s="1"/>
  <c r="H217" i="1"/>
  <c r="I217" i="1" s="1"/>
  <c r="H220" i="1"/>
  <c r="I220" i="1" s="1"/>
  <c r="H209" i="1"/>
  <c r="I209" i="1" s="1"/>
  <c r="R208" i="1" s="1"/>
  <c r="R209" i="1" s="1"/>
  <c r="H212" i="1"/>
  <c r="I212" i="1" s="1"/>
  <c r="R211" i="1" s="1"/>
  <c r="R212" i="1" s="1"/>
  <c r="N268" i="1"/>
  <c r="K251" i="1"/>
  <c r="K257" i="1"/>
  <c r="N270" i="1"/>
  <c r="K123" i="1"/>
  <c r="L123" i="1" s="1"/>
  <c r="BJ6" i="5"/>
  <c r="K246" i="1"/>
  <c r="M233" i="1"/>
  <c r="M232" i="1"/>
  <c r="M231" i="1"/>
  <c r="K255" i="1"/>
  <c r="K249" i="1"/>
  <c r="K254" i="1"/>
  <c r="N269" i="1"/>
  <c r="N271" i="1"/>
  <c r="Q530" i="1"/>
  <c r="R530" i="1" s="1"/>
  <c r="M605" i="1"/>
  <c r="K628" i="1"/>
  <c r="I665" i="1"/>
  <c r="R665" i="1" s="1"/>
  <c r="I660" i="1"/>
  <c r="R659" i="1" s="1"/>
  <c r="CA13" i="5"/>
  <c r="K678" i="1"/>
  <c r="L678" i="1" s="1"/>
  <c r="BE259" i="5"/>
  <c r="BH259" i="5" s="1"/>
  <c r="BF260" i="5"/>
  <c r="X536" i="1" l="1"/>
  <c r="X535" i="1"/>
  <c r="U535" i="1"/>
  <c r="U534" i="1"/>
  <c r="Z531" i="1" s="1"/>
  <c r="P491" i="1"/>
  <c r="P490" i="1"/>
  <c r="P492" i="1"/>
  <c r="O565" i="1"/>
  <c r="G565" i="1" s="1"/>
  <c r="D34" i="6" s="1"/>
  <c r="P493" i="1"/>
  <c r="W564" i="1"/>
  <c r="AB574" i="1"/>
  <c r="AB584" i="1"/>
  <c r="AB587" i="1"/>
  <c r="AB588" i="1"/>
  <c r="W566" i="1"/>
  <c r="N564" i="1"/>
  <c r="W563" i="1"/>
  <c r="W574" i="1" s="1"/>
  <c r="AB576" i="1"/>
  <c r="AB575" i="1"/>
  <c r="Z528" i="1"/>
  <c r="AB589" i="1"/>
  <c r="AB572" i="1"/>
  <c r="N566" i="1"/>
  <c r="V563" i="1"/>
  <c r="V574" i="1" s="1"/>
  <c r="V536" i="1"/>
  <c r="AB581" i="1"/>
  <c r="AB591" i="1"/>
  <c r="U536" i="1"/>
  <c r="AB578" i="1"/>
  <c r="X565" i="1"/>
  <c r="AB569" i="1"/>
  <c r="U563" i="1"/>
  <c r="Z564" i="1" s="1"/>
  <c r="O564" i="1" s="1"/>
  <c r="G564" i="1" s="1"/>
  <c r="P488" i="1"/>
  <c r="Z533" i="1"/>
  <c r="M603" i="1"/>
  <c r="N603" i="1" s="1"/>
  <c r="M602" i="1"/>
  <c r="X564" i="1"/>
  <c r="X574" i="1" s="1"/>
  <c r="W537" i="1"/>
  <c r="W534" i="1"/>
  <c r="H651" i="1"/>
  <c r="I651" i="1" s="1"/>
  <c r="K651" i="1" s="1"/>
  <c r="M604" i="1"/>
  <c r="U565" i="1"/>
  <c r="Z566" i="1" s="1"/>
  <c r="O566" i="1" s="1"/>
  <c r="G566" i="1" s="1"/>
  <c r="D35" i="6" s="1"/>
  <c r="AB571" i="1"/>
  <c r="AB568" i="1"/>
  <c r="AB579" i="1"/>
  <c r="AB577" i="1"/>
  <c r="V566" i="1"/>
  <c r="V534" i="1"/>
  <c r="AB570" i="1"/>
  <c r="AB565" i="1" s="1"/>
  <c r="AB582" i="1"/>
  <c r="AB583" i="1"/>
  <c r="AB590" i="1"/>
  <c r="X566" i="1"/>
  <c r="AB573" i="1"/>
  <c r="AB567" i="1" s="1"/>
  <c r="AB592" i="1"/>
  <c r="U564" i="1"/>
  <c r="Z569" i="1" s="1"/>
  <c r="V565" i="1"/>
  <c r="AB586" i="1"/>
  <c r="AB585" i="1"/>
  <c r="AB564" i="1"/>
  <c r="S212" i="1"/>
  <c r="S211" i="1"/>
  <c r="S209" i="1"/>
  <c r="S208" i="1"/>
  <c r="S582" i="1"/>
  <c r="S581" i="1"/>
  <c r="S579" i="1"/>
  <c r="S578" i="1"/>
  <c r="S575" i="1"/>
  <c r="S576" i="1"/>
  <c r="R613" i="1"/>
  <c r="R614" i="1" s="1"/>
  <c r="K663" i="1"/>
  <c r="K659" i="1"/>
  <c r="K662" i="1"/>
  <c r="K666" i="1"/>
  <c r="L641" i="1"/>
  <c r="H657" i="1"/>
  <c r="I657" i="1" s="1"/>
  <c r="K657" i="1" s="1"/>
  <c r="R619" i="1"/>
  <c r="R620" i="1" s="1"/>
  <c r="H656" i="1"/>
  <c r="I656" i="1" s="1"/>
  <c r="H654" i="1"/>
  <c r="I654" i="1" s="1"/>
  <c r="K654" i="1" s="1"/>
  <c r="H653" i="1"/>
  <c r="I653" i="1" s="1"/>
  <c r="K653" i="1" s="1"/>
  <c r="K35" i="6"/>
  <c r="L35" i="6" s="1"/>
  <c r="R616" i="1"/>
  <c r="R617" i="1" s="1"/>
  <c r="I678" i="1"/>
  <c r="F678" i="1" s="1"/>
  <c r="R214" i="1"/>
  <c r="R220" i="1"/>
  <c r="R217" i="1"/>
  <c r="O528" i="1"/>
  <c r="K168" i="1"/>
  <c r="K174" i="1"/>
  <c r="K171" i="1"/>
  <c r="K169" i="1"/>
  <c r="AF116" i="1"/>
  <c r="AG116" i="1" s="1"/>
  <c r="AH116" i="1" s="1"/>
  <c r="BT155" i="5"/>
  <c r="BT156" i="5"/>
  <c r="AI96" i="1" s="1"/>
  <c r="AK96" i="1" s="1"/>
  <c r="AL96" i="1" s="1"/>
  <c r="BT154" i="5"/>
  <c r="BT157" i="5"/>
  <c r="BT171" i="5"/>
  <c r="D21" i="6"/>
  <c r="AB270" i="1"/>
  <c r="FM15" i="5"/>
  <c r="FN20" i="5"/>
  <c r="FM17" i="5"/>
  <c r="U230" i="1"/>
  <c r="AB231" i="1"/>
  <c r="V230" i="1"/>
  <c r="AB251" i="1"/>
  <c r="AB253" i="1"/>
  <c r="AB240" i="1"/>
  <c r="AB234" i="1" s="1"/>
  <c r="AB239" i="1"/>
  <c r="AB238" i="1"/>
  <c r="AB236" i="1"/>
  <c r="AB252" i="1"/>
  <c r="AB249" i="1"/>
  <c r="AB235" i="1"/>
  <c r="AB237" i="1"/>
  <c r="AB232" i="1" s="1"/>
  <c r="AB250" i="1"/>
  <c r="AB248" i="1"/>
  <c r="W230" i="1"/>
  <c r="V233" i="1"/>
  <c r="W233" i="1"/>
  <c r="X233" i="1"/>
  <c r="X278" i="1"/>
  <c r="X276" i="1"/>
  <c r="X277" i="1"/>
  <c r="Z270" i="1"/>
  <c r="O270" i="1" s="1"/>
  <c r="G270" i="1" s="1"/>
  <c r="H17" i="6" s="1"/>
  <c r="Z274" i="1"/>
  <c r="U231" i="1"/>
  <c r="AB259" i="1"/>
  <c r="W231" i="1"/>
  <c r="AB258" i="1"/>
  <c r="X231" i="1"/>
  <c r="AB246" i="1"/>
  <c r="AB245" i="1"/>
  <c r="AB244" i="1"/>
  <c r="AB257" i="1"/>
  <c r="V278" i="1"/>
  <c r="V277" i="1"/>
  <c r="V275" i="1"/>
  <c r="W276" i="1"/>
  <c r="W278" i="1"/>
  <c r="W275" i="1"/>
  <c r="U232" i="1"/>
  <c r="X232" i="1"/>
  <c r="V232" i="1"/>
  <c r="U277" i="1"/>
  <c r="Z268" i="1"/>
  <c r="O268" i="1" s="1"/>
  <c r="J268" i="1" s="1"/>
  <c r="U275" i="1"/>
  <c r="Z272" i="1" s="1"/>
  <c r="U276" i="1"/>
  <c r="Z273" i="1"/>
  <c r="Z269" i="1"/>
  <c r="K660" i="1"/>
  <c r="K665" i="1"/>
  <c r="N234" i="1"/>
  <c r="J271" i="1"/>
  <c r="G271" i="1"/>
  <c r="H18" i="6" s="1"/>
  <c r="N232" i="1"/>
  <c r="K86" i="1"/>
  <c r="L86" i="1" s="1"/>
  <c r="BI6" i="5"/>
  <c r="Q271" i="1"/>
  <c r="R271" i="1" s="1"/>
  <c r="K212" i="1"/>
  <c r="K217" i="1"/>
  <c r="H181" i="1"/>
  <c r="I181" i="1" s="1"/>
  <c r="K181" i="1" s="1"/>
  <c r="H178" i="1"/>
  <c r="I178" i="1" s="1"/>
  <c r="K178" i="1" s="1"/>
  <c r="H180" i="1"/>
  <c r="I180" i="1" s="1"/>
  <c r="F12" i="6"/>
  <c r="H184" i="1"/>
  <c r="I184" i="1" s="1"/>
  <c r="K184" i="1" s="1"/>
  <c r="H183" i="1"/>
  <c r="I183" i="1" s="1"/>
  <c r="H177" i="1"/>
  <c r="I177" i="1" s="1"/>
  <c r="H175" i="1"/>
  <c r="I175" i="1" s="1"/>
  <c r="R174" i="1" s="1"/>
  <c r="R175" i="1" s="1"/>
  <c r="H172" i="1"/>
  <c r="I172" i="1" s="1"/>
  <c r="R171" i="1" s="1"/>
  <c r="R172" i="1" s="1"/>
  <c r="M642" i="1"/>
  <c r="G269" i="1"/>
  <c r="H16" i="6" s="1"/>
  <c r="J269" i="1"/>
  <c r="I123" i="1"/>
  <c r="F123" i="1" s="1"/>
  <c r="K209" i="1"/>
  <c r="M194" i="1"/>
  <c r="M196" i="1"/>
  <c r="M195" i="1"/>
  <c r="K214" i="1"/>
  <c r="N233" i="1"/>
  <c r="N231" i="1"/>
  <c r="M197" i="1"/>
  <c r="K220" i="1"/>
  <c r="N605" i="1"/>
  <c r="Q567" i="1"/>
  <c r="R567" i="1" s="1"/>
  <c r="I697" i="1"/>
  <c r="R696" i="1" s="1"/>
  <c r="I702" i="1"/>
  <c r="R702" i="1" s="1"/>
  <c r="H688" i="1"/>
  <c r="I688" i="1" s="1"/>
  <c r="R687" i="1" s="1"/>
  <c r="K696" i="1"/>
  <c r="K700" i="1"/>
  <c r="K703" i="1"/>
  <c r="K699" i="1"/>
  <c r="K715" i="1"/>
  <c r="L715" i="1" s="1"/>
  <c r="CB13" i="5"/>
  <c r="J530" i="1"/>
  <c r="G530" i="1"/>
  <c r="M30" i="6" s="1"/>
  <c r="G567" i="1"/>
  <c r="D36" i="6" s="1"/>
  <c r="J567" i="1"/>
  <c r="I751" i="1"/>
  <c r="F751" i="1" s="1"/>
  <c r="I750" i="1"/>
  <c r="F750" i="1" s="1"/>
  <c r="BF261" i="5"/>
  <c r="BE260" i="5"/>
  <c r="BH260" i="5" s="1"/>
  <c r="W572" i="1" l="1"/>
  <c r="J565" i="1"/>
  <c r="W571" i="1"/>
  <c r="AB566" i="1"/>
  <c r="Z565" i="1"/>
  <c r="U572" i="1"/>
  <c r="U573" i="1"/>
  <c r="U571" i="1"/>
  <c r="Z568" i="1" s="1"/>
  <c r="R650" i="1"/>
  <c r="R651" i="1" s="1"/>
  <c r="S650" i="1" s="1"/>
  <c r="X572" i="1"/>
  <c r="AB233" i="1"/>
  <c r="X573" i="1"/>
  <c r="V573" i="1"/>
  <c r="V571" i="1"/>
  <c r="Z570" i="1"/>
  <c r="AB628" i="1"/>
  <c r="W601" i="1"/>
  <c r="W610" i="1" s="1"/>
  <c r="M639" i="1"/>
  <c r="AB611" i="1"/>
  <c r="AB605" i="1" s="1"/>
  <c r="O605" i="1" s="1"/>
  <c r="AB612" i="1"/>
  <c r="AB625" i="1"/>
  <c r="AB613" i="1"/>
  <c r="W604" i="1"/>
  <c r="AB614" i="1"/>
  <c r="AB627" i="1"/>
  <c r="P530" i="1"/>
  <c r="AB626" i="1"/>
  <c r="AB609" i="1"/>
  <c r="N602" i="1"/>
  <c r="P525" i="1"/>
  <c r="P527" i="1"/>
  <c r="P528" i="1"/>
  <c r="P529" i="1"/>
  <c r="M640" i="1"/>
  <c r="AB608" i="1"/>
  <c r="AB603" i="1" s="1"/>
  <c r="O603" i="1" s="1"/>
  <c r="U602" i="1"/>
  <c r="Z603" i="1" s="1"/>
  <c r="V601" i="1"/>
  <c r="V612" i="1" s="1"/>
  <c r="M641" i="1"/>
  <c r="N641" i="1" s="1"/>
  <c r="X603" i="1"/>
  <c r="AB623" i="1"/>
  <c r="AB619" i="1"/>
  <c r="U601" i="1"/>
  <c r="U609" i="1" s="1"/>
  <c r="Z606" i="1" s="1"/>
  <c r="W602" i="1"/>
  <c r="V603" i="1"/>
  <c r="AB606" i="1"/>
  <c r="AB602" i="1"/>
  <c r="X602" i="1"/>
  <c r="X610" i="1" s="1"/>
  <c r="N604" i="1"/>
  <c r="J270" i="1"/>
  <c r="U603" i="1"/>
  <c r="Z608" i="1" s="1"/>
  <c r="AB622" i="1"/>
  <c r="V604" i="1"/>
  <c r="AB629" i="1"/>
  <c r="AB624" i="1"/>
  <c r="AB620" i="1"/>
  <c r="X604" i="1"/>
  <c r="AB616" i="1"/>
  <c r="AB610" i="1"/>
  <c r="AB621" i="1"/>
  <c r="AB615" i="1"/>
  <c r="AB617" i="1"/>
  <c r="AB607" i="1"/>
  <c r="AB630" i="1"/>
  <c r="S619" i="1"/>
  <c r="S620" i="1"/>
  <c r="S617" i="1"/>
  <c r="S616" i="1"/>
  <c r="S614" i="1"/>
  <c r="S613" i="1"/>
  <c r="S172" i="1"/>
  <c r="S171" i="1"/>
  <c r="S175" i="1"/>
  <c r="S174" i="1"/>
  <c r="R656" i="1"/>
  <c r="R657" i="1" s="1"/>
  <c r="K656" i="1"/>
  <c r="R653" i="1"/>
  <c r="R654" i="1" s="1"/>
  <c r="H691" i="1"/>
  <c r="I691" i="1" s="1"/>
  <c r="K691" i="1" s="1"/>
  <c r="H694" i="1"/>
  <c r="I694" i="1" s="1"/>
  <c r="K694" i="1" s="1"/>
  <c r="H690" i="1"/>
  <c r="I690" i="1" s="1"/>
  <c r="I715" i="1"/>
  <c r="F715" i="1" s="1"/>
  <c r="H693" i="1"/>
  <c r="I693" i="1" s="1"/>
  <c r="K693" i="1" s="1"/>
  <c r="B41" i="6"/>
  <c r="C41" i="6" s="1"/>
  <c r="R183" i="1"/>
  <c r="R180" i="1"/>
  <c r="R177" i="1"/>
  <c r="K134" i="1"/>
  <c r="K132" i="1"/>
  <c r="K137" i="1"/>
  <c r="AF117" i="1"/>
  <c r="AG117" i="1" s="1"/>
  <c r="AH117" i="1" s="1"/>
  <c r="P266" i="1"/>
  <c r="J566" i="1"/>
  <c r="G268" i="1"/>
  <c r="BR156" i="5" s="1"/>
  <c r="FN15" i="5"/>
  <c r="FO20" i="5"/>
  <c r="FN17" i="5"/>
  <c r="AB242" i="1"/>
  <c r="O232" i="1" s="1"/>
  <c r="AB243" i="1"/>
  <c r="O234" i="1" s="1"/>
  <c r="U194" i="1"/>
  <c r="W194" i="1"/>
  <c r="X194" i="1"/>
  <c r="X240" i="1"/>
  <c r="X241" i="1"/>
  <c r="X239" i="1"/>
  <c r="W238" i="1"/>
  <c r="AB254" i="1" s="1"/>
  <c r="W239" i="1"/>
  <c r="AB255" i="1" s="1"/>
  <c r="W241" i="1"/>
  <c r="AB256" i="1" s="1"/>
  <c r="U195" i="1"/>
  <c r="V195" i="1"/>
  <c r="X195" i="1"/>
  <c r="Z233" i="1"/>
  <c r="O233" i="1" s="1"/>
  <c r="J233" i="1" s="1"/>
  <c r="Z237" i="1"/>
  <c r="Z236" i="1"/>
  <c r="Z232" i="1"/>
  <c r="U240" i="1"/>
  <c r="Z231" i="1"/>
  <c r="U239" i="1"/>
  <c r="U238" i="1"/>
  <c r="Z235" i="1" s="1"/>
  <c r="W196" i="1"/>
  <c r="X196" i="1"/>
  <c r="V196" i="1"/>
  <c r="U193" i="1"/>
  <c r="AB194" i="1"/>
  <c r="AB218" i="1"/>
  <c r="AB203" i="1"/>
  <c r="AB197" i="1" s="1"/>
  <c r="AB198" i="1"/>
  <c r="AB201" i="1"/>
  <c r="AB206" i="1"/>
  <c r="AB202" i="1"/>
  <c r="AB211" i="1"/>
  <c r="AB200" i="1"/>
  <c r="AB195" i="1" s="1"/>
  <c r="AB204" i="1"/>
  <c r="AB212" i="1"/>
  <c r="AB219" i="1"/>
  <c r="AB217" i="1"/>
  <c r="V193" i="1"/>
  <c r="W193" i="1"/>
  <c r="AB213" i="1"/>
  <c r="AB214" i="1"/>
  <c r="AB199" i="1"/>
  <c r="AB215" i="1"/>
  <c r="AB216" i="1"/>
  <c r="AB205" i="1"/>
  <c r="AB241" i="1"/>
  <c r="V241" i="1"/>
  <c r="V240" i="1"/>
  <c r="V238" i="1"/>
  <c r="BZ157" i="5"/>
  <c r="BZ171" i="5"/>
  <c r="K702" i="1"/>
  <c r="P271" i="1"/>
  <c r="P268" i="1"/>
  <c r="P269" i="1"/>
  <c r="P270" i="1"/>
  <c r="N642" i="1"/>
  <c r="Q234" i="1"/>
  <c r="R234" i="1" s="1"/>
  <c r="M160" i="1"/>
  <c r="N196" i="1"/>
  <c r="I86" i="1"/>
  <c r="F86" i="1" s="1"/>
  <c r="N197" i="1"/>
  <c r="N194" i="1"/>
  <c r="K172" i="1"/>
  <c r="M157" i="1"/>
  <c r="M158" i="1"/>
  <c r="M159" i="1"/>
  <c r="K177" i="1"/>
  <c r="K175" i="1"/>
  <c r="K183" i="1"/>
  <c r="K180" i="1"/>
  <c r="N195" i="1"/>
  <c r="H147" i="1"/>
  <c r="I147" i="1" s="1"/>
  <c r="K147" i="1" s="1"/>
  <c r="H143" i="1"/>
  <c r="I143" i="1" s="1"/>
  <c r="H141" i="1"/>
  <c r="I141" i="1" s="1"/>
  <c r="K141" i="1" s="1"/>
  <c r="H146" i="1"/>
  <c r="I146" i="1" s="1"/>
  <c r="H144" i="1"/>
  <c r="I144" i="1" s="1"/>
  <c r="K144" i="1" s="1"/>
  <c r="B12" i="6"/>
  <c r="H140" i="1"/>
  <c r="I140" i="1" s="1"/>
  <c r="H135" i="1"/>
  <c r="I135" i="1" s="1"/>
  <c r="R134" i="1" s="1"/>
  <c r="R135" i="1" s="1"/>
  <c r="H138" i="1"/>
  <c r="I138" i="1" s="1"/>
  <c r="R137" i="1" s="1"/>
  <c r="R138" i="1" s="1"/>
  <c r="BH6" i="5"/>
  <c r="K12" i="1" s="1"/>
  <c r="K49" i="1"/>
  <c r="L49" i="1" s="1"/>
  <c r="I734" i="1"/>
  <c r="I739" i="1"/>
  <c r="R739" i="1" s="1"/>
  <c r="Q605" i="1"/>
  <c r="R605" i="1" s="1"/>
  <c r="K697" i="1"/>
  <c r="M679" i="1"/>
  <c r="CC13" i="5"/>
  <c r="K752" i="1"/>
  <c r="L752" i="1" s="1"/>
  <c r="H725" i="1"/>
  <c r="I725" i="1" s="1"/>
  <c r="R724" i="1" s="1"/>
  <c r="K733" i="1"/>
  <c r="K736" i="1"/>
  <c r="K740" i="1"/>
  <c r="K737" i="1"/>
  <c r="M676" i="1"/>
  <c r="K688" i="1"/>
  <c r="M678" i="1"/>
  <c r="M677" i="1"/>
  <c r="BZ155" i="5"/>
  <c r="BZ156" i="5"/>
  <c r="AI102" i="1" s="1"/>
  <c r="D33" i="6"/>
  <c r="BZ154" i="5"/>
  <c r="I773" i="1"/>
  <c r="I774" i="1"/>
  <c r="I770" i="1"/>
  <c r="H761" i="1"/>
  <c r="I761" i="1" s="1"/>
  <c r="K39" i="6"/>
  <c r="L39" i="6" s="1"/>
  <c r="K40" i="6"/>
  <c r="L40" i="6" s="1"/>
  <c r="BF262" i="5"/>
  <c r="BE261" i="5"/>
  <c r="BH261" i="5" s="1"/>
  <c r="Z607" i="1" l="1"/>
  <c r="P567" i="1"/>
  <c r="P565" i="1"/>
  <c r="P566" i="1"/>
  <c r="P564" i="1"/>
  <c r="S651" i="1"/>
  <c r="AB604" i="1"/>
  <c r="O604" i="1" s="1"/>
  <c r="P562" i="1"/>
  <c r="W612" i="1"/>
  <c r="W609" i="1"/>
  <c r="V641" i="1"/>
  <c r="AB646" i="1"/>
  <c r="AB648" i="1"/>
  <c r="N639" i="1"/>
  <c r="X612" i="1"/>
  <c r="X611" i="1"/>
  <c r="U638" i="1"/>
  <c r="Z639" i="1" s="1"/>
  <c r="O639" i="1" s="1"/>
  <c r="AB663" i="1"/>
  <c r="G233" i="1"/>
  <c r="D17" i="6" s="1"/>
  <c r="Z602" i="1"/>
  <c r="O602" i="1" s="1"/>
  <c r="W641" i="1"/>
  <c r="AB662" i="1"/>
  <c r="N640" i="1"/>
  <c r="U611" i="1"/>
  <c r="AB649" i="1"/>
  <c r="AB654" i="1"/>
  <c r="AB664" i="1"/>
  <c r="W639" i="1"/>
  <c r="AB651" i="1"/>
  <c r="AB650" i="1"/>
  <c r="AB666" i="1"/>
  <c r="W638" i="1"/>
  <c r="W649" i="1" s="1"/>
  <c r="V609" i="1"/>
  <c r="V611" i="1"/>
  <c r="X640" i="1"/>
  <c r="AB653" i="1"/>
  <c r="Z604" i="1"/>
  <c r="AB661" i="1"/>
  <c r="AB656" i="1"/>
  <c r="U640" i="1"/>
  <c r="Z641" i="1" s="1"/>
  <c r="O641" i="1" s="1"/>
  <c r="AB665" i="1"/>
  <c r="AB647" i="1"/>
  <c r="AB658" i="1"/>
  <c r="AB657" i="1"/>
  <c r="X639" i="1"/>
  <c r="X647" i="1" s="1"/>
  <c r="U610" i="1"/>
  <c r="X641" i="1"/>
  <c r="AB660" i="1"/>
  <c r="AB645" i="1"/>
  <c r="AB641" i="1" s="1"/>
  <c r="V638" i="1"/>
  <c r="V648" i="1" s="1"/>
  <c r="AB652" i="1"/>
  <c r="AB642" i="1"/>
  <c r="O642" i="1" s="1"/>
  <c r="AB644" i="1"/>
  <c r="AB639" i="1"/>
  <c r="AB659" i="1"/>
  <c r="V640" i="1"/>
  <c r="AB667" i="1"/>
  <c r="U639" i="1"/>
  <c r="Z644" i="1" s="1"/>
  <c r="AB643" i="1"/>
  <c r="S657" i="1"/>
  <c r="S656" i="1"/>
  <c r="S654" i="1"/>
  <c r="S653" i="1"/>
  <c r="S134" i="1"/>
  <c r="S135" i="1"/>
  <c r="S137" i="1"/>
  <c r="S138" i="1"/>
  <c r="I12" i="1"/>
  <c r="F12" i="1" s="1"/>
  <c r="L12" i="1"/>
  <c r="H727" i="1"/>
  <c r="I727" i="1" s="1"/>
  <c r="K727" i="1" s="1"/>
  <c r="H730" i="1"/>
  <c r="I730" i="1" s="1"/>
  <c r="K730" i="1" s="1"/>
  <c r="H731" i="1"/>
  <c r="I731" i="1" s="1"/>
  <c r="K731" i="1" s="1"/>
  <c r="H728" i="1"/>
  <c r="I728" i="1" s="1"/>
  <c r="K728" i="1" s="1"/>
  <c r="F41" i="6"/>
  <c r="G41" i="6" s="1"/>
  <c r="R690" i="1"/>
  <c r="R693" i="1"/>
  <c r="K690" i="1"/>
  <c r="R773" i="1"/>
  <c r="K734" i="1"/>
  <c r="R733" i="1"/>
  <c r="R143" i="1"/>
  <c r="R146" i="1"/>
  <c r="R140" i="1"/>
  <c r="K23" i="1"/>
  <c r="K21" i="1"/>
  <c r="K26" i="1"/>
  <c r="K100" i="1"/>
  <c r="K97" i="1"/>
  <c r="K95" i="1"/>
  <c r="AB640" i="1"/>
  <c r="O640" i="1" s="1"/>
  <c r="AF118" i="1"/>
  <c r="AG118" i="1" s="1"/>
  <c r="AH118" i="1" s="1"/>
  <c r="BR171" i="5"/>
  <c r="P229" i="1"/>
  <c r="AK102" i="1"/>
  <c r="AL102" i="1" s="1"/>
  <c r="AI94" i="1"/>
  <c r="AB196" i="1"/>
  <c r="O231" i="1"/>
  <c r="BR155" i="5"/>
  <c r="BR154" i="5"/>
  <c r="BR157" i="5"/>
  <c r="H15" i="6"/>
  <c r="FP20" i="5"/>
  <c r="FO17" i="5"/>
  <c r="FO15" i="5"/>
  <c r="O679" i="1"/>
  <c r="G679" i="1" s="1"/>
  <c r="D42" i="6" s="1"/>
  <c r="AB208" i="1"/>
  <c r="AB209" i="1"/>
  <c r="O197" i="1" s="1"/>
  <c r="Z196" i="1"/>
  <c r="Z200" i="1"/>
  <c r="AB207" i="1"/>
  <c r="O195" i="1" s="1"/>
  <c r="AB679" i="1"/>
  <c r="V678" i="1"/>
  <c r="X678" i="1"/>
  <c r="W678" i="1"/>
  <c r="U156" i="1"/>
  <c r="AB157" i="1"/>
  <c r="AB165" i="1"/>
  <c r="AB167" i="1"/>
  <c r="AB166" i="1"/>
  <c r="V156" i="1"/>
  <c r="AB179" i="1"/>
  <c r="AB174" i="1"/>
  <c r="AB176" i="1"/>
  <c r="AB175" i="1"/>
  <c r="AB169" i="1"/>
  <c r="AB162" i="1"/>
  <c r="AB163" i="1"/>
  <c r="AB180" i="1"/>
  <c r="W156" i="1"/>
  <c r="AB168" i="1"/>
  <c r="AB178" i="1"/>
  <c r="AB161" i="1"/>
  <c r="AB181" i="1"/>
  <c r="AB177" i="1"/>
  <c r="AB164" i="1"/>
  <c r="AB182" i="1"/>
  <c r="AB160" i="1"/>
  <c r="O160" i="1" s="1"/>
  <c r="X159" i="1"/>
  <c r="V159" i="1"/>
  <c r="W159" i="1"/>
  <c r="X649" i="1"/>
  <c r="X204" i="1"/>
  <c r="AB222" i="1" s="1"/>
  <c r="X202" i="1"/>
  <c r="AB220" i="1" s="1"/>
  <c r="X203" i="1"/>
  <c r="AB221" i="1" s="1"/>
  <c r="Z199" i="1"/>
  <c r="Z195" i="1"/>
  <c r="AB158" i="1"/>
  <c r="O158" i="1" s="1"/>
  <c r="U157" i="1"/>
  <c r="AB185" i="1"/>
  <c r="AB183" i="1"/>
  <c r="AB170" i="1"/>
  <c r="AB184" i="1"/>
  <c r="X157" i="1"/>
  <c r="W157" i="1"/>
  <c r="AB171" i="1"/>
  <c r="AB172" i="1"/>
  <c r="V204" i="1"/>
  <c r="V203" i="1"/>
  <c r="V201" i="1"/>
  <c r="U675" i="1"/>
  <c r="AB676" i="1"/>
  <c r="V675" i="1"/>
  <c r="AB698" i="1"/>
  <c r="AB697" i="1"/>
  <c r="AB687" i="1"/>
  <c r="AB686" i="1"/>
  <c r="AB688" i="1"/>
  <c r="AB700" i="1"/>
  <c r="AB684" i="1"/>
  <c r="AB683" i="1"/>
  <c r="W675" i="1"/>
  <c r="AB699" i="1"/>
  <c r="AB701" i="1"/>
  <c r="AB685" i="1"/>
  <c r="AB696" i="1"/>
  <c r="U203" i="1"/>
  <c r="Z194" i="1"/>
  <c r="O194" i="1" s="1"/>
  <c r="J194" i="1" s="1"/>
  <c r="U201" i="1"/>
  <c r="Z198" i="1" s="1"/>
  <c r="U202" i="1"/>
  <c r="U677" i="1"/>
  <c r="X677" i="1"/>
  <c r="V677" i="1"/>
  <c r="U676" i="1"/>
  <c r="AB703" i="1"/>
  <c r="W676" i="1"/>
  <c r="AB690" i="1"/>
  <c r="AB689" i="1"/>
  <c r="X676" i="1"/>
  <c r="AB702" i="1"/>
  <c r="AB704" i="1"/>
  <c r="AB691" i="1"/>
  <c r="U158" i="1"/>
  <c r="AB159" i="1"/>
  <c r="X158" i="1"/>
  <c r="V158" i="1"/>
  <c r="W204" i="1"/>
  <c r="W201" i="1"/>
  <c r="W202" i="1"/>
  <c r="K739" i="1"/>
  <c r="P232" i="1"/>
  <c r="P231" i="1"/>
  <c r="P234" i="1"/>
  <c r="P233" i="1"/>
  <c r="G234" i="1"/>
  <c r="D18" i="6" s="1"/>
  <c r="M123" i="1"/>
  <c r="N160" i="1"/>
  <c r="K146" i="1"/>
  <c r="N157" i="1"/>
  <c r="K138" i="1"/>
  <c r="K143" i="1"/>
  <c r="N159" i="1"/>
  <c r="Q197" i="1"/>
  <c r="R197" i="1" s="1"/>
  <c r="K135" i="1"/>
  <c r="M121" i="1"/>
  <c r="M120" i="1"/>
  <c r="M122" i="1"/>
  <c r="N158" i="1"/>
  <c r="H106" i="1"/>
  <c r="I106" i="1" s="1"/>
  <c r="H110" i="1"/>
  <c r="I110" i="1" s="1"/>
  <c r="K110" i="1" s="1"/>
  <c r="K6" i="6"/>
  <c r="H103" i="1"/>
  <c r="I103" i="1" s="1"/>
  <c r="H109" i="1"/>
  <c r="I109" i="1" s="1"/>
  <c r="H104" i="1"/>
  <c r="I104" i="1" s="1"/>
  <c r="K104" i="1" s="1"/>
  <c r="H107" i="1"/>
  <c r="I107" i="1" s="1"/>
  <c r="K107" i="1" s="1"/>
  <c r="H98" i="1"/>
  <c r="I98" i="1" s="1"/>
  <c r="H101" i="1"/>
  <c r="I101" i="1" s="1"/>
  <c r="I49" i="1"/>
  <c r="F49" i="1" s="1"/>
  <c r="K140" i="1"/>
  <c r="N679" i="1"/>
  <c r="M715" i="1"/>
  <c r="M716" i="1"/>
  <c r="Q642" i="1"/>
  <c r="R642" i="1" s="1"/>
  <c r="N676" i="1"/>
  <c r="G605" i="1"/>
  <c r="H36" i="6" s="1"/>
  <c r="J605" i="1"/>
  <c r="N677" i="1"/>
  <c r="CD13" i="5"/>
  <c r="K789" i="1"/>
  <c r="L789" i="1" s="1"/>
  <c r="N678" i="1"/>
  <c r="M713" i="1"/>
  <c r="K725" i="1"/>
  <c r="M714" i="1"/>
  <c r="K761" i="1"/>
  <c r="BE262" i="5"/>
  <c r="BH262" i="5" s="1"/>
  <c r="BF263" i="5"/>
  <c r="U648" i="1" l="1"/>
  <c r="U646" i="1"/>
  <c r="Z643" i="1" s="1"/>
  <c r="U647" i="1"/>
  <c r="W646" i="1"/>
  <c r="P602" i="1"/>
  <c r="W647" i="1"/>
  <c r="Z640" i="1"/>
  <c r="P604" i="1"/>
  <c r="P605" i="1"/>
  <c r="P600" i="1"/>
  <c r="P603" i="1"/>
  <c r="V646" i="1"/>
  <c r="V649" i="1"/>
  <c r="Z645" i="1"/>
  <c r="X648" i="1"/>
  <c r="O196" i="1"/>
  <c r="R730" i="1"/>
  <c r="R727" i="1"/>
  <c r="I789" i="1"/>
  <c r="F789" i="1" s="1"/>
  <c r="K60" i="1"/>
  <c r="K63" i="1"/>
  <c r="K58" i="1"/>
  <c r="AF119" i="1"/>
  <c r="AG119" i="1" s="1"/>
  <c r="AH119" i="1" s="1"/>
  <c r="P192" i="1"/>
  <c r="AK94" i="1"/>
  <c r="AL94" i="1" s="1"/>
  <c r="G194" i="1"/>
  <c r="M9" i="6" s="1"/>
  <c r="FP17" i="5"/>
  <c r="FQ20" i="5"/>
  <c r="FP15" i="5"/>
  <c r="J679" i="1"/>
  <c r="AB682" i="1"/>
  <c r="AB678" i="1" s="1"/>
  <c r="U685" i="1"/>
  <c r="AB695" i="1" s="1"/>
  <c r="U684" i="1"/>
  <c r="AB694" i="1" s="1"/>
  <c r="U683" i="1"/>
  <c r="U712" i="1"/>
  <c r="AB713" i="1"/>
  <c r="AB735" i="1"/>
  <c r="AB724" i="1"/>
  <c r="AB719" i="1"/>
  <c r="AB714" i="1" s="1"/>
  <c r="AB730" i="1"/>
  <c r="AB732" i="1"/>
  <c r="AB733" i="1"/>
  <c r="AB725" i="1"/>
  <c r="AB717" i="1"/>
  <c r="AB718" i="1"/>
  <c r="AB721" i="1"/>
  <c r="AB734" i="1"/>
  <c r="AB731" i="1"/>
  <c r="W712" i="1"/>
  <c r="V712" i="1"/>
  <c r="AB722" i="1"/>
  <c r="AB738" i="1"/>
  <c r="AB723" i="1"/>
  <c r="AB737" i="1"/>
  <c r="AB736" i="1"/>
  <c r="AB720" i="1"/>
  <c r="AB716" i="1"/>
  <c r="O716" i="1" s="1"/>
  <c r="W715" i="1"/>
  <c r="V715" i="1"/>
  <c r="X715" i="1"/>
  <c r="AB120" i="1"/>
  <c r="U119" i="1"/>
  <c r="AB142" i="1"/>
  <c r="AB124" i="1"/>
  <c r="AB143" i="1"/>
  <c r="AB137" i="1"/>
  <c r="AB138" i="1"/>
  <c r="W119" i="1"/>
  <c r="AB144" i="1"/>
  <c r="AB140" i="1"/>
  <c r="AB129" i="1"/>
  <c r="AB123" i="1" s="1"/>
  <c r="O123" i="1" s="1"/>
  <c r="AB125" i="1"/>
  <c r="AB139" i="1"/>
  <c r="V119" i="1"/>
  <c r="AB126" i="1"/>
  <c r="AB122" i="1" s="1"/>
  <c r="AB127" i="1"/>
  <c r="AB141" i="1"/>
  <c r="AB131" i="1"/>
  <c r="AB145" i="1"/>
  <c r="AB130" i="1"/>
  <c r="AB128" i="1"/>
  <c r="AB132" i="1"/>
  <c r="AB680" i="1"/>
  <c r="W122" i="1"/>
  <c r="X122" i="1"/>
  <c r="V122" i="1"/>
  <c r="Z159" i="1"/>
  <c r="O159" i="1" s="1"/>
  <c r="Z163" i="1"/>
  <c r="X686" i="1"/>
  <c r="X684" i="1"/>
  <c r="X685" i="1"/>
  <c r="W683" i="1"/>
  <c r="W684" i="1"/>
  <c r="W686" i="1"/>
  <c r="V686" i="1"/>
  <c r="V685" i="1"/>
  <c r="V683" i="1"/>
  <c r="U166" i="1"/>
  <c r="Z157" i="1"/>
  <c r="O157" i="1" s="1"/>
  <c r="U164" i="1"/>
  <c r="Z161" i="1" s="1"/>
  <c r="U165" i="1"/>
  <c r="U714" i="1"/>
  <c r="X714" i="1"/>
  <c r="V714" i="1"/>
  <c r="U120" i="1"/>
  <c r="AB135" i="1"/>
  <c r="AB133" i="1"/>
  <c r="X120" i="1"/>
  <c r="AB148" i="1"/>
  <c r="AB146" i="1"/>
  <c r="W120" i="1"/>
  <c r="AB147" i="1"/>
  <c r="AB134" i="1"/>
  <c r="AB681" i="1"/>
  <c r="X167" i="1"/>
  <c r="X166" i="1"/>
  <c r="X165" i="1"/>
  <c r="W167" i="1"/>
  <c r="W164" i="1"/>
  <c r="W165" i="1"/>
  <c r="U121" i="1"/>
  <c r="X121" i="1"/>
  <c r="V121" i="1"/>
  <c r="U713" i="1"/>
  <c r="AB741" i="1"/>
  <c r="AB739" i="1"/>
  <c r="AB740" i="1"/>
  <c r="X713" i="1"/>
  <c r="AB726" i="1"/>
  <c r="W713" i="1"/>
  <c r="AB728" i="1"/>
  <c r="AB727" i="1"/>
  <c r="Z162" i="1"/>
  <c r="Z158" i="1"/>
  <c r="V167" i="1"/>
  <c r="V164" i="1"/>
  <c r="V166" i="1"/>
  <c r="P197" i="1"/>
  <c r="P194" i="1"/>
  <c r="P195" i="1"/>
  <c r="N123" i="1"/>
  <c r="P196" i="1"/>
  <c r="J234" i="1"/>
  <c r="M86" i="1"/>
  <c r="N86" i="1" s="1"/>
  <c r="K57" i="1"/>
  <c r="Q679" i="1"/>
  <c r="R679" i="1" s="1"/>
  <c r="Q676" i="1"/>
  <c r="R676" i="1" s="1"/>
  <c r="Q677" i="1"/>
  <c r="R677" i="1" s="1"/>
  <c r="Q160" i="1"/>
  <c r="R160" i="1" s="1"/>
  <c r="Q678" i="1"/>
  <c r="R678" i="1" s="1"/>
  <c r="K98" i="1"/>
  <c r="M85" i="1"/>
  <c r="M83" i="1"/>
  <c r="M84" i="1"/>
  <c r="K109" i="1"/>
  <c r="R109" i="1"/>
  <c r="R110" i="1" s="1"/>
  <c r="K103" i="1"/>
  <c r="R103" i="1"/>
  <c r="R104" i="1" s="1"/>
  <c r="R106" i="1"/>
  <c r="R107" i="1" s="1"/>
  <c r="K106" i="1"/>
  <c r="N121" i="1"/>
  <c r="N122" i="1"/>
  <c r="H66" i="1"/>
  <c r="I66" i="1" s="1"/>
  <c r="H67" i="1"/>
  <c r="I67" i="1" s="1"/>
  <c r="K67" i="1" s="1"/>
  <c r="F6" i="6"/>
  <c r="H70" i="1"/>
  <c r="I70" i="1" s="1"/>
  <c r="K70" i="1" s="1"/>
  <c r="H72" i="1"/>
  <c r="I72" i="1" s="1"/>
  <c r="H73" i="1"/>
  <c r="I73" i="1" s="1"/>
  <c r="K73" i="1" s="1"/>
  <c r="H69" i="1"/>
  <c r="I69" i="1" s="1"/>
  <c r="H64" i="1"/>
  <c r="I64" i="1" s="1"/>
  <c r="H61" i="1"/>
  <c r="I61" i="1" s="1"/>
  <c r="N120" i="1"/>
  <c r="H32" i="1"/>
  <c r="I32" i="1" s="1"/>
  <c r="H33" i="1"/>
  <c r="I33" i="1" s="1"/>
  <c r="K33" i="1" s="1"/>
  <c r="H29" i="1"/>
  <c r="I29" i="1" s="1"/>
  <c r="H35" i="1"/>
  <c r="I35" i="1" s="1"/>
  <c r="H36" i="1"/>
  <c r="I36" i="1" s="1"/>
  <c r="K36" i="1" s="1"/>
  <c r="H27" i="1"/>
  <c r="I27" i="1" s="1"/>
  <c r="H30" i="1"/>
  <c r="I30" i="1" s="1"/>
  <c r="K30" i="1" s="1"/>
  <c r="GN6" i="5"/>
  <c r="H24" i="1"/>
  <c r="I24" i="1" s="1"/>
  <c r="B6" i="6"/>
  <c r="K101" i="1"/>
  <c r="G197" i="1"/>
  <c r="M12" i="6" s="1"/>
  <c r="J197" i="1"/>
  <c r="I808" i="1"/>
  <c r="R807" i="1" s="1"/>
  <c r="I813" i="1"/>
  <c r="R813" i="1" s="1"/>
  <c r="N715" i="1"/>
  <c r="N716" i="1"/>
  <c r="J642" i="1"/>
  <c r="G642" i="1"/>
  <c r="N713" i="1"/>
  <c r="K811" i="1"/>
  <c r="K814" i="1"/>
  <c r="H799" i="1"/>
  <c r="I799" i="1" s="1"/>
  <c r="R798" i="1" s="1"/>
  <c r="K807" i="1"/>
  <c r="K810" i="1"/>
  <c r="N714" i="1"/>
  <c r="K826" i="1"/>
  <c r="L826" i="1" s="1"/>
  <c r="CE13" i="5"/>
  <c r="BE263" i="5"/>
  <c r="BH263" i="5" s="1"/>
  <c r="BF264" i="5"/>
  <c r="P637" i="1" l="1"/>
  <c r="P641" i="1"/>
  <c r="P640" i="1"/>
  <c r="P639" i="1"/>
  <c r="P642" i="1"/>
  <c r="H802" i="1"/>
  <c r="I802" i="1" s="1"/>
  <c r="K802" i="1" s="1"/>
  <c r="B47" i="6"/>
  <c r="C47" i="6" s="1"/>
  <c r="H804" i="1"/>
  <c r="I804" i="1" s="1"/>
  <c r="K804" i="1" s="1"/>
  <c r="H801" i="1"/>
  <c r="I801" i="1" s="1"/>
  <c r="K801" i="1" s="1"/>
  <c r="H805" i="1"/>
  <c r="I805" i="1" s="1"/>
  <c r="K805" i="1" s="1"/>
  <c r="I826" i="1"/>
  <c r="F826" i="1" s="1"/>
  <c r="AF120" i="1"/>
  <c r="AG120" i="1" s="1"/>
  <c r="AH120" i="1" s="1"/>
  <c r="P674" i="1"/>
  <c r="P155" i="1"/>
  <c r="AB715" i="1"/>
  <c r="Z681" i="1"/>
  <c r="Z677" i="1" s="1"/>
  <c r="O677" i="1" s="1"/>
  <c r="Z682" i="1"/>
  <c r="Z678" i="1" s="1"/>
  <c r="O678" i="1" s="1"/>
  <c r="G678" i="1" s="1"/>
  <c r="D41" i="6" s="1"/>
  <c r="AB677" i="1"/>
  <c r="AB121" i="1"/>
  <c r="O121" i="1" s="1"/>
  <c r="FQ15" i="5"/>
  <c r="FR20" i="5"/>
  <c r="FQ17" i="5"/>
  <c r="U82" i="1"/>
  <c r="AB83" i="1"/>
  <c r="AB101" i="1"/>
  <c r="AB95" i="1"/>
  <c r="AB88" i="1"/>
  <c r="AB105" i="1"/>
  <c r="AB100" i="1"/>
  <c r="AB93" i="1"/>
  <c r="AB103" i="1"/>
  <c r="AB87" i="1"/>
  <c r="AB92" i="1"/>
  <c r="AB86" i="1" s="1"/>
  <c r="O86" i="1" s="1"/>
  <c r="AB94" i="1"/>
  <c r="AB106" i="1"/>
  <c r="AB89" i="1"/>
  <c r="AB84" i="1" s="1"/>
  <c r="AB107" i="1"/>
  <c r="W82" i="1"/>
  <c r="AB108" i="1"/>
  <c r="AB102" i="1"/>
  <c r="AB91" i="1"/>
  <c r="AB104" i="1"/>
  <c r="V82" i="1"/>
  <c r="AB90" i="1"/>
  <c r="W128" i="1"/>
  <c r="W127" i="1"/>
  <c r="W130" i="1"/>
  <c r="W720" i="1"/>
  <c r="W723" i="1"/>
  <c r="W721" i="1"/>
  <c r="X722" i="1"/>
  <c r="X723" i="1"/>
  <c r="X721" i="1"/>
  <c r="V723" i="1"/>
  <c r="V722" i="1"/>
  <c r="V720" i="1"/>
  <c r="Z680" i="1"/>
  <c r="Z676" i="1" s="1"/>
  <c r="O676" i="1" s="1"/>
  <c r="AB693" i="1"/>
  <c r="U84" i="1"/>
  <c r="AB85" i="1"/>
  <c r="X84" i="1"/>
  <c r="V84" i="1"/>
  <c r="Z122" i="1"/>
  <c r="O122" i="1" s="1"/>
  <c r="Z126" i="1"/>
  <c r="X130" i="1"/>
  <c r="X129" i="1"/>
  <c r="X128" i="1"/>
  <c r="U83" i="1"/>
  <c r="AB97" i="1"/>
  <c r="W83" i="1"/>
  <c r="X83" i="1"/>
  <c r="AB109" i="1"/>
  <c r="AB111" i="1"/>
  <c r="AB98" i="1"/>
  <c r="AB110" i="1"/>
  <c r="AB96" i="1"/>
  <c r="X85" i="1"/>
  <c r="W85" i="1"/>
  <c r="V85" i="1"/>
  <c r="Z125" i="1"/>
  <c r="Z121" i="1"/>
  <c r="V130" i="1"/>
  <c r="V129" i="1"/>
  <c r="V127" i="1"/>
  <c r="U129" i="1"/>
  <c r="Z120" i="1"/>
  <c r="O120" i="1" s="1"/>
  <c r="U127" i="1"/>
  <c r="Z124" i="1" s="1"/>
  <c r="U128" i="1"/>
  <c r="U722" i="1"/>
  <c r="U720" i="1"/>
  <c r="U721" i="1"/>
  <c r="S109" i="1"/>
  <c r="S110" i="1"/>
  <c r="S107" i="1"/>
  <c r="S106" i="1"/>
  <c r="S103" i="1"/>
  <c r="S104" i="1"/>
  <c r="P160" i="1"/>
  <c r="P158" i="1"/>
  <c r="P676" i="1"/>
  <c r="P679" i="1"/>
  <c r="P159" i="1"/>
  <c r="P677" i="1"/>
  <c r="P157" i="1"/>
  <c r="P678" i="1"/>
  <c r="M9" i="1"/>
  <c r="M10" i="1"/>
  <c r="M11" i="1"/>
  <c r="M12" i="1"/>
  <c r="Q713" i="1"/>
  <c r="R713" i="1" s="1"/>
  <c r="Q123" i="1"/>
  <c r="R123" i="1" s="1"/>
  <c r="Q715" i="1"/>
  <c r="R715" i="1" s="1"/>
  <c r="Q716" i="1"/>
  <c r="R716" i="1" s="1"/>
  <c r="Q714" i="1"/>
  <c r="R714" i="1" s="1"/>
  <c r="K24" i="1"/>
  <c r="K27" i="1"/>
  <c r="K61" i="1"/>
  <c r="M47" i="1"/>
  <c r="M48" i="1"/>
  <c r="M46" i="1"/>
  <c r="K32" i="1"/>
  <c r="K64" i="1"/>
  <c r="R69" i="1"/>
  <c r="R70" i="1" s="1"/>
  <c r="K69" i="1"/>
  <c r="N83" i="1"/>
  <c r="K35" i="1"/>
  <c r="G160" i="1"/>
  <c r="H12" i="6" s="1"/>
  <c r="J160" i="1"/>
  <c r="M49" i="1"/>
  <c r="K72" i="1"/>
  <c r="R72" i="1"/>
  <c r="R73" i="1" s="1"/>
  <c r="K66" i="1"/>
  <c r="R66" i="1"/>
  <c r="R67" i="1" s="1"/>
  <c r="N85" i="1"/>
  <c r="K29" i="1"/>
  <c r="N84" i="1"/>
  <c r="I845" i="1"/>
  <c r="R844" i="1" s="1"/>
  <c r="I850" i="1"/>
  <c r="R850" i="1" s="1"/>
  <c r="M790" i="1"/>
  <c r="O790" i="1" s="1"/>
  <c r="K813" i="1"/>
  <c r="M36" i="6"/>
  <c r="K808" i="1"/>
  <c r="K863" i="1"/>
  <c r="L863" i="1" s="1"/>
  <c r="CF13" i="5"/>
  <c r="K851" i="1"/>
  <c r="K844" i="1"/>
  <c r="H836" i="1"/>
  <c r="I836" i="1" s="1"/>
  <c r="R835" i="1" s="1"/>
  <c r="K848" i="1"/>
  <c r="K847" i="1"/>
  <c r="M787" i="1"/>
  <c r="M788" i="1"/>
  <c r="M789" i="1"/>
  <c r="O789" i="1" s="1"/>
  <c r="K799" i="1"/>
  <c r="BF265" i="5"/>
  <c r="BE264" i="5"/>
  <c r="BH264" i="5" s="1"/>
  <c r="H841" i="1" l="1"/>
  <c r="I841" i="1" s="1"/>
  <c r="K841" i="1" s="1"/>
  <c r="R801" i="1"/>
  <c r="H838" i="1"/>
  <c r="I838" i="1" s="1"/>
  <c r="K838" i="1" s="1"/>
  <c r="H839" i="1"/>
  <c r="I839" i="1" s="1"/>
  <c r="K839" i="1" s="1"/>
  <c r="H842" i="1"/>
  <c r="I842" i="1" s="1"/>
  <c r="K842" i="1" s="1"/>
  <c r="R804" i="1"/>
  <c r="F47" i="6"/>
  <c r="G47" i="6" s="1"/>
  <c r="I863" i="1"/>
  <c r="F863" i="1" s="1"/>
  <c r="O788" i="1"/>
  <c r="Z718" i="1"/>
  <c r="Z714" i="1" s="1"/>
  <c r="O714" i="1" s="1"/>
  <c r="Z717" i="1"/>
  <c r="Z713" i="1" s="1"/>
  <c r="O713" i="1" s="1"/>
  <c r="Z719" i="1"/>
  <c r="Z715" i="1" s="1"/>
  <c r="O715" i="1" s="1"/>
  <c r="AF121" i="1"/>
  <c r="AG121" i="1" s="1"/>
  <c r="AH121" i="1" s="1"/>
  <c r="P711" i="1"/>
  <c r="P118" i="1"/>
  <c r="FR15" i="5"/>
  <c r="FR17" i="5"/>
  <c r="FS20" i="5"/>
  <c r="U10" i="1"/>
  <c r="W91" i="1"/>
  <c r="W90" i="1"/>
  <c r="W93" i="1"/>
  <c r="U9" i="1"/>
  <c r="X93" i="1"/>
  <c r="X91" i="1"/>
  <c r="X92" i="1"/>
  <c r="U92" i="1"/>
  <c r="U788" i="1"/>
  <c r="X788" i="1"/>
  <c r="V788" i="1"/>
  <c r="AB46" i="1"/>
  <c r="U45" i="1"/>
  <c r="AB66" i="1"/>
  <c r="AB71" i="1"/>
  <c r="AB53" i="1"/>
  <c r="V45" i="1"/>
  <c r="AB67" i="1"/>
  <c r="AB65" i="1"/>
  <c r="AB54" i="1"/>
  <c r="AB50" i="1"/>
  <c r="AB55" i="1"/>
  <c r="AB68" i="1"/>
  <c r="AB58" i="1"/>
  <c r="AB69" i="1"/>
  <c r="AB57" i="1"/>
  <c r="AB56" i="1"/>
  <c r="AB64" i="1"/>
  <c r="AB52" i="1"/>
  <c r="AB48" i="1" s="1"/>
  <c r="AB51" i="1"/>
  <c r="W45" i="1"/>
  <c r="AB63" i="1"/>
  <c r="AB70" i="1"/>
  <c r="AB790" i="1"/>
  <c r="X789" i="1"/>
  <c r="W789" i="1"/>
  <c r="V789" i="1"/>
  <c r="AB49" i="1"/>
  <c r="V48" i="1"/>
  <c r="W48" i="1"/>
  <c r="X48" i="1"/>
  <c r="U47" i="1"/>
  <c r="X47" i="1"/>
  <c r="V47" i="1"/>
  <c r="U8" i="1"/>
  <c r="U787" i="1"/>
  <c r="AB813" i="1"/>
  <c r="W787" i="1"/>
  <c r="AB800" i="1"/>
  <c r="AB801" i="1"/>
  <c r="AB815" i="1"/>
  <c r="AB802" i="1"/>
  <c r="X787" i="1"/>
  <c r="AB814" i="1"/>
  <c r="U786" i="1"/>
  <c r="AB787" i="1"/>
  <c r="AB794" i="1"/>
  <c r="AB806" i="1"/>
  <c r="AB795" i="1"/>
  <c r="W786" i="1"/>
  <c r="AB797" i="1"/>
  <c r="AB791" i="1"/>
  <c r="AB798" i="1"/>
  <c r="AB807" i="1"/>
  <c r="AB796" i="1"/>
  <c r="AB805" i="1"/>
  <c r="AB808" i="1"/>
  <c r="AB799" i="1"/>
  <c r="AB811" i="1"/>
  <c r="AB804" i="1"/>
  <c r="V786" i="1"/>
  <c r="AB792" i="1"/>
  <c r="AB812" i="1"/>
  <c r="AB810" i="1"/>
  <c r="AB809" i="1"/>
  <c r="AB793" i="1"/>
  <c r="AB788" i="1" s="1"/>
  <c r="U46" i="1"/>
  <c r="W46" i="1"/>
  <c r="AB60" i="1"/>
  <c r="AB61" i="1"/>
  <c r="X46" i="1"/>
  <c r="AB74" i="1"/>
  <c r="AB72" i="1"/>
  <c r="AB73" i="1"/>
  <c r="AB59" i="1"/>
  <c r="V93" i="1"/>
  <c r="V90" i="1"/>
  <c r="V92" i="1"/>
  <c r="U90" i="1"/>
  <c r="U91" i="1"/>
  <c r="X10" i="1"/>
  <c r="V10" i="1"/>
  <c r="X9" i="1"/>
  <c r="W9" i="1"/>
  <c r="V8" i="1"/>
  <c r="W8" i="1"/>
  <c r="W11" i="1"/>
  <c r="X11" i="1"/>
  <c r="V11" i="1"/>
  <c r="AB9" i="1"/>
  <c r="O12" i="1"/>
  <c r="S66" i="1"/>
  <c r="S67" i="1"/>
  <c r="O49" i="1"/>
  <c r="S70" i="1"/>
  <c r="S69" i="1"/>
  <c r="S72" i="1"/>
  <c r="S73" i="1"/>
  <c r="K850" i="1"/>
  <c r="K845" i="1"/>
  <c r="P713" i="1"/>
  <c r="P121" i="1"/>
  <c r="P714" i="1"/>
  <c r="P120" i="1"/>
  <c r="P123" i="1"/>
  <c r="P716" i="1"/>
  <c r="P715" i="1"/>
  <c r="P122" i="1"/>
  <c r="N12" i="1"/>
  <c r="G196" i="1"/>
  <c r="M11" i="6" s="1"/>
  <c r="J196" i="1"/>
  <c r="G381" i="1"/>
  <c r="H23" i="6" s="1"/>
  <c r="J381" i="1"/>
  <c r="G418" i="1"/>
  <c r="M23" i="6" s="1"/>
  <c r="J418" i="1"/>
  <c r="J492" i="1"/>
  <c r="G492" i="1"/>
  <c r="H29" i="6" s="1"/>
  <c r="J529" i="1"/>
  <c r="G529" i="1"/>
  <c r="M29" i="6" s="1"/>
  <c r="J159" i="1"/>
  <c r="G159" i="1"/>
  <c r="H11" i="6" s="1"/>
  <c r="G455" i="1"/>
  <c r="D29" i="6" s="1"/>
  <c r="J455" i="1"/>
  <c r="G604" i="1"/>
  <c r="H35" i="6" s="1"/>
  <c r="J604" i="1"/>
  <c r="J641" i="1"/>
  <c r="G641" i="1"/>
  <c r="M35" i="6" s="1"/>
  <c r="J678" i="1"/>
  <c r="G122" i="1"/>
  <c r="D11" i="6" s="1"/>
  <c r="N49" i="1"/>
  <c r="Q86" i="1"/>
  <c r="R86" i="1" s="1"/>
  <c r="N47" i="1"/>
  <c r="N11" i="1"/>
  <c r="N46" i="1"/>
  <c r="N10" i="1"/>
  <c r="N48" i="1"/>
  <c r="N9" i="1"/>
  <c r="N790" i="1"/>
  <c r="I887" i="1"/>
  <c r="R887" i="1" s="1"/>
  <c r="I882" i="1"/>
  <c r="R881" i="1" s="1"/>
  <c r="M827" i="1"/>
  <c r="O827" i="1" s="1"/>
  <c r="G716" i="1"/>
  <c r="H42" i="6" s="1"/>
  <c r="J716" i="1"/>
  <c r="N789" i="1"/>
  <c r="K900" i="1"/>
  <c r="L900" i="1" s="1"/>
  <c r="CG13" i="5"/>
  <c r="N788" i="1"/>
  <c r="K881" i="1"/>
  <c r="H873" i="1"/>
  <c r="I873" i="1" s="1"/>
  <c r="R872" i="1" s="1"/>
  <c r="K884" i="1"/>
  <c r="K888" i="1"/>
  <c r="K885" i="1"/>
  <c r="N787" i="1"/>
  <c r="K836" i="1"/>
  <c r="M824" i="1"/>
  <c r="M825" i="1"/>
  <c r="M826" i="1"/>
  <c r="O826" i="1" s="1"/>
  <c r="BE265" i="5"/>
  <c r="BH265" i="5" s="1"/>
  <c r="BF266" i="5"/>
  <c r="R838" i="1" l="1"/>
  <c r="H875" i="1"/>
  <c r="I875" i="1" s="1"/>
  <c r="K875" i="1" s="1"/>
  <c r="R841" i="1"/>
  <c r="H878" i="1"/>
  <c r="I878" i="1" s="1"/>
  <c r="K878" i="1" s="1"/>
  <c r="K47" i="6"/>
  <c r="L47" i="6" s="1"/>
  <c r="H879" i="1"/>
  <c r="I879" i="1" s="1"/>
  <c r="K879" i="1" s="1"/>
  <c r="I900" i="1"/>
  <c r="F900" i="1" s="1"/>
  <c r="H876" i="1"/>
  <c r="I876" i="1" s="1"/>
  <c r="G715" i="1"/>
  <c r="H41" i="6" s="1"/>
  <c r="J715" i="1"/>
  <c r="O825" i="1"/>
  <c r="AF122" i="1"/>
  <c r="AG122" i="1" s="1"/>
  <c r="AH122" i="1" s="1"/>
  <c r="P81" i="1"/>
  <c r="AB789" i="1"/>
  <c r="AB47" i="1"/>
  <c r="FT20" i="5"/>
  <c r="FS17" i="5"/>
  <c r="FS15" i="5"/>
  <c r="Z88" i="1"/>
  <c r="Z84" i="1" s="1"/>
  <c r="O84" i="1" s="1"/>
  <c r="Z87" i="1"/>
  <c r="Z83" i="1" s="1"/>
  <c r="O83" i="1" s="1"/>
  <c r="G83" i="1" s="1"/>
  <c r="Z89" i="1"/>
  <c r="Z85" i="1" s="1"/>
  <c r="O85" i="1" s="1"/>
  <c r="AB827" i="1"/>
  <c r="W826" i="1"/>
  <c r="X826" i="1"/>
  <c r="V826" i="1"/>
  <c r="V56" i="1"/>
  <c r="V53" i="1"/>
  <c r="V55" i="1"/>
  <c r="U55" i="1"/>
  <c r="U53" i="1"/>
  <c r="U54" i="1"/>
  <c r="U823" i="1"/>
  <c r="AB824" i="1"/>
  <c r="AB845" i="1"/>
  <c r="AB849" i="1"/>
  <c r="AB846" i="1"/>
  <c r="AB832" i="1"/>
  <c r="AB831" i="1"/>
  <c r="AB841" i="1"/>
  <c r="AB829" i="1"/>
  <c r="V823" i="1"/>
  <c r="AB835" i="1"/>
  <c r="AB833" i="1"/>
  <c r="AB847" i="1"/>
  <c r="AB828" i="1"/>
  <c r="AB848" i="1"/>
  <c r="AB843" i="1"/>
  <c r="AB844" i="1"/>
  <c r="AB830" i="1"/>
  <c r="AB825" i="1" s="1"/>
  <c r="W823" i="1"/>
  <c r="AB834" i="1"/>
  <c r="AB842" i="1"/>
  <c r="AB836" i="1"/>
  <c r="W797" i="1"/>
  <c r="W795" i="1"/>
  <c r="W794" i="1"/>
  <c r="Z789" i="1"/>
  <c r="Z793" i="1"/>
  <c r="X797" i="1"/>
  <c r="X796" i="1"/>
  <c r="X795" i="1"/>
  <c r="V797" i="1"/>
  <c r="V794" i="1"/>
  <c r="V796" i="1"/>
  <c r="U796" i="1"/>
  <c r="Z787" i="1"/>
  <c r="U794" i="1"/>
  <c r="Z791" i="1" s="1"/>
  <c r="U795" i="1"/>
  <c r="W53" i="1"/>
  <c r="W56" i="1"/>
  <c r="W54" i="1"/>
  <c r="U824" i="1"/>
  <c r="AB838" i="1"/>
  <c r="AB850" i="1"/>
  <c r="AB851" i="1"/>
  <c r="AB839" i="1"/>
  <c r="AB852" i="1"/>
  <c r="AB837" i="1"/>
  <c r="X824" i="1"/>
  <c r="W824" i="1"/>
  <c r="U825" i="1"/>
  <c r="V825" i="1"/>
  <c r="X825" i="1"/>
  <c r="X56" i="1"/>
  <c r="X54" i="1"/>
  <c r="X55" i="1"/>
  <c r="Z792" i="1"/>
  <c r="Z788" i="1"/>
  <c r="J788" i="1" s="1"/>
  <c r="X19" i="1"/>
  <c r="AB37" i="1" s="1"/>
  <c r="AB24" i="1" s="1"/>
  <c r="X18" i="1"/>
  <c r="AB36" i="1" s="1"/>
  <c r="AB23" i="1" s="1"/>
  <c r="X17" i="1"/>
  <c r="AB35" i="1" s="1"/>
  <c r="AB22" i="1" s="1"/>
  <c r="V18" i="1"/>
  <c r="AB30" i="1" s="1"/>
  <c r="AB17" i="1" s="1"/>
  <c r="V16" i="1"/>
  <c r="AB29" i="1" s="1"/>
  <c r="AB16" i="1" s="1"/>
  <c r="V19" i="1"/>
  <c r="AB31" i="1" s="1"/>
  <c r="AB18" i="1" s="1"/>
  <c r="AB12" i="1" s="1"/>
  <c r="W19" i="1"/>
  <c r="AB34" i="1" s="1"/>
  <c r="AB21" i="1" s="1"/>
  <c r="W17" i="1"/>
  <c r="AB33" i="1" s="1"/>
  <c r="AB20" i="1" s="1"/>
  <c r="W16" i="1"/>
  <c r="AB32" i="1" s="1"/>
  <c r="AB19" i="1" s="1"/>
  <c r="K882" i="1"/>
  <c r="P83" i="1"/>
  <c r="P86" i="1"/>
  <c r="P85" i="1"/>
  <c r="P84" i="1"/>
  <c r="U18" i="1"/>
  <c r="AB28" i="1" s="1"/>
  <c r="AB15" i="1" s="1"/>
  <c r="U17" i="1"/>
  <c r="U16" i="1"/>
  <c r="Q12" i="1"/>
  <c r="R12" i="1" s="1"/>
  <c r="J122" i="1"/>
  <c r="Q789" i="1"/>
  <c r="R789" i="1" s="1"/>
  <c r="Q788" i="1"/>
  <c r="R788" i="1" s="1"/>
  <c r="Q790" i="1"/>
  <c r="R790" i="1" s="1"/>
  <c r="Q787" i="1"/>
  <c r="R787" i="1" s="1"/>
  <c r="J564" i="1"/>
  <c r="J86" i="1"/>
  <c r="G86" i="1"/>
  <c r="M6" i="6" s="1"/>
  <c r="Q49" i="1"/>
  <c r="R49" i="1" s="1"/>
  <c r="M864" i="1"/>
  <c r="K887" i="1"/>
  <c r="I924" i="1"/>
  <c r="R924" i="1" s="1"/>
  <c r="I919" i="1"/>
  <c r="R918" i="1" s="1"/>
  <c r="N827" i="1"/>
  <c r="N826" i="1"/>
  <c r="K922" i="1"/>
  <c r="K925" i="1"/>
  <c r="K918" i="1"/>
  <c r="K921" i="1"/>
  <c r="H910" i="1"/>
  <c r="I910" i="1" s="1"/>
  <c r="R909" i="1" s="1"/>
  <c r="N825" i="1"/>
  <c r="N824" i="1"/>
  <c r="M861" i="1"/>
  <c r="M863" i="1"/>
  <c r="M862" i="1"/>
  <c r="K873" i="1"/>
  <c r="CH13" i="5"/>
  <c r="K937" i="1"/>
  <c r="L937" i="1" s="1"/>
  <c r="BF267" i="5"/>
  <c r="BE266" i="5"/>
  <c r="BH266" i="5" s="1"/>
  <c r="H915" i="1" l="1"/>
  <c r="I915" i="1" s="1"/>
  <c r="K915" i="1" s="1"/>
  <c r="B53" i="6"/>
  <c r="C53" i="6" s="1"/>
  <c r="H912" i="1"/>
  <c r="I912" i="1" s="1"/>
  <c r="K912" i="1" s="1"/>
  <c r="R875" i="1"/>
  <c r="H916" i="1"/>
  <c r="I916" i="1" s="1"/>
  <c r="K916" i="1" s="1"/>
  <c r="H913" i="1"/>
  <c r="I913" i="1" s="1"/>
  <c r="K913" i="1" s="1"/>
  <c r="R878" i="1"/>
  <c r="K876" i="1"/>
  <c r="I937" i="1"/>
  <c r="F937" i="1" s="1"/>
  <c r="O787" i="1"/>
  <c r="J787" i="1" s="1"/>
  <c r="AF123" i="1"/>
  <c r="AG123" i="1" s="1"/>
  <c r="AH123" i="1" s="1"/>
  <c r="P7" i="1"/>
  <c r="P44" i="1"/>
  <c r="P785" i="1"/>
  <c r="J789" i="1"/>
  <c r="AB826" i="1"/>
  <c r="AB11" i="1"/>
  <c r="AB10" i="1"/>
  <c r="FT17" i="5"/>
  <c r="FU20" i="5"/>
  <c r="FT15" i="5"/>
  <c r="Z52" i="1"/>
  <c r="Z48" i="1" s="1"/>
  <c r="Z14" i="1"/>
  <c r="Z10" i="1" s="1"/>
  <c r="Z15" i="1"/>
  <c r="Z11" i="1" s="1"/>
  <c r="O11" i="1" s="1"/>
  <c r="Z13" i="1"/>
  <c r="Z9" i="1" s="1"/>
  <c r="AB26" i="1"/>
  <c r="AB13" i="1" s="1"/>
  <c r="AB27" i="1"/>
  <c r="AB14" i="1" s="1"/>
  <c r="AB864" i="1"/>
  <c r="W863" i="1"/>
  <c r="V863" i="1"/>
  <c r="X863" i="1"/>
  <c r="Z826" i="1"/>
  <c r="Z830" i="1"/>
  <c r="U833" i="1"/>
  <c r="Z824" i="1"/>
  <c r="U831" i="1"/>
  <c r="Z828" i="1" s="1"/>
  <c r="U832" i="1"/>
  <c r="V834" i="1"/>
  <c r="V833" i="1"/>
  <c r="V831" i="1"/>
  <c r="U861" i="1"/>
  <c r="W861" i="1"/>
  <c r="X861" i="1"/>
  <c r="Z829" i="1"/>
  <c r="Z825" i="1"/>
  <c r="Z51" i="1"/>
  <c r="Z47" i="1" s="1"/>
  <c r="U860" i="1"/>
  <c r="AB861" i="1"/>
  <c r="AB881" i="1"/>
  <c r="AB872" i="1"/>
  <c r="AB865" i="1"/>
  <c r="V860" i="1"/>
  <c r="AB880" i="1"/>
  <c r="W860" i="1"/>
  <c r="AB866" i="1"/>
  <c r="AB885" i="1"/>
  <c r="AB868" i="1"/>
  <c r="AB871" i="1"/>
  <c r="AB867" i="1"/>
  <c r="AB862" i="1" s="1"/>
  <c r="AB879" i="1"/>
  <c r="AB883" i="1"/>
  <c r="AB882" i="1"/>
  <c r="AB884" i="1"/>
  <c r="AB870" i="1"/>
  <c r="AB873" i="1"/>
  <c r="AB886" i="1"/>
  <c r="AB869" i="1"/>
  <c r="AB878" i="1"/>
  <c r="U862" i="1"/>
  <c r="X862" i="1"/>
  <c r="V862" i="1"/>
  <c r="X834" i="1"/>
  <c r="X832" i="1"/>
  <c r="X833" i="1"/>
  <c r="W832" i="1"/>
  <c r="W831" i="1"/>
  <c r="W834" i="1"/>
  <c r="Z50" i="1"/>
  <c r="Z46" i="1" s="1"/>
  <c r="K924" i="1"/>
  <c r="K919" i="1"/>
  <c r="P787" i="1"/>
  <c r="G85" i="1"/>
  <c r="M5" i="6" s="1"/>
  <c r="P790" i="1"/>
  <c r="P46" i="1"/>
  <c r="P48" i="1"/>
  <c r="P788" i="1"/>
  <c r="P49" i="1"/>
  <c r="P47" i="1"/>
  <c r="P789" i="1"/>
  <c r="P9" i="1"/>
  <c r="P12" i="1"/>
  <c r="P10" i="1"/>
  <c r="P11" i="1"/>
  <c r="Q825" i="1"/>
  <c r="R825" i="1" s="1"/>
  <c r="J83" i="1"/>
  <c r="G454" i="1"/>
  <c r="J84" i="1"/>
  <c r="G84" i="1"/>
  <c r="M4" i="6" s="1"/>
  <c r="G788" i="1"/>
  <c r="D46" i="6" s="1"/>
  <c r="Q826" i="1"/>
  <c r="R826" i="1" s="1"/>
  <c r="Q827" i="1"/>
  <c r="R827" i="1" s="1"/>
  <c r="Q824" i="1"/>
  <c r="R824" i="1" s="1"/>
  <c r="J121" i="1"/>
  <c r="G121" i="1"/>
  <c r="D10" i="6" s="1"/>
  <c r="J528" i="1"/>
  <c r="G528" i="1"/>
  <c r="M28" i="6" s="1"/>
  <c r="J379" i="1"/>
  <c r="G379" i="1"/>
  <c r="J416" i="1"/>
  <c r="G416" i="1"/>
  <c r="G120" i="1"/>
  <c r="J120" i="1"/>
  <c r="J714" i="1"/>
  <c r="G714" i="1"/>
  <c r="H40" i="6" s="1"/>
  <c r="G231" i="1"/>
  <c r="J231" i="1"/>
  <c r="G713" i="1"/>
  <c r="J713" i="1"/>
  <c r="G195" i="1"/>
  <c r="J195" i="1"/>
  <c r="G639" i="1"/>
  <c r="J639" i="1"/>
  <c r="G527" i="1"/>
  <c r="J527" i="1"/>
  <c r="J603" i="1"/>
  <c r="G603" i="1"/>
  <c r="H34" i="6" s="1"/>
  <c r="G158" i="1"/>
  <c r="H10" i="6" s="1"/>
  <c r="J158" i="1"/>
  <c r="G380" i="1"/>
  <c r="H22" i="6" s="1"/>
  <c r="J380" i="1"/>
  <c r="J232" i="1"/>
  <c r="G232" i="1"/>
  <c r="D16" i="6" s="1"/>
  <c r="G677" i="1"/>
  <c r="D40" i="6" s="1"/>
  <c r="J677" i="1"/>
  <c r="J157" i="1"/>
  <c r="G157" i="1"/>
  <c r="G417" i="1"/>
  <c r="M22" i="6" s="1"/>
  <c r="J417" i="1"/>
  <c r="G640" i="1"/>
  <c r="M34" i="6" s="1"/>
  <c r="J640" i="1"/>
  <c r="G602" i="1"/>
  <c r="J602" i="1"/>
  <c r="J676" i="1"/>
  <c r="G676" i="1"/>
  <c r="M3" i="6"/>
  <c r="M901" i="1"/>
  <c r="I956" i="1"/>
  <c r="R955" i="1" s="1"/>
  <c r="I961" i="1"/>
  <c r="R961" i="1" s="1"/>
  <c r="N864" i="1"/>
  <c r="K974" i="1"/>
  <c r="L974" i="1" s="1"/>
  <c r="CI13" i="5"/>
  <c r="J790" i="1"/>
  <c r="G790" i="1"/>
  <c r="D48" i="6" s="1"/>
  <c r="N861" i="1"/>
  <c r="N862" i="1"/>
  <c r="M898" i="1"/>
  <c r="K910" i="1"/>
  <c r="M900" i="1"/>
  <c r="M899" i="1"/>
  <c r="K958" i="1"/>
  <c r="H947" i="1"/>
  <c r="I947" i="1" s="1"/>
  <c r="R946" i="1" s="1"/>
  <c r="K959" i="1"/>
  <c r="K955" i="1"/>
  <c r="K962" i="1"/>
  <c r="N863" i="1"/>
  <c r="J825" i="1"/>
  <c r="BE267" i="5"/>
  <c r="BH267" i="5" s="1"/>
  <c r="BF268" i="5"/>
  <c r="R912" i="1" l="1"/>
  <c r="R915" i="1"/>
  <c r="H950" i="1"/>
  <c r="I950" i="1" s="1"/>
  <c r="K950" i="1" s="1"/>
  <c r="H952" i="1"/>
  <c r="I952" i="1" s="1"/>
  <c r="K952" i="1" s="1"/>
  <c r="H949" i="1"/>
  <c r="I949" i="1" s="1"/>
  <c r="H953" i="1"/>
  <c r="I953" i="1" s="1"/>
  <c r="K953" i="1" s="1"/>
  <c r="F53" i="6"/>
  <c r="G53" i="6" s="1"/>
  <c r="I974" i="1"/>
  <c r="F974" i="1" s="1"/>
  <c r="G787" i="1"/>
  <c r="D45" i="6" s="1"/>
  <c r="O824" i="1"/>
  <c r="G824" i="1" s="1"/>
  <c r="H45" i="6" s="1"/>
  <c r="AF124" i="1"/>
  <c r="AG124" i="1" s="1"/>
  <c r="AH124" i="1" s="1"/>
  <c r="P822" i="1"/>
  <c r="AB863" i="1"/>
  <c r="G789" i="1"/>
  <c r="D47" i="6" s="1"/>
  <c r="FU17" i="5"/>
  <c r="FU15" i="5"/>
  <c r="FV20" i="5"/>
  <c r="O899" i="1"/>
  <c r="G899" i="1" s="1"/>
  <c r="O10" i="1"/>
  <c r="O901" i="1"/>
  <c r="J901" i="1" s="1"/>
  <c r="O898" i="1"/>
  <c r="O9" i="1"/>
  <c r="AB875" i="1"/>
  <c r="V871" i="1"/>
  <c r="V870" i="1"/>
  <c r="V868" i="1"/>
  <c r="AB874" i="1"/>
  <c r="O862" i="1" s="1"/>
  <c r="U899" i="1"/>
  <c r="V899" i="1"/>
  <c r="X899" i="1"/>
  <c r="U870" i="1"/>
  <c r="Z861" i="1"/>
  <c r="O861" i="1" s="1"/>
  <c r="G861" i="1" s="1"/>
  <c r="M45" i="6" s="1"/>
  <c r="U868" i="1"/>
  <c r="Z865" i="1" s="1"/>
  <c r="U869" i="1"/>
  <c r="AB876" i="1"/>
  <c r="O864" i="1" s="1"/>
  <c r="G864" i="1" s="1"/>
  <c r="U898" i="1"/>
  <c r="AB924" i="1"/>
  <c r="AB913" i="1"/>
  <c r="AB925" i="1"/>
  <c r="AB912" i="1"/>
  <c r="AB926" i="1"/>
  <c r="X898" i="1"/>
  <c r="AB911" i="1"/>
  <c r="W898" i="1"/>
  <c r="AB901" i="1"/>
  <c r="V900" i="1"/>
  <c r="X900" i="1"/>
  <c r="W900" i="1"/>
  <c r="Z863" i="1"/>
  <c r="Z867" i="1"/>
  <c r="W871" i="1"/>
  <c r="W869" i="1"/>
  <c r="W868" i="1"/>
  <c r="Z866" i="1"/>
  <c r="Z862" i="1"/>
  <c r="AB898" i="1"/>
  <c r="U897" i="1"/>
  <c r="AB919" i="1"/>
  <c r="AB916" i="1"/>
  <c r="AB903" i="1"/>
  <c r="AB921" i="1"/>
  <c r="W897" i="1"/>
  <c r="AB902" i="1"/>
  <c r="AB908" i="1"/>
  <c r="AB922" i="1"/>
  <c r="AB906" i="1"/>
  <c r="AB905" i="1"/>
  <c r="AB915" i="1"/>
  <c r="AB907" i="1"/>
  <c r="AB918" i="1"/>
  <c r="AB909" i="1"/>
  <c r="AB920" i="1"/>
  <c r="AB910" i="1"/>
  <c r="AB923" i="1"/>
  <c r="AB917" i="1"/>
  <c r="V897" i="1"/>
  <c r="AB904" i="1"/>
  <c r="AB899" i="1" s="1"/>
  <c r="X870" i="1"/>
  <c r="AB888" i="1" s="1"/>
  <c r="X871" i="1"/>
  <c r="AB889" i="1" s="1"/>
  <c r="X869" i="1"/>
  <c r="AB887" i="1" s="1"/>
  <c r="O46" i="1"/>
  <c r="O48" i="1"/>
  <c r="J48" i="1" s="1"/>
  <c r="BV157" i="5"/>
  <c r="BV171" i="5"/>
  <c r="CA157" i="5"/>
  <c r="CA171" i="5"/>
  <c r="CB157" i="5"/>
  <c r="CB171" i="5"/>
  <c r="CD157" i="5"/>
  <c r="CD171" i="5"/>
  <c r="CC157" i="5"/>
  <c r="CC171" i="5"/>
  <c r="BO157" i="5"/>
  <c r="BO171" i="5"/>
  <c r="BU157" i="5"/>
  <c r="BU171" i="5"/>
  <c r="BM171" i="5"/>
  <c r="BM157" i="5"/>
  <c r="BY157" i="5"/>
  <c r="BY171" i="5"/>
  <c r="BP157" i="5"/>
  <c r="BP171" i="5"/>
  <c r="BQ157" i="5"/>
  <c r="BQ171" i="5"/>
  <c r="D9" i="6"/>
  <c r="BP154" i="5"/>
  <c r="K961" i="1"/>
  <c r="K956" i="1"/>
  <c r="J85" i="1"/>
  <c r="P826" i="1"/>
  <c r="P825" i="1"/>
  <c r="P824" i="1"/>
  <c r="P827" i="1"/>
  <c r="J12" i="1"/>
  <c r="J454" i="1"/>
  <c r="BM155" i="5"/>
  <c r="BM156" i="5"/>
  <c r="AI89" i="1" s="1"/>
  <c r="Q862" i="1"/>
  <c r="R862" i="1" s="1"/>
  <c r="Q864" i="1"/>
  <c r="R864" i="1" s="1"/>
  <c r="BM154" i="5"/>
  <c r="G491" i="1"/>
  <c r="H28" i="6" s="1"/>
  <c r="J491" i="1"/>
  <c r="G490" i="1"/>
  <c r="J490" i="1"/>
  <c r="J453" i="1"/>
  <c r="G453" i="1"/>
  <c r="Q863" i="1"/>
  <c r="R863" i="1" s="1"/>
  <c r="M21" i="6"/>
  <c r="BV156" i="5"/>
  <c r="AI98" i="1" s="1"/>
  <c r="BV154" i="5"/>
  <c r="BV155" i="5"/>
  <c r="BU155" i="5"/>
  <c r="BU156" i="5"/>
  <c r="AI97" i="1" s="1"/>
  <c r="H21" i="6"/>
  <c r="BU154" i="5"/>
  <c r="H33" i="6"/>
  <c r="CA154" i="5"/>
  <c r="CA156" i="5"/>
  <c r="AI103" i="1" s="1"/>
  <c r="CA155" i="5"/>
  <c r="CB154" i="5"/>
  <c r="M33" i="6"/>
  <c r="CB156" i="5"/>
  <c r="AI104" i="1" s="1"/>
  <c r="CB155" i="5"/>
  <c r="H39" i="6"/>
  <c r="CD169" i="5"/>
  <c r="CD170" i="5"/>
  <c r="CD156" i="5"/>
  <c r="CD155" i="5"/>
  <c r="CD154" i="5"/>
  <c r="CD168" i="5"/>
  <c r="D39" i="6"/>
  <c r="CC169" i="5"/>
  <c r="CC154" i="5"/>
  <c r="CC168" i="5"/>
  <c r="CC155" i="5"/>
  <c r="CC156" i="5"/>
  <c r="AI105" i="1" s="1"/>
  <c r="CC170" i="5"/>
  <c r="BO155" i="5"/>
  <c r="BO154" i="5"/>
  <c r="H9" i="6"/>
  <c r="BO156" i="5"/>
  <c r="AI91" i="1" s="1"/>
  <c r="D28" i="6"/>
  <c r="BY156" i="5"/>
  <c r="AI101" i="1" s="1"/>
  <c r="BY154" i="5"/>
  <c r="M27" i="6"/>
  <c r="BY155" i="5"/>
  <c r="M10" i="6"/>
  <c r="BP155" i="5"/>
  <c r="AI83" i="1" s="1"/>
  <c r="BP156" i="5"/>
  <c r="D15" i="6"/>
  <c r="BQ154" i="5"/>
  <c r="BQ155" i="5"/>
  <c r="BQ156" i="5"/>
  <c r="AI93" i="1" s="1"/>
  <c r="Q861" i="1"/>
  <c r="R861" i="1" s="1"/>
  <c r="N901" i="1"/>
  <c r="M938" i="1"/>
  <c r="J826" i="1"/>
  <c r="G826" i="1"/>
  <c r="H47" i="6" s="1"/>
  <c r="I998" i="1"/>
  <c r="R998" i="1" s="1"/>
  <c r="I993" i="1"/>
  <c r="R992" i="1" s="1"/>
  <c r="M936" i="1"/>
  <c r="K947" i="1"/>
  <c r="M935" i="1"/>
  <c r="N899" i="1"/>
  <c r="N898" i="1"/>
  <c r="N900" i="1"/>
  <c r="G827" i="1"/>
  <c r="H48" i="6" s="1"/>
  <c r="J827" i="1"/>
  <c r="K1011" i="1"/>
  <c r="L1011" i="1" s="1"/>
  <c r="CJ13" i="5"/>
  <c r="K995" i="1"/>
  <c r="K996" i="1"/>
  <c r="K992" i="1"/>
  <c r="H984" i="1"/>
  <c r="I984" i="1" s="1"/>
  <c r="R983" i="1" s="1"/>
  <c r="K999" i="1"/>
  <c r="M937" i="1"/>
  <c r="G825" i="1"/>
  <c r="BF269" i="5"/>
  <c r="BE268" i="5"/>
  <c r="BH268" i="5" s="1"/>
  <c r="R949" i="1" l="1"/>
  <c r="H990" i="1"/>
  <c r="I990" i="1" s="1"/>
  <c r="K990" i="1" s="1"/>
  <c r="K949" i="1"/>
  <c r="R952" i="1"/>
  <c r="H989" i="1"/>
  <c r="I989" i="1" s="1"/>
  <c r="K53" i="6"/>
  <c r="L53" i="6" s="1"/>
  <c r="H986" i="1"/>
  <c r="I986" i="1" s="1"/>
  <c r="K986" i="1" s="1"/>
  <c r="H987" i="1"/>
  <c r="I987" i="1" s="1"/>
  <c r="K987" i="1" s="1"/>
  <c r="I1011" i="1"/>
  <c r="F1011" i="1" s="1"/>
  <c r="J824" i="1"/>
  <c r="AF125" i="1"/>
  <c r="AG125" i="1" s="1"/>
  <c r="AH125" i="1" s="1"/>
  <c r="CF156" i="5"/>
  <c r="CF155" i="5"/>
  <c r="CF170" i="5"/>
  <c r="CF168" i="5"/>
  <c r="CF157" i="5"/>
  <c r="CF169" i="5"/>
  <c r="P859" i="1"/>
  <c r="AK91" i="1"/>
  <c r="AL91" i="1" s="1"/>
  <c r="AK103" i="1"/>
  <c r="AL103" i="1" s="1"/>
  <c r="AK93" i="1"/>
  <c r="AL93" i="1" s="1"/>
  <c r="AI92" i="1"/>
  <c r="AK92" i="1" s="1"/>
  <c r="AL92" i="1" s="1"/>
  <c r="AK97" i="1"/>
  <c r="AL97" i="1" s="1"/>
  <c r="AI86" i="1"/>
  <c r="AK86" i="1" s="1"/>
  <c r="AL86" i="1" s="1"/>
  <c r="AK83" i="1"/>
  <c r="AL83" i="1" s="1"/>
  <c r="AK105" i="1"/>
  <c r="AL105" i="1" s="1"/>
  <c r="AK104" i="1"/>
  <c r="AL104" i="1" s="1"/>
  <c r="AK98" i="1"/>
  <c r="AL98" i="1" s="1"/>
  <c r="AI106" i="1"/>
  <c r="AK106" i="1" s="1"/>
  <c r="AL106" i="1" s="1"/>
  <c r="AI108" i="1"/>
  <c r="AK108" i="1" s="1"/>
  <c r="AL108" i="1" s="1"/>
  <c r="AK101" i="1"/>
  <c r="AL101" i="1" s="1"/>
  <c r="AI84" i="1"/>
  <c r="AK84" i="1" s="1"/>
  <c r="AL84" i="1" s="1"/>
  <c r="AK89" i="1"/>
  <c r="AL89" i="1" s="1"/>
  <c r="J861" i="1"/>
  <c r="CF154" i="5"/>
  <c r="CF171" i="5"/>
  <c r="AB900" i="1"/>
  <c r="O863" i="1"/>
  <c r="J863" i="1" s="1"/>
  <c r="FV17" i="5"/>
  <c r="FV15" i="5"/>
  <c r="FW20" i="5"/>
  <c r="O937" i="1"/>
  <c r="J937" i="1" s="1"/>
  <c r="O936" i="1"/>
  <c r="G936" i="1" s="1"/>
  <c r="H52" i="6" s="1"/>
  <c r="O938" i="1"/>
  <c r="G938" i="1" s="1"/>
  <c r="H54" i="6" s="1"/>
  <c r="AB935" i="1"/>
  <c r="U934" i="1"/>
  <c r="AB960" i="1"/>
  <c r="AB954" i="1"/>
  <c r="AB945" i="1"/>
  <c r="AB939" i="1"/>
  <c r="V934" i="1"/>
  <c r="AB944" i="1"/>
  <c r="AB958" i="1"/>
  <c r="W934" i="1"/>
  <c r="AB941" i="1"/>
  <c r="AB952" i="1"/>
  <c r="AB959" i="1"/>
  <c r="AB943" i="1"/>
  <c r="AB942" i="1"/>
  <c r="AB953" i="1"/>
  <c r="AB957" i="1"/>
  <c r="AB956" i="1"/>
  <c r="AB947" i="1"/>
  <c r="AB955" i="1"/>
  <c r="AB946" i="1"/>
  <c r="AB940" i="1"/>
  <c r="V908" i="1"/>
  <c r="V907" i="1"/>
  <c r="V905" i="1"/>
  <c r="AB937" i="1"/>
  <c r="U936" i="1"/>
  <c r="V936" i="1"/>
  <c r="X936" i="1"/>
  <c r="AB936" i="1"/>
  <c r="U935" i="1"/>
  <c r="AB948" i="1"/>
  <c r="W935" i="1"/>
  <c r="AB950" i="1"/>
  <c r="AB961" i="1"/>
  <c r="AB949" i="1"/>
  <c r="X935" i="1"/>
  <c r="AB962" i="1"/>
  <c r="AB963" i="1"/>
  <c r="W908" i="1"/>
  <c r="W905" i="1"/>
  <c r="W906" i="1"/>
  <c r="Z903" i="1"/>
  <c r="Z899" i="1"/>
  <c r="AB938" i="1"/>
  <c r="X937" i="1"/>
  <c r="V937" i="1"/>
  <c r="W937" i="1"/>
  <c r="U907" i="1"/>
  <c r="Z898" i="1"/>
  <c r="U906" i="1"/>
  <c r="U905" i="1"/>
  <c r="Z902" i="1" s="1"/>
  <c r="X907" i="1"/>
  <c r="X908" i="1"/>
  <c r="X906" i="1"/>
  <c r="Z900" i="1"/>
  <c r="O900" i="1" s="1"/>
  <c r="J900" i="1" s="1"/>
  <c r="Z904" i="1"/>
  <c r="O47" i="1"/>
  <c r="G47" i="1" s="1"/>
  <c r="H4" i="6" s="1"/>
  <c r="CG157" i="5"/>
  <c r="G901" i="1"/>
  <c r="D54" i="6" s="1"/>
  <c r="CG171" i="5"/>
  <c r="BX157" i="5"/>
  <c r="BX171" i="5"/>
  <c r="BW154" i="5"/>
  <c r="BW157" i="5"/>
  <c r="BW171" i="5"/>
  <c r="P861" i="1"/>
  <c r="G48" i="1"/>
  <c r="P862" i="1"/>
  <c r="P863" i="1"/>
  <c r="P864" i="1"/>
  <c r="CG156" i="5"/>
  <c r="AI109" i="1" s="1"/>
  <c r="G12" i="1"/>
  <c r="D6" i="6" s="1"/>
  <c r="GM6" i="5"/>
  <c r="BW156" i="5"/>
  <c r="AI69" i="1" s="1"/>
  <c r="CG168" i="5"/>
  <c r="CG169" i="5"/>
  <c r="H27" i="6"/>
  <c r="BX155" i="5"/>
  <c r="BX156" i="5"/>
  <c r="AI72" i="1" s="1"/>
  <c r="AK72" i="1" s="1"/>
  <c r="AL72" i="1" s="1"/>
  <c r="BX154" i="5"/>
  <c r="BW155" i="5"/>
  <c r="D27" i="6"/>
  <c r="Q899" i="1"/>
  <c r="R899" i="1" s="1"/>
  <c r="Q901" i="1"/>
  <c r="R901" i="1" s="1"/>
  <c r="Q900" i="1"/>
  <c r="R900" i="1" s="1"/>
  <c r="Q898" i="1"/>
  <c r="R898" i="1" s="1"/>
  <c r="CG170" i="5"/>
  <c r="I1035" i="1"/>
  <c r="I1030" i="1"/>
  <c r="R1029" i="1" s="1"/>
  <c r="K993" i="1"/>
  <c r="M975" i="1"/>
  <c r="K998" i="1"/>
  <c r="CG154" i="5"/>
  <c r="N938" i="1"/>
  <c r="M972" i="1"/>
  <c r="K984" i="1"/>
  <c r="M973" i="1"/>
  <c r="M974" i="1"/>
  <c r="N937" i="1"/>
  <c r="G898" i="1"/>
  <c r="J898" i="1"/>
  <c r="K1048" i="1"/>
  <c r="L1048" i="1" s="1"/>
  <c r="CK13" i="5"/>
  <c r="N936" i="1"/>
  <c r="K1033" i="1"/>
  <c r="K1032" i="1"/>
  <c r="K1036" i="1"/>
  <c r="K1029" i="1"/>
  <c r="H1021" i="1"/>
  <c r="I1021" i="1" s="1"/>
  <c r="R1020" i="1" s="1"/>
  <c r="N935" i="1"/>
  <c r="H46" i="6"/>
  <c r="CG155" i="5"/>
  <c r="J862" i="1"/>
  <c r="G862" i="1"/>
  <c r="J864" i="1"/>
  <c r="M48" i="6"/>
  <c r="J899" i="1"/>
  <c r="D52" i="6"/>
  <c r="BE269" i="5"/>
  <c r="BH269" i="5" s="1"/>
  <c r="BF270" i="5"/>
  <c r="H1023" i="1" l="1"/>
  <c r="I1023" i="1" s="1"/>
  <c r="K1023" i="1" s="1"/>
  <c r="H1026" i="1"/>
  <c r="I1026" i="1" s="1"/>
  <c r="K1026" i="1" s="1"/>
  <c r="H1027" i="1"/>
  <c r="I1027" i="1" s="1"/>
  <c r="K1027" i="1" s="1"/>
  <c r="R989" i="1"/>
  <c r="K989" i="1"/>
  <c r="B59" i="6"/>
  <c r="C59" i="6" s="1"/>
  <c r="R986" i="1"/>
  <c r="H1024" i="1"/>
  <c r="I1024" i="1" s="1"/>
  <c r="K1024" i="1" s="1"/>
  <c r="I1048" i="1"/>
  <c r="F1048" i="1" s="1"/>
  <c r="K1035" i="1"/>
  <c r="R1035" i="1"/>
  <c r="AK69" i="1"/>
  <c r="AL69" i="1" s="1"/>
  <c r="AI70" i="1"/>
  <c r="AK70" i="1" s="1"/>
  <c r="AL70" i="1" s="1"/>
  <c r="AF126" i="1"/>
  <c r="AG126" i="1" s="1"/>
  <c r="AH126" i="1" s="1"/>
  <c r="P896" i="1"/>
  <c r="AI99" i="1"/>
  <c r="AK99" i="1" s="1"/>
  <c r="AL99" i="1" s="1"/>
  <c r="AK109" i="1"/>
  <c r="AL109" i="1" s="1"/>
  <c r="AI76" i="1"/>
  <c r="AK76" i="1" s="1"/>
  <c r="AL76" i="1" s="1"/>
  <c r="AI100" i="1"/>
  <c r="AK100" i="1" s="1"/>
  <c r="AL100" i="1" s="1"/>
  <c r="G900" i="1"/>
  <c r="D53" i="6" s="1"/>
  <c r="G863" i="1"/>
  <c r="M47" i="6" s="1"/>
  <c r="FX20" i="5"/>
  <c r="FW17" i="5"/>
  <c r="FW15" i="5"/>
  <c r="U972" i="1"/>
  <c r="AB987" i="1"/>
  <c r="AB1000" i="1"/>
  <c r="AB986" i="1"/>
  <c r="W972" i="1"/>
  <c r="AB985" i="1"/>
  <c r="AB998" i="1"/>
  <c r="AB999" i="1"/>
  <c r="X972" i="1"/>
  <c r="Z940" i="1"/>
  <c r="Z936" i="1"/>
  <c r="Z937" i="1"/>
  <c r="Z941" i="1"/>
  <c r="V945" i="1"/>
  <c r="V944" i="1"/>
  <c r="V942" i="1"/>
  <c r="U971" i="1"/>
  <c r="AB972" i="1"/>
  <c r="AB991" i="1"/>
  <c r="AB980" i="1"/>
  <c r="AB997" i="1"/>
  <c r="AB983" i="1"/>
  <c r="AB981" i="1"/>
  <c r="V971" i="1"/>
  <c r="AB976" i="1"/>
  <c r="AB977" i="1"/>
  <c r="AB995" i="1"/>
  <c r="AB996" i="1"/>
  <c r="AB990" i="1"/>
  <c r="AB984" i="1"/>
  <c r="AB992" i="1"/>
  <c r="AB989" i="1"/>
  <c r="AB993" i="1"/>
  <c r="AB982" i="1"/>
  <c r="AB979" i="1"/>
  <c r="AB994" i="1"/>
  <c r="W971" i="1"/>
  <c r="AB978" i="1"/>
  <c r="AB973" i="1" s="1"/>
  <c r="O973" i="1" s="1"/>
  <c r="AB975" i="1"/>
  <c r="O975" i="1" s="1"/>
  <c r="W974" i="1"/>
  <c r="X974" i="1"/>
  <c r="V974" i="1"/>
  <c r="X945" i="1"/>
  <c r="X944" i="1"/>
  <c r="X943" i="1"/>
  <c r="W945" i="1"/>
  <c r="W943" i="1"/>
  <c r="W942" i="1"/>
  <c r="U944" i="1"/>
  <c r="Z935" i="1"/>
  <c r="O935" i="1" s="1"/>
  <c r="G935" i="1" s="1"/>
  <c r="H51" i="6" s="1"/>
  <c r="U943" i="1"/>
  <c r="U942" i="1"/>
  <c r="Z939" i="1" s="1"/>
  <c r="U973" i="1"/>
  <c r="AB974" i="1"/>
  <c r="O974" i="1" s="1"/>
  <c r="X973" i="1"/>
  <c r="V973" i="1"/>
  <c r="J47" i="1"/>
  <c r="G46" i="1"/>
  <c r="H3" i="6" s="1"/>
  <c r="J46" i="1"/>
  <c r="D51" i="6"/>
  <c r="H5" i="6"/>
  <c r="P899" i="1"/>
  <c r="P901" i="1"/>
  <c r="P898" i="1"/>
  <c r="P900" i="1"/>
  <c r="K1030" i="1"/>
  <c r="J938" i="1"/>
  <c r="Q935" i="1"/>
  <c r="R935" i="1" s="1"/>
  <c r="G937" i="1"/>
  <c r="H53" i="6" s="1"/>
  <c r="Q938" i="1"/>
  <c r="R938" i="1" s="1"/>
  <c r="Q936" i="1"/>
  <c r="R936" i="1" s="1"/>
  <c r="Q937" i="1"/>
  <c r="R937" i="1" s="1"/>
  <c r="M1012" i="1"/>
  <c r="I1067" i="1"/>
  <c r="I1072" i="1"/>
  <c r="R1072" i="1" s="1"/>
  <c r="N975" i="1"/>
  <c r="K1021" i="1"/>
  <c r="M1009" i="1"/>
  <c r="M1010" i="1"/>
  <c r="M1011" i="1"/>
  <c r="H1058" i="1"/>
  <c r="I1058" i="1" s="1"/>
  <c r="R1057" i="1" s="1"/>
  <c r="K1073" i="1"/>
  <c r="K1069" i="1"/>
  <c r="K1070" i="1"/>
  <c r="K1066" i="1"/>
  <c r="N974" i="1"/>
  <c r="N972" i="1"/>
  <c r="CL13" i="5"/>
  <c r="K1085" i="1"/>
  <c r="L1085" i="1" s="1"/>
  <c r="N973" i="1"/>
  <c r="M46" i="6"/>
  <c r="J936" i="1"/>
  <c r="BF271" i="5"/>
  <c r="BE270" i="5"/>
  <c r="BH270" i="5" s="1"/>
  <c r="R1026" i="1" l="1"/>
  <c r="H1063" i="1"/>
  <c r="I1063" i="1" s="1"/>
  <c r="K1063" i="1" s="1"/>
  <c r="F59" i="6"/>
  <c r="G59" i="6" s="1"/>
  <c r="H1060" i="1"/>
  <c r="I1060" i="1" s="1"/>
  <c r="K1060" i="1" s="1"/>
  <c r="H1061" i="1"/>
  <c r="I1061" i="1" s="1"/>
  <c r="K1061" i="1" s="1"/>
  <c r="H1064" i="1"/>
  <c r="I1064" i="1" s="1"/>
  <c r="K1064" i="1" s="1"/>
  <c r="R1023" i="1"/>
  <c r="I1085" i="1"/>
  <c r="F1085" i="1" s="1"/>
  <c r="K1067" i="1"/>
  <c r="R1066" i="1"/>
  <c r="AF127" i="1"/>
  <c r="AG127" i="1" s="1"/>
  <c r="AH127" i="1" s="1"/>
  <c r="CI170" i="5"/>
  <c r="CI169" i="5"/>
  <c r="CI168" i="5"/>
  <c r="CI156" i="5"/>
  <c r="AI111" i="1" s="1"/>
  <c r="AK111" i="1" s="1"/>
  <c r="AL111" i="1" s="1"/>
  <c r="CI154" i="5"/>
  <c r="P933" i="1"/>
  <c r="CI155" i="5"/>
  <c r="AI64" i="1" s="1"/>
  <c r="CI171" i="5"/>
  <c r="CI157" i="5"/>
  <c r="AI126" i="1"/>
  <c r="AK126" i="1" s="1"/>
  <c r="AL126" i="1" s="1"/>
  <c r="CH168" i="5"/>
  <c r="CH155" i="5"/>
  <c r="CH171" i="5"/>
  <c r="CH169" i="5"/>
  <c r="CH157" i="5"/>
  <c r="CH154" i="5"/>
  <c r="CH170" i="5"/>
  <c r="CH156" i="5"/>
  <c r="AI82" i="1" s="1"/>
  <c r="AK82" i="1" s="1"/>
  <c r="AL82" i="1" s="1"/>
  <c r="J935" i="1"/>
  <c r="FX17" i="5"/>
  <c r="FY20" i="5"/>
  <c r="FX15" i="5"/>
  <c r="AB1012" i="1"/>
  <c r="O1012" i="1" s="1"/>
  <c r="V1011" i="1"/>
  <c r="W1011" i="1"/>
  <c r="X1011" i="1"/>
  <c r="U1010" i="1"/>
  <c r="AB1011" i="1"/>
  <c r="O1011" i="1" s="1"/>
  <c r="X1010" i="1"/>
  <c r="V1010" i="1"/>
  <c r="Z974" i="1"/>
  <c r="Z978" i="1"/>
  <c r="W979" i="1"/>
  <c r="W982" i="1"/>
  <c r="W980" i="1"/>
  <c r="U981" i="1"/>
  <c r="Z972" i="1"/>
  <c r="O972" i="1" s="1"/>
  <c r="J972" i="1" s="1"/>
  <c r="U979" i="1"/>
  <c r="Z976" i="1" s="1"/>
  <c r="U980" i="1"/>
  <c r="U1009" i="1"/>
  <c r="AB1037" i="1"/>
  <c r="AB1036" i="1"/>
  <c r="AB1024" i="1"/>
  <c r="AB1022" i="1"/>
  <c r="W1009" i="1"/>
  <c r="AB1035" i="1"/>
  <c r="X1009" i="1"/>
  <c r="AB1023" i="1"/>
  <c r="V982" i="1"/>
  <c r="V981" i="1"/>
  <c r="V979" i="1"/>
  <c r="X982" i="1"/>
  <c r="X980" i="1"/>
  <c r="X981" i="1"/>
  <c r="Z977" i="1"/>
  <c r="Z973" i="1"/>
  <c r="U1008" i="1"/>
  <c r="AB1009" i="1"/>
  <c r="O1009" i="1" s="1"/>
  <c r="V1008" i="1"/>
  <c r="AB1016" i="1"/>
  <c r="AB1015" i="1"/>
  <c r="AB1010" i="1" s="1"/>
  <c r="O1010" i="1" s="1"/>
  <c r="AB1032" i="1"/>
  <c r="AB1030" i="1"/>
  <c r="AB1013" i="1"/>
  <c r="AB1033" i="1"/>
  <c r="AB1029" i="1"/>
  <c r="AB1028" i="1"/>
  <c r="AB1021" i="1"/>
  <c r="AB1034" i="1"/>
  <c r="AB1018" i="1"/>
  <c r="AB1019" i="1"/>
  <c r="W1008" i="1"/>
  <c r="AB1027" i="1"/>
  <c r="AB1017" i="1"/>
  <c r="AB1020" i="1"/>
  <c r="AB1031" i="1"/>
  <c r="AB1026" i="1"/>
  <c r="AB1014" i="1"/>
  <c r="CJ171" i="5"/>
  <c r="CJ157" i="5"/>
  <c r="P938" i="1"/>
  <c r="P935" i="1"/>
  <c r="P937" i="1"/>
  <c r="P936" i="1"/>
  <c r="K1072" i="1"/>
  <c r="CJ155" i="5"/>
  <c r="CJ154" i="5"/>
  <c r="CJ156" i="5"/>
  <c r="AI112" i="1" s="1"/>
  <c r="CJ168" i="5"/>
  <c r="CJ169" i="5"/>
  <c r="CJ170" i="5"/>
  <c r="Q974" i="1"/>
  <c r="R974" i="1" s="1"/>
  <c r="Q973" i="1"/>
  <c r="R973" i="1" s="1"/>
  <c r="N1012" i="1"/>
  <c r="Q972" i="1"/>
  <c r="R972" i="1" s="1"/>
  <c r="M1049" i="1"/>
  <c r="Q975" i="1"/>
  <c r="R975" i="1" s="1"/>
  <c r="I1109" i="1"/>
  <c r="R1109" i="1" s="1"/>
  <c r="I1104" i="1"/>
  <c r="N1011" i="1"/>
  <c r="M1046" i="1"/>
  <c r="K1058" i="1"/>
  <c r="M1048" i="1"/>
  <c r="M1047" i="1"/>
  <c r="N1010" i="1"/>
  <c r="K1106" i="1"/>
  <c r="K1103" i="1"/>
  <c r="H1095" i="1"/>
  <c r="I1095" i="1" s="1"/>
  <c r="R1094" i="1" s="1"/>
  <c r="K1110" i="1"/>
  <c r="K1107" i="1"/>
  <c r="N1009" i="1"/>
  <c r="K1122" i="1"/>
  <c r="L1122" i="1" s="1"/>
  <c r="CM13" i="5"/>
  <c r="G973" i="1"/>
  <c r="M52" i="6" s="1"/>
  <c r="BE271" i="5"/>
  <c r="BH271" i="5" s="1"/>
  <c r="BF272" i="5"/>
  <c r="R1063" i="1" l="1"/>
  <c r="R1060" i="1"/>
  <c r="H1100" i="1"/>
  <c r="I1100" i="1" s="1"/>
  <c r="K1100" i="1" s="1"/>
  <c r="H1097" i="1"/>
  <c r="I1097" i="1" s="1"/>
  <c r="K1097" i="1" s="1"/>
  <c r="H1098" i="1"/>
  <c r="I1098" i="1" s="1"/>
  <c r="K1098" i="1" s="1"/>
  <c r="I1122" i="1"/>
  <c r="F1122" i="1" s="1"/>
  <c r="K59" i="6"/>
  <c r="L59" i="6" s="1"/>
  <c r="H1101" i="1"/>
  <c r="I1101" i="1" s="1"/>
  <c r="K1101" i="1" s="1"/>
  <c r="K1104" i="1"/>
  <c r="R1103" i="1"/>
  <c r="AI110" i="1"/>
  <c r="AK110" i="1" s="1"/>
  <c r="AL110" i="1" s="1"/>
  <c r="AI81" i="1"/>
  <c r="AK81" i="1" s="1"/>
  <c r="AL81" i="1" s="1"/>
  <c r="AF128" i="1"/>
  <c r="AG128" i="1" s="1"/>
  <c r="AH128" i="1" s="1"/>
  <c r="P970" i="1"/>
  <c r="AK112" i="1"/>
  <c r="AL112" i="1" s="1"/>
  <c r="AI127" i="1"/>
  <c r="AK127" i="1" s="1"/>
  <c r="AL127" i="1" s="1"/>
  <c r="FY17" i="5"/>
  <c r="FY15" i="5"/>
  <c r="FZ20" i="5"/>
  <c r="U1045" i="1"/>
  <c r="AB1046" i="1"/>
  <c r="AB1064" i="1"/>
  <c r="AB1056" i="1"/>
  <c r="AB1053" i="1"/>
  <c r="AB1068" i="1"/>
  <c r="AB1052" i="1"/>
  <c r="AB1070" i="1"/>
  <c r="AB1067" i="1"/>
  <c r="AB1054" i="1"/>
  <c r="AB1069" i="1"/>
  <c r="W1045" i="1"/>
  <c r="AB1050" i="1"/>
  <c r="AB1071" i="1"/>
  <c r="AB1057" i="1"/>
  <c r="AB1065" i="1"/>
  <c r="AB1055" i="1"/>
  <c r="AB1063" i="1"/>
  <c r="V1045" i="1"/>
  <c r="AB1066" i="1"/>
  <c r="AB1058" i="1"/>
  <c r="AB1051" i="1"/>
  <c r="W1016" i="1"/>
  <c r="W1019" i="1"/>
  <c r="W1017" i="1"/>
  <c r="AB1047" i="1"/>
  <c r="O1047" i="1" s="1"/>
  <c r="U1046" i="1"/>
  <c r="AB1061" i="1"/>
  <c r="AB1074" i="1"/>
  <c r="AB1060" i="1"/>
  <c r="X1046" i="1"/>
  <c r="AB1072" i="1"/>
  <c r="AB1073" i="1"/>
  <c r="W1046" i="1"/>
  <c r="AB1059" i="1"/>
  <c r="V1019" i="1"/>
  <c r="V1018" i="1"/>
  <c r="V1016" i="1"/>
  <c r="Z1014" i="1"/>
  <c r="Z1010" i="1"/>
  <c r="U1047" i="1"/>
  <c r="AB1048" i="1"/>
  <c r="O1048" i="1" s="1"/>
  <c r="V1047" i="1"/>
  <c r="X1047" i="1"/>
  <c r="AB1049" i="1"/>
  <c r="O1049" i="1" s="1"/>
  <c r="V1048" i="1"/>
  <c r="X1048" i="1"/>
  <c r="W1048" i="1"/>
  <c r="X1019" i="1"/>
  <c r="X1017" i="1"/>
  <c r="X1018" i="1"/>
  <c r="U1018" i="1"/>
  <c r="Z1009" i="1"/>
  <c r="U1016" i="1"/>
  <c r="Z1013" i="1" s="1"/>
  <c r="U1017" i="1"/>
  <c r="Z1011" i="1"/>
  <c r="Z1015" i="1"/>
  <c r="P975" i="1"/>
  <c r="P972" i="1"/>
  <c r="P974" i="1"/>
  <c r="P973" i="1"/>
  <c r="K1109" i="1"/>
  <c r="G1011" i="1"/>
  <c r="D59" i="6" s="1"/>
  <c r="G972" i="1"/>
  <c r="Q1009" i="1"/>
  <c r="R1009" i="1" s="1"/>
  <c r="Q1011" i="1"/>
  <c r="R1011" i="1" s="1"/>
  <c r="Q1010" i="1"/>
  <c r="R1010" i="1" s="1"/>
  <c r="Q1012" i="1"/>
  <c r="R1012" i="1" s="1"/>
  <c r="I1141" i="1"/>
  <c r="R1140" i="1" s="1"/>
  <c r="I1146" i="1"/>
  <c r="R1146" i="1" s="1"/>
  <c r="N1049" i="1"/>
  <c r="J973" i="1"/>
  <c r="G974" i="1"/>
  <c r="M53" i="6" s="1"/>
  <c r="J974" i="1"/>
  <c r="M1086" i="1"/>
  <c r="M1083" i="1"/>
  <c r="M1084" i="1"/>
  <c r="K1095" i="1"/>
  <c r="M1085" i="1"/>
  <c r="N1046" i="1"/>
  <c r="CN13" i="5"/>
  <c r="K1159" i="1"/>
  <c r="L1159" i="1" s="1"/>
  <c r="N1047" i="1"/>
  <c r="J975" i="1"/>
  <c r="G975" i="1"/>
  <c r="M54" i="6" s="1"/>
  <c r="H1132" i="1"/>
  <c r="I1132" i="1" s="1"/>
  <c r="R1131" i="1" s="1"/>
  <c r="K1140" i="1"/>
  <c r="K1143" i="1"/>
  <c r="K1147" i="1"/>
  <c r="K1144" i="1"/>
  <c r="N1048" i="1"/>
  <c r="G1010" i="1"/>
  <c r="D58" i="6" s="1"/>
  <c r="BF273" i="5"/>
  <c r="BE272" i="5"/>
  <c r="BH272" i="5" s="1"/>
  <c r="H1138" i="1" l="1"/>
  <c r="I1138" i="1" s="1"/>
  <c r="K1138" i="1" s="1"/>
  <c r="R1097" i="1"/>
  <c r="H1135" i="1"/>
  <c r="I1135" i="1" s="1"/>
  <c r="K1135" i="1" s="1"/>
  <c r="H1137" i="1"/>
  <c r="I1137" i="1" s="1"/>
  <c r="H1134" i="1"/>
  <c r="I1134" i="1" s="1"/>
  <c r="B65" i="6"/>
  <c r="C65" i="6" s="1"/>
  <c r="R1100" i="1"/>
  <c r="I1159" i="1"/>
  <c r="F1159" i="1" s="1"/>
  <c r="AF129" i="1"/>
  <c r="AG129" i="1" s="1"/>
  <c r="AH129" i="1" s="1"/>
  <c r="P1007" i="1"/>
  <c r="AI128" i="1"/>
  <c r="AK128" i="1" s="1"/>
  <c r="AL128" i="1" s="1"/>
  <c r="FZ15" i="5"/>
  <c r="GA20" i="5"/>
  <c r="FZ17" i="5"/>
  <c r="AB1083" i="1"/>
  <c r="U1082" i="1"/>
  <c r="AB1090" i="1"/>
  <c r="AB1094" i="1"/>
  <c r="AB1093" i="1"/>
  <c r="AB1095" i="1"/>
  <c r="AB1104" i="1"/>
  <c r="AB1103" i="1"/>
  <c r="AB1087" i="1"/>
  <c r="AB1106" i="1"/>
  <c r="V1082" i="1"/>
  <c r="AB1091" i="1"/>
  <c r="AB1107" i="1"/>
  <c r="AB1088" i="1"/>
  <c r="AB1105" i="1"/>
  <c r="AB1108" i="1"/>
  <c r="AB1092" i="1"/>
  <c r="W1082" i="1"/>
  <c r="AB1100" i="1"/>
  <c r="AB1102" i="1"/>
  <c r="AB1101" i="1"/>
  <c r="AB1089" i="1"/>
  <c r="W1053" i="1"/>
  <c r="W1056" i="1"/>
  <c r="W1054" i="1"/>
  <c r="AB1085" i="1"/>
  <c r="O1085" i="1" s="1"/>
  <c r="U1084" i="1"/>
  <c r="X1084" i="1"/>
  <c r="V1084" i="1"/>
  <c r="AB1086" i="1"/>
  <c r="O1086" i="1" s="1"/>
  <c r="V1085" i="1"/>
  <c r="W1085" i="1"/>
  <c r="X1085" i="1"/>
  <c r="X1056" i="1"/>
  <c r="X1054" i="1"/>
  <c r="X1055" i="1"/>
  <c r="Z1051" i="1"/>
  <c r="Z1047" i="1"/>
  <c r="V1056" i="1"/>
  <c r="V1053" i="1"/>
  <c r="V1055" i="1"/>
  <c r="Z1048" i="1"/>
  <c r="Z1052" i="1"/>
  <c r="AB1084" i="1"/>
  <c r="O1084" i="1" s="1"/>
  <c r="U1083" i="1"/>
  <c r="AB1098" i="1"/>
  <c r="AB1111" i="1"/>
  <c r="AB1109" i="1"/>
  <c r="AB1097" i="1"/>
  <c r="W1083" i="1"/>
  <c r="AB1110" i="1"/>
  <c r="AB1096" i="1"/>
  <c r="X1083" i="1"/>
  <c r="U1055" i="1"/>
  <c r="Z1046" i="1"/>
  <c r="O1046" i="1" s="1"/>
  <c r="G1046" i="1" s="1"/>
  <c r="U1053" i="1"/>
  <c r="Z1050" i="1" s="1"/>
  <c r="U1054" i="1"/>
  <c r="CK171" i="5"/>
  <c r="CK157" i="5"/>
  <c r="CK169" i="5"/>
  <c r="P1012" i="1"/>
  <c r="P1009" i="1"/>
  <c r="P1011" i="1"/>
  <c r="P1010" i="1"/>
  <c r="M51" i="6"/>
  <c r="CK155" i="5"/>
  <c r="J1011" i="1"/>
  <c r="Q1049" i="1"/>
  <c r="R1049" i="1" s="1"/>
  <c r="CK168" i="5"/>
  <c r="CK170" i="5"/>
  <c r="CK156" i="5"/>
  <c r="AI113" i="1" s="1"/>
  <c r="CK154" i="5"/>
  <c r="Q1048" i="1"/>
  <c r="R1048" i="1" s="1"/>
  <c r="G1048" i="1"/>
  <c r="H59" i="6" s="1"/>
  <c r="I1183" i="1"/>
  <c r="R1183" i="1" s="1"/>
  <c r="I1178" i="1"/>
  <c r="R1177" i="1" s="1"/>
  <c r="Q1047" i="1"/>
  <c r="R1047" i="1" s="1"/>
  <c r="M1123" i="1"/>
  <c r="K1146" i="1"/>
  <c r="K1141" i="1"/>
  <c r="Q1046" i="1"/>
  <c r="R1046" i="1" s="1"/>
  <c r="J1010" i="1"/>
  <c r="N1086" i="1"/>
  <c r="K1196" i="1"/>
  <c r="L1196" i="1" s="1"/>
  <c r="CO13" i="5"/>
  <c r="N1085" i="1"/>
  <c r="N1083" i="1"/>
  <c r="J1012" i="1"/>
  <c r="G1012" i="1"/>
  <c r="D60" i="6" s="1"/>
  <c r="M1120" i="1"/>
  <c r="K1132" i="1"/>
  <c r="M1121" i="1"/>
  <c r="M1122" i="1"/>
  <c r="H1169" i="1"/>
  <c r="I1169" i="1" s="1"/>
  <c r="R1168" i="1" s="1"/>
  <c r="K1177" i="1"/>
  <c r="K1184" i="1"/>
  <c r="K1180" i="1"/>
  <c r="K1181" i="1"/>
  <c r="N1084" i="1"/>
  <c r="G1047" i="1"/>
  <c r="H58" i="6" s="1"/>
  <c r="G1009" i="1"/>
  <c r="J1009" i="1"/>
  <c r="BF274" i="5"/>
  <c r="BE273" i="5"/>
  <c r="BH273" i="5" s="1"/>
  <c r="H1174" i="1" l="1"/>
  <c r="I1174" i="1" s="1"/>
  <c r="K1174" i="1" s="1"/>
  <c r="R1137" i="1"/>
  <c r="K1137" i="1"/>
  <c r="R1134" i="1"/>
  <c r="H1175" i="1"/>
  <c r="I1175" i="1" s="1"/>
  <c r="K1175" i="1" s="1"/>
  <c r="K1134" i="1"/>
  <c r="H1172" i="1"/>
  <c r="I1172" i="1" s="1"/>
  <c r="K1172" i="1" s="1"/>
  <c r="H1171" i="1"/>
  <c r="I1171" i="1" s="1"/>
  <c r="K1171" i="1" s="1"/>
  <c r="F65" i="6"/>
  <c r="G65" i="6" s="1"/>
  <c r="I1196" i="1"/>
  <c r="F1196" i="1" s="1"/>
  <c r="AF130" i="1"/>
  <c r="AG130" i="1" s="1"/>
  <c r="AH130" i="1" s="1"/>
  <c r="P1044" i="1"/>
  <c r="AK113" i="1"/>
  <c r="AL113" i="1" s="1"/>
  <c r="AI129" i="1"/>
  <c r="AK129" i="1" s="1"/>
  <c r="AL129" i="1" s="1"/>
  <c r="GB20" i="5"/>
  <c r="GA15" i="5"/>
  <c r="GA17" i="5"/>
  <c r="U1119" i="1"/>
  <c r="AB1120" i="1"/>
  <c r="O1120" i="1" s="1"/>
  <c r="AB1132" i="1"/>
  <c r="AB1139" i="1"/>
  <c r="AB1124" i="1"/>
  <c r="AB1142" i="1"/>
  <c r="AB1126" i="1"/>
  <c r="AB1121" i="1" s="1"/>
  <c r="O1121" i="1" s="1"/>
  <c r="AB1138" i="1"/>
  <c r="AB1141" i="1"/>
  <c r="V1119" i="1"/>
  <c r="AB1143" i="1"/>
  <c r="AB1131" i="1"/>
  <c r="AB1137" i="1"/>
  <c r="AB1144" i="1"/>
  <c r="AB1127" i="1"/>
  <c r="W1119" i="1"/>
  <c r="AB1128" i="1"/>
  <c r="AB1140" i="1"/>
  <c r="AB1145" i="1"/>
  <c r="AB1125" i="1"/>
  <c r="AB1129" i="1"/>
  <c r="AB1130" i="1"/>
  <c r="Z1085" i="1"/>
  <c r="Z1089" i="1"/>
  <c r="V1093" i="1"/>
  <c r="V1092" i="1"/>
  <c r="V1090" i="1"/>
  <c r="U1121" i="1"/>
  <c r="AB1122" i="1"/>
  <c r="O1122" i="1" s="1"/>
  <c r="X1121" i="1"/>
  <c r="V1121" i="1"/>
  <c r="X1091" i="1"/>
  <c r="X1092" i="1"/>
  <c r="X1093" i="1"/>
  <c r="Z1088" i="1"/>
  <c r="Z1084" i="1"/>
  <c r="W1090" i="1"/>
  <c r="W1091" i="1"/>
  <c r="W1093" i="1"/>
  <c r="U1092" i="1"/>
  <c r="Z1083" i="1"/>
  <c r="O1083" i="1" s="1"/>
  <c r="G1083" i="1" s="1"/>
  <c r="U1090" i="1"/>
  <c r="Z1087" i="1" s="1"/>
  <c r="U1091" i="1"/>
  <c r="U1120" i="1"/>
  <c r="AB1146" i="1"/>
  <c r="AB1135" i="1"/>
  <c r="AB1148" i="1"/>
  <c r="X1120" i="1"/>
  <c r="AB1147" i="1"/>
  <c r="AB1133" i="1"/>
  <c r="W1120" i="1"/>
  <c r="AB1134" i="1"/>
  <c r="AB1123" i="1"/>
  <c r="O1123" i="1" s="1"/>
  <c r="X1122" i="1"/>
  <c r="W1122" i="1"/>
  <c r="V1122" i="1"/>
  <c r="CL157" i="5"/>
  <c r="CL171" i="5"/>
  <c r="P1048" i="1"/>
  <c r="P1047" i="1"/>
  <c r="P1049" i="1"/>
  <c r="K1183" i="1"/>
  <c r="P1046" i="1"/>
  <c r="J1048" i="1"/>
  <c r="Q1086" i="1"/>
  <c r="R1086" i="1" s="1"/>
  <c r="J1046" i="1"/>
  <c r="J1085" i="1"/>
  <c r="J1047" i="1"/>
  <c r="M1160" i="1"/>
  <c r="N1123" i="1"/>
  <c r="K1178" i="1"/>
  <c r="N1122" i="1"/>
  <c r="N1120" i="1"/>
  <c r="K1169" i="1"/>
  <c r="M1159" i="1"/>
  <c r="M1157" i="1"/>
  <c r="M1158" i="1"/>
  <c r="J1049" i="1"/>
  <c r="G1049" i="1"/>
  <c r="CM156" i="5" s="1"/>
  <c r="AI115" i="1" s="1"/>
  <c r="Q1085" i="1"/>
  <c r="R1085" i="1" s="1"/>
  <c r="Q1084" i="1"/>
  <c r="R1084" i="1" s="1"/>
  <c r="Q1083" i="1"/>
  <c r="R1083" i="1" s="1"/>
  <c r="N1121" i="1"/>
  <c r="K1233" i="1"/>
  <c r="L1233" i="1" s="1"/>
  <c r="CP13" i="5"/>
  <c r="K1217" i="1"/>
  <c r="K1215" i="1"/>
  <c r="H1206" i="1"/>
  <c r="I1206" i="1" s="1"/>
  <c r="R1205" i="1" s="1"/>
  <c r="K1218" i="1"/>
  <c r="K1214" i="1"/>
  <c r="K1221" i="1"/>
  <c r="K1220" i="1"/>
  <c r="H57" i="6"/>
  <c r="CL155" i="5"/>
  <c r="CL169" i="5"/>
  <c r="CL170" i="5"/>
  <c r="CL168" i="5"/>
  <c r="CL154" i="5"/>
  <c r="CL156" i="5"/>
  <c r="AI114" i="1" s="1"/>
  <c r="D57" i="6"/>
  <c r="BF275" i="5"/>
  <c r="BE274" i="5"/>
  <c r="BH274" i="5" s="1"/>
  <c r="R1174" i="1" l="1"/>
  <c r="R1171" i="1"/>
  <c r="H1212" i="1"/>
  <c r="I1212" i="1" s="1"/>
  <c r="K1212" i="1" s="1"/>
  <c r="I1233" i="1"/>
  <c r="F1233" i="1" s="1"/>
  <c r="K65" i="6"/>
  <c r="L65" i="6" s="1"/>
  <c r="H1208" i="1"/>
  <c r="I1208" i="1" s="1"/>
  <c r="K1208" i="1" s="1"/>
  <c r="H1209" i="1"/>
  <c r="I1209" i="1" s="1"/>
  <c r="K1209" i="1" s="1"/>
  <c r="H1211" i="1"/>
  <c r="I1211" i="1" s="1"/>
  <c r="K1211" i="1" s="1"/>
  <c r="AF131" i="1"/>
  <c r="AG131" i="1" s="1"/>
  <c r="AH131" i="1" s="1"/>
  <c r="P1081" i="1"/>
  <c r="AK114" i="1"/>
  <c r="AL114" i="1" s="1"/>
  <c r="AI130" i="1"/>
  <c r="AK130" i="1" s="1"/>
  <c r="AL130" i="1" s="1"/>
  <c r="GB17" i="5"/>
  <c r="GC20" i="5"/>
  <c r="GB15" i="5"/>
  <c r="CM155" i="5"/>
  <c r="CM154" i="5"/>
  <c r="CM169" i="5"/>
  <c r="CM168" i="5"/>
  <c r="U1157" i="1"/>
  <c r="AB1185" i="1"/>
  <c r="AB1183" i="1"/>
  <c r="AB1171" i="1"/>
  <c r="W1157" i="1"/>
  <c r="AB1172" i="1"/>
  <c r="X1157" i="1"/>
  <c r="AB1170" i="1"/>
  <c r="AB1184" i="1"/>
  <c r="AB1160" i="1"/>
  <c r="O1160" i="1" s="1"/>
  <c r="X1159" i="1"/>
  <c r="V1159" i="1"/>
  <c r="W1159" i="1"/>
  <c r="W1130" i="1"/>
  <c r="W1127" i="1"/>
  <c r="W1128" i="1"/>
  <c r="U1156" i="1"/>
  <c r="AB1157" i="1"/>
  <c r="AB1177" i="1"/>
  <c r="AB1169" i="1"/>
  <c r="AB1175" i="1"/>
  <c r="AB1178" i="1"/>
  <c r="AB1168" i="1"/>
  <c r="AB1181" i="1"/>
  <c r="AB1161" i="1"/>
  <c r="AB1180" i="1"/>
  <c r="V1156" i="1"/>
  <c r="AB1174" i="1"/>
  <c r="AB1164" i="1"/>
  <c r="AB1165" i="1"/>
  <c r="W1156" i="1"/>
  <c r="AB1176" i="1"/>
  <c r="AB1166" i="1"/>
  <c r="AB1179" i="1"/>
  <c r="AB1163" i="1"/>
  <c r="AB1158" i="1" s="1"/>
  <c r="O1158" i="1" s="1"/>
  <c r="AB1162" i="1"/>
  <c r="AB1182" i="1"/>
  <c r="AB1167" i="1"/>
  <c r="U1158" i="1"/>
  <c r="AB1159" i="1"/>
  <c r="O1159" i="1" s="1"/>
  <c r="V1158" i="1"/>
  <c r="X1158" i="1"/>
  <c r="X1130" i="1"/>
  <c r="X1128" i="1"/>
  <c r="X1129" i="1"/>
  <c r="Z1125" i="1"/>
  <c r="Z1121" i="1"/>
  <c r="V1130" i="1"/>
  <c r="V1129" i="1"/>
  <c r="V1127" i="1"/>
  <c r="Z1122" i="1"/>
  <c r="Z1126" i="1"/>
  <c r="U1129" i="1"/>
  <c r="Z1120" i="1"/>
  <c r="U1128" i="1"/>
  <c r="U1127" i="1"/>
  <c r="Z1124" i="1" s="1"/>
  <c r="CM171" i="5"/>
  <c r="M57" i="6"/>
  <c r="CM157" i="5"/>
  <c r="P1083" i="1"/>
  <c r="P1085" i="1"/>
  <c r="P1084" i="1"/>
  <c r="P1086" i="1"/>
  <c r="J1083" i="1"/>
  <c r="Q1122" i="1"/>
  <c r="R1122" i="1" s="1"/>
  <c r="G1085" i="1"/>
  <c r="M59" i="6" s="1"/>
  <c r="Q1121" i="1"/>
  <c r="R1121" i="1" s="1"/>
  <c r="CM170" i="5"/>
  <c r="AK115" i="1" s="1"/>
  <c r="AL115" i="1" s="1"/>
  <c r="N1160" i="1"/>
  <c r="Q1123" i="1"/>
  <c r="R1123" i="1" s="1"/>
  <c r="Q1120" i="1"/>
  <c r="R1120" i="1" s="1"/>
  <c r="G1084" i="1"/>
  <c r="J1084" i="1"/>
  <c r="M1195" i="1"/>
  <c r="M1196" i="1"/>
  <c r="O1196" i="1" s="1"/>
  <c r="M1194" i="1"/>
  <c r="K1206" i="1"/>
  <c r="N1157" i="1"/>
  <c r="J1086" i="1"/>
  <c r="G1086" i="1"/>
  <c r="M60" i="6" s="1"/>
  <c r="H60" i="6"/>
  <c r="K1270" i="1"/>
  <c r="L1270" i="1" s="1"/>
  <c r="CQ13" i="5"/>
  <c r="N1159" i="1"/>
  <c r="K1257" i="1"/>
  <c r="K1252" i="1"/>
  <c r="K1251" i="1"/>
  <c r="K1255" i="1"/>
  <c r="H1243" i="1"/>
  <c r="I1243" i="1" s="1"/>
  <c r="R1242" i="1" s="1"/>
  <c r="K1254" i="1"/>
  <c r="K1258" i="1"/>
  <c r="N1158" i="1"/>
  <c r="J1120" i="1"/>
  <c r="J1121" i="1"/>
  <c r="BE275" i="5"/>
  <c r="BH275" i="5" s="1"/>
  <c r="BF276" i="5"/>
  <c r="H1249" i="1" l="1"/>
  <c r="I1249" i="1" s="1"/>
  <c r="K1249" i="1" s="1"/>
  <c r="H1248" i="1"/>
  <c r="I1248" i="1" s="1"/>
  <c r="K1248" i="1" s="1"/>
  <c r="H1246" i="1"/>
  <c r="I1246" i="1" s="1"/>
  <c r="K1246" i="1" s="1"/>
  <c r="B71" i="6"/>
  <c r="C71" i="6" s="1"/>
  <c r="H1245" i="1"/>
  <c r="I1245" i="1" s="1"/>
  <c r="K1245" i="1" s="1"/>
  <c r="R1208" i="1"/>
  <c r="R1211" i="1"/>
  <c r="I1270" i="1"/>
  <c r="F1270" i="1" s="1"/>
  <c r="AF132" i="1"/>
  <c r="AG132" i="1" s="1"/>
  <c r="AH132" i="1" s="1"/>
  <c r="P1118" i="1"/>
  <c r="AI131" i="1"/>
  <c r="AK131" i="1" s="1"/>
  <c r="AL131" i="1" s="1"/>
  <c r="GC15" i="5"/>
  <c r="GD20" i="5"/>
  <c r="GC17" i="5"/>
  <c r="O1195" i="1"/>
  <c r="AB1194" i="1"/>
  <c r="U1193" i="1"/>
  <c r="AB1197" i="1"/>
  <c r="W1196" i="1"/>
  <c r="AB1201" i="1"/>
  <c r="AB1202" i="1"/>
  <c r="W1193" i="1"/>
  <c r="AB1212" i="1"/>
  <c r="AB1214" i="1"/>
  <c r="AB1204" i="1"/>
  <c r="AB1216" i="1"/>
  <c r="V1196" i="1"/>
  <c r="AB1215" i="1"/>
  <c r="AB1206" i="1"/>
  <c r="AB1219" i="1"/>
  <c r="AB1198" i="1"/>
  <c r="AB1203" i="1"/>
  <c r="AB1205" i="1"/>
  <c r="AB1199" i="1"/>
  <c r="AB1213" i="1"/>
  <c r="AB1217" i="1"/>
  <c r="AB1218" i="1"/>
  <c r="AB1200" i="1"/>
  <c r="V1193" i="1"/>
  <c r="AB1211" i="1"/>
  <c r="Z1159" i="1"/>
  <c r="Z1163" i="1"/>
  <c r="W1164" i="1"/>
  <c r="W1165" i="1"/>
  <c r="W1167" i="1"/>
  <c r="V1167" i="1"/>
  <c r="V1166" i="1"/>
  <c r="V1164" i="1"/>
  <c r="X1166" i="1"/>
  <c r="X1167" i="1"/>
  <c r="X1165" i="1"/>
  <c r="AB1196" i="1"/>
  <c r="U1195" i="1"/>
  <c r="X1195" i="1"/>
  <c r="V1195" i="1"/>
  <c r="U1166" i="1"/>
  <c r="Z1157" i="1"/>
  <c r="O1157" i="1" s="1"/>
  <c r="G1157" i="1" s="1"/>
  <c r="U1165" i="1"/>
  <c r="U1164" i="1"/>
  <c r="Z1161" i="1" s="1"/>
  <c r="Z1162" i="1"/>
  <c r="Z1158" i="1"/>
  <c r="AB1195" i="1"/>
  <c r="U1194" i="1"/>
  <c r="AB1220" i="1"/>
  <c r="X1194" i="1"/>
  <c r="AB1208" i="1"/>
  <c r="AB1222" i="1"/>
  <c r="W1194" i="1"/>
  <c r="AB1221" i="1"/>
  <c r="AB1209" i="1"/>
  <c r="AB1207" i="1"/>
  <c r="X1196" i="1"/>
  <c r="CN157" i="5"/>
  <c r="CN171" i="5"/>
  <c r="P1120" i="1"/>
  <c r="P1122" i="1"/>
  <c r="P1121" i="1"/>
  <c r="P1123" i="1"/>
  <c r="Q1159" i="1"/>
  <c r="R1159" i="1" s="1"/>
  <c r="Q1160" i="1"/>
  <c r="R1160" i="1" s="1"/>
  <c r="Q1157" i="1"/>
  <c r="R1157" i="1" s="1"/>
  <c r="CN170" i="5"/>
  <c r="Q1158" i="1"/>
  <c r="R1158" i="1" s="1"/>
  <c r="J1159" i="1"/>
  <c r="G1120" i="1"/>
  <c r="M58" i="6"/>
  <c r="CN156" i="5"/>
  <c r="AI116" i="1" s="1"/>
  <c r="CN155" i="5"/>
  <c r="CN154" i="5"/>
  <c r="CN169" i="5"/>
  <c r="CN168" i="5"/>
  <c r="M1232" i="1"/>
  <c r="M1231" i="1"/>
  <c r="K1243" i="1"/>
  <c r="M1233" i="1"/>
  <c r="N1196" i="1"/>
  <c r="K1307" i="1"/>
  <c r="L1307" i="1" s="1"/>
  <c r="CR13" i="5"/>
  <c r="N1195" i="1"/>
  <c r="H1280" i="1"/>
  <c r="I1280" i="1" s="1"/>
  <c r="R1279" i="1" s="1"/>
  <c r="K1288" i="1"/>
  <c r="K1289" i="1"/>
  <c r="K1292" i="1"/>
  <c r="K1294" i="1"/>
  <c r="K1295" i="1"/>
  <c r="K1291" i="1"/>
  <c r="J1123" i="1"/>
  <c r="G1123" i="1"/>
  <c r="D66" i="6" s="1"/>
  <c r="N1194" i="1"/>
  <c r="G1158" i="1"/>
  <c r="H64" i="6" s="1"/>
  <c r="G1121" i="1"/>
  <c r="D64" i="6" s="1"/>
  <c r="J1122" i="1"/>
  <c r="G1122" i="1"/>
  <c r="D65" i="6" s="1"/>
  <c r="BF277" i="5"/>
  <c r="BE276" i="5"/>
  <c r="BH276" i="5" s="1"/>
  <c r="H1283" i="1" l="1"/>
  <c r="I1283" i="1" s="1"/>
  <c r="K1283" i="1" s="1"/>
  <c r="F71" i="6"/>
  <c r="G71" i="6" s="1"/>
  <c r="H1282" i="1"/>
  <c r="I1282" i="1" s="1"/>
  <c r="H1285" i="1"/>
  <c r="I1285" i="1" s="1"/>
  <c r="K1285" i="1" s="1"/>
  <c r="R1248" i="1"/>
  <c r="R1245" i="1"/>
  <c r="H1286" i="1"/>
  <c r="I1286" i="1" s="1"/>
  <c r="K1286" i="1" s="1"/>
  <c r="I1307" i="1"/>
  <c r="F1307" i="1" s="1"/>
  <c r="AF133" i="1"/>
  <c r="AG133" i="1" s="1"/>
  <c r="AH133" i="1" s="1"/>
  <c r="P1155" i="1"/>
  <c r="AK116" i="1"/>
  <c r="AL116" i="1" s="1"/>
  <c r="AI132" i="1"/>
  <c r="AK132" i="1" s="1"/>
  <c r="AL132" i="1" s="1"/>
  <c r="O1232" i="1"/>
  <c r="GD15" i="5"/>
  <c r="GD17" i="5"/>
  <c r="BC166" i="5"/>
  <c r="BD166" i="5" s="1"/>
  <c r="BC275" i="5"/>
  <c r="BD275" i="5" s="1"/>
  <c r="BC177" i="5"/>
  <c r="BD177" i="5" s="1"/>
  <c r="BC172" i="5"/>
  <c r="BD172" i="5" s="1"/>
  <c r="BC205" i="5"/>
  <c r="BD205" i="5" s="1"/>
  <c r="BC155" i="5"/>
  <c r="BD155" i="5" s="1"/>
  <c r="BC260" i="5"/>
  <c r="BD260" i="5" s="1"/>
  <c r="BC213" i="5"/>
  <c r="BD213" i="5" s="1"/>
  <c r="BC220" i="5"/>
  <c r="BD220" i="5" s="1"/>
  <c r="BC212" i="5"/>
  <c r="BD212" i="5" s="1"/>
  <c r="BC211" i="5"/>
  <c r="BD211" i="5" s="1"/>
  <c r="BC271" i="5"/>
  <c r="BD271" i="5" s="1"/>
  <c r="BC237" i="5"/>
  <c r="BD237" i="5" s="1"/>
  <c r="BC261" i="5"/>
  <c r="BD261" i="5" s="1"/>
  <c r="BC195" i="5"/>
  <c r="BD195" i="5" s="1"/>
  <c r="BC259" i="5"/>
  <c r="BD259" i="5" s="1"/>
  <c r="BC258" i="5"/>
  <c r="BD258" i="5" s="1"/>
  <c r="BC249" i="5"/>
  <c r="BD249" i="5" s="1"/>
  <c r="BC226" i="5"/>
  <c r="BD226" i="5" s="1"/>
  <c r="BC214" i="5"/>
  <c r="BD214" i="5" s="1"/>
  <c r="BC154" i="5"/>
  <c r="BD154" i="5" s="1"/>
  <c r="BC251" i="5"/>
  <c r="BD251" i="5" s="1"/>
  <c r="BC189" i="5"/>
  <c r="BD189" i="5" s="1"/>
  <c r="BC171" i="5"/>
  <c r="BD171" i="5" s="1"/>
  <c r="BC157" i="5"/>
  <c r="BD157" i="5" s="1"/>
  <c r="BC165" i="5"/>
  <c r="BD165" i="5" s="1"/>
  <c r="BC274" i="5"/>
  <c r="BD274" i="5" s="1"/>
  <c r="BC201" i="5"/>
  <c r="BD201" i="5" s="1"/>
  <c r="BC247" i="5"/>
  <c r="BD247" i="5" s="1"/>
  <c r="BC244" i="5"/>
  <c r="BD244" i="5" s="1"/>
  <c r="BC225" i="5"/>
  <c r="BD225" i="5" s="1"/>
  <c r="BC203" i="5"/>
  <c r="BD203" i="5" s="1"/>
  <c r="BC241" i="5"/>
  <c r="BD241" i="5" s="1"/>
  <c r="BC234" i="5"/>
  <c r="BD234" i="5" s="1"/>
  <c r="BC240" i="5"/>
  <c r="BD240" i="5" s="1"/>
  <c r="BC250" i="5"/>
  <c r="BD250" i="5" s="1"/>
  <c r="BC235" i="5"/>
  <c r="BD235" i="5" s="1"/>
  <c r="BC184" i="5"/>
  <c r="BD184" i="5" s="1"/>
  <c r="BC276" i="5"/>
  <c r="BD276" i="5" s="1"/>
  <c r="BC273" i="5"/>
  <c r="BD273" i="5" s="1"/>
  <c r="BC182" i="5"/>
  <c r="BD182" i="5" s="1"/>
  <c r="BC179" i="5"/>
  <c r="BD179" i="5" s="1"/>
  <c r="BC217" i="5"/>
  <c r="BD217" i="5" s="1"/>
  <c r="BC204" i="5"/>
  <c r="BD204" i="5" s="1"/>
  <c r="BC199" i="5"/>
  <c r="BD199" i="5" s="1"/>
  <c r="BC248" i="5"/>
  <c r="BD248" i="5" s="1"/>
  <c r="BC232" i="5"/>
  <c r="BD232" i="5" s="1"/>
  <c r="BC242" i="5"/>
  <c r="BD242" i="5" s="1"/>
  <c r="BC219" i="5"/>
  <c r="BD219" i="5" s="1"/>
  <c r="BC181" i="5"/>
  <c r="BD181" i="5" s="1"/>
  <c r="BC224" i="5"/>
  <c r="BD224" i="5" s="1"/>
  <c r="BC272" i="5"/>
  <c r="BD272" i="5" s="1"/>
  <c r="BC198" i="5"/>
  <c r="BD198" i="5" s="1"/>
  <c r="BC161" i="5"/>
  <c r="BD161" i="5" s="1"/>
  <c r="BC254" i="5"/>
  <c r="BD254" i="5" s="1"/>
  <c r="BC186" i="5"/>
  <c r="BD186" i="5" s="1"/>
  <c r="BC169" i="5"/>
  <c r="BD169" i="5" s="1"/>
  <c r="BC238" i="5"/>
  <c r="BD238" i="5" s="1"/>
  <c r="BC200" i="5"/>
  <c r="BD200" i="5" s="1"/>
  <c r="BC253" i="5"/>
  <c r="BD253" i="5" s="1"/>
  <c r="BC197" i="5"/>
  <c r="BD197" i="5" s="1"/>
  <c r="BC256" i="5"/>
  <c r="BD256" i="5" s="1"/>
  <c r="BC187" i="5"/>
  <c r="BD187" i="5" s="1"/>
  <c r="BC257" i="5"/>
  <c r="BD257" i="5" s="1"/>
  <c r="BC194" i="5"/>
  <c r="BD194" i="5" s="1"/>
  <c r="BC262" i="5"/>
  <c r="BD262" i="5" s="1"/>
  <c r="BC208" i="5"/>
  <c r="BD208" i="5" s="1"/>
  <c r="BC174" i="5"/>
  <c r="BD174" i="5" s="1"/>
  <c r="BC264" i="5"/>
  <c r="BD264" i="5" s="1"/>
  <c r="BC170" i="5"/>
  <c r="BD170" i="5" s="1"/>
  <c r="BC267" i="5"/>
  <c r="BD267" i="5" s="1"/>
  <c r="BC175" i="5"/>
  <c r="BD175" i="5" s="1"/>
  <c r="BC168" i="5"/>
  <c r="BD168" i="5" s="1"/>
  <c r="BC221" i="5"/>
  <c r="BD221" i="5" s="1"/>
  <c r="BC178" i="5"/>
  <c r="BD178" i="5" s="1"/>
  <c r="BC228" i="5"/>
  <c r="BD228" i="5" s="1"/>
  <c r="BC268" i="5"/>
  <c r="BD268" i="5" s="1"/>
  <c r="BC162" i="5"/>
  <c r="BD162" i="5" s="1"/>
  <c r="BC266" i="5"/>
  <c r="BD266" i="5" s="1"/>
  <c r="BC167" i="5"/>
  <c r="BD167" i="5" s="1"/>
  <c r="BC163" i="5"/>
  <c r="BD163" i="5" s="1"/>
  <c r="BC245" i="5"/>
  <c r="BD245" i="5" s="1"/>
  <c r="BC164" i="5"/>
  <c r="BD164" i="5" s="1"/>
  <c r="BC265" i="5"/>
  <c r="BD265" i="5" s="1"/>
  <c r="BC191" i="5"/>
  <c r="BD191" i="5" s="1"/>
  <c r="BC255" i="5"/>
  <c r="BD255" i="5" s="1"/>
  <c r="BC231" i="5"/>
  <c r="BD231" i="5" s="1"/>
  <c r="BC188" i="5"/>
  <c r="BD188" i="5" s="1"/>
  <c r="BC278" i="5"/>
  <c r="BD278" i="5" s="1"/>
  <c r="BC156" i="5"/>
  <c r="BD156" i="5" s="1"/>
  <c r="BC206" i="5"/>
  <c r="BD206" i="5" s="1"/>
  <c r="BC236" i="5"/>
  <c r="BD236" i="5" s="1"/>
  <c r="BC196" i="5"/>
  <c r="BD196" i="5" s="1"/>
  <c r="BC207" i="5"/>
  <c r="BD207" i="5" s="1"/>
  <c r="BC239" i="5"/>
  <c r="BD239" i="5" s="1"/>
  <c r="BC223" i="5"/>
  <c r="BD223" i="5" s="1"/>
  <c r="BC209" i="5"/>
  <c r="BD209" i="5" s="1"/>
  <c r="BC193" i="5"/>
  <c r="BD193" i="5" s="1"/>
  <c r="BC180" i="5"/>
  <c r="BD180" i="5" s="1"/>
  <c r="BC216" i="5"/>
  <c r="BD216" i="5" s="1"/>
  <c r="BC222" i="5"/>
  <c r="BD222" i="5" s="1"/>
  <c r="BC270" i="5"/>
  <c r="BD270" i="5" s="1"/>
  <c r="BC279" i="5"/>
  <c r="BD279" i="5" s="1"/>
  <c r="BC202" i="5"/>
  <c r="BD202" i="5" s="1"/>
  <c r="BC190" i="5"/>
  <c r="BD190" i="5" s="1"/>
  <c r="BC252" i="5"/>
  <c r="BD252" i="5" s="1"/>
  <c r="BC210" i="5"/>
  <c r="BD210" i="5" s="1"/>
  <c r="BC185" i="5"/>
  <c r="BD185" i="5" s="1"/>
  <c r="BC280" i="5"/>
  <c r="BD280" i="5" s="1"/>
  <c r="BC176" i="5"/>
  <c r="BD176" i="5" s="1"/>
  <c r="BC158" i="5"/>
  <c r="BD158" i="5" s="1"/>
  <c r="BC229" i="5"/>
  <c r="BD229" i="5" s="1"/>
  <c r="BC269" i="5"/>
  <c r="BD269" i="5" s="1"/>
  <c r="BC215" i="5"/>
  <c r="BD215" i="5" s="1"/>
  <c r="BC243" i="5"/>
  <c r="BD243" i="5" s="1"/>
  <c r="BC246" i="5"/>
  <c r="BD246" i="5" s="1"/>
  <c r="BC173" i="5"/>
  <c r="BD173" i="5" s="1"/>
  <c r="BC281" i="5"/>
  <c r="BD281" i="5" s="1"/>
  <c r="BC233" i="5"/>
  <c r="BD233" i="5" s="1"/>
  <c r="BC230" i="5"/>
  <c r="BD230" i="5" s="1"/>
  <c r="BC218" i="5"/>
  <c r="BD218" i="5" s="1"/>
  <c r="BC263" i="5"/>
  <c r="BD263" i="5" s="1"/>
  <c r="BC277" i="5"/>
  <c r="BD277" i="5" s="1"/>
  <c r="BC159" i="5"/>
  <c r="BD159" i="5" s="1"/>
  <c r="BC227" i="5"/>
  <c r="BD227" i="5" s="1"/>
  <c r="BC160" i="5"/>
  <c r="BD160" i="5" s="1"/>
  <c r="BC183" i="5"/>
  <c r="BD183" i="5" s="1"/>
  <c r="BC192" i="5"/>
  <c r="BD192" i="5" s="1"/>
  <c r="U1232" i="1"/>
  <c r="X1232" i="1"/>
  <c r="V1232" i="1"/>
  <c r="V1204" i="1"/>
  <c r="V1203" i="1"/>
  <c r="V1201" i="1"/>
  <c r="X1204" i="1"/>
  <c r="X1202" i="1"/>
  <c r="X1203" i="1"/>
  <c r="W1204" i="1"/>
  <c r="W1201" i="1"/>
  <c r="W1202" i="1"/>
  <c r="U1230" i="1"/>
  <c r="AB1231" i="1"/>
  <c r="AB1234" i="1"/>
  <c r="AB1242" i="1"/>
  <c r="AB1240" i="1"/>
  <c r="AB1252" i="1"/>
  <c r="AB1237" i="1"/>
  <c r="AB1233" i="1" s="1"/>
  <c r="W1233" i="1"/>
  <c r="AB1249" i="1"/>
  <c r="AB1250" i="1"/>
  <c r="AB1243" i="1"/>
  <c r="AB1255" i="1"/>
  <c r="AB1253" i="1"/>
  <c r="AB1236" i="1"/>
  <c r="V1233" i="1"/>
  <c r="AB1235" i="1"/>
  <c r="AB1248" i="1"/>
  <c r="AB1238" i="1"/>
  <c r="AB1251" i="1"/>
  <c r="AB1239" i="1"/>
  <c r="AB1256" i="1"/>
  <c r="W1230" i="1"/>
  <c r="V1230" i="1"/>
  <c r="AB1254" i="1"/>
  <c r="AB1241" i="1"/>
  <c r="Z1196" i="1"/>
  <c r="Z1200" i="1"/>
  <c r="U1203" i="1"/>
  <c r="Z1194" i="1"/>
  <c r="O1194" i="1" s="1"/>
  <c r="G1194" i="1" s="1"/>
  <c r="U1201" i="1"/>
  <c r="Z1198" i="1" s="1"/>
  <c r="U1202" i="1"/>
  <c r="AB1232" i="1"/>
  <c r="U1231" i="1"/>
  <c r="AB1244" i="1"/>
  <c r="AB1245" i="1"/>
  <c r="AB1259" i="1"/>
  <c r="X1233" i="1"/>
  <c r="W1231" i="1"/>
  <c r="AB1258" i="1"/>
  <c r="AB1246" i="1"/>
  <c r="AB1257" i="1"/>
  <c r="X1231" i="1"/>
  <c r="Z1199" i="1"/>
  <c r="Z1195" i="1"/>
  <c r="D63" i="6"/>
  <c r="CO157" i="5"/>
  <c r="CO171" i="5"/>
  <c r="P1160" i="1"/>
  <c r="P1157" i="1"/>
  <c r="P1159" i="1"/>
  <c r="P1158" i="1"/>
  <c r="G1197" i="1"/>
  <c r="M66" i="6" s="1"/>
  <c r="J1197" i="1"/>
  <c r="G1159" i="1"/>
  <c r="H65" i="6" s="1"/>
  <c r="CO154" i="5"/>
  <c r="CO170" i="5"/>
  <c r="CO169" i="5"/>
  <c r="H63" i="6"/>
  <c r="CO156" i="5"/>
  <c r="AI117" i="1" s="1"/>
  <c r="CO155" i="5"/>
  <c r="N1233" i="1"/>
  <c r="CO168" i="5"/>
  <c r="M1269" i="1"/>
  <c r="K1280" i="1"/>
  <c r="M1268" i="1"/>
  <c r="M1270" i="1"/>
  <c r="O1270" i="1" s="1"/>
  <c r="G1195" i="1"/>
  <c r="M64" i="6" s="1"/>
  <c r="J1195" i="1"/>
  <c r="Q1194" i="1"/>
  <c r="R1194" i="1" s="1"/>
  <c r="Q1196" i="1"/>
  <c r="R1196" i="1" s="1"/>
  <c r="Q1195" i="1"/>
  <c r="R1195" i="1" s="1"/>
  <c r="J1196" i="1"/>
  <c r="G1196" i="1"/>
  <c r="M65" i="6" s="1"/>
  <c r="G1160" i="1"/>
  <c r="H66" i="6" s="1"/>
  <c r="J1160" i="1"/>
  <c r="K1344" i="1"/>
  <c r="L1344" i="1" s="1"/>
  <c r="CS13" i="5"/>
  <c r="N1231" i="1"/>
  <c r="H1317" i="1"/>
  <c r="I1317" i="1" s="1"/>
  <c r="R1316" i="1" s="1"/>
  <c r="K1325" i="1"/>
  <c r="K1331" i="1"/>
  <c r="K1329" i="1"/>
  <c r="K1332" i="1"/>
  <c r="K1328" i="1"/>
  <c r="K1326" i="1"/>
  <c r="N1232" i="1"/>
  <c r="J1158" i="1"/>
  <c r="J1157" i="1"/>
  <c r="BF278" i="5"/>
  <c r="BE277" i="5"/>
  <c r="BH277" i="5" s="1"/>
  <c r="H1322" i="1" l="1"/>
  <c r="I1322" i="1" s="1"/>
  <c r="K1322" i="1" s="1"/>
  <c r="R1282" i="1"/>
  <c r="K1282" i="1"/>
  <c r="H1319" i="1"/>
  <c r="I1319" i="1" s="1"/>
  <c r="K1319" i="1" s="1"/>
  <c r="H1323" i="1"/>
  <c r="I1323" i="1" s="1"/>
  <c r="K1323" i="1" s="1"/>
  <c r="R1285" i="1"/>
  <c r="K71" i="6"/>
  <c r="L71" i="6" s="1"/>
  <c r="H1320" i="1"/>
  <c r="I1320" i="1" s="1"/>
  <c r="K1320" i="1" s="1"/>
  <c r="I1344" i="1"/>
  <c r="F1344" i="1" s="1"/>
  <c r="AF134" i="1"/>
  <c r="AG134" i="1" s="1"/>
  <c r="AH134" i="1" s="1"/>
  <c r="P1192" i="1"/>
  <c r="AK117" i="1"/>
  <c r="AL117" i="1" s="1"/>
  <c r="AI133" i="1"/>
  <c r="AK133" i="1" s="1"/>
  <c r="AL133" i="1" s="1"/>
  <c r="O1269" i="1"/>
  <c r="J1194" i="1"/>
  <c r="O1268" i="1"/>
  <c r="CP155" i="5"/>
  <c r="X1241" i="1"/>
  <c r="X1239" i="1"/>
  <c r="X1240" i="1"/>
  <c r="V1241" i="1"/>
  <c r="V1238" i="1"/>
  <c r="V1240" i="1"/>
  <c r="AB1269" i="1"/>
  <c r="U1268" i="1"/>
  <c r="X1270" i="1"/>
  <c r="AB1283" i="1"/>
  <c r="X1268" i="1"/>
  <c r="AB1281" i="1"/>
  <c r="W1268" i="1"/>
  <c r="AB1296" i="1"/>
  <c r="AB1282" i="1"/>
  <c r="AB1294" i="1"/>
  <c r="AB1295" i="1"/>
  <c r="Z1236" i="1"/>
  <c r="Z1232" i="1"/>
  <c r="W1238" i="1"/>
  <c r="W1241" i="1"/>
  <c r="W1239" i="1"/>
  <c r="U1240" i="1"/>
  <c r="Z1231" i="1"/>
  <c r="O1231" i="1" s="1"/>
  <c r="J1231" i="1" s="1"/>
  <c r="U1238" i="1"/>
  <c r="Z1235" i="1" s="1"/>
  <c r="U1239" i="1"/>
  <c r="U1269" i="1"/>
  <c r="AB1270" i="1"/>
  <c r="X1269" i="1"/>
  <c r="V1269" i="1"/>
  <c r="U1267" i="1"/>
  <c r="AB1268" i="1"/>
  <c r="AB1271" i="1"/>
  <c r="AB1285" i="1"/>
  <c r="AB1289" i="1"/>
  <c r="AB1292" i="1"/>
  <c r="V1270" i="1"/>
  <c r="AB1277" i="1"/>
  <c r="AB1291" i="1"/>
  <c r="AB1287" i="1"/>
  <c r="AB1275" i="1"/>
  <c r="AB1272" i="1"/>
  <c r="V1267" i="1"/>
  <c r="AB1273" i="1"/>
  <c r="AB1288" i="1"/>
  <c r="AB1293" i="1"/>
  <c r="AB1280" i="1"/>
  <c r="AB1274" i="1"/>
  <c r="AB1279" i="1"/>
  <c r="AB1286" i="1"/>
  <c r="W1267" i="1"/>
  <c r="AB1278" i="1"/>
  <c r="W1270" i="1"/>
  <c r="AB1290" i="1"/>
  <c r="AB1276" i="1"/>
  <c r="Z1233" i="1"/>
  <c r="O1233" i="1" s="1"/>
  <c r="G1233" i="1" s="1"/>
  <c r="D71" i="6" s="1"/>
  <c r="Z1237" i="1"/>
  <c r="CQ171" i="5"/>
  <c r="CQ157" i="5"/>
  <c r="CP171" i="5"/>
  <c r="CP157" i="5"/>
  <c r="CP169" i="5"/>
  <c r="P1197" i="1"/>
  <c r="P1194" i="1"/>
  <c r="P1196" i="1"/>
  <c r="P1195" i="1"/>
  <c r="CP154" i="5"/>
  <c r="CP168" i="5"/>
  <c r="G1234" i="1"/>
  <c r="D72" i="6" s="1"/>
  <c r="J1234" i="1"/>
  <c r="CP156" i="5"/>
  <c r="AI118" i="1" s="1"/>
  <c r="CP170" i="5"/>
  <c r="G1232" i="1"/>
  <c r="D70" i="6" s="1"/>
  <c r="J1232" i="1"/>
  <c r="K1366" i="1"/>
  <c r="K1365" i="1"/>
  <c r="K1363" i="1"/>
  <c r="K1362" i="1"/>
  <c r="H1354" i="1"/>
  <c r="I1354" i="1" s="1"/>
  <c r="R1353" i="1" s="1"/>
  <c r="K1368" i="1"/>
  <c r="K1369" i="1"/>
  <c r="N1268" i="1"/>
  <c r="CQ155" i="5"/>
  <c r="CQ156" i="5"/>
  <c r="AI119" i="1" s="1"/>
  <c r="CQ154" i="5"/>
  <c r="M63" i="6"/>
  <c r="CQ169" i="5"/>
  <c r="CQ168" i="5"/>
  <c r="CQ170" i="5"/>
  <c r="N1269" i="1"/>
  <c r="Q1231" i="1"/>
  <c r="R1231" i="1" s="1"/>
  <c r="Q1233" i="1"/>
  <c r="R1233" i="1" s="1"/>
  <c r="Q1232" i="1"/>
  <c r="R1232" i="1" s="1"/>
  <c r="M1305" i="1"/>
  <c r="K1317" i="1"/>
  <c r="M1307" i="1"/>
  <c r="O1307" i="1" s="1"/>
  <c r="M1306" i="1"/>
  <c r="K1381" i="1"/>
  <c r="L1381" i="1" s="1"/>
  <c r="CT13" i="5"/>
  <c r="N1270" i="1"/>
  <c r="BE278" i="5"/>
  <c r="BH278" i="5" s="1"/>
  <c r="BF279" i="5"/>
  <c r="H1356" i="1" l="1"/>
  <c r="I1356" i="1" s="1"/>
  <c r="K1356" i="1" s="1"/>
  <c r="H1359" i="1"/>
  <c r="I1359" i="1" s="1"/>
  <c r="K1359" i="1" s="1"/>
  <c r="H1360" i="1"/>
  <c r="I1360" i="1" s="1"/>
  <c r="K1360" i="1" s="1"/>
  <c r="R1322" i="1"/>
  <c r="B77" i="6"/>
  <c r="C77" i="6" s="1"/>
  <c r="R1319" i="1"/>
  <c r="H1357" i="1"/>
  <c r="I1357" i="1" s="1"/>
  <c r="K1357" i="1" s="1"/>
  <c r="I1381" i="1"/>
  <c r="F1381" i="1" s="1"/>
  <c r="AF135" i="1"/>
  <c r="AG135" i="1" s="1"/>
  <c r="AH135" i="1" s="1"/>
  <c r="P1229" i="1"/>
  <c r="AK118" i="1"/>
  <c r="AL118" i="1" s="1"/>
  <c r="AK119" i="1"/>
  <c r="AL119" i="1" s="1"/>
  <c r="AI134" i="1"/>
  <c r="AK134" i="1" s="1"/>
  <c r="AL134" i="1" s="1"/>
  <c r="J1233" i="1"/>
  <c r="O1306" i="1"/>
  <c r="G1231" i="1"/>
  <c r="CR157" i="5" s="1"/>
  <c r="U1306" i="1"/>
  <c r="X1306" i="1"/>
  <c r="V1306" i="1"/>
  <c r="W1276" i="1"/>
  <c r="W1275" i="1"/>
  <c r="W1278" i="1"/>
  <c r="V1278" i="1"/>
  <c r="V1275" i="1"/>
  <c r="V1277" i="1"/>
  <c r="U1277" i="1"/>
  <c r="Z1268" i="1"/>
  <c r="U1275" i="1"/>
  <c r="Z1272" i="1" s="1"/>
  <c r="U1276" i="1"/>
  <c r="Z1273" i="1"/>
  <c r="Z1269" i="1"/>
  <c r="Z1270" i="1"/>
  <c r="Z1274" i="1"/>
  <c r="X1278" i="1"/>
  <c r="X1276" i="1"/>
  <c r="X1277" i="1"/>
  <c r="U1304" i="1"/>
  <c r="AB1305" i="1"/>
  <c r="AB1308" i="1"/>
  <c r="AB1317" i="1"/>
  <c r="AB1310" i="1"/>
  <c r="V1307" i="1"/>
  <c r="V1304" i="1"/>
  <c r="AB1311" i="1"/>
  <c r="AB1307" i="1" s="1"/>
  <c r="AB1316" i="1"/>
  <c r="AB1328" i="1"/>
  <c r="AB1324" i="1"/>
  <c r="AB1313" i="1"/>
  <c r="AB1327" i="1"/>
  <c r="AB1309" i="1"/>
  <c r="AB1326" i="1"/>
  <c r="AB1323" i="1"/>
  <c r="AB1329" i="1"/>
  <c r="W1307" i="1"/>
  <c r="AB1312" i="1"/>
  <c r="AB1330" i="1"/>
  <c r="AB1314" i="1"/>
  <c r="AB1325" i="1"/>
  <c r="AB1322" i="1"/>
  <c r="W1304" i="1"/>
  <c r="AB1315" i="1"/>
  <c r="U1305" i="1"/>
  <c r="AB1306" i="1"/>
  <c r="AB1333" i="1"/>
  <c r="AB1320" i="1"/>
  <c r="X1307" i="1"/>
  <c r="X1305" i="1"/>
  <c r="AB1331" i="1"/>
  <c r="W1305" i="1"/>
  <c r="AB1319" i="1"/>
  <c r="AB1318" i="1"/>
  <c r="AB1332" i="1"/>
  <c r="P1234" i="1"/>
  <c r="P1231" i="1"/>
  <c r="P1233" i="1"/>
  <c r="P1232" i="1"/>
  <c r="G1271" i="1"/>
  <c r="H72" i="6" s="1"/>
  <c r="J1271" i="1"/>
  <c r="J1270" i="1"/>
  <c r="G1270" i="1"/>
  <c r="H71" i="6" s="1"/>
  <c r="J1269" i="1"/>
  <c r="G1269" i="1"/>
  <c r="H70" i="6" s="1"/>
  <c r="CU13" i="5"/>
  <c r="K1418" i="1"/>
  <c r="L1418" i="1" s="1"/>
  <c r="N1306" i="1"/>
  <c r="N1305" i="1"/>
  <c r="Q1270" i="1"/>
  <c r="R1270" i="1" s="1"/>
  <c r="Q1269" i="1"/>
  <c r="R1269" i="1" s="1"/>
  <c r="Q1268" i="1"/>
  <c r="R1268" i="1" s="1"/>
  <c r="G1268" i="1"/>
  <c r="J1268" i="1"/>
  <c r="M1344" i="1"/>
  <c r="O1344" i="1" s="1"/>
  <c r="M1343" i="1"/>
  <c r="M1342" i="1"/>
  <c r="K1354" i="1"/>
  <c r="K1400" i="1"/>
  <c r="K1403" i="1"/>
  <c r="K1406" i="1"/>
  <c r="H1391" i="1"/>
  <c r="I1391" i="1" s="1"/>
  <c r="R1390" i="1" s="1"/>
  <c r="K1402" i="1"/>
  <c r="K1405" i="1"/>
  <c r="K1399" i="1"/>
  <c r="N1307" i="1"/>
  <c r="BE279" i="5"/>
  <c r="BH279" i="5" s="1"/>
  <c r="BF280" i="5"/>
  <c r="H1394" i="1" l="1"/>
  <c r="I1394" i="1" s="1"/>
  <c r="K1394" i="1" s="1"/>
  <c r="R1359" i="1"/>
  <c r="H1393" i="1"/>
  <c r="I1393" i="1" s="1"/>
  <c r="K1393" i="1" s="1"/>
  <c r="R1356" i="1"/>
  <c r="H1397" i="1"/>
  <c r="I1397" i="1" s="1"/>
  <c r="K1397" i="1" s="1"/>
  <c r="H1396" i="1"/>
  <c r="I1396" i="1" s="1"/>
  <c r="K1396" i="1" s="1"/>
  <c r="F77" i="6"/>
  <c r="G77" i="6" s="1"/>
  <c r="I1418" i="1"/>
  <c r="F1418" i="1" s="1"/>
  <c r="AF136" i="1"/>
  <c r="AG136" i="1" s="1"/>
  <c r="AH136" i="1" s="1"/>
  <c r="CR171" i="5"/>
  <c r="CR170" i="5"/>
  <c r="CR168" i="5"/>
  <c r="CR156" i="5"/>
  <c r="AI120" i="1" s="1"/>
  <c r="AK120" i="1" s="1"/>
  <c r="AL120" i="1" s="1"/>
  <c r="CR155" i="5"/>
  <c r="P1266" i="1"/>
  <c r="AI135" i="1"/>
  <c r="AK135" i="1" s="1"/>
  <c r="AL135" i="1" s="1"/>
  <c r="O1343" i="1"/>
  <c r="CR154" i="5"/>
  <c r="D69" i="6"/>
  <c r="CR169" i="5"/>
  <c r="U1342" i="1"/>
  <c r="AB1370" i="1"/>
  <c r="X1342" i="1"/>
  <c r="AB1368" i="1"/>
  <c r="AB1355" i="1"/>
  <c r="AB1356" i="1"/>
  <c r="X1344" i="1"/>
  <c r="AB1357" i="1"/>
  <c r="W1342" i="1"/>
  <c r="AB1369" i="1"/>
  <c r="Z1310" i="1"/>
  <c r="Z1306" i="1"/>
  <c r="U1343" i="1"/>
  <c r="V1343" i="1"/>
  <c r="X1343" i="1"/>
  <c r="U1314" i="1"/>
  <c r="Z1305" i="1"/>
  <c r="O1305" i="1" s="1"/>
  <c r="G1305" i="1" s="1"/>
  <c r="U1312" i="1"/>
  <c r="Z1309" i="1" s="1"/>
  <c r="U1313" i="1"/>
  <c r="W1313" i="1"/>
  <c r="W1315" i="1"/>
  <c r="W1312" i="1"/>
  <c r="Z1307" i="1"/>
  <c r="Z1311" i="1"/>
  <c r="AB1342" i="1"/>
  <c r="U1341" i="1"/>
  <c r="AB1345" i="1"/>
  <c r="AB1346" i="1"/>
  <c r="AB1361" i="1"/>
  <c r="AB1359" i="1"/>
  <c r="AB1351" i="1"/>
  <c r="AB1348" i="1"/>
  <c r="AB1343" i="1" s="1"/>
  <c r="AB1353" i="1"/>
  <c r="V1344" i="1"/>
  <c r="AB1364" i="1"/>
  <c r="W1344" i="1"/>
  <c r="V1341" i="1"/>
  <c r="AB1354" i="1"/>
  <c r="AB1363" i="1"/>
  <c r="W1341" i="1"/>
  <c r="AB1366" i="1"/>
  <c r="AB1347" i="1"/>
  <c r="AB1367" i="1"/>
  <c r="AB1350" i="1"/>
  <c r="AB1352" i="1"/>
  <c r="AB1362" i="1"/>
  <c r="AB1360" i="1"/>
  <c r="AB1349" i="1"/>
  <c r="AB1365" i="1"/>
  <c r="X1314" i="1"/>
  <c r="X1315" i="1"/>
  <c r="X1313" i="1"/>
  <c r="V1315" i="1"/>
  <c r="V1314" i="1"/>
  <c r="V1312" i="1"/>
  <c r="CS171" i="5"/>
  <c r="CS157" i="5"/>
  <c r="P1270" i="1"/>
  <c r="P1269" i="1"/>
  <c r="P1271" i="1"/>
  <c r="P1268" i="1"/>
  <c r="G1308" i="1"/>
  <c r="M72" i="6" s="1"/>
  <c r="J1308" i="1"/>
  <c r="N1343" i="1"/>
  <c r="K1391" i="1"/>
  <c r="M1381" i="1"/>
  <c r="O1381" i="1" s="1"/>
  <c r="M1379" i="1"/>
  <c r="M1380" i="1"/>
  <c r="O1380" i="1" s="1"/>
  <c r="N1344" i="1"/>
  <c r="H1428" i="1"/>
  <c r="I1428" i="1" s="1"/>
  <c r="R1427" i="1" s="1"/>
  <c r="K1442" i="1"/>
  <c r="K1440" i="1"/>
  <c r="K1436" i="1"/>
  <c r="K1443" i="1"/>
  <c r="K1439" i="1"/>
  <c r="K1437" i="1"/>
  <c r="G1307" i="1"/>
  <c r="M71" i="6" s="1"/>
  <c r="J1307" i="1"/>
  <c r="N1342" i="1"/>
  <c r="K1455" i="1"/>
  <c r="L1455" i="1" s="1"/>
  <c r="CV13" i="5"/>
  <c r="CS170" i="5"/>
  <c r="CS156" i="5"/>
  <c r="AI121" i="1" s="1"/>
  <c r="CS154" i="5"/>
  <c r="CS155" i="5"/>
  <c r="H69" i="6"/>
  <c r="CS168" i="5"/>
  <c r="CS169" i="5"/>
  <c r="G1306" i="1"/>
  <c r="M70" i="6" s="1"/>
  <c r="J1306" i="1"/>
  <c r="Q1305" i="1"/>
  <c r="R1305" i="1" s="1"/>
  <c r="Q1307" i="1"/>
  <c r="R1307" i="1" s="1"/>
  <c r="Q1306" i="1"/>
  <c r="R1306" i="1" s="1"/>
  <c r="BF281" i="5"/>
  <c r="BE280" i="5"/>
  <c r="BH280" i="5" s="1"/>
  <c r="H1431" i="1" l="1"/>
  <c r="I1431" i="1" s="1"/>
  <c r="K1431" i="1" s="1"/>
  <c r="R1393" i="1"/>
  <c r="R1396" i="1"/>
  <c r="H1434" i="1"/>
  <c r="I1434" i="1" s="1"/>
  <c r="K1434" i="1" s="1"/>
  <c r="H1433" i="1"/>
  <c r="I1433" i="1" s="1"/>
  <c r="K77" i="6"/>
  <c r="L77" i="6" s="1"/>
  <c r="H1430" i="1"/>
  <c r="I1430" i="1" s="1"/>
  <c r="I1455" i="1"/>
  <c r="F1455" i="1" s="1"/>
  <c r="AF137" i="1"/>
  <c r="AG137" i="1" s="1"/>
  <c r="AH137" i="1" s="1"/>
  <c r="P1303" i="1"/>
  <c r="AK121" i="1"/>
  <c r="AL121" i="1" s="1"/>
  <c r="AI136" i="1"/>
  <c r="AK136" i="1" s="1"/>
  <c r="AL136" i="1" s="1"/>
  <c r="J1305" i="1"/>
  <c r="AB1344" i="1"/>
  <c r="V1352" i="1"/>
  <c r="V1351" i="1"/>
  <c r="V1349" i="1"/>
  <c r="X1352" i="1"/>
  <c r="X1350" i="1"/>
  <c r="X1351" i="1"/>
  <c r="U1379" i="1"/>
  <c r="AB1405" i="1"/>
  <c r="AB1393" i="1"/>
  <c r="X1381" i="1"/>
  <c r="X1379" i="1"/>
  <c r="W1379" i="1"/>
  <c r="AB1407" i="1"/>
  <c r="AB1406" i="1"/>
  <c r="AB1394" i="1"/>
  <c r="AB1392" i="1"/>
  <c r="W1352" i="1"/>
  <c r="W1350" i="1"/>
  <c r="W1349" i="1"/>
  <c r="Z1344" i="1"/>
  <c r="Z1348" i="1"/>
  <c r="U1378" i="1"/>
  <c r="AB1379" i="1"/>
  <c r="AB1382" i="1"/>
  <c r="AB1383" i="1"/>
  <c r="AB1387" i="1"/>
  <c r="W1378" i="1"/>
  <c r="AB1389" i="1"/>
  <c r="AB1402" i="1"/>
  <c r="AB1390" i="1"/>
  <c r="AB1384" i="1"/>
  <c r="AB1388" i="1"/>
  <c r="AB1397" i="1"/>
  <c r="AB1400" i="1"/>
  <c r="AB1391" i="1"/>
  <c r="W1381" i="1"/>
  <c r="AB1386" i="1"/>
  <c r="V1378" i="1"/>
  <c r="AB1398" i="1"/>
  <c r="AB1399" i="1"/>
  <c r="AB1403" i="1"/>
  <c r="AB1401" i="1"/>
  <c r="V1381" i="1"/>
  <c r="AB1404" i="1"/>
  <c r="AB1396" i="1"/>
  <c r="AB1385" i="1"/>
  <c r="AB1380" i="1" s="1"/>
  <c r="Z1347" i="1"/>
  <c r="Z1343" i="1"/>
  <c r="U1380" i="1"/>
  <c r="AB1381" i="1"/>
  <c r="X1380" i="1"/>
  <c r="V1380" i="1"/>
  <c r="U1351" i="1"/>
  <c r="Z1342" i="1"/>
  <c r="O1342" i="1" s="1"/>
  <c r="G1342" i="1" s="1"/>
  <c r="U1350" i="1"/>
  <c r="U1349" i="1"/>
  <c r="Z1346" i="1" s="1"/>
  <c r="CT171" i="5"/>
  <c r="CT157" i="5"/>
  <c r="P1307" i="1"/>
  <c r="P1306" i="1"/>
  <c r="P1308" i="1"/>
  <c r="P1305" i="1"/>
  <c r="J1345" i="1"/>
  <c r="G1345" i="1"/>
  <c r="D78" i="6" s="1"/>
  <c r="Q1343" i="1"/>
  <c r="R1343" i="1" s="1"/>
  <c r="Q1342" i="1"/>
  <c r="R1342" i="1" s="1"/>
  <c r="Q1344" i="1"/>
  <c r="R1344" i="1" s="1"/>
  <c r="K1492" i="1"/>
  <c r="L1492" i="1" s="1"/>
  <c r="CW13" i="5"/>
  <c r="M1417" i="1"/>
  <c r="K1428" i="1"/>
  <c r="M1418" i="1"/>
  <c r="O1418" i="1" s="1"/>
  <c r="M1416" i="1"/>
  <c r="N1379" i="1"/>
  <c r="K1480" i="1"/>
  <c r="K1476" i="1"/>
  <c r="K1474" i="1"/>
  <c r="K1473" i="1"/>
  <c r="H1465" i="1"/>
  <c r="I1465" i="1" s="1"/>
  <c r="R1464" i="1" s="1"/>
  <c r="K1479" i="1"/>
  <c r="K1477" i="1"/>
  <c r="N1381" i="1"/>
  <c r="G1343" i="1"/>
  <c r="D76" i="6" s="1"/>
  <c r="J1343" i="1"/>
  <c r="G1344" i="1"/>
  <c r="D77" i="6" s="1"/>
  <c r="J1344" i="1"/>
  <c r="M69" i="6"/>
  <c r="CT155" i="5"/>
  <c r="CT156" i="5"/>
  <c r="AI122" i="1" s="1"/>
  <c r="CT169" i="5"/>
  <c r="CT154" i="5"/>
  <c r="CT170" i="5"/>
  <c r="CT168" i="5"/>
  <c r="N1380" i="1"/>
  <c r="BE281" i="5"/>
  <c r="BH281" i="5" s="1"/>
  <c r="R1430" i="1" l="1"/>
  <c r="H1467" i="1"/>
  <c r="I1467" i="1" s="1"/>
  <c r="K1467" i="1" s="1"/>
  <c r="R1433" i="1"/>
  <c r="K1430" i="1"/>
  <c r="K1433" i="1"/>
  <c r="H1471" i="1"/>
  <c r="I1471" i="1" s="1"/>
  <c r="K1471" i="1" s="1"/>
  <c r="I1492" i="1"/>
  <c r="F1492" i="1" s="1"/>
  <c r="H1470" i="1"/>
  <c r="I1470" i="1" s="1"/>
  <c r="B83" i="6"/>
  <c r="C83" i="6" s="1"/>
  <c r="H1468" i="1"/>
  <c r="I1468" i="1" s="1"/>
  <c r="K1468" i="1" s="1"/>
  <c r="AF138" i="1"/>
  <c r="AG138" i="1" s="1"/>
  <c r="AH138" i="1" s="1"/>
  <c r="J1342" i="1"/>
  <c r="P1340" i="1"/>
  <c r="AK122" i="1"/>
  <c r="AL122" i="1" s="1"/>
  <c r="AI137" i="1"/>
  <c r="AK137" i="1" s="1"/>
  <c r="AL137" i="1" s="1"/>
  <c r="O1417" i="1"/>
  <c r="W1387" i="1"/>
  <c r="W1389" i="1"/>
  <c r="W1386" i="1"/>
  <c r="X1389" i="1"/>
  <c r="X1387" i="1"/>
  <c r="X1388" i="1"/>
  <c r="Z1384" i="1"/>
  <c r="Z1380" i="1"/>
  <c r="Z1381" i="1"/>
  <c r="Z1385" i="1"/>
  <c r="V1389" i="1"/>
  <c r="V1386" i="1"/>
  <c r="V1388" i="1"/>
  <c r="U1388" i="1"/>
  <c r="Z1379" i="1"/>
  <c r="O1379" i="1" s="1"/>
  <c r="J1379" i="1" s="1"/>
  <c r="U1386" i="1"/>
  <c r="Z1383" i="1" s="1"/>
  <c r="U1387" i="1"/>
  <c r="U1416" i="1"/>
  <c r="W1416" i="1"/>
  <c r="AB1431" i="1"/>
  <c r="AB1429" i="1"/>
  <c r="AB1444" i="1"/>
  <c r="X1418" i="1"/>
  <c r="AB1443" i="1"/>
  <c r="AB1430" i="1"/>
  <c r="X1416" i="1"/>
  <c r="AB1442" i="1"/>
  <c r="U1415" i="1"/>
  <c r="AB1416" i="1"/>
  <c r="AB1419" i="1"/>
  <c r="V1418" i="1"/>
  <c r="V1415" i="1"/>
  <c r="AB1439" i="1"/>
  <c r="AB1437" i="1"/>
  <c r="AB1434" i="1"/>
  <c r="AB1435" i="1"/>
  <c r="AB1427" i="1"/>
  <c r="AB1441" i="1"/>
  <c r="AB1420" i="1"/>
  <c r="AB1421" i="1"/>
  <c r="AB1440" i="1"/>
  <c r="AB1425" i="1"/>
  <c r="W1415" i="1"/>
  <c r="AB1433" i="1"/>
  <c r="W1418" i="1"/>
  <c r="AB1436" i="1"/>
  <c r="AB1424" i="1"/>
  <c r="AB1422" i="1"/>
  <c r="AB1417" i="1" s="1"/>
  <c r="AB1428" i="1"/>
  <c r="AB1426" i="1"/>
  <c r="AB1438" i="1"/>
  <c r="AB1423" i="1"/>
  <c r="U1417" i="1"/>
  <c r="AB1418" i="1"/>
  <c r="X1417" i="1"/>
  <c r="V1417" i="1"/>
  <c r="CU171" i="5"/>
  <c r="CU157" i="5"/>
  <c r="P1343" i="1"/>
  <c r="P1345" i="1"/>
  <c r="P1342" i="1"/>
  <c r="P1344" i="1"/>
  <c r="J1382" i="1"/>
  <c r="G1382" i="1"/>
  <c r="H78" i="6" s="1"/>
  <c r="G1381" i="1"/>
  <c r="H77" i="6" s="1"/>
  <c r="J1381" i="1"/>
  <c r="CU170" i="5"/>
  <c r="N1418" i="1"/>
  <c r="CU169" i="5"/>
  <c r="G1380" i="1"/>
  <c r="H76" i="6" s="1"/>
  <c r="J1380" i="1"/>
  <c r="Q1380" i="1"/>
  <c r="R1380" i="1" s="1"/>
  <c r="Q1381" i="1"/>
  <c r="R1381" i="1" s="1"/>
  <c r="Q1379" i="1"/>
  <c r="R1379" i="1" s="1"/>
  <c r="K1529" i="1"/>
  <c r="L1529" i="1" s="1"/>
  <c r="CX13" i="5"/>
  <c r="CU168" i="5"/>
  <c r="D75" i="6"/>
  <c r="CU154" i="5"/>
  <c r="CU156" i="5"/>
  <c r="AI123" i="1" s="1"/>
  <c r="CU155" i="5"/>
  <c r="M1454" i="1"/>
  <c r="O1454" i="1" s="1"/>
  <c r="M1455" i="1"/>
  <c r="O1455" i="1" s="1"/>
  <c r="M1453" i="1"/>
  <c r="O1453" i="1" s="1"/>
  <c r="K1465" i="1"/>
  <c r="N1416" i="1"/>
  <c r="N1417" i="1"/>
  <c r="H1502" i="1"/>
  <c r="I1502" i="1" s="1"/>
  <c r="R1501" i="1" s="1"/>
  <c r="K1510" i="1"/>
  <c r="K1511" i="1"/>
  <c r="K1514" i="1"/>
  <c r="K1517" i="1"/>
  <c r="K1516" i="1"/>
  <c r="K1513" i="1"/>
  <c r="H1505" i="1" l="1"/>
  <c r="I1505" i="1" s="1"/>
  <c r="K1505" i="1" s="1"/>
  <c r="H1507" i="1"/>
  <c r="I1507" i="1" s="1"/>
  <c r="K1507" i="1" s="1"/>
  <c r="R1470" i="1"/>
  <c r="K1470" i="1"/>
  <c r="H1504" i="1"/>
  <c r="I1504" i="1" s="1"/>
  <c r="K1504" i="1" s="1"/>
  <c r="R1467" i="1"/>
  <c r="H1508" i="1"/>
  <c r="I1508" i="1" s="1"/>
  <c r="K1508" i="1" s="1"/>
  <c r="F83" i="6"/>
  <c r="G83" i="6" s="1"/>
  <c r="I1529" i="1"/>
  <c r="F1529" i="1" s="1"/>
  <c r="P1377" i="1"/>
  <c r="AK123" i="1"/>
  <c r="AL123" i="1" s="1"/>
  <c r="AI138" i="1"/>
  <c r="AK138" i="1" s="1"/>
  <c r="AL138" i="1" s="1"/>
  <c r="G1379" i="1"/>
  <c r="CV168" i="5" s="1"/>
  <c r="U1452" i="1"/>
  <c r="AB1453" i="1"/>
  <c r="AB1456" i="1"/>
  <c r="AB1462" i="1"/>
  <c r="AB1459" i="1"/>
  <c r="AB1470" i="1"/>
  <c r="AB1463" i="1"/>
  <c r="AB1476" i="1"/>
  <c r="AB1475" i="1"/>
  <c r="AB1461" i="1"/>
  <c r="V1455" i="1"/>
  <c r="AB1478" i="1"/>
  <c r="AB1458" i="1"/>
  <c r="AB1457" i="1"/>
  <c r="AB1464" i="1"/>
  <c r="V1452" i="1"/>
  <c r="AB1465" i="1"/>
  <c r="AB1474" i="1"/>
  <c r="AB1472" i="1"/>
  <c r="AB1477" i="1"/>
  <c r="AB1471" i="1"/>
  <c r="W1455" i="1"/>
  <c r="AB1460" i="1"/>
  <c r="AB1473" i="1"/>
  <c r="W1452" i="1"/>
  <c r="U1454" i="1"/>
  <c r="AB1455" i="1"/>
  <c r="V1454" i="1"/>
  <c r="X1454" i="1"/>
  <c r="AB1454" i="1"/>
  <c r="U1453" i="1"/>
  <c r="AB1468" i="1"/>
  <c r="X1453" i="1"/>
  <c r="AB1479" i="1"/>
  <c r="X1455" i="1"/>
  <c r="AB1467" i="1"/>
  <c r="AB1481" i="1"/>
  <c r="AB1480" i="1"/>
  <c r="AB1466" i="1"/>
  <c r="W1453" i="1"/>
  <c r="W1423" i="1"/>
  <c r="W1426" i="1"/>
  <c r="W1424" i="1"/>
  <c r="X1426" i="1"/>
  <c r="X1425" i="1"/>
  <c r="X1424" i="1"/>
  <c r="Z1418" i="1"/>
  <c r="Z1422" i="1"/>
  <c r="Z1417" i="1"/>
  <c r="Z1421" i="1"/>
  <c r="V1426" i="1"/>
  <c r="V1423" i="1"/>
  <c r="V1425" i="1"/>
  <c r="Z1416" i="1"/>
  <c r="O1416" i="1" s="1"/>
  <c r="J1416" i="1" s="1"/>
  <c r="U1425" i="1"/>
  <c r="U1423" i="1"/>
  <c r="Z1420" i="1" s="1"/>
  <c r="U1424" i="1"/>
  <c r="P1382" i="1"/>
  <c r="P1379" i="1"/>
  <c r="P1381" i="1"/>
  <c r="P1380" i="1"/>
  <c r="J1419" i="1"/>
  <c r="G1419" i="1"/>
  <c r="M78" i="6" s="1"/>
  <c r="K1551" i="1"/>
  <c r="K1553" i="1"/>
  <c r="K1547" i="1"/>
  <c r="K1548" i="1"/>
  <c r="K1550" i="1"/>
  <c r="H1539" i="1"/>
  <c r="I1539" i="1" s="1"/>
  <c r="R1538" i="1" s="1"/>
  <c r="K1554" i="1"/>
  <c r="Q1416" i="1"/>
  <c r="R1416" i="1" s="1"/>
  <c r="Q1417" i="1"/>
  <c r="R1417" i="1" s="1"/>
  <c r="Q1418" i="1"/>
  <c r="R1418" i="1" s="1"/>
  <c r="N1454" i="1"/>
  <c r="N1453" i="1"/>
  <c r="M1492" i="1"/>
  <c r="O1492" i="1" s="1"/>
  <c r="K1502" i="1"/>
  <c r="M1491" i="1"/>
  <c r="O1491" i="1" s="1"/>
  <c r="M1490" i="1"/>
  <c r="J1417" i="1"/>
  <c r="G1417" i="1"/>
  <c r="M76" i="6" s="1"/>
  <c r="N1455" i="1"/>
  <c r="K1566" i="1"/>
  <c r="L1566" i="1" s="1"/>
  <c r="CY13" i="5"/>
  <c r="CZ13" i="5" s="1"/>
  <c r="DA13" i="5" s="1"/>
  <c r="DB13" i="5" s="1"/>
  <c r="DC13" i="5" s="1"/>
  <c r="DD13" i="5" s="1"/>
  <c r="DE13" i="5" s="1"/>
  <c r="DF13" i="5" s="1"/>
  <c r="DG13" i="5" s="1"/>
  <c r="DH13" i="5" s="1"/>
  <c r="DI13" i="5" s="1"/>
  <c r="DJ13" i="5" s="1"/>
  <c r="DK13" i="5" s="1"/>
  <c r="DL13" i="5" s="1"/>
  <c r="DM13" i="5" s="1"/>
  <c r="DN13" i="5" s="1"/>
  <c r="DO13" i="5" s="1"/>
  <c r="DP13" i="5" s="1"/>
  <c r="DQ13" i="5" s="1"/>
  <c r="DR13" i="5" s="1"/>
  <c r="DS13" i="5" s="1"/>
  <c r="DT13" i="5" s="1"/>
  <c r="DU13" i="5" s="1"/>
  <c r="DV13" i="5" s="1"/>
  <c r="DW13" i="5" s="1"/>
  <c r="DX13" i="5" s="1"/>
  <c r="DY13" i="5" s="1"/>
  <c r="DZ13" i="5" s="1"/>
  <c r="EA13" i="5" s="1"/>
  <c r="EB13" i="5" s="1"/>
  <c r="EC13" i="5" s="1"/>
  <c r="ED13" i="5" s="1"/>
  <c r="EE13" i="5" s="1"/>
  <c r="EF13" i="5" s="1"/>
  <c r="EG13" i="5" s="1"/>
  <c r="EH13" i="5" s="1"/>
  <c r="EI13" i="5" s="1"/>
  <c r="EJ13" i="5" s="1"/>
  <c r="EK13" i="5" s="1"/>
  <c r="EL13" i="5" s="1"/>
  <c r="EM13" i="5" s="1"/>
  <c r="EN13" i="5" s="1"/>
  <c r="EO13" i="5" s="1"/>
  <c r="J1418" i="1"/>
  <c r="G1418" i="1"/>
  <c r="M77" i="6" s="1"/>
  <c r="H1542" i="1" l="1"/>
  <c r="I1542" i="1" s="1"/>
  <c r="K1542" i="1" s="1"/>
  <c r="H1544" i="1"/>
  <c r="I1544" i="1" s="1"/>
  <c r="K1544" i="1" s="1"/>
  <c r="R1504" i="1"/>
  <c r="R1507" i="1"/>
  <c r="H1541" i="1"/>
  <c r="I1541" i="1" s="1"/>
  <c r="K83" i="6"/>
  <c r="L83" i="6" s="1"/>
  <c r="H1545" i="1"/>
  <c r="I1545" i="1" s="1"/>
  <c r="K1545" i="1" s="1"/>
  <c r="I1566" i="1"/>
  <c r="F1566" i="1" s="1"/>
  <c r="H75" i="6"/>
  <c r="P1414" i="1"/>
  <c r="G1416" i="1"/>
  <c r="CW157" i="5" s="1"/>
  <c r="CV169" i="5"/>
  <c r="CV157" i="5"/>
  <c r="CV170" i="5"/>
  <c r="CV171" i="5"/>
  <c r="CV154" i="5"/>
  <c r="CV156" i="5"/>
  <c r="AI124" i="1" s="1"/>
  <c r="CV155" i="5"/>
  <c r="O1490" i="1"/>
  <c r="Z1454" i="1"/>
  <c r="Z1458" i="1"/>
  <c r="V1463" i="1"/>
  <c r="V1460" i="1"/>
  <c r="V1462" i="1"/>
  <c r="AB1492" i="1"/>
  <c r="U1491" i="1"/>
  <c r="V1491" i="1"/>
  <c r="X1491" i="1"/>
  <c r="AB1490" i="1"/>
  <c r="U1489" i="1"/>
  <c r="AB1493" i="1"/>
  <c r="W1489" i="1"/>
  <c r="AB1511" i="1"/>
  <c r="AB1508" i="1"/>
  <c r="AB1515" i="1"/>
  <c r="AB1513" i="1"/>
  <c r="AB1499" i="1"/>
  <c r="AB1500" i="1"/>
  <c r="AB1495" i="1"/>
  <c r="W1492" i="1"/>
  <c r="AB1501" i="1"/>
  <c r="AB1514" i="1"/>
  <c r="AB1502" i="1"/>
  <c r="AB1498" i="1"/>
  <c r="AB1509" i="1"/>
  <c r="AB1507" i="1"/>
  <c r="AB1512" i="1"/>
  <c r="AB1496" i="1"/>
  <c r="V1492" i="1"/>
  <c r="V1489" i="1"/>
  <c r="AB1497" i="1"/>
  <c r="AB1510" i="1"/>
  <c r="AB1494" i="1"/>
  <c r="X1463" i="1"/>
  <c r="X1461" i="1"/>
  <c r="X1462" i="1"/>
  <c r="Z1455" i="1"/>
  <c r="Z1459" i="1"/>
  <c r="AB1491" i="1"/>
  <c r="U1490" i="1"/>
  <c r="AB1504" i="1"/>
  <c r="AB1503" i="1"/>
  <c r="AB1516" i="1"/>
  <c r="AB1518" i="1"/>
  <c r="AB1505" i="1"/>
  <c r="AB1517" i="1"/>
  <c r="X1492" i="1"/>
  <c r="X1490" i="1"/>
  <c r="W1490" i="1"/>
  <c r="W1460" i="1"/>
  <c r="W1461" i="1"/>
  <c r="W1463" i="1"/>
  <c r="U1462" i="1"/>
  <c r="Z1453" i="1"/>
  <c r="U1461" i="1"/>
  <c r="U1460" i="1"/>
  <c r="Z1457" i="1" s="1"/>
  <c r="P1416" i="1"/>
  <c r="P1418" i="1"/>
  <c r="P1417" i="1"/>
  <c r="P1419" i="1"/>
  <c r="J1456" i="1"/>
  <c r="G1456" i="1"/>
  <c r="D84" i="6" s="1"/>
  <c r="K1591" i="1"/>
  <c r="H1576" i="1"/>
  <c r="I1576" i="1" s="1"/>
  <c r="R1575" i="1" s="1"/>
  <c r="K1584" i="1"/>
  <c r="K1588" i="1"/>
  <c r="K1587" i="1"/>
  <c r="K1590" i="1"/>
  <c r="K1585" i="1"/>
  <c r="N1490" i="1"/>
  <c r="G1455" i="1"/>
  <c r="D83" i="6" s="1"/>
  <c r="J1455" i="1"/>
  <c r="N1491" i="1"/>
  <c r="J1453" i="1"/>
  <c r="G1453" i="1"/>
  <c r="M1529" i="1"/>
  <c r="O1529" i="1" s="1"/>
  <c r="M1528" i="1"/>
  <c r="O1528" i="1" s="1"/>
  <c r="K1539" i="1"/>
  <c r="M1527" i="1"/>
  <c r="O1527" i="1" s="1"/>
  <c r="Q1453" i="1"/>
  <c r="R1453" i="1" s="1"/>
  <c r="Q1455" i="1"/>
  <c r="R1455" i="1" s="1"/>
  <c r="Q1454" i="1"/>
  <c r="R1454" i="1" s="1"/>
  <c r="N1492" i="1"/>
  <c r="J1454" i="1"/>
  <c r="G1454" i="1"/>
  <c r="D82" i="6" s="1"/>
  <c r="H1579" i="1" l="1"/>
  <c r="I1579" i="1" s="1"/>
  <c r="K1579" i="1" s="1"/>
  <c r="R1541" i="1"/>
  <c r="H1582" i="1"/>
  <c r="I1582" i="1" s="1"/>
  <c r="K1582" i="1" s="1"/>
  <c r="H1578" i="1"/>
  <c r="I1578" i="1" s="1"/>
  <c r="K1578" i="1" s="1"/>
  <c r="B89" i="6"/>
  <c r="C89" i="6" s="1"/>
  <c r="H1581" i="1"/>
  <c r="I1581" i="1" s="1"/>
  <c r="K1541" i="1"/>
  <c r="R1544" i="1"/>
  <c r="CW156" i="5"/>
  <c r="AI125" i="1" s="1"/>
  <c r="AK125" i="1" s="1"/>
  <c r="AL125" i="1" s="1"/>
  <c r="CW171" i="5"/>
  <c r="CW169" i="5"/>
  <c r="M75" i="6"/>
  <c r="CW155" i="5"/>
  <c r="CW170" i="5"/>
  <c r="CW168" i="5"/>
  <c r="CW154" i="5"/>
  <c r="P1451" i="1"/>
  <c r="AK124" i="1"/>
  <c r="AL124" i="1" s="1"/>
  <c r="AF139" i="1"/>
  <c r="U1528" i="1"/>
  <c r="AB1529" i="1"/>
  <c r="X1528" i="1"/>
  <c r="V1528" i="1"/>
  <c r="V1500" i="1"/>
  <c r="V1499" i="1"/>
  <c r="V1497" i="1"/>
  <c r="U1499" i="1"/>
  <c r="Z1490" i="1"/>
  <c r="U1497" i="1"/>
  <c r="Z1494" i="1" s="1"/>
  <c r="U1498" i="1"/>
  <c r="Z1492" i="1"/>
  <c r="Z1496" i="1"/>
  <c r="U1526" i="1"/>
  <c r="AB1527" i="1"/>
  <c r="AB1530" i="1"/>
  <c r="AB1548" i="1"/>
  <c r="AB1539" i="1"/>
  <c r="AB1551" i="1"/>
  <c r="AB1547" i="1"/>
  <c r="AB1533" i="1"/>
  <c r="AB1537" i="1"/>
  <c r="AB1546" i="1"/>
  <c r="W1529" i="1"/>
  <c r="AB1545" i="1"/>
  <c r="W1526" i="1"/>
  <c r="AB1544" i="1"/>
  <c r="AB1552" i="1"/>
  <c r="AB1536" i="1"/>
  <c r="AB1532" i="1"/>
  <c r="AB1534" i="1"/>
  <c r="V1529" i="1"/>
  <c r="AB1535" i="1"/>
  <c r="AB1550" i="1"/>
  <c r="AB1531" i="1"/>
  <c r="V1526" i="1"/>
  <c r="AB1549" i="1"/>
  <c r="AB1538" i="1"/>
  <c r="X1500" i="1"/>
  <c r="X1498" i="1"/>
  <c r="X1499" i="1"/>
  <c r="Z1495" i="1"/>
  <c r="Z1491" i="1"/>
  <c r="W1500" i="1"/>
  <c r="W1497" i="1"/>
  <c r="W1498" i="1"/>
  <c r="AB1528" i="1"/>
  <c r="U1527" i="1"/>
  <c r="W1527" i="1"/>
  <c r="AB1542" i="1"/>
  <c r="AB1540" i="1"/>
  <c r="X1527" i="1"/>
  <c r="AB1553" i="1"/>
  <c r="AB1554" i="1"/>
  <c r="AB1555" i="1"/>
  <c r="AB1541" i="1"/>
  <c r="X1529" i="1"/>
  <c r="CX171" i="5"/>
  <c r="CX157" i="5"/>
  <c r="P1456" i="1"/>
  <c r="P1453" i="1"/>
  <c r="P1455" i="1"/>
  <c r="P1454" i="1"/>
  <c r="G1493" i="1"/>
  <c r="H84" i="6" s="1"/>
  <c r="J1493" i="1"/>
  <c r="M1565" i="1"/>
  <c r="O1565" i="1" s="1"/>
  <c r="K1576" i="1"/>
  <c r="M1564" i="1"/>
  <c r="M1566" i="1"/>
  <c r="O1566" i="1" s="1"/>
  <c r="Q1490" i="1"/>
  <c r="R1490" i="1" s="1"/>
  <c r="Q1491" i="1"/>
  <c r="R1491" i="1" s="1"/>
  <c r="Q1492" i="1"/>
  <c r="R1492" i="1" s="1"/>
  <c r="N1528" i="1"/>
  <c r="D81" i="6"/>
  <c r="CX154" i="5"/>
  <c r="CX155" i="5"/>
  <c r="CX156" i="5"/>
  <c r="CX168" i="5"/>
  <c r="CX170" i="5"/>
  <c r="CX169" i="5"/>
  <c r="G1490" i="1"/>
  <c r="J1490" i="1"/>
  <c r="N1529" i="1"/>
  <c r="G1491" i="1"/>
  <c r="H82" i="6" s="1"/>
  <c r="J1491" i="1"/>
  <c r="N1527" i="1"/>
  <c r="G1492" i="1"/>
  <c r="H83" i="6" s="1"/>
  <c r="J1492" i="1"/>
  <c r="R1581" i="1" l="1"/>
  <c r="R1578" i="1"/>
  <c r="K1581" i="1"/>
  <c r="P1488" i="1"/>
  <c r="O1564" i="1"/>
  <c r="X1537" i="1"/>
  <c r="X1535" i="1"/>
  <c r="X1536" i="1"/>
  <c r="Z1532" i="1"/>
  <c r="Z1528" i="1"/>
  <c r="V1537" i="1"/>
  <c r="V1536" i="1"/>
  <c r="V1534" i="1"/>
  <c r="AB1565" i="1"/>
  <c r="U1564" i="1"/>
  <c r="AB1578" i="1"/>
  <c r="AB1579" i="1"/>
  <c r="X1566" i="1"/>
  <c r="AB1592" i="1"/>
  <c r="AB1577" i="1"/>
  <c r="W1564" i="1"/>
  <c r="AB1591" i="1"/>
  <c r="AB1590" i="1"/>
  <c r="X1564" i="1"/>
  <c r="U1565" i="1"/>
  <c r="AB1566" i="1"/>
  <c r="V1565" i="1"/>
  <c r="X1565" i="1"/>
  <c r="W1537" i="1"/>
  <c r="W1535" i="1"/>
  <c r="W1534" i="1"/>
  <c r="U1536" i="1"/>
  <c r="Z1527" i="1"/>
  <c r="U1534" i="1"/>
  <c r="Z1531" i="1" s="1"/>
  <c r="U1535" i="1"/>
  <c r="U1563" i="1"/>
  <c r="AB1564" i="1"/>
  <c r="AB1567" i="1"/>
  <c r="AB1568" i="1"/>
  <c r="AB1588" i="1"/>
  <c r="AB1571" i="1"/>
  <c r="W1563" i="1"/>
  <c r="AB1587" i="1"/>
  <c r="AB1573" i="1"/>
  <c r="AB1581" i="1"/>
  <c r="V1563" i="1"/>
  <c r="AB1586" i="1"/>
  <c r="AB1570" i="1"/>
  <c r="W1566" i="1"/>
  <c r="AB1574" i="1"/>
  <c r="AB1575" i="1"/>
  <c r="AB1584" i="1"/>
  <c r="AB1569" i="1"/>
  <c r="AB1583" i="1"/>
  <c r="AB1576" i="1"/>
  <c r="AB1585" i="1"/>
  <c r="AB1572" i="1"/>
  <c r="AB1582" i="1"/>
  <c r="AB1589" i="1"/>
  <c r="V1566" i="1"/>
  <c r="Z1529" i="1"/>
  <c r="Z1533" i="1"/>
  <c r="CZ171" i="5"/>
  <c r="CY171" i="5"/>
  <c r="CY157" i="5"/>
  <c r="P1493" i="1"/>
  <c r="P1490" i="1"/>
  <c r="P1492" i="1"/>
  <c r="P1491" i="1"/>
  <c r="G1530" i="1"/>
  <c r="M84" i="6" s="1"/>
  <c r="J1530" i="1"/>
  <c r="N1564" i="1"/>
  <c r="N1566" i="1"/>
  <c r="N1565" i="1"/>
  <c r="Q1527" i="1"/>
  <c r="R1527" i="1" s="1"/>
  <c r="Q1529" i="1"/>
  <c r="R1529" i="1" s="1"/>
  <c r="Q1528" i="1"/>
  <c r="R1528" i="1" s="1"/>
  <c r="J1529" i="1"/>
  <c r="G1529" i="1"/>
  <c r="M83" i="6" s="1"/>
  <c r="G1528" i="1"/>
  <c r="M82" i="6" s="1"/>
  <c r="J1528" i="1"/>
  <c r="J1527" i="1"/>
  <c r="G1527" i="1"/>
  <c r="H81" i="6"/>
  <c r="CY170" i="5"/>
  <c r="CY154" i="5"/>
  <c r="CY156" i="5"/>
  <c r="CY169" i="5"/>
  <c r="CY155" i="5"/>
  <c r="CY168" i="5"/>
  <c r="CZ170" i="5"/>
  <c r="CZ169" i="5"/>
  <c r="P1525" i="1" l="1"/>
  <c r="Z1566" i="1"/>
  <c r="Z1570" i="1"/>
  <c r="U1573" i="1"/>
  <c r="Z1564" i="1"/>
  <c r="U1572" i="1"/>
  <c r="U1571" i="1"/>
  <c r="Z1568" i="1" s="1"/>
  <c r="X1573" i="1"/>
  <c r="X1574" i="1"/>
  <c r="X1572" i="1"/>
  <c r="Z1569" i="1"/>
  <c r="Z1565" i="1"/>
  <c r="V1574" i="1"/>
  <c r="V1573" i="1"/>
  <c r="V1571" i="1"/>
  <c r="W1574" i="1"/>
  <c r="W1571" i="1"/>
  <c r="W1572" i="1"/>
  <c r="CZ157" i="5"/>
  <c r="P1528" i="1"/>
  <c r="P1530" i="1"/>
  <c r="P1527" i="1"/>
  <c r="P1529" i="1"/>
  <c r="J1567" i="1"/>
  <c r="G1567" i="1"/>
  <c r="C90" i="6" s="1"/>
  <c r="Q1564" i="1"/>
  <c r="R1564" i="1" s="1"/>
  <c r="G1565" i="1"/>
  <c r="J1565" i="1"/>
  <c r="G1566" i="1"/>
  <c r="J1566" i="1"/>
  <c r="J1564" i="1"/>
  <c r="G1564" i="1"/>
  <c r="M81" i="6"/>
  <c r="CZ154" i="5"/>
  <c r="CZ168" i="5"/>
  <c r="CZ155" i="5"/>
  <c r="CZ156" i="5"/>
  <c r="P1562" i="1" l="1"/>
  <c r="Q1565" i="1"/>
  <c r="R1565" i="1" s="1"/>
  <c r="DA168" i="5" s="1"/>
  <c r="DA157" i="5"/>
  <c r="P1566" i="1"/>
  <c r="P1565" i="1"/>
  <c r="P1567" i="1"/>
  <c r="P1564" i="1"/>
  <c r="Q1566" i="1"/>
  <c r="R1566" i="1" s="1"/>
  <c r="DA170" i="5" s="1"/>
  <c r="DA154" i="5"/>
  <c r="DA155" i="5"/>
  <c r="DA169" i="5"/>
  <c r="DA156" i="5"/>
  <c r="DA171" i="5"/>
  <c r="J49" i="1" l="1"/>
  <c r="G49" i="1" l="1"/>
  <c r="BL171" i="5" l="1"/>
  <c r="BL157" i="5"/>
  <c r="BL156" i="5"/>
  <c r="H6" i="6"/>
  <c r="BL155" i="5"/>
  <c r="BL154" i="5"/>
  <c r="AI87" i="1" l="1"/>
  <c r="AK87" i="1" s="1"/>
  <c r="AL87" i="1" s="1"/>
  <c r="I308" i="1"/>
  <c r="F308" i="1" s="1"/>
  <c r="K317" i="1" l="1"/>
  <c r="K319" i="1"/>
  <c r="K322" i="1"/>
  <c r="H325" i="1"/>
  <c r="I325" i="1" s="1"/>
  <c r="H331" i="1"/>
  <c r="I331" i="1" s="1"/>
  <c r="H326" i="1"/>
  <c r="I326" i="1" s="1"/>
  <c r="K326" i="1" s="1"/>
  <c r="K18" i="6"/>
  <c r="H328" i="1"/>
  <c r="I328" i="1" s="1"/>
  <c r="H332" i="1"/>
  <c r="I332" i="1" s="1"/>
  <c r="K332" i="1" s="1"/>
  <c r="H323" i="1"/>
  <c r="I323" i="1" s="1"/>
  <c r="R322" i="1" s="1"/>
  <c r="R323" i="1" s="1"/>
  <c r="H320" i="1"/>
  <c r="I320" i="1" s="1"/>
  <c r="R319" i="1" s="1"/>
  <c r="R320" i="1" s="1"/>
  <c r="H329" i="1"/>
  <c r="I329" i="1" s="1"/>
  <c r="K329" i="1" s="1"/>
  <c r="S322" i="1" l="1"/>
  <c r="S323" i="1"/>
  <c r="S320" i="1"/>
  <c r="S319" i="1"/>
  <c r="R331" i="1"/>
  <c r="R325" i="1"/>
  <c r="R328" i="1"/>
  <c r="M308" i="1"/>
  <c r="K320" i="1"/>
  <c r="M307" i="1"/>
  <c r="M306" i="1"/>
  <c r="M305" i="1"/>
  <c r="K328" i="1"/>
  <c r="K331" i="1"/>
  <c r="K325" i="1"/>
  <c r="K323" i="1"/>
  <c r="O306" i="1" l="1"/>
  <c r="J306" i="1" s="1"/>
  <c r="O307" i="1"/>
  <c r="O308" i="1"/>
  <c r="U306" i="1"/>
  <c r="V306" i="1"/>
  <c r="X306" i="1"/>
  <c r="U305" i="1"/>
  <c r="AB318" i="1"/>
  <c r="X305" i="1"/>
  <c r="AB331" i="1"/>
  <c r="AB332" i="1"/>
  <c r="AB320" i="1"/>
  <c r="AB333" i="1"/>
  <c r="AB319" i="1"/>
  <c r="W305" i="1"/>
  <c r="U304" i="1"/>
  <c r="AB305" i="1"/>
  <c r="AB310" i="1"/>
  <c r="AB327" i="1"/>
  <c r="AB326" i="1"/>
  <c r="AB316" i="1"/>
  <c r="AB324" i="1"/>
  <c r="AB323" i="1"/>
  <c r="AB322" i="1"/>
  <c r="AB315" i="1"/>
  <c r="AB317" i="1"/>
  <c r="AB330" i="1"/>
  <c r="AB309" i="1"/>
  <c r="AB328" i="1"/>
  <c r="AB311" i="1"/>
  <c r="AB306" i="1" s="1"/>
  <c r="W304" i="1"/>
  <c r="AB329" i="1"/>
  <c r="AB325" i="1"/>
  <c r="AB313" i="1"/>
  <c r="V304" i="1"/>
  <c r="AB314" i="1"/>
  <c r="AB312" i="1"/>
  <c r="AB308" i="1"/>
  <c r="X307" i="1"/>
  <c r="V307" i="1"/>
  <c r="W307" i="1"/>
  <c r="N308" i="1"/>
  <c r="N305" i="1"/>
  <c r="N306" i="1"/>
  <c r="N307" i="1"/>
  <c r="AB307" i="1" l="1"/>
  <c r="X315" i="1"/>
  <c r="X314" i="1"/>
  <c r="X313" i="1"/>
  <c r="U313" i="1"/>
  <c r="U314" i="1"/>
  <c r="Z305" i="1"/>
  <c r="O305" i="1" s="1"/>
  <c r="U312" i="1"/>
  <c r="Z309" i="1" s="1"/>
  <c r="V315" i="1"/>
  <c r="V314" i="1"/>
  <c r="V312" i="1"/>
  <c r="W312" i="1"/>
  <c r="W315" i="1"/>
  <c r="W313" i="1"/>
  <c r="Z310" i="1"/>
  <c r="Z306" i="1"/>
  <c r="Z307" i="1"/>
  <c r="Z311" i="1"/>
  <c r="Q308" i="1"/>
  <c r="R308" i="1" s="1"/>
  <c r="G306" i="1"/>
  <c r="M16" i="6" s="1"/>
  <c r="P303" i="1" l="1"/>
  <c r="P307" i="1"/>
  <c r="P308" i="1"/>
  <c r="P305" i="1"/>
  <c r="P306" i="1"/>
  <c r="G307" i="1"/>
  <c r="M17" i="6" s="1"/>
  <c r="J308" i="1"/>
  <c r="G308" i="1"/>
  <c r="M18" i="6" s="1"/>
  <c r="J305" i="1"/>
  <c r="J307" i="1" l="1"/>
  <c r="G305" i="1"/>
  <c r="G123" i="1"/>
  <c r="BN171" i="5" l="1"/>
  <c r="BN157" i="5"/>
  <c r="BS157" i="5"/>
  <c r="BS171" i="5"/>
  <c r="BS156" i="5"/>
  <c r="AI65" i="1" s="1"/>
  <c r="BS154" i="5"/>
  <c r="BS155" i="5"/>
  <c r="M15" i="6"/>
  <c r="BN154" i="5"/>
  <c r="BN156" i="5"/>
  <c r="AI60" i="1" s="1"/>
  <c r="D12" i="6"/>
  <c r="BN155" i="5"/>
  <c r="J123" i="1"/>
  <c r="AK65" i="1" l="1"/>
  <c r="AL65" i="1" s="1"/>
  <c r="AI66" i="1"/>
  <c r="AK66" i="1" s="1"/>
  <c r="AL66" i="1" s="1"/>
  <c r="AI67" i="1"/>
  <c r="AK67" i="1" s="1"/>
  <c r="AL67" i="1" s="1"/>
  <c r="AI63" i="1"/>
  <c r="AI62" i="1"/>
  <c r="AI37" i="1"/>
  <c r="AI53" i="1"/>
  <c r="AI33" i="1"/>
  <c r="AI95" i="1"/>
  <c r="AK95" i="1" s="1"/>
  <c r="AL95" i="1" s="1"/>
  <c r="AI85" i="1"/>
  <c r="AK85" i="1" s="1"/>
  <c r="AL85" i="1" s="1"/>
  <c r="AI90" i="1"/>
  <c r="AK90" i="1" s="1"/>
  <c r="AL90" i="1" s="1"/>
  <c r="AI80" i="1"/>
  <c r="AK80" i="1" s="1"/>
  <c r="AL80" i="1" s="1"/>
  <c r="AI61" i="1"/>
  <c r="I752" i="1"/>
  <c r="F752" i="1" s="1"/>
  <c r="H768" i="1" l="1"/>
  <c r="I768" i="1" s="1"/>
  <c r="K768" i="1" s="1"/>
  <c r="H762" i="1"/>
  <c r="I762" i="1" s="1"/>
  <c r="R761" i="1" s="1"/>
  <c r="K773" i="1"/>
  <c r="K777" i="1"/>
  <c r="K770" i="1"/>
  <c r="I776" i="1"/>
  <c r="R776" i="1" s="1"/>
  <c r="I771" i="1"/>
  <c r="R770" i="1" s="1"/>
  <c r="K41" i="6"/>
  <c r="L41" i="6" s="1"/>
  <c r="H765" i="1"/>
  <c r="I765" i="1" s="1"/>
  <c r="K765" i="1" s="1"/>
  <c r="H767" i="1"/>
  <c r="I767" i="1" s="1"/>
  <c r="H764" i="1"/>
  <c r="I764" i="1" s="1"/>
  <c r="K774" i="1"/>
  <c r="R764" i="1" l="1"/>
  <c r="R767" i="1"/>
  <c r="K771" i="1"/>
  <c r="K762" i="1"/>
  <c r="M753" i="1"/>
  <c r="K776" i="1"/>
  <c r="M751" i="1"/>
  <c r="K767" i="1"/>
  <c r="M752" i="1"/>
  <c r="K764" i="1"/>
  <c r="M750" i="1"/>
  <c r="AB750" i="1" l="1"/>
  <c r="U749" i="1"/>
  <c r="AB775" i="1"/>
  <c r="AB773" i="1"/>
  <c r="AB771" i="1"/>
  <c r="AB769" i="1"/>
  <c r="W749" i="1"/>
  <c r="AB768" i="1"/>
  <c r="AB756" i="1"/>
  <c r="AB751" i="1" s="1"/>
  <c r="O751" i="1" s="1"/>
  <c r="AB757" i="1"/>
  <c r="AB770" i="1"/>
  <c r="AB754" i="1"/>
  <c r="AB767" i="1"/>
  <c r="AB762" i="1"/>
  <c r="AB761" i="1"/>
  <c r="V749" i="1"/>
  <c r="AB774" i="1"/>
  <c r="AB755" i="1"/>
  <c r="AB772" i="1"/>
  <c r="AB759" i="1"/>
  <c r="AB758" i="1"/>
  <c r="AB760" i="1"/>
  <c r="U750" i="1"/>
  <c r="AB763" i="1"/>
  <c r="AB778" i="1"/>
  <c r="AB764" i="1"/>
  <c r="AB765" i="1"/>
  <c r="X750" i="1"/>
  <c r="AB777" i="1"/>
  <c r="W750" i="1"/>
  <c r="AB776" i="1"/>
  <c r="U751" i="1"/>
  <c r="V751" i="1"/>
  <c r="X751" i="1"/>
  <c r="AB753" i="1"/>
  <c r="O753" i="1" s="1"/>
  <c r="V752" i="1"/>
  <c r="W752" i="1"/>
  <c r="X752" i="1"/>
  <c r="N753" i="1"/>
  <c r="N752" i="1"/>
  <c r="N751" i="1"/>
  <c r="N750" i="1"/>
  <c r="AB752" i="1" l="1"/>
  <c r="O752" i="1" s="1"/>
  <c r="G752" i="1" s="1"/>
  <c r="M41" i="6" s="1"/>
  <c r="Z755" i="1"/>
  <c r="Z751" i="1"/>
  <c r="V760" i="1"/>
  <c r="V759" i="1"/>
  <c r="V757" i="1"/>
  <c r="W758" i="1"/>
  <c r="W757" i="1"/>
  <c r="W760" i="1"/>
  <c r="Z752" i="1"/>
  <c r="Z756" i="1"/>
  <c r="U759" i="1"/>
  <c r="Z750" i="1"/>
  <c r="O750" i="1" s="1"/>
  <c r="U757" i="1"/>
  <c r="Z754" i="1" s="1"/>
  <c r="U758" i="1"/>
  <c r="X760" i="1"/>
  <c r="X758" i="1"/>
  <c r="X759" i="1"/>
  <c r="Q752" i="1"/>
  <c r="R752" i="1" s="1"/>
  <c r="J753" i="1"/>
  <c r="G753" i="1"/>
  <c r="M42" i="6" s="1"/>
  <c r="Q751" i="1"/>
  <c r="R751" i="1" s="1"/>
  <c r="Q753" i="1"/>
  <c r="R753" i="1" s="1"/>
  <c r="Q750" i="1"/>
  <c r="R750" i="1" s="1"/>
  <c r="J752" i="1" l="1"/>
  <c r="P748" i="1"/>
  <c r="P753" i="1"/>
  <c r="P752" i="1"/>
  <c r="P751" i="1"/>
  <c r="P750" i="1"/>
  <c r="G751" i="1"/>
  <c r="M40" i="6" s="1"/>
  <c r="G750" i="1"/>
  <c r="CE171" i="5" l="1"/>
  <c r="CE157" i="5"/>
  <c r="CE170" i="5"/>
  <c r="J750" i="1"/>
  <c r="J751" i="1"/>
  <c r="CE154" i="5"/>
  <c r="CE168" i="5"/>
  <c r="CE155" i="5"/>
  <c r="AI68" i="1" s="1"/>
  <c r="CE156" i="5"/>
  <c r="M39" i="6"/>
  <c r="CE169" i="5"/>
  <c r="AI79" i="1" l="1"/>
  <c r="AK79" i="1" s="1"/>
  <c r="AL79" i="1" s="1"/>
  <c r="AI77" i="1"/>
  <c r="AK77" i="1" s="1"/>
  <c r="AL77" i="1" s="1"/>
  <c r="AI74" i="1"/>
  <c r="AK74" i="1" s="1"/>
  <c r="AL74" i="1" s="1"/>
  <c r="AI78" i="1"/>
  <c r="AK78" i="1" s="1"/>
  <c r="AL78" i="1" s="1"/>
  <c r="AI107" i="1"/>
  <c r="AK107" i="1" s="1"/>
  <c r="AL107" i="1" s="1"/>
  <c r="AI75" i="1"/>
  <c r="AK75" i="1" s="1"/>
  <c r="AL75" i="1" s="1"/>
  <c r="AK68" i="1"/>
  <c r="AL68" i="1" s="1"/>
  <c r="AI73" i="1"/>
  <c r="AK73" i="1" s="1"/>
  <c r="AL73" i="1" s="1"/>
  <c r="AI71" i="1"/>
  <c r="AK71" i="1" s="1"/>
  <c r="AL71" i="1" s="1"/>
  <c r="J11" i="1"/>
  <c r="GM5" i="5"/>
  <c r="G11" i="1"/>
  <c r="D5" i="6" l="1"/>
  <c r="GM4" i="5" l="1"/>
  <c r="G10" i="1"/>
  <c r="D4" i="6" s="1"/>
  <c r="J10" i="1"/>
  <c r="G9" i="1"/>
  <c r="GM3" i="5"/>
  <c r="J9" i="1"/>
  <c r="BK156" i="5" l="1"/>
  <c r="AI47" i="1" s="1"/>
  <c r="BK157" i="5"/>
  <c r="BK171" i="5"/>
  <c r="D3" i="6"/>
  <c r="BK155" i="5"/>
  <c r="AI46" i="1" s="1"/>
  <c r="BK154" i="5"/>
  <c r="AI11" i="1" s="1"/>
  <c r="AI59" i="1" l="1"/>
  <c r="AI57" i="1"/>
  <c r="AI56" i="1"/>
  <c r="AI58" i="1"/>
  <c r="AI55" i="1"/>
  <c r="AI17" i="1"/>
  <c r="AI48" i="1"/>
  <c r="AI50" i="1"/>
  <c r="AI49" i="1"/>
  <c r="AI51" i="1"/>
  <c r="AI43" i="1"/>
  <c r="AI45" i="1"/>
  <c r="AI42" i="1"/>
  <c r="AI44" i="1"/>
  <c r="AI35" i="1"/>
  <c r="AI41" i="1"/>
  <c r="AI34" i="1"/>
  <c r="AI40" i="1"/>
  <c r="AI27" i="1"/>
  <c r="AI29" i="1"/>
  <c r="AI26" i="1"/>
  <c r="AI28" i="1"/>
  <c r="AI31" i="1"/>
  <c r="AI25" i="1"/>
  <c r="AI36" i="1"/>
  <c r="AI38" i="1"/>
  <c r="AI23" i="1"/>
  <c r="AI39" i="1"/>
  <c r="AI24" i="1"/>
  <c r="AI30" i="1"/>
  <c r="AI15" i="1"/>
  <c r="AI21" i="1"/>
  <c r="AI22" i="1"/>
  <c r="AI18" i="1"/>
  <c r="AI13" i="1"/>
  <c r="AI19" i="1"/>
  <c r="AI88" i="1"/>
  <c r="AK88" i="1" s="1"/>
  <c r="AL88" i="1" s="1"/>
  <c r="AI14" i="1"/>
  <c r="AI16" i="1"/>
  <c r="AI12" i="1"/>
  <c r="AI32" i="1"/>
  <c r="AI20" i="1"/>
  <c r="AI54" i="1"/>
  <c r="AI52" i="1"/>
  <c r="AI10" i="1" l="1"/>
  <c r="R32" i="1" l="1"/>
  <c r="R33" i="1" s="1"/>
  <c r="S33" i="1" l="1"/>
  <c r="S32" i="1"/>
  <c r="AO48" i="20" l="1"/>
  <c r="AO49" i="20" s="1"/>
  <c r="AP49" i="20" s="1"/>
  <c r="AW181" i="20"/>
  <c r="AS169" i="20" s="1"/>
  <c r="AS168" i="20" s="1"/>
  <c r="AT168" i="20" s="1"/>
  <c r="BA139" i="20"/>
  <c r="BA102" i="20"/>
  <c r="BA78" i="20"/>
  <c r="BA67" i="20"/>
  <c r="BA43" i="20"/>
  <c r="AO145" i="20" l="1"/>
  <c r="AK96" i="20" l="1"/>
  <c r="AK97" i="20" s="1"/>
  <c r="AO144" i="20"/>
  <c r="AP144" i="20" s="1"/>
  <c r="BA138" i="20"/>
  <c r="BB138" i="20" s="1"/>
  <c r="AO96" i="20" l="1"/>
  <c r="AI98" i="20" l="1"/>
  <c r="R35" i="1" l="1"/>
  <c r="R36" i="1" s="1"/>
  <c r="R94" i="1" l="1"/>
  <c r="R20" i="1"/>
  <c r="R97" i="1"/>
  <c r="R98" i="1" s="1"/>
  <c r="S98" i="1" s="1"/>
  <c r="R100" i="1"/>
  <c r="R101" i="1" s="1"/>
  <c r="S36" i="1"/>
  <c r="S35" i="1"/>
  <c r="R29" i="1"/>
  <c r="R30" i="1" s="1"/>
  <c r="R21" i="1" l="1"/>
  <c r="S20" i="1" s="1"/>
  <c r="R95" i="1"/>
  <c r="S95" i="1" s="1"/>
  <c r="R26" i="1"/>
  <c r="R27" i="1" s="1"/>
  <c r="S26" i="1" s="1"/>
  <c r="R23" i="1"/>
  <c r="R24" i="1" s="1"/>
  <c r="S97" i="1"/>
  <c r="S29" i="1"/>
  <c r="S30" i="1"/>
  <c r="S101" i="1"/>
  <c r="S100" i="1"/>
  <c r="Q453" i="1" l="1"/>
  <c r="R453" i="1" s="1"/>
  <c r="Q564" i="1"/>
  <c r="R564" i="1" s="1"/>
  <c r="S24" i="1"/>
  <c r="S23" i="1"/>
  <c r="S21" i="1"/>
  <c r="S94" i="1"/>
  <c r="Q83" i="1" s="1"/>
  <c r="R83" i="1" s="1"/>
  <c r="Q158" i="1"/>
  <c r="R158" i="1" s="1"/>
  <c r="Q379" i="1"/>
  <c r="R379" i="1" s="1"/>
  <c r="S27" i="1"/>
  <c r="Q602" i="1" l="1"/>
  <c r="R602" i="1" s="1"/>
  <c r="Q195" i="1"/>
  <c r="R195" i="1" s="1"/>
  <c r="Q641" i="1"/>
  <c r="R641" i="1" s="1"/>
  <c r="Q269" i="1"/>
  <c r="R269" i="1" s="1"/>
  <c r="Q455" i="1"/>
  <c r="R455" i="1" s="1"/>
  <c r="Q11" i="1"/>
  <c r="R11" i="1" s="1"/>
  <c r="Q565" i="1"/>
  <c r="R565" i="1" s="1"/>
  <c r="Q454" i="1"/>
  <c r="R454" i="1" s="1"/>
  <c r="Q566" i="1"/>
  <c r="R566" i="1" s="1"/>
  <c r="Q640" i="1"/>
  <c r="R640" i="1" s="1"/>
  <c r="Q528" i="1"/>
  <c r="R528" i="1" s="1"/>
  <c r="Q85" i="1"/>
  <c r="R85" i="1" s="1"/>
  <c r="Q84" i="1"/>
  <c r="R84" i="1" s="1"/>
  <c r="BM168" i="5" s="1"/>
  <c r="Q159" i="1"/>
  <c r="R159" i="1" s="1"/>
  <c r="Q157" i="1"/>
  <c r="R157" i="1" s="1"/>
  <c r="Q268" i="1"/>
  <c r="R268" i="1" s="1"/>
  <c r="Q270" i="1"/>
  <c r="R270" i="1" s="1"/>
  <c r="Q380" i="1"/>
  <c r="R380" i="1" s="1"/>
  <c r="Q381" i="1"/>
  <c r="R381" i="1" s="1"/>
  <c r="Q305" i="1"/>
  <c r="R305" i="1" s="1"/>
  <c r="Q306" i="1"/>
  <c r="R306" i="1" s="1"/>
  <c r="Q307" i="1"/>
  <c r="R307" i="1" s="1"/>
  <c r="Q9" i="1"/>
  <c r="R9" i="1" s="1"/>
  <c r="Q10" i="1"/>
  <c r="R10" i="1" s="1"/>
  <c r="Q233" i="1"/>
  <c r="R233" i="1" s="1"/>
  <c r="Q231" i="1"/>
  <c r="R231" i="1" s="1"/>
  <c r="Q232" i="1"/>
  <c r="R232" i="1" s="1"/>
  <c r="Q194" i="1"/>
  <c r="R194" i="1" s="1"/>
  <c r="BP168" i="5" s="1"/>
  <c r="Q196" i="1"/>
  <c r="R196" i="1" s="1"/>
  <c r="Q527" i="1"/>
  <c r="R527" i="1" s="1"/>
  <c r="Q529" i="1"/>
  <c r="R529" i="1" s="1"/>
  <c r="BM169" i="5" l="1"/>
  <c r="BW170" i="5"/>
  <c r="BR168" i="5"/>
  <c r="BZ170" i="5"/>
  <c r="BS168" i="5"/>
  <c r="AK19" i="1" s="1"/>
  <c r="AL19" i="1" s="1"/>
  <c r="BW168" i="5"/>
  <c r="BY168" i="5"/>
  <c r="AK25" i="1" s="1"/>
  <c r="AL25" i="1" s="1"/>
  <c r="BY170" i="5"/>
  <c r="AK59" i="1" s="1"/>
  <c r="AL59" i="1" s="1"/>
  <c r="BY169" i="5"/>
  <c r="BZ168" i="5"/>
  <c r="AK26" i="1" s="1"/>
  <c r="AL26" i="1" s="1"/>
  <c r="BZ169" i="5"/>
  <c r="BQ170" i="5"/>
  <c r="BO170" i="5"/>
  <c r="BM170" i="5"/>
  <c r="BK168" i="5"/>
  <c r="AK11" i="1" s="1"/>
  <c r="AL11" i="1" s="1"/>
  <c r="BW169" i="5"/>
  <c r="AK34" i="1" s="1"/>
  <c r="AL34" i="1" s="1"/>
  <c r="Q603" i="1"/>
  <c r="R603" i="1" s="1"/>
  <c r="CA168" i="5" s="1"/>
  <c r="AK27" i="1" s="1"/>
  <c r="AL27" i="1" s="1"/>
  <c r="Q604" i="1"/>
  <c r="R604" i="1" s="1"/>
  <c r="CA170" i="5" s="1"/>
  <c r="AK63" i="1" s="1"/>
  <c r="AL63" i="1" s="1"/>
  <c r="Q639" i="1"/>
  <c r="R639" i="1" s="1"/>
  <c r="Q342" i="1"/>
  <c r="R342" i="1" s="1"/>
  <c r="BO169" i="5"/>
  <c r="BO168" i="5"/>
  <c r="BR170" i="5"/>
  <c r="BR169" i="5"/>
  <c r="AK39" i="1" s="1"/>
  <c r="AL39" i="1" s="1"/>
  <c r="BU170" i="5"/>
  <c r="BU168" i="5"/>
  <c r="AK21" i="1" s="1"/>
  <c r="AL21" i="1" s="1"/>
  <c r="BU169" i="5"/>
  <c r="BS170" i="5"/>
  <c r="BS169" i="5"/>
  <c r="BK170" i="5"/>
  <c r="BK169" i="5"/>
  <c r="BQ169" i="5"/>
  <c r="AK40" i="1" s="1"/>
  <c r="AL40" i="1" s="1"/>
  <c r="BQ168" i="5"/>
  <c r="BP170" i="5"/>
  <c r="BP169" i="5"/>
  <c r="Q343" i="1"/>
  <c r="R343" i="1" s="1"/>
  <c r="Q344" i="1"/>
  <c r="R344" i="1" s="1"/>
  <c r="AK42" i="1" l="1"/>
  <c r="AL42" i="1" s="1"/>
  <c r="AK38" i="1"/>
  <c r="AL38" i="1" s="1"/>
  <c r="AK36" i="1"/>
  <c r="AL36" i="1" s="1"/>
  <c r="AK32" i="1"/>
  <c r="AL32" i="1" s="1"/>
  <c r="AK44" i="1"/>
  <c r="AL44" i="1" s="1"/>
  <c r="AK57" i="1"/>
  <c r="AL57" i="1" s="1"/>
  <c r="BT168" i="5"/>
  <c r="AK20" i="1" s="1"/>
  <c r="AL20" i="1" s="1"/>
  <c r="AK55" i="1"/>
  <c r="AL55" i="1" s="1"/>
  <c r="AK49" i="1"/>
  <c r="AL49" i="1" s="1"/>
  <c r="AK52" i="1"/>
  <c r="AL52" i="1" s="1"/>
  <c r="AK47" i="1"/>
  <c r="AL47" i="1" s="1"/>
  <c r="AK53" i="1"/>
  <c r="AL53" i="1" s="1"/>
  <c r="CA169" i="5"/>
  <c r="AK30" i="1" s="1"/>
  <c r="AL30" i="1" s="1"/>
  <c r="AK61" i="1"/>
  <c r="AL61" i="1" s="1"/>
  <c r="AK51" i="1"/>
  <c r="AL51" i="1" s="1"/>
  <c r="CB169" i="5"/>
  <c r="AK29" i="1" s="1"/>
  <c r="AL29" i="1" s="1"/>
  <c r="CB168" i="5"/>
  <c r="CB170" i="5"/>
  <c r="AK15" i="1"/>
  <c r="AL15" i="1" s="1"/>
  <c r="AK18" i="1"/>
  <c r="AL18" i="1" s="1"/>
  <c r="AK16" i="1"/>
  <c r="AL16" i="1" s="1"/>
  <c r="BT170" i="5"/>
  <c r="BT169" i="5"/>
  <c r="AK37" i="1" s="1"/>
  <c r="AL37" i="1" s="1"/>
  <c r="AK28" i="1" l="1"/>
  <c r="AL28" i="1" s="1"/>
  <c r="AK54" i="1"/>
  <c r="AL54" i="1" s="1"/>
  <c r="AK64" i="1"/>
  <c r="AL64" i="1" s="1"/>
  <c r="AK62" i="1"/>
  <c r="AL62" i="1" s="1"/>
  <c r="AW180" i="20"/>
  <c r="AX180" i="20" s="1"/>
  <c r="AS24" i="20"/>
  <c r="AW12" i="20"/>
  <c r="BA6" i="20"/>
  <c r="BA7" i="20" s="1"/>
  <c r="BB7" i="20" s="1"/>
  <c r="BA54" i="20"/>
  <c r="BA55" i="20" s="1"/>
  <c r="BB55" i="20" s="1"/>
  <c r="BA174" i="20"/>
  <c r="BA175" i="20" s="1"/>
  <c r="BB175" i="20" s="1"/>
  <c r="AW108" i="20"/>
  <c r="AW109" i="20" s="1"/>
  <c r="AX109" i="20" s="1"/>
  <c r="BA42" i="20"/>
  <c r="BB42" i="20" s="1"/>
  <c r="BA163" i="20"/>
  <c r="BA162" i="20" s="1"/>
  <c r="BB162" i="20" s="1"/>
  <c r="AW60" i="20"/>
  <c r="AW61" i="20" s="1"/>
  <c r="AX61" i="20" s="1"/>
  <c r="BA150" i="20"/>
  <c r="BA151" i="20" s="1"/>
  <c r="BB151" i="20" s="1"/>
  <c r="AW85" i="20"/>
  <c r="AW84" i="20" s="1"/>
  <c r="AX84" i="20" s="1"/>
  <c r="BA19" i="20"/>
  <c r="BA18" i="20" s="1"/>
  <c r="BB18" i="20" s="1"/>
  <c r="AS73" i="20"/>
  <c r="AW37" i="20"/>
  <c r="AW36" i="20" s="1"/>
  <c r="AX36" i="20" s="1"/>
  <c r="BA30" i="20"/>
  <c r="BA36" i="20" s="1"/>
  <c r="AW133" i="20"/>
  <c r="AW132" i="20" s="1"/>
  <c r="AX132" i="20" s="1"/>
  <c r="AS120" i="20"/>
  <c r="BA126" i="20"/>
  <c r="BA127" i="20" s="1"/>
  <c r="BB127" i="20" s="1"/>
  <c r="BA115" i="20"/>
  <c r="BA108" i="20" s="1"/>
  <c r="BA91" i="20"/>
  <c r="BA84" i="20" s="1"/>
  <c r="AS144" i="20" l="1"/>
  <c r="AS121" i="20"/>
  <c r="AT121" i="20" s="1"/>
  <c r="AS72" i="20"/>
  <c r="AT72" i="20" s="1"/>
  <c r="AS25" i="20"/>
  <c r="AT25" i="20" s="1"/>
  <c r="BA156" i="20"/>
  <c r="BA31" i="20"/>
  <c r="BB31" i="20" s="1"/>
  <c r="AW23" i="20"/>
  <c r="AW156" i="20"/>
  <c r="AW157" i="20" s="1"/>
  <c r="AX157" i="20" s="1"/>
  <c r="AS48" i="20"/>
  <c r="BA60" i="20"/>
  <c r="AW13" i="20"/>
  <c r="AX13" i="20" s="1"/>
  <c r="BA12" i="20"/>
  <c r="AW71" i="20"/>
  <c r="AW120" i="20"/>
  <c r="BA132" i="20"/>
  <c r="AW168" i="20" l="1"/>
  <c r="Q491" i="1"/>
  <c r="R491" i="1" s="1"/>
  <c r="Q417" i="1"/>
  <c r="R417" i="1" s="1"/>
  <c r="Q490" i="1"/>
  <c r="R490" i="1" s="1"/>
  <c r="Q122" i="1" l="1"/>
  <c r="R122" i="1" s="1"/>
  <c r="Q492" i="1"/>
  <c r="R492" i="1" s="1"/>
  <c r="BX168" i="5" s="1"/>
  <c r="AK24" i="1" s="1"/>
  <c r="AL24" i="1" s="1"/>
  <c r="Q121" i="1"/>
  <c r="R121" i="1" s="1"/>
  <c r="Q120" i="1"/>
  <c r="R120" i="1" s="1"/>
  <c r="BX170" i="5"/>
  <c r="AK60" i="1" s="1"/>
  <c r="AL60" i="1" s="1"/>
  <c r="Q418" i="1"/>
  <c r="R418" i="1" s="1"/>
  <c r="Q416" i="1"/>
  <c r="R416" i="1" s="1"/>
  <c r="BV169" i="5" s="1"/>
  <c r="AK35" i="1" s="1"/>
  <c r="AL35" i="1" s="1"/>
  <c r="BX169" i="5"/>
  <c r="AK33" i="1" l="1"/>
  <c r="AL33" i="1" s="1"/>
  <c r="AK31" i="1"/>
  <c r="AL31" i="1" s="1"/>
  <c r="BN170" i="5"/>
  <c r="AK48" i="1" s="1"/>
  <c r="AL48" i="1" s="1"/>
  <c r="BN169" i="5"/>
  <c r="BV168" i="5"/>
  <c r="AK22" i="1" s="1"/>
  <c r="AL22" i="1" s="1"/>
  <c r="BN168" i="5"/>
  <c r="AK14" i="1" s="1"/>
  <c r="AL14" i="1" s="1"/>
  <c r="AK50" i="1"/>
  <c r="AL50" i="1" s="1"/>
  <c r="AK23" i="1"/>
  <c r="AL23" i="1" s="1"/>
  <c r="AK17" i="1"/>
  <c r="AL17" i="1" s="1"/>
  <c r="BV170" i="5"/>
  <c r="AK41" i="1" l="1"/>
  <c r="AL41" i="1" s="1"/>
  <c r="AK58" i="1"/>
  <c r="AL58" i="1" s="1"/>
  <c r="AK56" i="1"/>
  <c r="AL56" i="1" s="1"/>
  <c r="BN74" i="20"/>
  <c r="BN35" i="20"/>
  <c r="BN125" i="20"/>
  <c r="BN179" i="20"/>
  <c r="BN41" i="20"/>
  <c r="BN134" i="20"/>
  <c r="BN107" i="20"/>
  <c r="BN113" i="20"/>
  <c r="BN8" i="20"/>
  <c r="BN155" i="20"/>
  <c r="BN152" i="20"/>
  <c r="BN65" i="20"/>
  <c r="BN182" i="20"/>
  <c r="BN191" i="20"/>
  <c r="BN131" i="20"/>
  <c r="BN116" i="20"/>
  <c r="BN23" i="20"/>
  <c r="BN101" i="20"/>
  <c r="BN158" i="20"/>
  <c r="BN104" i="20"/>
  <c r="BN50" i="20"/>
  <c r="BN143" i="20"/>
  <c r="BN47" i="20"/>
  <c r="BN128" i="20"/>
  <c r="BN56" i="20"/>
  <c r="BN26" i="20"/>
  <c r="BN164" i="20"/>
  <c r="BN176" i="20"/>
  <c r="BN173" i="20"/>
  <c r="BN83" i="20"/>
  <c r="BN122" i="20"/>
  <c r="BN14" i="20"/>
  <c r="BN89" i="20"/>
  <c r="BN17" i="20"/>
  <c r="BN170" i="20"/>
  <c r="BN77" i="20"/>
  <c r="BN110" i="20"/>
  <c r="BN2" i="20"/>
  <c r="BN92" i="20"/>
  <c r="BN119" i="20"/>
  <c r="BN20" i="20"/>
  <c r="BN53" i="20"/>
  <c r="BN29" i="20"/>
  <c r="BN137" i="20"/>
  <c r="BN149" i="20"/>
  <c r="BN188" i="20"/>
  <c r="BN185" i="20"/>
  <c r="BN62" i="20"/>
  <c r="BN98" i="20"/>
  <c r="BN32" i="20"/>
  <c r="BN86" i="20"/>
  <c r="BN38" i="20"/>
  <c r="BN140" i="20"/>
  <c r="BN95" i="20"/>
  <c r="BN161" i="20"/>
  <c r="BN68" i="20"/>
  <c r="BN5" i="20"/>
  <c r="BN167" i="20"/>
  <c r="BN59" i="20" l="1"/>
  <c r="BN71" i="20"/>
  <c r="BN44" i="20"/>
  <c r="BN80" i="20"/>
  <c r="BN146" i="20"/>
  <c r="BN11" i="20"/>
  <c r="BS91" i="20"/>
  <c r="BT117" i="20" l="1"/>
  <c r="BS117" i="20"/>
  <c r="BT93" i="20"/>
  <c r="BS93" i="20"/>
  <c r="BS81" i="20"/>
  <c r="BT81" i="20"/>
  <c r="BS96" i="20"/>
  <c r="BT96" i="20"/>
  <c r="BT100" i="20"/>
  <c r="BS100" i="20"/>
  <c r="BT109" i="20"/>
  <c r="BS109" i="20"/>
  <c r="BT77" i="20"/>
  <c r="BS77" i="20"/>
  <c r="BT85" i="20"/>
  <c r="BS85" i="20"/>
  <c r="BT128" i="20"/>
  <c r="BS128" i="20"/>
  <c r="BT110" i="20"/>
  <c r="BS110" i="20"/>
  <c r="BS72" i="20"/>
  <c r="BT72" i="20"/>
  <c r="BT91" i="20"/>
  <c r="BS120" i="20"/>
  <c r="BT120" i="20"/>
  <c r="BT126" i="20"/>
  <c r="BS126" i="20"/>
  <c r="BT103" i="20"/>
  <c r="BS103" i="20"/>
  <c r="BT83" i="20"/>
  <c r="BS83" i="20"/>
  <c r="BT97" i="20"/>
  <c r="BS97" i="20"/>
  <c r="BT88" i="20"/>
  <c r="BS88" i="20"/>
  <c r="BT134" i="20"/>
  <c r="BS134" i="20"/>
  <c r="BS73" i="20"/>
  <c r="BT73" i="20"/>
  <c r="BT80" i="20"/>
  <c r="BS80" i="20"/>
  <c r="BS106" i="20"/>
  <c r="BT106" i="20"/>
  <c r="BT84" i="20"/>
  <c r="BS84" i="20"/>
  <c r="BT124" i="20"/>
  <c r="BS124" i="20"/>
  <c r="BT98" i="20"/>
  <c r="BS98" i="20"/>
  <c r="BT127" i="20"/>
  <c r="BS127" i="20"/>
  <c r="BT78" i="20"/>
  <c r="BS78" i="20"/>
  <c r="BT94" i="20"/>
  <c r="BS94" i="20"/>
  <c r="BS105" i="20"/>
  <c r="BT105" i="20"/>
  <c r="BS130" i="20"/>
  <c r="BT130" i="20"/>
  <c r="BS115" i="20"/>
  <c r="BT115" i="20"/>
  <c r="BT104" i="20"/>
  <c r="BS104" i="20"/>
  <c r="BT119" i="20"/>
  <c r="BS119" i="20"/>
  <c r="BT74" i="20"/>
  <c r="BS74" i="20"/>
  <c r="BS129" i="20"/>
  <c r="BT129" i="20"/>
  <c r="BT102" i="20"/>
  <c r="BS102" i="20"/>
  <c r="BT92" i="20"/>
  <c r="BS92" i="20"/>
  <c r="BT75" i="20"/>
  <c r="BS75" i="20"/>
  <c r="BT135" i="20"/>
  <c r="BS135" i="20"/>
  <c r="BT90" i="20"/>
  <c r="BS90" i="20"/>
  <c r="BT131" i="20"/>
  <c r="BS131" i="20"/>
  <c r="BT86" i="20"/>
  <c r="BS86" i="20"/>
  <c r="BT101" i="20"/>
  <c r="BS101" i="20"/>
  <c r="BT113" i="20"/>
  <c r="BS113" i="20"/>
  <c r="BT95" i="20"/>
  <c r="BS95" i="20"/>
  <c r="BT76" i="20"/>
  <c r="BS76" i="20"/>
  <c r="BS111" i="20"/>
  <c r="BT111" i="20"/>
  <c r="BS132" i="20"/>
  <c r="BT132" i="20"/>
  <c r="BT112" i="20"/>
  <c r="BS112" i="20"/>
  <c r="BT125" i="20"/>
  <c r="BS125" i="20"/>
  <c r="BT79" i="20"/>
  <c r="BS79" i="20"/>
  <c r="BS87" i="20"/>
  <c r="BT87" i="20"/>
  <c r="BS123" i="20"/>
  <c r="BT123" i="20"/>
  <c r="BT108" i="20"/>
  <c r="BS108" i="20"/>
  <c r="BS99" i="20"/>
  <c r="BT99" i="20"/>
  <c r="BT116" i="20"/>
  <c r="BS116" i="20"/>
  <c r="BT89" i="20"/>
  <c r="BS89" i="20"/>
  <c r="BT107" i="20"/>
  <c r="BS107" i="20"/>
  <c r="BT114" i="20"/>
  <c r="BS114" i="20"/>
  <c r="BT133" i="20"/>
  <c r="BS133" i="20"/>
  <c r="BS122" i="20"/>
  <c r="BT122" i="20"/>
  <c r="BT118" i="20"/>
  <c r="BS118" i="20"/>
  <c r="BS121" i="20"/>
  <c r="BT121" i="20"/>
  <c r="BT82" i="20"/>
  <c r="BS82" i="20"/>
  <c r="BA187" i="20"/>
  <c r="AG96" i="20" l="1"/>
  <c r="BA186" i="20"/>
  <c r="BB186" i="20" s="1"/>
  <c r="BA180" i="20"/>
  <c r="L46" i="1" l="1"/>
  <c r="R61" i="1" l="1"/>
  <c r="S61" i="1" s="1"/>
  <c r="R60" i="1"/>
  <c r="R63" i="1"/>
  <c r="R64" i="1" s="1"/>
  <c r="S64" i="1" s="1"/>
  <c r="R57" i="1"/>
  <c r="S60" i="1" l="1"/>
  <c r="S63" i="1"/>
  <c r="R58" i="1"/>
  <c r="S58" i="1" s="1"/>
  <c r="S57" i="1" l="1"/>
  <c r="Q48" i="1" s="1"/>
  <c r="R48" i="1" s="1"/>
  <c r="Q47" i="1" l="1"/>
  <c r="R47" i="1" s="1"/>
  <c r="BL170" i="5" s="1"/>
  <c r="AK46" i="1" s="1"/>
  <c r="AL46" i="1" s="1"/>
  <c r="Q46" i="1"/>
  <c r="R46" i="1" s="1"/>
  <c r="BL168" i="5" s="1"/>
  <c r="AK12" i="1" s="1"/>
  <c r="AL12" i="1" s="1"/>
  <c r="BL169" i="5" l="1"/>
  <c r="AK45" i="1" s="1"/>
  <c r="AL45" i="1" s="1"/>
  <c r="AK13" i="1" l="1"/>
  <c r="AL13" i="1" s="1"/>
  <c r="AK43" i="1"/>
  <c r="AL43" i="1" s="1"/>
  <c r="AK10" i="1" l="1"/>
  <c r="C116" i="20" s="1"/>
  <c r="D116" i="20" s="1"/>
  <c r="E117" i="20" s="1"/>
  <c r="C134" i="20" l="1"/>
  <c r="D134" i="20" s="1"/>
  <c r="D135" i="20" s="1"/>
  <c r="BK38" i="20"/>
  <c r="BJ38" i="20" s="1"/>
  <c r="BK56" i="20"/>
  <c r="C143" i="20"/>
  <c r="D143" i="20" s="1"/>
  <c r="E142" i="20" s="1"/>
  <c r="G143" i="20" s="1"/>
  <c r="BK116" i="20"/>
  <c r="BL117" i="20" s="1"/>
  <c r="BK23" i="20"/>
  <c r="BL22" i="20" s="1"/>
  <c r="BK146" i="20"/>
  <c r="BL147" i="20" s="1"/>
  <c r="BK8" i="20"/>
  <c r="BL9" i="20" s="1"/>
  <c r="C74" i="20"/>
  <c r="D74" i="20" s="1"/>
  <c r="D75" i="20" s="1"/>
  <c r="BK98" i="20"/>
  <c r="BL99" i="20" s="1"/>
  <c r="C8" i="20"/>
  <c r="D8" i="20" s="1"/>
  <c r="D9" i="20" s="1"/>
  <c r="BK119" i="20"/>
  <c r="BL118" i="20" s="1"/>
  <c r="C167" i="20"/>
  <c r="D167" i="20" s="1"/>
  <c r="D166" i="20" s="1"/>
  <c r="C80" i="20"/>
  <c r="D80" i="20" s="1"/>
  <c r="BK20" i="20"/>
  <c r="BL21" i="20" s="1"/>
  <c r="C137" i="20"/>
  <c r="D137" i="20" s="1"/>
  <c r="E136" i="20" s="1"/>
  <c r="BK47" i="20"/>
  <c r="BM46" i="20" s="1"/>
  <c r="BK158" i="20"/>
  <c r="BK131" i="20"/>
  <c r="BL130" i="20" s="1"/>
  <c r="BK164" i="20"/>
  <c r="BL165" i="20" s="1"/>
  <c r="C95" i="20"/>
  <c r="D95" i="20" s="1"/>
  <c r="D94" i="20" s="1"/>
  <c r="C86" i="20"/>
  <c r="D86" i="20" s="1"/>
  <c r="E87" i="20" s="1"/>
  <c r="BK179" i="20"/>
  <c r="BL178" i="20" s="1"/>
  <c r="BK65" i="20"/>
  <c r="BJ65" i="20" s="1"/>
  <c r="C23" i="20"/>
  <c r="D23" i="20" s="1"/>
  <c r="D22" i="20" s="1"/>
  <c r="BK182" i="20"/>
  <c r="BJ182" i="20" s="1"/>
  <c r="BK83" i="20"/>
  <c r="BL82" i="20" s="1"/>
  <c r="BK137" i="20"/>
  <c r="BM136" i="20" s="1"/>
  <c r="C125" i="20"/>
  <c r="D125" i="20" s="1"/>
  <c r="D124" i="20" s="1"/>
  <c r="C122" i="20"/>
  <c r="D122" i="20" s="1"/>
  <c r="BK53" i="20"/>
  <c r="BL52" i="20" s="1"/>
  <c r="BK14" i="20"/>
  <c r="BJ14" i="20" s="1"/>
  <c r="C161" i="20"/>
  <c r="D161" i="20" s="1"/>
  <c r="E160" i="20" s="1"/>
  <c r="BK50" i="20"/>
  <c r="BJ50" i="20" s="1"/>
  <c r="BK2" i="20"/>
  <c r="BL3" i="20" s="1"/>
  <c r="C110" i="20"/>
  <c r="D110" i="20" s="1"/>
  <c r="E111" i="20" s="1"/>
  <c r="BK101" i="20"/>
  <c r="C32" i="20"/>
  <c r="D32" i="20" s="1"/>
  <c r="BK104" i="20"/>
  <c r="BJ104" i="20" s="1"/>
  <c r="C113" i="20"/>
  <c r="D113" i="20" s="1"/>
  <c r="D112" i="20" s="1"/>
  <c r="C98" i="20"/>
  <c r="D98" i="20" s="1"/>
  <c r="E99" i="20" s="1"/>
  <c r="C65" i="20"/>
  <c r="D65" i="20" s="1"/>
  <c r="E64" i="20" s="1"/>
  <c r="BK32" i="20"/>
  <c r="BJ32" i="20" s="1"/>
  <c r="C47" i="20"/>
  <c r="D47" i="20" s="1"/>
  <c r="E46" i="20" s="1"/>
  <c r="G47" i="20" s="1"/>
  <c r="BK173" i="20"/>
  <c r="BM172" i="20" s="1"/>
  <c r="BK122" i="20"/>
  <c r="BM123" i="20" s="1"/>
  <c r="C26" i="20"/>
  <c r="D26" i="20" s="1"/>
  <c r="E27" i="20" s="1"/>
  <c r="G26" i="20" s="1"/>
  <c r="C146" i="20"/>
  <c r="D146" i="20" s="1"/>
  <c r="E147" i="20" s="1"/>
  <c r="C182" i="20"/>
  <c r="D182" i="20" s="1"/>
  <c r="E183" i="20" s="1"/>
  <c r="BK185" i="20"/>
  <c r="BK191" i="20"/>
  <c r="BL190" i="20" s="1"/>
  <c r="C89" i="20"/>
  <c r="D89" i="20" s="1"/>
  <c r="E88" i="20" s="1"/>
  <c r="C104" i="20"/>
  <c r="D104" i="20" s="1"/>
  <c r="E105" i="20" s="1"/>
  <c r="C173" i="20"/>
  <c r="D173" i="20" s="1"/>
  <c r="E172" i="20" s="1"/>
  <c r="C185" i="20"/>
  <c r="D185" i="20" s="1"/>
  <c r="D184" i="20" s="1"/>
  <c r="BK29" i="20"/>
  <c r="BL28" i="20" s="1"/>
  <c r="C14" i="20"/>
  <c r="D14" i="20" s="1"/>
  <c r="E15" i="20" s="1"/>
  <c r="C152" i="20"/>
  <c r="D152" i="20" s="1"/>
  <c r="D153" i="20" s="1"/>
  <c r="BK59" i="20"/>
  <c r="BL58" i="20" s="1"/>
  <c r="C71" i="20"/>
  <c r="D71" i="20" s="1"/>
  <c r="E70" i="20" s="1"/>
  <c r="C176" i="20"/>
  <c r="D176" i="20" s="1"/>
  <c r="D177" i="20" s="1"/>
  <c r="C53" i="20"/>
  <c r="D53" i="20" s="1"/>
  <c r="G53" i="20" s="1"/>
  <c r="BK71" i="20"/>
  <c r="BJ71" i="20" s="1"/>
  <c r="C11" i="20"/>
  <c r="D11" i="20" s="1"/>
  <c r="E10" i="20" s="1"/>
  <c r="C20" i="20"/>
  <c r="D20" i="20" s="1"/>
  <c r="E21" i="20" s="1"/>
  <c r="C107" i="20"/>
  <c r="D107" i="20" s="1"/>
  <c r="E106" i="20" s="1"/>
  <c r="C155" i="20"/>
  <c r="D155" i="20" s="1"/>
  <c r="D154" i="20" s="1"/>
  <c r="C41" i="20"/>
  <c r="D41" i="20" s="1"/>
  <c r="D40" i="20" s="1"/>
  <c r="BK155" i="20"/>
  <c r="BJ155" i="20" s="1"/>
  <c r="BK68" i="20"/>
  <c r="BM69" i="20" s="1"/>
  <c r="C140" i="20"/>
  <c r="D140" i="20" s="1"/>
  <c r="G140" i="20" s="1"/>
  <c r="C17" i="20"/>
  <c r="D17" i="20" s="1"/>
  <c r="D16" i="20" s="1"/>
  <c r="C188" i="20"/>
  <c r="D188" i="20" s="1"/>
  <c r="G188" i="20" s="1"/>
  <c r="BK77" i="20"/>
  <c r="BJ77" i="20" s="1"/>
  <c r="C59" i="20"/>
  <c r="D59" i="20" s="1"/>
  <c r="D58" i="20" s="1"/>
  <c r="C62" i="20"/>
  <c r="D62" i="20" s="1"/>
  <c r="E63" i="20" s="1"/>
  <c r="BK41" i="20"/>
  <c r="BJ41" i="20" s="1"/>
  <c r="BK140" i="20"/>
  <c r="BJ140" i="20" s="1"/>
  <c r="C149" i="20"/>
  <c r="D149" i="20" s="1"/>
  <c r="E148" i="20" s="1"/>
  <c r="BK134" i="20"/>
  <c r="BJ134" i="20" s="1"/>
  <c r="BK170" i="20"/>
  <c r="BJ170" i="20" s="1"/>
  <c r="C56" i="20"/>
  <c r="D56" i="20" s="1"/>
  <c r="E57" i="20" s="1"/>
  <c r="BK89" i="20"/>
  <c r="BL88" i="20" s="1"/>
  <c r="C77" i="20"/>
  <c r="D77" i="20" s="1"/>
  <c r="D76" i="20" s="1"/>
  <c r="BK107" i="20"/>
  <c r="BM106" i="20" s="1"/>
  <c r="C35" i="20"/>
  <c r="D35" i="20" s="1"/>
  <c r="E34" i="20" s="1"/>
  <c r="BK86" i="20"/>
  <c r="BL87" i="20" s="1"/>
  <c r="BK11" i="20"/>
  <c r="BJ11" i="20" s="1"/>
  <c r="BK80" i="20"/>
  <c r="BL81" i="20" s="1"/>
  <c r="C5" i="20"/>
  <c r="D5" i="20" s="1"/>
  <c r="D4" i="20" s="1"/>
  <c r="C158" i="20"/>
  <c r="D158" i="20" s="1"/>
  <c r="D159" i="20" s="1"/>
  <c r="BK149" i="20"/>
  <c r="BL148" i="20" s="1"/>
  <c r="C179" i="20"/>
  <c r="D179" i="20" s="1"/>
  <c r="D178" i="20" s="1"/>
  <c r="BK26" i="20"/>
  <c r="BJ26" i="20" s="1"/>
  <c r="C170" i="20"/>
  <c r="D170" i="20" s="1"/>
  <c r="E171" i="20" s="1"/>
  <c r="C119" i="20"/>
  <c r="D119" i="20" s="1"/>
  <c r="BS59" i="20" s="1"/>
  <c r="BK128" i="20"/>
  <c r="BJ128" i="20" s="1"/>
  <c r="BK62" i="20"/>
  <c r="BL63" i="20" s="1"/>
  <c r="C131" i="20"/>
  <c r="D131" i="20" s="1"/>
  <c r="D130" i="20" s="1"/>
  <c r="C2" i="20"/>
  <c r="D2" i="20" s="1"/>
  <c r="C44" i="20"/>
  <c r="D44" i="20" s="1"/>
  <c r="D45" i="20" s="1"/>
  <c r="C164" i="20"/>
  <c r="D164" i="20" s="1"/>
  <c r="BK125" i="20"/>
  <c r="BJ125" i="20" s="1"/>
  <c r="C92" i="20"/>
  <c r="D92" i="20" s="1"/>
  <c r="G92" i="20" s="1"/>
  <c r="C83" i="20"/>
  <c r="D83" i="20" s="1"/>
  <c r="E82" i="20" s="1"/>
  <c r="BK92" i="20"/>
  <c r="BM93" i="20" s="1"/>
  <c r="C191" i="20"/>
  <c r="D191" i="20" s="1"/>
  <c r="E190" i="20" s="1"/>
  <c r="BK95" i="20"/>
  <c r="BM94" i="20" s="1"/>
  <c r="BK110" i="20"/>
  <c r="BL111" i="20" s="1"/>
  <c r="BK188" i="20"/>
  <c r="BL189" i="20" s="1"/>
  <c r="C29" i="20"/>
  <c r="D29" i="20" s="1"/>
  <c r="E28" i="20" s="1"/>
  <c r="BK167" i="20"/>
  <c r="BL166" i="20" s="1"/>
  <c r="C101" i="20"/>
  <c r="D101" i="20" s="1"/>
  <c r="G101" i="20" s="1"/>
  <c r="BK5" i="20"/>
  <c r="BL4" i="20" s="1"/>
  <c r="BK161" i="20"/>
  <c r="BJ161" i="20" s="1"/>
  <c r="C50" i="20"/>
  <c r="D50" i="20" s="1"/>
  <c r="E51" i="20" s="1"/>
  <c r="C38" i="20"/>
  <c r="D38" i="20" s="1"/>
  <c r="E39" i="20" s="1"/>
  <c r="BK44" i="20"/>
  <c r="BM45" i="20" s="1"/>
  <c r="BK17" i="20"/>
  <c r="BL16" i="20" s="1"/>
  <c r="BK176" i="20"/>
  <c r="BL177" i="20" s="1"/>
  <c r="BK35" i="20"/>
  <c r="BJ35" i="20" s="1"/>
  <c r="C128" i="20"/>
  <c r="D128" i="20" s="1"/>
  <c r="BK152" i="20"/>
  <c r="BJ152" i="20" s="1"/>
  <c r="C68" i="20"/>
  <c r="D68" i="20" s="1"/>
  <c r="E69" i="20" s="1"/>
  <c r="BK113" i="20"/>
  <c r="BJ113" i="20" s="1"/>
  <c r="BK143" i="20"/>
  <c r="BJ143" i="20" s="1"/>
  <c r="BK74" i="20"/>
  <c r="D117" i="20"/>
  <c r="BS66" i="20"/>
  <c r="BS47" i="20"/>
  <c r="BT44" i="20"/>
  <c r="BS44" i="20"/>
  <c r="BS46" i="20"/>
  <c r="BS50" i="20"/>
  <c r="BS49" i="20"/>
  <c r="BS48" i="20"/>
  <c r="BT48" i="20"/>
  <c r="BS57" i="20"/>
  <c r="BS52" i="20"/>
  <c r="BS51" i="20"/>
  <c r="BS65" i="20"/>
  <c r="BS70" i="20"/>
  <c r="BT51" i="20"/>
  <c r="BT56" i="20"/>
  <c r="BM57" i="20"/>
  <c r="BS54" i="20"/>
  <c r="BS56" i="20"/>
  <c r="BT60" i="20"/>
  <c r="BS71" i="20"/>
  <c r="BT71" i="20"/>
  <c r="BS69" i="20"/>
  <c r="BS63" i="20"/>
  <c r="BM33" i="20"/>
  <c r="BS68" i="20"/>
  <c r="BM39" i="20"/>
  <c r="BJ131" i="20"/>
  <c r="BL39" i="20"/>
  <c r="BS60" i="20"/>
  <c r="BM99" i="20"/>
  <c r="BT63" i="20"/>
  <c r="BJ98" i="20"/>
  <c r="BS43" i="20"/>
  <c r="BJ158" i="20"/>
  <c r="BM159" i="20"/>
  <c r="BL159" i="20"/>
  <c r="BL183" i="20"/>
  <c r="BJ185" i="20"/>
  <c r="BM184" i="20"/>
  <c r="BL184" i="20"/>
  <c r="BE183" i="20"/>
  <c r="BM190" i="20"/>
  <c r="BJ191" i="20"/>
  <c r="BL51" i="20"/>
  <c r="BJ56" i="20"/>
  <c r="BL57" i="20"/>
  <c r="G8" i="20"/>
  <c r="BT46" i="20"/>
  <c r="BT40" i="20"/>
  <c r="E9" i="20" l="1"/>
  <c r="BJ83" i="20"/>
  <c r="BM82" i="20"/>
  <c r="BM183" i="20"/>
  <c r="BJ183" i="20"/>
  <c r="E166" i="20"/>
  <c r="G167" i="20" s="1"/>
  <c r="BE58" i="20"/>
  <c r="BE57" i="20" s="1"/>
  <c r="BF57" i="20" s="1"/>
  <c r="E154" i="20"/>
  <c r="BM3" i="20"/>
  <c r="BL46" i="20"/>
  <c r="BM171" i="20"/>
  <c r="E75" i="20"/>
  <c r="G74" i="20" s="1"/>
  <c r="BJ47" i="20"/>
  <c r="E22" i="20"/>
  <c r="G161" i="20"/>
  <c r="BT66" i="20" s="1"/>
  <c r="I22" i="20"/>
  <c r="D183" i="20"/>
  <c r="E135" i="20"/>
  <c r="G98" i="20"/>
  <c r="E189" i="20"/>
  <c r="D189" i="20"/>
  <c r="BM51" i="20"/>
  <c r="BJ99" i="20"/>
  <c r="BL154" i="20"/>
  <c r="BJ117" i="20"/>
  <c r="BL100" i="20"/>
  <c r="BJ101" i="20"/>
  <c r="BJ173" i="20"/>
  <c r="BM100" i="20"/>
  <c r="BL172" i="20"/>
  <c r="E94" i="20"/>
  <c r="G95" i="20" s="1"/>
  <c r="BJ116" i="20"/>
  <c r="BE99" i="20"/>
  <c r="BE100" i="20" s="1"/>
  <c r="BF100" i="20" s="1"/>
  <c r="BM117" i="20"/>
  <c r="D105" i="20"/>
  <c r="E177" i="20"/>
  <c r="E124" i="20"/>
  <c r="BE39" i="20"/>
  <c r="BE40" i="20" s="1"/>
  <c r="BF40" i="20" s="1"/>
  <c r="BM40" i="20"/>
  <c r="BM154" i="20"/>
  <c r="BJ2" i="20"/>
  <c r="BJ57" i="20"/>
  <c r="BL33" i="20"/>
  <c r="BJ59" i="20"/>
  <c r="BM58" i="20"/>
  <c r="G159" i="20"/>
  <c r="BM130" i="20"/>
  <c r="D99" i="20"/>
  <c r="I154" i="20"/>
  <c r="BS36" i="20" s="1"/>
  <c r="D160" i="20"/>
  <c r="BJ159" i="20"/>
  <c r="BM88" i="20"/>
  <c r="E58" i="20"/>
  <c r="G59" i="20" s="1"/>
  <c r="BJ89" i="20"/>
  <c r="BJ153" i="20"/>
  <c r="G131" i="20"/>
  <c r="I190" i="20"/>
  <c r="G191" i="20"/>
  <c r="BL160" i="20"/>
  <c r="G158" i="20"/>
  <c r="I178" i="20"/>
  <c r="M174" i="20" s="1"/>
  <c r="BJ62" i="20"/>
  <c r="E153" i="20"/>
  <c r="G153" i="20"/>
  <c r="G155" i="20" s="1"/>
  <c r="D64" i="20"/>
  <c r="BL76" i="20"/>
  <c r="D142" i="20"/>
  <c r="E40" i="20"/>
  <c r="D111" i="20"/>
  <c r="BM4" i="20"/>
  <c r="G41" i="20"/>
  <c r="BM63" i="20"/>
  <c r="BL136" i="20"/>
  <c r="I106" i="20"/>
  <c r="BS32" i="20" s="1"/>
  <c r="BM76" i="20"/>
  <c r="BM118" i="20"/>
  <c r="D46" i="20"/>
  <c r="BJ137" i="20"/>
  <c r="BM165" i="20"/>
  <c r="I58" i="20"/>
  <c r="M54" i="20" s="1"/>
  <c r="Q60" i="20" s="1"/>
  <c r="T61" i="20" s="1"/>
  <c r="BE118" i="20"/>
  <c r="BE117" i="20" s="1"/>
  <c r="BF117" i="20" s="1"/>
  <c r="BJ164" i="20"/>
  <c r="BE154" i="20"/>
  <c r="BE153" i="20" s="1"/>
  <c r="BF153" i="20" s="1"/>
  <c r="G57" i="20"/>
  <c r="G56" i="20" s="1"/>
  <c r="BT49" i="20" s="1"/>
  <c r="BJ119" i="20"/>
  <c r="D70" i="20"/>
  <c r="D106" i="20"/>
  <c r="G105" i="20" s="1"/>
  <c r="G71" i="20"/>
  <c r="G141" i="20"/>
  <c r="BJ147" i="20"/>
  <c r="BM105" i="20"/>
  <c r="BM21" i="20"/>
  <c r="BJ20" i="20"/>
  <c r="BT55" i="20"/>
  <c r="BS67" i="20"/>
  <c r="BT67" i="20"/>
  <c r="BS45" i="20"/>
  <c r="BS53" i="20"/>
  <c r="BS58" i="20"/>
  <c r="BS62" i="20"/>
  <c r="E3" i="20"/>
  <c r="BS40" i="20"/>
  <c r="BT47" i="20"/>
  <c r="BS42" i="20"/>
  <c r="BS55" i="20"/>
  <c r="BS41" i="20"/>
  <c r="BT64" i="20"/>
  <c r="BS64" i="20"/>
  <c r="E129" i="20"/>
  <c r="BS61" i="20"/>
  <c r="I183" i="20"/>
  <c r="BJ39" i="20"/>
  <c r="BL40" i="20"/>
  <c r="BL106" i="20"/>
  <c r="G177" i="20"/>
  <c r="G179" i="20" s="1"/>
  <c r="D15" i="20"/>
  <c r="BJ107" i="20"/>
  <c r="E33" i="20"/>
  <c r="I123" i="20"/>
  <c r="BE106" i="20"/>
  <c r="BE105" i="20" s="1"/>
  <c r="BF105" i="20" s="1"/>
  <c r="BM153" i="20"/>
  <c r="BJ146" i="20"/>
  <c r="BE51" i="20"/>
  <c r="BE52" i="20" s="1"/>
  <c r="BF52" i="20" s="1"/>
  <c r="G183" i="20"/>
  <c r="BJ53" i="20"/>
  <c r="G27" i="20"/>
  <c r="BM147" i="20"/>
  <c r="D27" i="20"/>
  <c r="BJ51" i="20"/>
  <c r="BJ105" i="20"/>
  <c r="BJ17" i="20"/>
  <c r="BJ179" i="20"/>
  <c r="BM52" i="20"/>
  <c r="BM87" i="20"/>
  <c r="E184" i="20"/>
  <c r="BM178" i="20"/>
  <c r="BJ21" i="20"/>
  <c r="BL105" i="20"/>
  <c r="E123" i="20"/>
  <c r="G122" i="20" s="1"/>
  <c r="I63" i="20"/>
  <c r="M67" i="20" s="1"/>
  <c r="BL123" i="20"/>
  <c r="G50" i="20"/>
  <c r="D33" i="20"/>
  <c r="D87" i="20"/>
  <c r="G87" i="20" s="1"/>
  <c r="G2" i="20"/>
  <c r="G63" i="20"/>
  <c r="G65" i="20" s="1"/>
  <c r="I75" i="20"/>
  <c r="M78" i="20" s="1"/>
  <c r="BJ95" i="20"/>
  <c r="I46" i="20"/>
  <c r="M43" i="20" s="1"/>
  <c r="Q37" i="20" s="1"/>
  <c r="U24" i="20" s="1"/>
  <c r="Y48" i="20" s="1"/>
  <c r="AC96" i="20" s="1"/>
  <c r="E178" i="20"/>
  <c r="G123" i="20"/>
  <c r="G125" i="20" s="1"/>
  <c r="BL112" i="20"/>
  <c r="G45" i="20"/>
  <c r="G128" i="20"/>
  <c r="BT61" i="20" s="1"/>
  <c r="BJ5" i="20"/>
  <c r="D123" i="20"/>
  <c r="BL141" i="20"/>
  <c r="G39" i="20"/>
  <c r="G38" i="20" s="1"/>
  <c r="BJ23" i="20"/>
  <c r="D190" i="20"/>
  <c r="BM160" i="20"/>
  <c r="D172" i="20"/>
  <c r="G171" i="20" s="1"/>
  <c r="I87" i="20"/>
  <c r="BE22" i="20"/>
  <c r="BE21" i="20" s="1"/>
  <c r="BF21" i="20" s="1"/>
  <c r="BM22" i="20"/>
  <c r="I159" i="20"/>
  <c r="I160" i="20" s="1"/>
  <c r="J160" i="20" s="1"/>
  <c r="BJ122" i="20"/>
  <c r="BE82" i="20"/>
  <c r="BE81" i="20" s="1"/>
  <c r="BF81" i="20" s="1"/>
  <c r="I70" i="20"/>
  <c r="BS29" i="20" s="1"/>
  <c r="G69" i="20"/>
  <c r="G75" i="20"/>
  <c r="G77" i="20" s="1"/>
  <c r="BT52" i="20" s="1"/>
  <c r="D63" i="20"/>
  <c r="E76" i="20"/>
  <c r="BM148" i="20"/>
  <c r="BE147" i="20"/>
  <c r="BE148" i="20" s="1"/>
  <c r="BF148" i="20" s="1"/>
  <c r="I99" i="20"/>
  <c r="M102" i="20" s="1"/>
  <c r="Q108" i="20" s="1"/>
  <c r="BL129" i="20"/>
  <c r="D69" i="20"/>
  <c r="BJ149" i="20"/>
  <c r="D88" i="20"/>
  <c r="D3" i="20"/>
  <c r="I82" i="20"/>
  <c r="BS30" i="20" s="1"/>
  <c r="BL171" i="20"/>
  <c r="I39" i="20"/>
  <c r="BS27" i="20" s="1"/>
  <c r="E100" i="20"/>
  <c r="D21" i="20"/>
  <c r="I34" i="20"/>
  <c r="BE171" i="20"/>
  <c r="BE172" i="20" s="1"/>
  <c r="BF172" i="20" s="1"/>
  <c r="BM34" i="20"/>
  <c r="BJ33" i="20"/>
  <c r="G189" i="20"/>
  <c r="D82" i="20"/>
  <c r="BM129" i="20"/>
  <c r="BJ129" i="20"/>
  <c r="BJ45" i="20"/>
  <c r="BL34" i="20"/>
  <c r="BE34" i="20"/>
  <c r="BE33" i="20" s="1"/>
  <c r="BF33" i="20" s="1"/>
  <c r="G99" i="20"/>
  <c r="BL27" i="20"/>
  <c r="D57" i="20"/>
  <c r="BE130" i="20"/>
  <c r="BE129" i="20" s="1"/>
  <c r="BF129" i="20" s="1"/>
  <c r="BJ3" i="20"/>
  <c r="I130" i="20"/>
  <c r="M126" i="20" s="1"/>
  <c r="BJ75" i="20"/>
  <c r="BM81" i="20"/>
  <c r="D129" i="20"/>
  <c r="I3" i="20"/>
  <c r="M6" i="20" s="1"/>
  <c r="Q12" i="20" s="1"/>
  <c r="BL93" i="20"/>
  <c r="G3" i="20"/>
  <c r="G5" i="20" s="1"/>
  <c r="D100" i="20"/>
  <c r="BJ92" i="20"/>
  <c r="G81" i="20"/>
  <c r="G83" i="20" s="1"/>
  <c r="BT53" i="20" s="1"/>
  <c r="BJ171" i="20"/>
  <c r="BJ80" i="20"/>
  <c r="BE3" i="20"/>
  <c r="BE4" i="20" s="1"/>
  <c r="BF4" i="20" s="1"/>
  <c r="E4" i="20"/>
  <c r="BJ81" i="20"/>
  <c r="BE190" i="20"/>
  <c r="BE189" i="20" s="1"/>
  <c r="BF189" i="20" s="1"/>
  <c r="G68" i="20"/>
  <c r="BJ93" i="20"/>
  <c r="BE94" i="20"/>
  <c r="BE93" i="20" s="1"/>
  <c r="BF93" i="20" s="1"/>
  <c r="BJ15" i="20"/>
  <c r="D51" i="20"/>
  <c r="BJ111" i="20"/>
  <c r="I94" i="20"/>
  <c r="M91" i="20" s="1"/>
  <c r="Q85" i="20" s="1"/>
  <c r="U73" i="20" s="1"/>
  <c r="X72" i="20" s="1"/>
  <c r="BJ63" i="20"/>
  <c r="BL135" i="20"/>
  <c r="D118" i="20"/>
  <c r="E45" i="20"/>
  <c r="BL94" i="20"/>
  <c r="BJ165" i="20"/>
  <c r="BL15" i="20"/>
  <c r="E118" i="20"/>
  <c r="G93" i="20"/>
  <c r="I111" i="20"/>
  <c r="M115" i="20" s="1"/>
  <c r="D39" i="20"/>
  <c r="D93" i="20"/>
  <c r="BM15" i="20"/>
  <c r="I15" i="20"/>
  <c r="BS25" i="20" s="1"/>
  <c r="BE135" i="20"/>
  <c r="BE136" i="20" s="1"/>
  <c r="BF136" i="20" s="1"/>
  <c r="BE27" i="20"/>
  <c r="BE28" i="20" s="1"/>
  <c r="BF28" i="20" s="1"/>
  <c r="BE111" i="20"/>
  <c r="BE112" i="20" s="1"/>
  <c r="BF112" i="20" s="1"/>
  <c r="D81" i="20"/>
  <c r="E81" i="20"/>
  <c r="BE178" i="20"/>
  <c r="BE177" i="20" s="1"/>
  <c r="BF177" i="20" s="1"/>
  <c r="BL64" i="20"/>
  <c r="D147" i="20"/>
  <c r="BM28" i="20"/>
  <c r="BE166" i="20"/>
  <c r="BE63" i="20"/>
  <c r="BJ29" i="20"/>
  <c r="BM64" i="20"/>
  <c r="I118" i="20"/>
  <c r="BS33" i="20" s="1"/>
  <c r="BE10" i="20"/>
  <c r="BE9" i="20" s="1"/>
  <c r="BF9" i="20" s="1"/>
  <c r="I10" i="20"/>
  <c r="I9" i="20" s="1"/>
  <c r="J9" i="20" s="1"/>
  <c r="G15" i="20"/>
  <c r="G14" i="20" s="1"/>
  <c r="BM10" i="20"/>
  <c r="BM177" i="20"/>
  <c r="BM111" i="20"/>
  <c r="G11" i="20"/>
  <c r="BT41" i="20" s="1"/>
  <c r="BJ177" i="20"/>
  <c r="G111" i="20"/>
  <c r="G110" i="20" s="1"/>
  <c r="BM9" i="20"/>
  <c r="E112" i="20"/>
  <c r="BJ110" i="20"/>
  <c r="G44" i="20"/>
  <c r="G146" i="20"/>
  <c r="D136" i="20"/>
  <c r="G135" i="20" s="1"/>
  <c r="D10" i="20"/>
  <c r="G9" i="20" s="1"/>
  <c r="BM112" i="20"/>
  <c r="BJ167" i="20"/>
  <c r="G137" i="20"/>
  <c r="BT62" i="20" s="1"/>
  <c r="BJ8" i="20"/>
  <c r="BJ9" i="20"/>
  <c r="E16" i="20"/>
  <c r="I135" i="20"/>
  <c r="I136" i="20" s="1"/>
  <c r="J136" i="20" s="1"/>
  <c r="BJ135" i="20"/>
  <c r="BM135" i="20"/>
  <c r="BL10" i="20"/>
  <c r="BJ68" i="20"/>
  <c r="D141" i="20"/>
  <c r="BL70" i="20"/>
  <c r="E52" i="20"/>
  <c r="BE123" i="20"/>
  <c r="BH124" i="20" s="1"/>
  <c r="BD127" i="20" s="1"/>
  <c r="AZ132" i="20" s="1"/>
  <c r="BM124" i="20"/>
  <c r="BJ189" i="20"/>
  <c r="BJ27" i="20"/>
  <c r="BE70" i="20"/>
  <c r="BE69" i="20" s="1"/>
  <c r="BF69" i="20" s="1"/>
  <c r="I171" i="20"/>
  <c r="BS38" i="20" s="1"/>
  <c r="BL69" i="20"/>
  <c r="E141" i="20"/>
  <c r="G51" i="20"/>
  <c r="BE142" i="20"/>
  <c r="BE141" i="20" s="1"/>
  <c r="BF141" i="20" s="1"/>
  <c r="BJ86" i="20"/>
  <c r="E93" i="20"/>
  <c r="G129" i="20"/>
  <c r="BE15" i="20"/>
  <c r="BE16" i="20" s="1"/>
  <c r="BF16" i="20" s="1"/>
  <c r="BJ176" i="20"/>
  <c r="BJ44" i="20"/>
  <c r="BL124" i="20"/>
  <c r="BL75" i="20"/>
  <c r="BJ74" i="20"/>
  <c r="G164" i="20"/>
  <c r="E165" i="20"/>
  <c r="BM70" i="20"/>
  <c r="I51" i="20"/>
  <c r="BS28" i="20" s="1"/>
  <c r="BE75" i="20"/>
  <c r="BA79" i="20" s="1"/>
  <c r="BB79" i="20" s="1"/>
  <c r="D171" i="20"/>
  <c r="BJ87" i="20"/>
  <c r="BL142" i="20"/>
  <c r="BE87" i="20"/>
  <c r="G165" i="20"/>
  <c r="I142" i="20"/>
  <c r="BJ188" i="20"/>
  <c r="BE46" i="20"/>
  <c r="BE45" i="20" s="1"/>
  <c r="BF45" i="20" s="1"/>
  <c r="BJ69" i="20"/>
  <c r="BJ141" i="20"/>
  <c r="BM141" i="20"/>
  <c r="BM27" i="20"/>
  <c r="E130" i="20"/>
  <c r="BM166" i="20"/>
  <c r="E159" i="20"/>
  <c r="BM16" i="20"/>
  <c r="D165" i="20"/>
  <c r="BM75" i="20"/>
  <c r="G147" i="20"/>
  <c r="BM189" i="20"/>
  <c r="D52" i="20"/>
  <c r="I147" i="20"/>
  <c r="M150" i="20" s="1"/>
  <c r="Q156" i="20" s="1"/>
  <c r="T157" i="20" s="1"/>
  <c r="D148" i="20"/>
  <c r="G149" i="20"/>
  <c r="D34" i="20"/>
  <c r="I166" i="20"/>
  <c r="M163" i="20" s="1"/>
  <c r="BL153" i="20"/>
  <c r="D28" i="20"/>
  <c r="BE159" i="20"/>
  <c r="BE160" i="20" s="1"/>
  <c r="BF160" i="20" s="1"/>
  <c r="I27" i="20"/>
  <c r="BJ123" i="20"/>
  <c r="BL45" i="20"/>
  <c r="BM142" i="20"/>
  <c r="G29" i="20"/>
  <c r="BS37" i="20"/>
  <c r="G33" i="20"/>
  <c r="G32" i="20" s="1"/>
  <c r="BT45" i="20" s="1"/>
  <c r="G113" i="20"/>
  <c r="BT58" i="20" s="1"/>
  <c r="G176" i="20"/>
  <c r="BT69" i="20" s="1"/>
  <c r="G134" i="20"/>
  <c r="G21" i="20"/>
  <c r="G20" i="20" s="1"/>
  <c r="BT43" i="20" s="1"/>
  <c r="G104" i="20"/>
  <c r="G107" i="20"/>
  <c r="BT57" i="20" s="1"/>
  <c r="M187" i="20"/>
  <c r="Q181" i="20" s="1"/>
  <c r="U169" i="20" s="1"/>
  <c r="G152" i="20"/>
  <c r="BT65" i="20" s="1"/>
  <c r="G80" i="20"/>
  <c r="G62" i="20"/>
  <c r="BT50" i="20" s="1"/>
  <c r="G17" i="20"/>
  <c r="BT42" i="20" s="1"/>
  <c r="G86" i="20"/>
  <c r="G89" i="20"/>
  <c r="BT54" i="20" s="1"/>
  <c r="G173" i="20"/>
  <c r="BT68" i="20" s="1"/>
  <c r="G170" i="20"/>
  <c r="G117" i="20"/>
  <c r="G35" i="20"/>
  <c r="G182" i="20"/>
  <c r="G185" i="20"/>
  <c r="BT70" i="20" s="1"/>
  <c r="BE184" i="20"/>
  <c r="BF184" i="20" s="1"/>
  <c r="BH184" i="20"/>
  <c r="BD186" i="20" s="1"/>
  <c r="BS39" i="20"/>
  <c r="M19" i="20"/>
  <c r="U120" i="20"/>
  <c r="BS18" i="20" l="1"/>
  <c r="BS16" i="20"/>
  <c r="BS20" i="20"/>
  <c r="BS13" i="20"/>
  <c r="BH57" i="20"/>
  <c r="BS15" i="20"/>
  <c r="BS8" i="20"/>
  <c r="C4" i="4" s="1"/>
  <c r="E4" i="4" s="1"/>
  <c r="BS12" i="20"/>
  <c r="I177" i="20"/>
  <c r="J177" i="20" s="1"/>
  <c r="I184" i="20"/>
  <c r="J184" i="20" s="1"/>
  <c r="I21" i="20"/>
  <c r="J21" i="20" s="1"/>
  <c r="I189" i="20"/>
  <c r="J189" i="20" s="1"/>
  <c r="BH40" i="20"/>
  <c r="BD42" i="20" s="1"/>
  <c r="I153" i="20"/>
  <c r="J153" i="20" s="1"/>
  <c r="BA103" i="20"/>
  <c r="BB103" i="20" s="1"/>
  <c r="BH100" i="20"/>
  <c r="BD103" i="20" s="1"/>
  <c r="AZ109" i="20" s="1"/>
  <c r="AV121" i="20" s="1"/>
  <c r="AR144" i="20" s="1"/>
  <c r="I105" i="20"/>
  <c r="J105" i="20" s="1"/>
  <c r="BH117" i="20"/>
  <c r="BH165" i="20"/>
  <c r="BH153" i="20"/>
  <c r="I57" i="20"/>
  <c r="J57" i="20" s="1"/>
  <c r="BE102" i="20"/>
  <c r="BH105" i="20"/>
  <c r="I28" i="20"/>
  <c r="J28" i="20" s="1"/>
  <c r="BS31" i="20"/>
  <c r="BS19" i="20"/>
  <c r="M139" i="20"/>
  <c r="Q133" i="20" s="1"/>
  <c r="BS35" i="20"/>
  <c r="BS24" i="20"/>
  <c r="BS34" i="20"/>
  <c r="BS21" i="20"/>
  <c r="M30" i="20"/>
  <c r="BS17" i="20" s="1"/>
  <c r="BS26" i="20"/>
  <c r="M162" i="20"/>
  <c r="N162" i="20" s="1"/>
  <c r="BS22" i="20"/>
  <c r="BS23" i="20"/>
  <c r="I64" i="20"/>
  <c r="J64" i="20" s="1"/>
  <c r="BH88" i="20"/>
  <c r="BD90" i="20" s="1"/>
  <c r="I124" i="20"/>
  <c r="J124" i="20" s="1"/>
  <c r="BE54" i="20"/>
  <c r="BE18" i="20"/>
  <c r="BH52" i="20"/>
  <c r="BD55" i="20" s="1"/>
  <c r="AZ61" i="20" s="1"/>
  <c r="AV72" i="20" s="1"/>
  <c r="I100" i="20"/>
  <c r="J100" i="20" s="1"/>
  <c r="I40" i="20"/>
  <c r="J40" i="20" s="1"/>
  <c r="I45" i="20"/>
  <c r="J45" i="20" s="1"/>
  <c r="I76" i="20"/>
  <c r="J76" i="20" s="1"/>
  <c r="L6" i="20"/>
  <c r="L4" i="20" s="1"/>
  <c r="BH148" i="20"/>
  <c r="BD151" i="20" s="1"/>
  <c r="AZ157" i="20" s="1"/>
  <c r="AV168" i="20" s="1"/>
  <c r="BE150" i="20"/>
  <c r="I81" i="20"/>
  <c r="J81" i="20" s="1"/>
  <c r="BE6" i="20"/>
  <c r="BE66" i="20"/>
  <c r="I33" i="20"/>
  <c r="J33" i="20" s="1"/>
  <c r="I141" i="20"/>
  <c r="J141" i="20" s="1"/>
  <c r="BH21" i="20"/>
  <c r="BE30" i="20"/>
  <c r="BH64" i="20"/>
  <c r="BD66" i="20" s="1"/>
  <c r="BE186" i="20"/>
  <c r="BH189" i="20"/>
  <c r="BH28" i="20"/>
  <c r="BD31" i="20" s="1"/>
  <c r="AZ36" i="20" s="1"/>
  <c r="I88" i="20"/>
  <c r="J88" i="20" s="1"/>
  <c r="BE165" i="20"/>
  <c r="BF165" i="20" s="1"/>
  <c r="L174" i="20"/>
  <c r="BE114" i="20"/>
  <c r="I172" i="20"/>
  <c r="J172" i="20" s="1"/>
  <c r="I69" i="20"/>
  <c r="J69" i="20" s="1"/>
  <c r="BA114" i="20"/>
  <c r="BB114" i="20" s="1"/>
  <c r="BH112" i="20"/>
  <c r="BD114" i="20" s="1"/>
  <c r="BH16" i="20"/>
  <c r="BD18" i="20" s="1"/>
  <c r="BH4" i="20"/>
  <c r="BD7" i="20" s="1"/>
  <c r="AZ13" i="20" s="1"/>
  <c r="AV25" i="20" s="1"/>
  <c r="AR49" i="20" s="1"/>
  <c r="AN97" i="20" s="1"/>
  <c r="AL97" i="20" s="1"/>
  <c r="I4" i="20"/>
  <c r="J4" i="20" s="1"/>
  <c r="BH81" i="20"/>
  <c r="BS10" i="20"/>
  <c r="BH172" i="20"/>
  <c r="BD175" i="20" s="1"/>
  <c r="AZ180" i="20" s="1"/>
  <c r="BE138" i="20"/>
  <c r="I52" i="20"/>
  <c r="J52" i="20" s="1"/>
  <c r="L162" i="20"/>
  <c r="L165" i="20" s="1"/>
  <c r="BH33" i="20"/>
  <c r="BH141" i="20"/>
  <c r="BH9" i="20"/>
  <c r="BE90" i="20"/>
  <c r="BH177" i="20"/>
  <c r="BH69" i="20"/>
  <c r="I129" i="20"/>
  <c r="J129" i="20" s="1"/>
  <c r="BH93" i="20"/>
  <c r="BH136" i="20"/>
  <c r="BD138" i="20" s="1"/>
  <c r="BE124" i="20"/>
  <c r="BF124" i="20" s="1"/>
  <c r="L54" i="20"/>
  <c r="L52" i="20" s="1"/>
  <c r="I93" i="20"/>
  <c r="J93" i="20" s="1"/>
  <c r="I112" i="20"/>
  <c r="J112" i="20" s="1"/>
  <c r="BH129" i="20"/>
  <c r="BE126" i="20"/>
  <c r="I117" i="20"/>
  <c r="J117" i="20" s="1"/>
  <c r="BE174" i="20"/>
  <c r="BE42" i="20"/>
  <c r="BE76" i="20"/>
  <c r="BF76" i="20" s="1"/>
  <c r="BH45" i="20"/>
  <c r="I148" i="20"/>
  <c r="J148" i="20" s="1"/>
  <c r="BE162" i="20"/>
  <c r="BE78" i="20"/>
  <c r="I16" i="20"/>
  <c r="J16" i="20" s="1"/>
  <c r="BE64" i="20"/>
  <c r="BF64" i="20" s="1"/>
  <c r="BA66" i="20"/>
  <c r="BB66" i="20" s="1"/>
  <c r="BH160" i="20"/>
  <c r="BD162" i="20" s="1"/>
  <c r="BH76" i="20"/>
  <c r="BD79" i="20" s="1"/>
  <c r="AZ84" i="20" s="1"/>
  <c r="I165" i="20"/>
  <c r="J165" i="20" s="1"/>
  <c r="BA90" i="20"/>
  <c r="BB90" i="20" s="1"/>
  <c r="BE88" i="20"/>
  <c r="BF88" i="20" s="1"/>
  <c r="BS11" i="20"/>
  <c r="X121" i="20"/>
  <c r="L42" i="20"/>
  <c r="L45" i="20" s="1"/>
  <c r="G23" i="20"/>
  <c r="L66" i="20"/>
  <c r="L69" i="20" s="1"/>
  <c r="BT29" i="20" s="1"/>
  <c r="L186" i="20"/>
  <c r="L189" i="20" s="1"/>
  <c r="L126" i="20"/>
  <c r="L124" i="20" s="1"/>
  <c r="L150" i="20"/>
  <c r="L148" i="20" s="1"/>
  <c r="L160" i="20"/>
  <c r="BT37" i="20" s="1"/>
  <c r="L90" i="20"/>
  <c r="L93" i="20" s="1"/>
  <c r="L172" i="20"/>
  <c r="BT38" i="20" s="1"/>
  <c r="L57" i="20"/>
  <c r="P108" i="20"/>
  <c r="P84" i="20"/>
  <c r="L40" i="20"/>
  <c r="L102" i="20"/>
  <c r="L9" i="20"/>
  <c r="L30" i="20"/>
  <c r="P180" i="20"/>
  <c r="L78" i="20"/>
  <c r="G119" i="20"/>
  <c r="G116" i="20"/>
  <c r="BT59" i="20" s="1"/>
  <c r="L114" i="20"/>
  <c r="L138" i="20"/>
  <c r="L177" i="20"/>
  <c r="L18" i="20"/>
  <c r="P60" i="20"/>
  <c r="Y145" i="20"/>
  <c r="AB144" i="20" s="1"/>
  <c r="BT27" i="20" l="1"/>
  <c r="M186" i="20"/>
  <c r="N186" i="20" s="1"/>
  <c r="D4" i="4"/>
  <c r="M138" i="20"/>
  <c r="N138" i="20" s="1"/>
  <c r="T132" i="20"/>
  <c r="BS14" i="20"/>
  <c r="M127" i="20"/>
  <c r="N127" i="20" s="1"/>
  <c r="P36" i="20"/>
  <c r="P42" i="20" s="1"/>
  <c r="M31" i="20"/>
  <c r="N31" i="20" s="1"/>
  <c r="BT28" i="20"/>
  <c r="M66" i="20"/>
  <c r="N66" i="20" s="1"/>
  <c r="M90" i="20"/>
  <c r="N90" i="20" s="1"/>
  <c r="M175" i="20"/>
  <c r="N175" i="20" s="1"/>
  <c r="M79" i="20"/>
  <c r="N79" i="20" s="1"/>
  <c r="M103" i="20"/>
  <c r="Q109" i="20" s="1"/>
  <c r="R109" i="20" s="1"/>
  <c r="M42" i="20"/>
  <c r="N42" i="20" s="1"/>
  <c r="M151" i="20"/>
  <c r="P156" i="20" s="1"/>
  <c r="P162" i="20" s="1"/>
  <c r="M7" i="20"/>
  <c r="N7" i="20" s="1"/>
  <c r="M55" i="20"/>
  <c r="N55" i="20" s="1"/>
  <c r="M114" i="20"/>
  <c r="N114" i="20" s="1"/>
  <c r="M18" i="20"/>
  <c r="N18" i="20" s="1"/>
  <c r="BT24" i="20"/>
  <c r="O4" i="20"/>
  <c r="L184" i="20"/>
  <c r="BT39" i="20" s="1"/>
  <c r="P186" i="20"/>
  <c r="L129" i="20"/>
  <c r="BT34" i="20" s="1"/>
  <c r="L153" i="20"/>
  <c r="BT36" i="20" s="1"/>
  <c r="L64" i="20"/>
  <c r="P66" i="20" s="1"/>
  <c r="L88" i="20"/>
  <c r="BT31" i="20" s="1"/>
  <c r="P90" i="20"/>
  <c r="P175" i="20"/>
  <c r="P55" i="20"/>
  <c r="L100" i="20"/>
  <c r="L105" i="20"/>
  <c r="BT32" i="20" s="1"/>
  <c r="T120" i="20"/>
  <c r="L28" i="20"/>
  <c r="L33" i="20"/>
  <c r="P31" i="20" s="1"/>
  <c r="L117" i="20"/>
  <c r="BT33" i="20" s="1"/>
  <c r="L112" i="20"/>
  <c r="P114" i="20" s="1"/>
  <c r="BT20" i="20" s="1"/>
  <c r="P132" i="20"/>
  <c r="L81" i="20"/>
  <c r="BT30" i="20" s="1"/>
  <c r="L76" i="20"/>
  <c r="P79" i="20" s="1"/>
  <c r="BT19" i="20" s="1"/>
  <c r="T72" i="20"/>
  <c r="T84" i="20" s="1"/>
  <c r="L136" i="20"/>
  <c r="BT35" i="20" s="1"/>
  <c r="L141" i="20"/>
  <c r="T24" i="20"/>
  <c r="T36" i="20" s="1"/>
  <c r="L21" i="20"/>
  <c r="L16" i="20"/>
  <c r="BT25" i="20" s="1"/>
  <c r="P12" i="20"/>
  <c r="P7" i="20" s="1"/>
  <c r="BT23" i="20"/>
  <c r="BS9" i="20"/>
  <c r="BQ9" i="20" s="1"/>
  <c r="BT18" i="20" l="1"/>
  <c r="BT22" i="20"/>
  <c r="BT17" i="20"/>
  <c r="Q84" i="20"/>
  <c r="R84" i="20" s="1"/>
  <c r="Q36" i="20"/>
  <c r="R36" i="20" s="1"/>
  <c r="Q132" i="20"/>
  <c r="R132" i="20" s="1"/>
  <c r="Q180" i="20"/>
  <c r="R180" i="20" s="1"/>
  <c r="BT26" i="20"/>
  <c r="U121" i="20"/>
  <c r="V121" i="20" s="1"/>
  <c r="N103" i="20"/>
  <c r="N151" i="20"/>
  <c r="Q157" i="20"/>
  <c r="R157" i="20" s="1"/>
  <c r="Q13" i="20"/>
  <c r="R13" i="20" s="1"/>
  <c r="Q61" i="20"/>
  <c r="R61" i="20" s="1"/>
  <c r="P127" i="20"/>
  <c r="BT21" i="20" s="1"/>
  <c r="P103" i="20"/>
  <c r="P151" i="20"/>
  <c r="T168" i="20"/>
  <c r="T109" i="20"/>
  <c r="X144" i="20"/>
  <c r="P138" i="20"/>
  <c r="BT14" i="20" s="1"/>
  <c r="BT13" i="20"/>
  <c r="X48" i="20"/>
  <c r="P18" i="20"/>
  <c r="BT12" i="20" s="1"/>
  <c r="BQ10" i="20"/>
  <c r="BT10" i="20" l="1"/>
  <c r="Y144" i="20"/>
  <c r="Z144" i="20" s="1"/>
  <c r="U168" i="20"/>
  <c r="V168" i="20" s="1"/>
  <c r="U25" i="20"/>
  <c r="V25" i="20" s="1"/>
  <c r="U72" i="20"/>
  <c r="V72" i="20" s="1"/>
  <c r="BT16" i="20"/>
  <c r="T13" i="20"/>
  <c r="T180" i="20"/>
  <c r="X168" i="20" s="1"/>
  <c r="BT11" i="20"/>
  <c r="AB96" i="20"/>
  <c r="X25" i="20"/>
  <c r="BQ11" i="20"/>
  <c r="Y49" i="20" l="1"/>
  <c r="AC97" i="20" s="1"/>
  <c r="AD97" i="20" s="1"/>
  <c r="BT15" i="20"/>
  <c r="BT9" i="20"/>
  <c r="AB49" i="20"/>
  <c r="BQ12" i="20"/>
  <c r="BQ13" i="20" s="1"/>
  <c r="BQ14" i="20" s="1"/>
  <c r="Z49" i="20" l="1"/>
  <c r="AG99" i="20"/>
  <c r="AH99" i="20" s="1"/>
  <c r="AF97" i="20"/>
  <c r="BT8" i="20" s="1"/>
  <c r="BQ15" i="20"/>
  <c r="F4" i="4" l="1"/>
  <c r="BT7" i="20"/>
  <c r="BQ16" i="20"/>
  <c r="BQ17" i="20" l="1"/>
  <c r="BQ18" i="20" l="1"/>
  <c r="BQ19" i="20" l="1"/>
  <c r="BQ20" i="20" l="1"/>
  <c r="BQ21" i="20" l="1"/>
  <c r="BQ22" i="20" l="1"/>
  <c r="BQ23" i="20" l="1"/>
  <c r="BQ24" i="20" s="1"/>
  <c r="BQ25" i="20" l="1"/>
  <c r="BQ26" i="20" l="1"/>
  <c r="BQ27" i="20" s="1"/>
  <c r="BQ28" i="20" l="1"/>
  <c r="BQ29" i="20" l="1"/>
  <c r="BQ30" i="20" l="1"/>
  <c r="BQ31" i="20" l="1"/>
  <c r="BQ32" i="20" l="1"/>
  <c r="BQ33" i="20" l="1"/>
  <c r="BQ34" i="20" l="1"/>
  <c r="BQ35" i="20" l="1"/>
  <c r="BQ36" i="20" l="1"/>
  <c r="BQ37" i="20" s="1"/>
  <c r="BQ38" i="20" s="1"/>
  <c r="BQ39" i="20" s="1"/>
  <c r="BQ40" i="20" s="1"/>
  <c r="BQ41" i="20" s="1"/>
  <c r="BQ42" i="20" s="1"/>
  <c r="BQ43" i="20" s="1"/>
  <c r="BQ44" i="20" s="1"/>
  <c r="BQ45" i="20" s="1"/>
  <c r="BQ46" i="20" s="1"/>
  <c r="BQ47" i="20" s="1"/>
  <c r="BQ48" i="20" s="1"/>
  <c r="BQ49" i="20" s="1"/>
  <c r="BQ50" i="20" s="1"/>
  <c r="BQ51" i="20" s="1"/>
  <c r="BQ52" i="20" s="1"/>
  <c r="BQ53" i="20" s="1"/>
  <c r="BQ54" i="20" s="1"/>
  <c r="BQ55" i="20" s="1"/>
  <c r="BQ56" i="20" s="1"/>
  <c r="BQ57" i="20" s="1"/>
  <c r="BQ58" i="20" s="1"/>
  <c r="BQ59" i="20" s="1"/>
  <c r="BQ60" i="20" s="1"/>
  <c r="BQ61" i="20" s="1"/>
  <c r="BQ62" i="20" s="1"/>
  <c r="BQ63" i="20" s="1"/>
  <c r="BQ64" i="20" s="1"/>
  <c r="BQ65" i="20" s="1"/>
  <c r="BQ66" i="20" s="1"/>
  <c r="BQ67" i="20" s="1"/>
  <c r="BQ68" i="20" s="1"/>
  <c r="BQ69" i="20" s="1"/>
  <c r="BQ70" i="20" s="1"/>
  <c r="BQ71" i="20" s="1"/>
  <c r="BQ72" i="20" s="1"/>
  <c r="BQ73" i="20" s="1"/>
  <c r="BQ74" i="20" s="1"/>
  <c r="BQ75" i="20" s="1"/>
  <c r="BQ76" i="20" s="1"/>
  <c r="BQ77" i="20" s="1"/>
  <c r="BQ78" i="20" s="1"/>
  <c r="BQ79" i="20" s="1"/>
  <c r="BQ80" i="20" s="1"/>
  <c r="BQ81" i="20" s="1"/>
  <c r="BQ82" i="20" s="1"/>
  <c r="BQ83" i="20" s="1"/>
  <c r="BQ84" i="20" s="1"/>
  <c r="BQ85" i="20" s="1"/>
  <c r="BQ86" i="20" s="1"/>
  <c r="BQ87" i="20" s="1"/>
  <c r="BQ88" i="20" s="1"/>
  <c r="BQ89" i="20" s="1"/>
  <c r="BQ90" i="20" s="1"/>
  <c r="BQ91" i="20" s="1"/>
  <c r="BQ92" i="20" s="1"/>
  <c r="BQ93" i="20" s="1"/>
  <c r="BQ94" i="20" s="1"/>
  <c r="BQ95" i="20" s="1"/>
  <c r="BQ96" i="20" s="1"/>
  <c r="BQ97" i="20" s="1"/>
  <c r="BQ98" i="20" s="1"/>
  <c r="BQ99" i="20" s="1"/>
  <c r="BQ100" i="20" s="1"/>
  <c r="BQ101" i="20" s="1"/>
  <c r="BQ102" i="20" s="1"/>
  <c r="BQ103" i="20" s="1"/>
  <c r="BQ104" i="20" s="1"/>
  <c r="BQ105" i="20" s="1"/>
  <c r="BQ106" i="20" s="1"/>
  <c r="BQ107" i="20" s="1"/>
  <c r="BQ108" i="20" s="1"/>
  <c r="BQ109" i="20" s="1"/>
  <c r="BQ110" i="20" s="1"/>
  <c r="BQ111" i="20" s="1"/>
  <c r="BQ112" i="20" s="1"/>
  <c r="BQ113" i="20" s="1"/>
  <c r="BQ114" i="20" s="1"/>
  <c r="BQ115" i="20" s="1"/>
  <c r="BQ116" i="20" s="1"/>
  <c r="BQ117" i="20" s="1"/>
  <c r="BQ118" i="20" s="1"/>
  <c r="BQ119" i="20" s="1"/>
  <c r="BQ120" i="20" s="1"/>
  <c r="BQ121" i="20" s="1"/>
  <c r="BQ122" i="20" s="1"/>
  <c r="BQ123" i="20" s="1"/>
  <c r="BQ124" i="20" s="1"/>
  <c r="BQ125" i="20" s="1"/>
  <c r="BQ126" i="20" s="1"/>
  <c r="BQ127" i="20" s="1"/>
  <c r="BQ128" i="20" s="1"/>
  <c r="BQ129" i="20" s="1"/>
  <c r="BQ130" i="20" s="1"/>
  <c r="BQ131" i="20" s="1"/>
  <c r="BQ132" i="20" s="1"/>
  <c r="BQ133" i="20" s="1"/>
  <c r="BQ134" i="20" s="1"/>
  <c r="BQ135" i="20" s="1"/>
  <c r="F24" i="4" s="1"/>
  <c r="F50" i="4" l="1"/>
  <c r="C53" i="4"/>
  <c r="E53" i="4" s="1"/>
  <c r="F47" i="4"/>
  <c r="F31" i="4"/>
  <c r="F34" i="4"/>
  <c r="F45" i="4"/>
  <c r="F44" i="4"/>
  <c r="C32" i="4"/>
  <c r="E32" i="4" s="1"/>
  <c r="F27" i="4"/>
  <c r="C48" i="4"/>
  <c r="E48" i="4" s="1"/>
  <c r="F33" i="4"/>
  <c r="C31" i="4"/>
  <c r="E31" i="4" s="1"/>
  <c r="C45" i="4"/>
  <c r="E45" i="4" s="1"/>
  <c r="C38" i="4"/>
  <c r="D38" i="4" s="1"/>
  <c r="F49" i="4"/>
  <c r="F38" i="4"/>
  <c r="F46" i="4"/>
  <c r="F32" i="4"/>
  <c r="C36" i="4"/>
  <c r="E36" i="4" s="1"/>
  <c r="C35" i="4"/>
  <c r="E35" i="4" s="1"/>
  <c r="C54" i="4"/>
  <c r="E54" i="4" s="1"/>
  <c r="F30" i="4"/>
  <c r="C30" i="4"/>
  <c r="F40" i="4"/>
  <c r="C41" i="4"/>
  <c r="E41" i="4" s="1"/>
  <c r="C42" i="4"/>
  <c r="E42" i="4" s="1"/>
  <c r="F41" i="4"/>
  <c r="F53" i="4"/>
  <c r="F51" i="4"/>
  <c r="C47" i="4"/>
  <c r="D47" i="4" s="1"/>
  <c r="F29" i="4"/>
  <c r="C27" i="4"/>
  <c r="C52" i="4"/>
  <c r="D52" i="4" s="1"/>
  <c r="C46" i="4"/>
  <c r="E46" i="4" s="1"/>
  <c r="C40" i="4"/>
  <c r="D40" i="4" s="1"/>
  <c r="F43" i="4"/>
  <c r="F39" i="4"/>
  <c r="F36" i="4"/>
  <c r="F42" i="4"/>
  <c r="F37" i="4"/>
  <c r="C28" i="4"/>
  <c r="F48" i="4"/>
  <c r="C55" i="4"/>
  <c r="D55" i="4" s="1"/>
  <c r="C39" i="4"/>
  <c r="E39" i="4" s="1"/>
  <c r="F54" i="4"/>
  <c r="C34" i="4"/>
  <c r="E34" i="4" s="1"/>
  <c r="F52" i="4"/>
  <c r="F55" i="4"/>
  <c r="C50" i="4"/>
  <c r="D50" i="4" s="1"/>
  <c r="C25" i="4"/>
  <c r="C6" i="4"/>
  <c r="F5" i="4"/>
  <c r="F8" i="4"/>
  <c r="C5" i="4"/>
  <c r="C7" i="4"/>
  <c r="F6" i="4"/>
  <c r="C8" i="4"/>
  <c r="C9" i="4"/>
  <c r="C12" i="4"/>
  <c r="F7" i="4"/>
  <c r="C10" i="4"/>
  <c r="F10" i="4"/>
  <c r="F9" i="4"/>
  <c r="C13" i="4"/>
  <c r="C11" i="4"/>
  <c r="F11" i="4"/>
  <c r="C14" i="4"/>
  <c r="F12" i="4"/>
  <c r="C15" i="4"/>
  <c r="F14" i="4"/>
  <c r="F13" i="4"/>
  <c r="F15" i="4"/>
  <c r="C16" i="4"/>
  <c r="F17" i="4"/>
  <c r="F16" i="4"/>
  <c r="C17" i="4"/>
  <c r="F21" i="4"/>
  <c r="C18" i="4"/>
  <c r="F20" i="4"/>
  <c r="F18" i="4"/>
  <c r="C22" i="4"/>
  <c r="F19" i="4"/>
  <c r="C20" i="4"/>
  <c r="C21" i="4"/>
  <c r="F23" i="4"/>
  <c r="C19" i="4"/>
  <c r="C23" i="4"/>
  <c r="C26" i="4"/>
  <c r="F25" i="4"/>
  <c r="F22" i="4"/>
  <c r="C43" i="4"/>
  <c r="E43" i="4" s="1"/>
  <c r="C44" i="4"/>
  <c r="E44" i="4" s="1"/>
  <c r="C24" i="4"/>
  <c r="C49" i="4"/>
  <c r="D49" i="4" s="1"/>
  <c r="F35" i="4"/>
  <c r="C33" i="4"/>
  <c r="E33" i="4" s="1"/>
  <c r="C37" i="4"/>
  <c r="E37" i="4" s="1"/>
  <c r="C51" i="4"/>
  <c r="D51" i="4" s="1"/>
  <c r="C29" i="4"/>
  <c r="D29" i="4" s="1"/>
  <c r="F26" i="4"/>
  <c r="F28" i="4"/>
  <c r="D53" i="4" l="1"/>
  <c r="D42" i="4"/>
  <c r="D48" i="4"/>
  <c r="D45" i="4"/>
  <c r="D54" i="4"/>
  <c r="D41" i="4"/>
  <c r="E55" i="4"/>
  <c r="D46" i="4"/>
  <c r="D36" i="4"/>
  <c r="D35" i="4"/>
  <c r="D39" i="4"/>
  <c r="D31" i="4"/>
  <c r="D43" i="4"/>
  <c r="E40" i="4"/>
  <c r="D34" i="4"/>
  <c r="E47" i="4"/>
  <c r="E50" i="4"/>
  <c r="E52" i="4"/>
  <c r="D37" i="4"/>
  <c r="E38" i="4"/>
  <c r="D44" i="4"/>
  <c r="E29" i="4"/>
  <c r="E49" i="4"/>
  <c r="D33" i="4"/>
  <c r="F2" i="4"/>
  <c r="D32" i="4"/>
  <c r="E51" i="4"/>
  <c r="E26" i="4"/>
  <c r="D26" i="4"/>
  <c r="E13" i="4"/>
  <c r="D13" i="4"/>
  <c r="D27" i="4"/>
  <c r="E27" i="4"/>
  <c r="E23" i="4"/>
  <c r="D23" i="4"/>
  <c r="E7" i="4"/>
  <c r="D7" i="4"/>
  <c r="D6" i="21" s="1"/>
  <c r="E30" i="4"/>
  <c r="D30" i="4"/>
  <c r="E19" i="4"/>
  <c r="D19" i="4"/>
  <c r="E18" i="4"/>
  <c r="D18" i="4"/>
  <c r="E5" i="4"/>
  <c r="D5" i="4"/>
  <c r="D5" i="21" s="1"/>
  <c r="D24" i="4"/>
  <c r="E24" i="4"/>
  <c r="D15" i="4"/>
  <c r="E15" i="4"/>
  <c r="D10" i="4"/>
  <c r="E10" i="4"/>
  <c r="E21" i="4"/>
  <c r="D21" i="4"/>
  <c r="E17" i="4"/>
  <c r="D17" i="4"/>
  <c r="D20" i="4"/>
  <c r="E20" i="4"/>
  <c r="E14" i="4"/>
  <c r="D14" i="4"/>
  <c r="D12" i="4"/>
  <c r="E12" i="4"/>
  <c r="E6" i="4"/>
  <c r="D6" i="4"/>
  <c r="D9" i="4"/>
  <c r="E9" i="4"/>
  <c r="E25" i="4"/>
  <c r="D25" i="4"/>
  <c r="D22" i="4"/>
  <c r="E22" i="4"/>
  <c r="D16" i="4"/>
  <c r="E16" i="4"/>
  <c r="E11" i="4"/>
  <c r="D11" i="4"/>
  <c r="E8" i="4"/>
  <c r="D8" i="4"/>
  <c r="D4" i="21" s="1"/>
  <c r="E28" i="4"/>
  <c r="D28" i="4"/>
  <c r="D7" i="21" l="1"/>
</calcChain>
</file>

<file path=xl/sharedStrings.xml><?xml version="1.0" encoding="utf-8"?>
<sst xmlns="http://schemas.openxmlformats.org/spreadsheetml/2006/main" count="19476" uniqueCount="9853">
  <si>
    <t>Organisación</t>
  </si>
  <si>
    <t>Evento</t>
  </si>
  <si>
    <t>Todos</t>
  </si>
  <si>
    <t>Sede</t>
  </si>
  <si>
    <t>Categoría</t>
  </si>
  <si>
    <t>Fecha</t>
  </si>
  <si>
    <t>Hora</t>
  </si>
  <si>
    <t>Tipo de evento</t>
  </si>
  <si>
    <t>Director de torneo</t>
  </si>
  <si>
    <t>Eliminación sencilla</t>
  </si>
  <si>
    <t>Jugadores</t>
  </si>
  <si>
    <t>Grupos</t>
  </si>
  <si>
    <t>Jugadores por grupo</t>
  </si>
  <si>
    <t>Registro</t>
  </si>
  <si>
    <t>Jugadores que avanzan a eliminación sencilla (2 or "Todos")</t>
  </si>
  <si>
    <t>Club</t>
  </si>
  <si>
    <t>Siembra</t>
  </si>
  <si>
    <t>Membresía</t>
  </si>
  <si>
    <t>Cuota de participación</t>
  </si>
  <si>
    <t>Distribución de puntos</t>
  </si>
  <si>
    <t>Dif</t>
  </si>
  <si>
    <t>Favorito</t>
  </si>
  <si>
    <t>No favorito</t>
  </si>
  <si>
    <t>0 - 24</t>
  </si>
  <si>
    <t>8</t>
  </si>
  <si>
    <t>25 - 49</t>
  </si>
  <si>
    <t>10</t>
  </si>
  <si>
    <t>50 - 99</t>
  </si>
  <si>
    <t>12</t>
  </si>
  <si>
    <t>100 - 149</t>
  </si>
  <si>
    <t>15</t>
  </si>
  <si>
    <t>150 - 199</t>
  </si>
  <si>
    <t>20</t>
  </si>
  <si>
    <t>200 - 249</t>
  </si>
  <si>
    <t>26</t>
  </si>
  <si>
    <t>&gt; 249</t>
  </si>
  <si>
    <t>32</t>
  </si>
  <si>
    <t>.</t>
  </si>
  <si>
    <t/>
  </si>
  <si>
    <t>Adrian H. Rivera Perez</t>
  </si>
  <si>
    <t>no</t>
  </si>
  <si>
    <t>Edwan Castillo Cordova</t>
  </si>
  <si>
    <t>Adriel Dávila Santiago</t>
  </si>
  <si>
    <t>Giovanni F Centeno Flores</t>
  </si>
  <si>
    <t>yes</t>
  </si>
  <si>
    <t>Alahia Medina Garcia</t>
  </si>
  <si>
    <t>Jorge Ayala Torres</t>
  </si>
  <si>
    <t>Alex Torres Santiago</t>
  </si>
  <si>
    <t>Jorge Pagan Ostolaza</t>
  </si>
  <si>
    <t>Alondra Rodriguez Ortiz</t>
  </si>
  <si>
    <t>José David Méndez Vargas</t>
  </si>
  <si>
    <t>Andrew Rivera González</t>
  </si>
  <si>
    <t>Kristal Meléndez Lafontaine</t>
  </si>
  <si>
    <t>Ashlimar Hernández Sánchez</t>
  </si>
  <si>
    <t>Noah Diaz Santiago</t>
  </si>
  <si>
    <t>Caleb Jiménez Rodiguez</t>
  </si>
  <si>
    <t>Pedro Matos Ortiz</t>
  </si>
  <si>
    <t>Carlos Y Figueroa Montijo</t>
  </si>
  <si>
    <t>Ramsel Carrillo García</t>
  </si>
  <si>
    <t>Christian Miranda Díaz</t>
  </si>
  <si>
    <t>Samuel Hernandez Camacho</t>
  </si>
  <si>
    <t>Darien Torres Nieves</t>
  </si>
  <si>
    <t>Sebastian Cruz Ruiz</t>
  </si>
  <si>
    <t>David Baez Rivera</t>
  </si>
  <si>
    <t>Sebastian Villanueva Quiles</t>
  </si>
  <si>
    <t>Desireé Ortiz Torres</t>
  </si>
  <si>
    <t>Sergio Silva Velez</t>
  </si>
  <si>
    <t>Steven Moreno Rivera</t>
  </si>
  <si>
    <t>Edwin Ruiz Garcia</t>
  </si>
  <si>
    <t>Yamil Castellano Diaz</t>
  </si>
  <si>
    <t>Eliud Torres Velásquez</t>
  </si>
  <si>
    <t>Emmanuel Hernandez Figueroa</t>
  </si>
  <si>
    <t>Jerall Montijo Rivera</t>
  </si>
  <si>
    <t>John Imanol Marrero Figueroa</t>
  </si>
  <si>
    <t>Jomar Negron Otero</t>
  </si>
  <si>
    <t>Jose Malave Adams</t>
  </si>
  <si>
    <t>José Orlando Toro Cintrón</t>
  </si>
  <si>
    <t>Josué Enrique Díaz Pérez</t>
  </si>
  <si>
    <t>Juan Acevedo Zayas</t>
  </si>
  <si>
    <t>Juan P Ortiz Nieves</t>
  </si>
  <si>
    <t>Kevin Rivera Rios</t>
  </si>
  <si>
    <t>Luis D Barbosa</t>
  </si>
  <si>
    <t>Naim Davila González</t>
  </si>
  <si>
    <t>Pedro Oquendo Sánchez</t>
  </si>
  <si>
    <t>Sebastían Rosario Cintrón</t>
  </si>
  <si>
    <t>Shaquille J. Rivera Vicente</t>
  </si>
  <si>
    <t>Sonelis González Cartagena</t>
  </si>
  <si>
    <t>Víctor M. Delgado Rosa</t>
  </si>
  <si>
    <t>Yomar Carrillo García</t>
  </si>
  <si>
    <t>Zulnamy Soto Torres</t>
  </si>
  <si>
    <t>Players</t>
  </si>
  <si>
    <t>Group 1</t>
  </si>
  <si>
    <t>Lost Matches / Won Matches</t>
  </si>
  <si>
    <t>Player</t>
  </si>
  <si>
    <t>Draw</t>
  </si>
  <si>
    <t>Rnkng</t>
  </si>
  <si>
    <t>W</t>
  </si>
  <si>
    <t>L</t>
  </si>
  <si>
    <t>Pos</t>
  </si>
  <si>
    <t>Rnkng points</t>
  </si>
  <si>
    <t>New Rnkng</t>
  </si>
  <si>
    <t>1, 2 y 3</t>
  </si>
  <si>
    <t>1, 3 y 4</t>
  </si>
  <si>
    <t>1,2 y 4</t>
  </si>
  <si>
    <t>2, 3 y 4</t>
  </si>
  <si>
    <t>Group = 3 Players</t>
  </si>
  <si>
    <t>Group = 4 Players</t>
  </si>
  <si>
    <t>Matches L / W</t>
  </si>
  <si>
    <t>Group #</t>
  </si>
  <si>
    <t>Pos Grps</t>
  </si>
  <si>
    <t>Points L/W</t>
  </si>
  <si>
    <t>Lost Points / Won Points</t>
  </si>
  <si>
    <t>W / L Points</t>
  </si>
  <si>
    <t>Won</t>
  </si>
  <si>
    <t>Lost</t>
  </si>
  <si>
    <t>Match 1</t>
  </si>
  <si>
    <t>Match 2</t>
  </si>
  <si>
    <t>Match 3</t>
  </si>
  <si>
    <t>Match 4</t>
  </si>
  <si>
    <t>Match 5</t>
  </si>
  <si>
    <t>Final</t>
  </si>
  <si>
    <t>Match 6</t>
  </si>
  <si>
    <t>Group 2</t>
  </si>
  <si>
    <t>Group 3</t>
  </si>
  <si>
    <t xml:space="preserve">               </t>
  </si>
  <si>
    <t>Group 4</t>
  </si>
  <si>
    <t xml:space="preserve"> </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</si>
  <si>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</si>
  <si>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</si>
  <si>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</si>
  <si>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</si>
  <si>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</si>
  <si>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</si>
  <si>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</si>
  <si>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</si>
  <si>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</si>
  <si>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</si>
  <si>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</si>
  <si>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</si>
  <si>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</si>
  <si>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</si>
  <si>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</si>
  <si>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</si>
  <si>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</si>
  <si>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</si>
  <si>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</si>
  <si>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</si>
  <si>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</si>
  <si>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Group 26</t>
  </si>
  <si>
    <t>Group 27</t>
  </si>
  <si>
    <t>Group 28</t>
  </si>
  <si>
    <t>Group 29</t>
  </si>
  <si>
    <t>Group 30</t>
  </si>
  <si>
    <t>Group 31</t>
  </si>
  <si>
    <t>Group 32</t>
  </si>
  <si>
    <t>Group 33</t>
  </si>
  <si>
    <t>Group 34</t>
  </si>
  <si>
    <t>Group 35</t>
  </si>
  <si>
    <t>Group 36</t>
  </si>
  <si>
    <t>Group 37</t>
  </si>
  <si>
    <t>Group 38</t>
  </si>
  <si>
    <t>Group 39</t>
  </si>
  <si>
    <t>Group 40</t>
  </si>
  <si>
    <t>Group 41</t>
  </si>
  <si>
    <t>Group 42</t>
  </si>
  <si>
    <t>Group 43</t>
  </si>
  <si>
    <t>1-1</t>
  </si>
  <si>
    <t>1-33</t>
  </si>
  <si>
    <t>2-1</t>
  </si>
  <si>
    <t>2-17</t>
  </si>
  <si>
    <t>Ajuste</t>
  </si>
  <si>
    <t>g</t>
  </si>
  <si>
    <t>3-1</t>
  </si>
  <si>
    <t>3-9</t>
  </si>
  <si>
    <t>1-2</t>
  </si>
  <si>
    <t>1-34</t>
  </si>
  <si>
    <t>p</t>
  </si>
  <si>
    <t>4-1</t>
  </si>
  <si>
    <t>4-5</t>
  </si>
  <si>
    <t>1-3</t>
  </si>
  <si>
    <t>1-35</t>
  </si>
  <si>
    <t>2-2</t>
  </si>
  <si>
    <t>2-18</t>
  </si>
  <si>
    <t>P</t>
  </si>
  <si>
    <t>1-4</t>
  </si>
  <si>
    <t>1-36</t>
  </si>
  <si>
    <t>5-1</t>
  </si>
  <si>
    <t>5-3</t>
  </si>
  <si>
    <t>1-5</t>
  </si>
  <si>
    <t>1-37</t>
  </si>
  <si>
    <t>2-3</t>
  </si>
  <si>
    <t>2-19</t>
  </si>
  <si>
    <t>3-2</t>
  </si>
  <si>
    <t>3-10</t>
  </si>
  <si>
    <t>1-6</t>
  </si>
  <si>
    <t>1-38</t>
  </si>
  <si>
    <t>1-7</t>
  </si>
  <si>
    <t>1-39</t>
  </si>
  <si>
    <t>2-4</t>
  </si>
  <si>
    <t>2-20</t>
  </si>
  <si>
    <t>1-8</t>
  </si>
  <si>
    <t>1-40</t>
  </si>
  <si>
    <t>6-1</t>
  </si>
  <si>
    <t>6-2</t>
  </si>
  <si>
    <t>1-9</t>
  </si>
  <si>
    <t>1-41</t>
  </si>
  <si>
    <t>2-5</t>
  </si>
  <si>
    <t>2-21</t>
  </si>
  <si>
    <t>G</t>
  </si>
  <si>
    <t>3-3</t>
  </si>
  <si>
    <t>3-11</t>
  </si>
  <si>
    <t>1-10</t>
  </si>
  <si>
    <t>1-42</t>
  </si>
  <si>
    <t>4-2</t>
  </si>
  <si>
    <t>4-6</t>
  </si>
  <si>
    <t>1-11</t>
  </si>
  <si>
    <t>1-43</t>
  </si>
  <si>
    <t>2-6</t>
  </si>
  <si>
    <t>2-22</t>
  </si>
  <si>
    <t>1-12</t>
  </si>
  <si>
    <t>1-44</t>
  </si>
  <si>
    <t>1-13</t>
  </si>
  <si>
    <t>1-45</t>
  </si>
  <si>
    <t>2-7</t>
  </si>
  <si>
    <t>2-23</t>
  </si>
  <si>
    <t>3-4</t>
  </si>
  <si>
    <t>3-12</t>
  </si>
  <si>
    <t>1-14</t>
  </si>
  <si>
    <t>1-46</t>
  </si>
  <si>
    <t>1-15</t>
  </si>
  <si>
    <t>1-47</t>
  </si>
  <si>
    <t>2-8</t>
  </si>
  <si>
    <t>2-24</t>
  </si>
  <si>
    <t>1-16</t>
  </si>
  <si>
    <t>1-48</t>
  </si>
  <si>
    <t>1-17</t>
  </si>
  <si>
    <t>1-49</t>
  </si>
  <si>
    <t>2-9</t>
  </si>
  <si>
    <t>2-25</t>
  </si>
  <si>
    <t>3-5</t>
  </si>
  <si>
    <t>3-13</t>
  </si>
  <si>
    <t>1-18</t>
  </si>
  <si>
    <t>1-50</t>
  </si>
  <si>
    <t>4-3</t>
  </si>
  <si>
    <t>4-7</t>
  </si>
  <si>
    <t>1-19</t>
  </si>
  <si>
    <t>2-26</t>
  </si>
  <si>
    <t>1-51</t>
  </si>
  <si>
    <t>2-10</t>
  </si>
  <si>
    <t>1-20</t>
  </si>
  <si>
    <t>1-52</t>
  </si>
  <si>
    <t>5-2</t>
  </si>
  <si>
    <t>5-4</t>
  </si>
  <si>
    <t>1-21</t>
  </si>
  <si>
    <t>1-53</t>
  </si>
  <si>
    <t>2-11</t>
  </si>
  <si>
    <t>2-27</t>
  </si>
  <si>
    <t>3-6</t>
  </si>
  <si>
    <t>3-14</t>
  </si>
  <si>
    <t>1-22</t>
  </si>
  <si>
    <t>1-54</t>
  </si>
  <si>
    <t>1-23</t>
  </si>
  <si>
    <t>1-55</t>
  </si>
  <si>
    <t>2-12</t>
  </si>
  <si>
    <t>2-28</t>
  </si>
  <si>
    <t>1-24</t>
  </si>
  <si>
    <t>1-56</t>
  </si>
  <si>
    <t>1-25</t>
  </si>
  <si>
    <t>1-57</t>
  </si>
  <si>
    <t>2-13</t>
  </si>
  <si>
    <t>2-29</t>
  </si>
  <si>
    <t>3-7</t>
  </si>
  <si>
    <t>3-15</t>
  </si>
  <si>
    <t>1-26</t>
  </si>
  <si>
    <t>1-58</t>
  </si>
  <si>
    <t>4-4</t>
  </si>
  <si>
    <t>4-8</t>
  </si>
  <si>
    <t>1-27</t>
  </si>
  <si>
    <t>1-59</t>
  </si>
  <si>
    <t>2-14</t>
  </si>
  <si>
    <t>2-30</t>
  </si>
  <si>
    <t>1-28</t>
  </si>
  <si>
    <t>1-60</t>
  </si>
  <si>
    <t>1-29</t>
  </si>
  <si>
    <t>1-61</t>
  </si>
  <si>
    <t>2-15</t>
  </si>
  <si>
    <t>2-31</t>
  </si>
  <si>
    <t>3-8</t>
  </si>
  <si>
    <t>3-16</t>
  </si>
  <si>
    <t>1-30</t>
  </si>
  <si>
    <t>1-62</t>
  </si>
  <si>
    <t>1-31</t>
  </si>
  <si>
    <t>1-63</t>
  </si>
  <si>
    <t>2-16</t>
  </si>
  <si>
    <t>2-32</t>
  </si>
  <si>
    <t>1-32</t>
  </si>
  <si>
    <t>1-64</t>
  </si>
  <si>
    <t>Groups</t>
  </si>
  <si>
    <t>Group</t>
  </si>
  <si>
    <t>KO Pos</t>
  </si>
  <si>
    <t>Grp_Res</t>
  </si>
  <si>
    <t>A</t>
  </si>
  <si>
    <t>B</t>
  </si>
  <si>
    <t>C</t>
  </si>
  <si>
    <t>w</t>
  </si>
  <si>
    <t>D</t>
  </si>
  <si>
    <t>Tabla de Combinaciones</t>
  </si>
  <si>
    <t>(utiliza el total de jugadores para determinar en que grupo [1 al 32] y en cuál posición del grupo X [A, B, C o D] se coloca el jugador) para acomodar desde 1 hasta 128 jugadores</t>
  </si>
  <si>
    <t>Grupos de 4</t>
  </si>
  <si>
    <t>Grupos de 3</t>
  </si>
  <si>
    <t>Grupo y posición</t>
  </si>
  <si>
    <t>Posicion del Jugador en registro</t>
  </si>
  <si>
    <t>Se utiliza para posiciones en la llave (sembrados y byes)</t>
  </si>
  <si>
    <t>Favorite</t>
  </si>
  <si>
    <t>Underdog</t>
  </si>
  <si>
    <t>Grupo</t>
  </si>
  <si>
    <t>100A1</t>
  </si>
  <si>
    <t>9C3</t>
  </si>
  <si>
    <t>A1</t>
  </si>
  <si>
    <t>Bye totals</t>
  </si>
  <si>
    <t>100A10</t>
  </si>
  <si>
    <t>9C2</t>
  </si>
  <si>
    <t>100A12</t>
  </si>
  <si>
    <t>9B3</t>
  </si>
  <si>
    <t>100A13</t>
  </si>
  <si>
    <t>9B2</t>
  </si>
  <si>
    <t>Bye</t>
  </si>
  <si>
    <t>BYE</t>
  </si>
  <si>
    <t>100A14</t>
  </si>
  <si>
    <t>9B1</t>
  </si>
  <si>
    <t>100A15</t>
  </si>
  <si>
    <t>9A3</t>
  </si>
  <si>
    <t>100A16</t>
  </si>
  <si>
    <t>9A2</t>
  </si>
  <si>
    <t>100A17</t>
  </si>
  <si>
    <t>9A1</t>
  </si>
  <si>
    <t>100A18</t>
  </si>
  <si>
    <t>96C9</t>
  </si>
  <si>
    <t>100A19</t>
  </si>
  <si>
    <t>96C8</t>
  </si>
  <si>
    <t>100A2</t>
  </si>
  <si>
    <t>96C7</t>
  </si>
  <si>
    <t>100A20</t>
  </si>
  <si>
    <t>96C6</t>
  </si>
  <si>
    <t>100A21</t>
  </si>
  <si>
    <t>96C5</t>
  </si>
  <si>
    <t>100A22</t>
  </si>
  <si>
    <t>96C4</t>
  </si>
  <si>
    <t>100A23</t>
  </si>
  <si>
    <t>96C32</t>
  </si>
  <si>
    <t>100A24</t>
  </si>
  <si>
    <t>96C31</t>
  </si>
  <si>
    <t>100A25</t>
  </si>
  <si>
    <t>96C30</t>
  </si>
  <si>
    <t>100A3</t>
  </si>
  <si>
    <t>96C3</t>
  </si>
  <si>
    <t>100A4</t>
  </si>
  <si>
    <t>96C29</t>
  </si>
  <si>
    <t>100A5</t>
  </si>
  <si>
    <t>96C28</t>
  </si>
  <si>
    <t>100A6</t>
  </si>
  <si>
    <t>96C27</t>
  </si>
  <si>
    <t>100A7</t>
  </si>
  <si>
    <t>96C26</t>
  </si>
  <si>
    <t>100A8</t>
  </si>
  <si>
    <t>96C25</t>
  </si>
  <si>
    <t>100A9</t>
  </si>
  <si>
    <t>96C24</t>
  </si>
  <si>
    <t>100B1</t>
  </si>
  <si>
    <t>96C23</t>
  </si>
  <si>
    <t>100B10</t>
  </si>
  <si>
    <t>96C22</t>
  </si>
  <si>
    <t>100B11</t>
  </si>
  <si>
    <t>96C21</t>
  </si>
  <si>
    <t>100B12</t>
  </si>
  <si>
    <t>96C20</t>
  </si>
  <si>
    <t>100B13</t>
  </si>
  <si>
    <t>96C2</t>
  </si>
  <si>
    <t>100B14</t>
  </si>
  <si>
    <t>96C19</t>
  </si>
  <si>
    <t>100B15</t>
  </si>
  <si>
    <t>96C18</t>
  </si>
  <si>
    <t>100B16</t>
  </si>
  <si>
    <t>96C17</t>
  </si>
  <si>
    <t>100B17</t>
  </si>
  <si>
    <t>96C16</t>
  </si>
  <si>
    <t>100B18</t>
  </si>
  <si>
    <t>96C15</t>
  </si>
  <si>
    <t>100B19</t>
  </si>
  <si>
    <t>96C14</t>
  </si>
  <si>
    <t>100B2</t>
  </si>
  <si>
    <t>96C13</t>
  </si>
  <si>
    <t>100B20</t>
  </si>
  <si>
    <t>96C12</t>
  </si>
  <si>
    <t>100B21</t>
  </si>
  <si>
    <t>96C11</t>
  </si>
  <si>
    <t>100B22</t>
  </si>
  <si>
    <t>96C10</t>
  </si>
  <si>
    <t>100B23</t>
  </si>
  <si>
    <t>96C1</t>
  </si>
  <si>
    <t>100B24</t>
  </si>
  <si>
    <t>96B9</t>
  </si>
  <si>
    <t>100B25</t>
  </si>
  <si>
    <t>96B8</t>
  </si>
  <si>
    <t>100B3</t>
  </si>
  <si>
    <t>96B7</t>
  </si>
  <si>
    <t>100B4</t>
  </si>
  <si>
    <t>96B6</t>
  </si>
  <si>
    <t>100B5</t>
  </si>
  <si>
    <t>96B5</t>
  </si>
  <si>
    <t>100B6</t>
  </si>
  <si>
    <t>96B4</t>
  </si>
  <si>
    <t>100B7</t>
  </si>
  <si>
    <t>96B32</t>
  </si>
  <si>
    <t>100B8</t>
  </si>
  <si>
    <t>96B31</t>
  </si>
  <si>
    <t>100B9</t>
  </si>
  <si>
    <t>96B30</t>
  </si>
  <si>
    <t>100C1</t>
  </si>
  <si>
    <t>96B3</t>
  </si>
  <si>
    <t>100C10</t>
  </si>
  <si>
    <t>96B29</t>
  </si>
  <si>
    <t>100C11</t>
  </si>
  <si>
    <t>96B28</t>
  </si>
  <si>
    <t>100C12</t>
  </si>
  <si>
    <t>96B27</t>
  </si>
  <si>
    <t>100C13</t>
  </si>
  <si>
    <t>96B26</t>
  </si>
  <si>
    <t>100C14</t>
  </si>
  <si>
    <t>96B25</t>
  </si>
  <si>
    <t>100C15</t>
  </si>
  <si>
    <t>96B24</t>
  </si>
  <si>
    <t>100C16</t>
  </si>
  <si>
    <t>96B23</t>
  </si>
  <si>
    <t>100C17</t>
  </si>
  <si>
    <t>96B22</t>
  </si>
  <si>
    <t>100C18</t>
  </si>
  <si>
    <t>96B21</t>
  </si>
  <si>
    <t>100C19</t>
  </si>
  <si>
    <t>96B20</t>
  </si>
  <si>
    <t>100C2</t>
  </si>
  <si>
    <t>96B2</t>
  </si>
  <si>
    <t>100C20</t>
  </si>
  <si>
    <t>96B19</t>
  </si>
  <si>
    <t>100C21</t>
  </si>
  <si>
    <t>96B18</t>
  </si>
  <si>
    <t>100C22</t>
  </si>
  <si>
    <t>96B17</t>
  </si>
  <si>
    <t>100C23</t>
  </si>
  <si>
    <t>96B16</t>
  </si>
  <si>
    <t>100C24</t>
  </si>
  <si>
    <t>96B15</t>
  </si>
  <si>
    <t>100C25</t>
  </si>
  <si>
    <t>96B14</t>
  </si>
  <si>
    <t>100C3</t>
  </si>
  <si>
    <t>96B13</t>
  </si>
  <si>
    <t>100C4</t>
  </si>
  <si>
    <t>96B12</t>
  </si>
  <si>
    <t>100C5</t>
  </si>
  <si>
    <t>96B11</t>
  </si>
  <si>
    <t>100C6</t>
  </si>
  <si>
    <t>96B10</t>
  </si>
  <si>
    <t>100C7</t>
  </si>
  <si>
    <t>96B1</t>
  </si>
  <si>
    <t>100C8</t>
  </si>
  <si>
    <t>96A9</t>
  </si>
  <si>
    <t>100C9</t>
  </si>
  <si>
    <t>96A8</t>
  </si>
  <si>
    <t>100D1</t>
  </si>
  <si>
    <t>96A7</t>
  </si>
  <si>
    <t>100D10</t>
  </si>
  <si>
    <t>96A6</t>
  </si>
  <si>
    <t>100D11</t>
  </si>
  <si>
    <t>96A5</t>
  </si>
  <si>
    <t>100D12</t>
  </si>
  <si>
    <t>96A4</t>
  </si>
  <si>
    <t>100D13</t>
  </si>
  <si>
    <t>96A32</t>
  </si>
  <si>
    <t>100D14</t>
  </si>
  <si>
    <t>96A31</t>
  </si>
  <si>
    <t>100D15</t>
  </si>
  <si>
    <t>96A30</t>
  </si>
  <si>
    <t>100D16</t>
  </si>
  <si>
    <t>96A3</t>
  </si>
  <si>
    <t>100D17</t>
  </si>
  <si>
    <t>96A29</t>
  </si>
  <si>
    <t>100D18</t>
  </si>
  <si>
    <t>96A28</t>
  </si>
  <si>
    <t>100D19</t>
  </si>
  <si>
    <t>96A27</t>
  </si>
  <si>
    <t>100D2</t>
  </si>
  <si>
    <t>96A26</t>
  </si>
  <si>
    <t>100D20</t>
  </si>
  <si>
    <t>96A25</t>
  </si>
  <si>
    <t>100D21</t>
  </si>
  <si>
    <t>96A24</t>
  </si>
  <si>
    <t>100D22</t>
  </si>
  <si>
    <t>96A23</t>
  </si>
  <si>
    <t>100D23</t>
  </si>
  <si>
    <t>96A22</t>
  </si>
  <si>
    <t>100D24</t>
  </si>
  <si>
    <t>96A21</t>
  </si>
  <si>
    <t>100D25</t>
  </si>
  <si>
    <t>96A20</t>
  </si>
  <si>
    <t>100D3</t>
  </si>
  <si>
    <t>96A2</t>
  </si>
  <si>
    <t>100D4</t>
  </si>
  <si>
    <t>96A19</t>
  </si>
  <si>
    <t>100D5</t>
  </si>
  <si>
    <t>96A18</t>
  </si>
  <si>
    <t>100D6</t>
  </si>
  <si>
    <t>96A17</t>
  </si>
  <si>
    <t>100D7</t>
  </si>
  <si>
    <t>96A16</t>
  </si>
  <si>
    <t>100D8</t>
  </si>
  <si>
    <t>96A15</t>
  </si>
  <si>
    <t>100D9</t>
  </si>
  <si>
    <t>96A14</t>
  </si>
  <si>
    <t>101A1</t>
  </si>
  <si>
    <t>96A13</t>
  </si>
  <si>
    <t>101A10</t>
  </si>
  <si>
    <t>96A12</t>
  </si>
  <si>
    <t>101A11</t>
  </si>
  <si>
    <t>96A11</t>
  </si>
  <si>
    <t>101A12</t>
  </si>
  <si>
    <t>96A10</t>
  </si>
  <si>
    <t>101A13</t>
  </si>
  <si>
    <t>96A1</t>
  </si>
  <si>
    <t>101A14</t>
  </si>
  <si>
    <t>95C9</t>
  </si>
  <si>
    <t>101A15</t>
  </si>
  <si>
    <t>95C8</t>
  </si>
  <si>
    <t>101A16</t>
  </si>
  <si>
    <t>95C7</t>
  </si>
  <si>
    <t>101A17</t>
  </si>
  <si>
    <t>95C6</t>
  </si>
  <si>
    <t>101A18</t>
  </si>
  <si>
    <t>95C5</t>
  </si>
  <si>
    <t>101A19</t>
  </si>
  <si>
    <t>95C4</t>
  </si>
  <si>
    <t>101A2</t>
  </si>
  <si>
    <t>95C32</t>
  </si>
  <si>
    <t>101A20</t>
  </si>
  <si>
    <t>95C31</t>
  </si>
  <si>
    <t>101A21</t>
  </si>
  <si>
    <t>95C30</t>
  </si>
  <si>
    <t>101A22</t>
  </si>
  <si>
    <t>95C3</t>
  </si>
  <si>
    <t>101A23</t>
  </si>
  <si>
    <t>95C29</t>
  </si>
  <si>
    <t>101A24</t>
  </si>
  <si>
    <t>95C28</t>
  </si>
  <si>
    <t>101A25</t>
  </si>
  <si>
    <t>95C27</t>
  </si>
  <si>
    <t>101A26</t>
  </si>
  <si>
    <t>95C26</t>
  </si>
  <si>
    <t>101A3</t>
  </si>
  <si>
    <t>95C25</t>
  </si>
  <si>
    <t>101A4</t>
  </si>
  <si>
    <t>95C24</t>
  </si>
  <si>
    <t>101A5</t>
  </si>
  <si>
    <t>95C23</t>
  </si>
  <si>
    <t>101A6</t>
  </si>
  <si>
    <t>95C22</t>
  </si>
  <si>
    <t>101A7</t>
  </si>
  <si>
    <t>95C21</t>
  </si>
  <si>
    <t>101A8</t>
  </si>
  <si>
    <t>95C20</t>
  </si>
  <si>
    <t>101A9</t>
  </si>
  <si>
    <t>95C2</t>
  </si>
  <si>
    <t>101B1</t>
  </si>
  <si>
    <t>95C19</t>
  </si>
  <si>
    <t>Como se determina la llave</t>
  </si>
  <si>
    <t>101B10</t>
  </si>
  <si>
    <t>95C18</t>
  </si>
  <si>
    <t>1- Se va al range Knockout y se determina como se siembra (por orden de fuerza) y Byes. Se busca por el total de jugadores</t>
  </si>
  <si>
    <t>101B11</t>
  </si>
  <si>
    <t>95C17</t>
  </si>
  <si>
    <t>2- Se va al range de Group_Results y se determina en que grupo y posición por fuerza</t>
  </si>
  <si>
    <t>101B12</t>
  </si>
  <si>
    <t>95C16</t>
  </si>
  <si>
    <t>3- Se busca a quien corresponde el numero de jugador haciendo busqueda en los resultados de cada grupo</t>
  </si>
  <si>
    <t>101B13</t>
  </si>
  <si>
    <t>95C15</t>
  </si>
  <si>
    <t>4- se determina quién es el jugador</t>
  </si>
  <si>
    <t>101B14</t>
  </si>
  <si>
    <t>95C14</t>
  </si>
  <si>
    <t>101B15</t>
  </si>
  <si>
    <t>95C13</t>
  </si>
  <si>
    <t>101B16</t>
  </si>
  <si>
    <t>95C12</t>
  </si>
  <si>
    <t>101B17</t>
  </si>
  <si>
    <t>95C11</t>
  </si>
  <si>
    <t>Llave</t>
  </si>
  <si>
    <t>Sembrados y Byes</t>
  </si>
  <si>
    <t>Resultados de grupos</t>
  </si>
  <si>
    <t>101B18</t>
  </si>
  <si>
    <t>95C10</t>
  </si>
  <si>
    <t>Key Pos</t>
  </si>
  <si>
    <t>Por seed</t>
  </si>
  <si>
    <t>Player Reg #</t>
  </si>
  <si>
    <t>101B19</t>
  </si>
  <si>
    <t>95B9</t>
  </si>
  <si>
    <t>101B2</t>
  </si>
  <si>
    <t>95B8</t>
  </si>
  <si>
    <t>101B20</t>
  </si>
  <si>
    <t>95B7</t>
  </si>
  <si>
    <t>101B21</t>
  </si>
  <si>
    <t>95B6</t>
  </si>
  <si>
    <t>101B22</t>
  </si>
  <si>
    <t>95B5</t>
  </si>
  <si>
    <t>101B23</t>
  </si>
  <si>
    <t>95B4</t>
  </si>
  <si>
    <t>101B24</t>
  </si>
  <si>
    <t>95B32</t>
  </si>
  <si>
    <t>101B25</t>
  </si>
  <si>
    <t>95B31</t>
  </si>
  <si>
    <t>101B26</t>
  </si>
  <si>
    <t>95B30</t>
  </si>
  <si>
    <t>101B3</t>
  </si>
  <si>
    <t>95B3</t>
  </si>
  <si>
    <t>101B4</t>
  </si>
  <si>
    <t>95B29</t>
  </si>
  <si>
    <t>101B5</t>
  </si>
  <si>
    <t>95B28</t>
  </si>
  <si>
    <t>101B6</t>
  </si>
  <si>
    <t>95B27</t>
  </si>
  <si>
    <t>Resultados Puntuación Grupos</t>
  </si>
  <si>
    <t>101B7</t>
  </si>
  <si>
    <t>95B26</t>
  </si>
  <si>
    <t>101B8</t>
  </si>
  <si>
    <t>95B25</t>
  </si>
  <si>
    <t>101B9</t>
  </si>
  <si>
    <t>95B24</t>
  </si>
  <si>
    <t>101C1</t>
  </si>
  <si>
    <t>95B23</t>
  </si>
  <si>
    <t>101C10</t>
  </si>
  <si>
    <t>95B22</t>
  </si>
  <si>
    <t>101C11</t>
  </si>
  <si>
    <t>95B21</t>
  </si>
  <si>
    <t>101C12</t>
  </si>
  <si>
    <t>95B20</t>
  </si>
  <si>
    <t>101C13</t>
  </si>
  <si>
    <t>95B2</t>
  </si>
  <si>
    <t>101C14</t>
  </si>
  <si>
    <t>95B19</t>
  </si>
  <si>
    <t>101C15</t>
  </si>
  <si>
    <t>95B18</t>
  </si>
  <si>
    <t>101C16</t>
  </si>
  <si>
    <t>95B17</t>
  </si>
  <si>
    <t>101C17</t>
  </si>
  <si>
    <t>95B16</t>
  </si>
  <si>
    <t>101C18</t>
  </si>
  <si>
    <t>95B15</t>
  </si>
  <si>
    <t>101C19</t>
  </si>
  <si>
    <t>95B14</t>
  </si>
  <si>
    <t>101C2</t>
  </si>
  <si>
    <t>95B13</t>
  </si>
  <si>
    <t>101C20</t>
  </si>
  <si>
    <t>95B12</t>
  </si>
  <si>
    <t>101C21</t>
  </si>
  <si>
    <t>95B11</t>
  </si>
  <si>
    <t>101C22</t>
  </si>
  <si>
    <t>95B10</t>
  </si>
  <si>
    <t>101C23</t>
  </si>
  <si>
    <t>95B1</t>
  </si>
  <si>
    <t>101C24</t>
  </si>
  <si>
    <t>95A9</t>
  </si>
  <si>
    <t>101C25</t>
  </si>
  <si>
    <t>95A8</t>
  </si>
  <si>
    <t>101C26</t>
  </si>
  <si>
    <t>95A7</t>
  </si>
  <si>
    <t>101C3</t>
  </si>
  <si>
    <t>95A6</t>
  </si>
  <si>
    <t>101C4</t>
  </si>
  <si>
    <t>95A5</t>
  </si>
  <si>
    <t>101C5</t>
  </si>
  <si>
    <t>95A4</t>
  </si>
  <si>
    <t>101C6</t>
  </si>
  <si>
    <t>95A32</t>
  </si>
  <si>
    <t>101C7</t>
  </si>
  <si>
    <t>95A31</t>
  </si>
  <si>
    <t>101C8</t>
  </si>
  <si>
    <t>95A30</t>
  </si>
  <si>
    <t>101C9</t>
  </si>
  <si>
    <t>95A3</t>
  </si>
  <si>
    <t>101D10</t>
  </si>
  <si>
    <t>95A29</t>
  </si>
  <si>
    <t>101D11</t>
  </si>
  <si>
    <t>95A28</t>
  </si>
  <si>
    <t>101D12</t>
  </si>
  <si>
    <t>95A27</t>
  </si>
  <si>
    <t>101D13</t>
  </si>
  <si>
    <t>95A26</t>
  </si>
  <si>
    <t>101D14</t>
  </si>
  <si>
    <t>95A25</t>
  </si>
  <si>
    <t>101D15</t>
  </si>
  <si>
    <t>95A24</t>
  </si>
  <si>
    <t>101D16</t>
  </si>
  <si>
    <t>95A23</t>
  </si>
  <si>
    <t>101D17</t>
  </si>
  <si>
    <t>95A22</t>
  </si>
  <si>
    <t>101D18</t>
  </si>
  <si>
    <t>95A21</t>
  </si>
  <si>
    <t>101D19</t>
  </si>
  <si>
    <t>95A20</t>
  </si>
  <si>
    <t>101D20</t>
  </si>
  <si>
    <t>95A2</t>
  </si>
  <si>
    <t>101D21</t>
  </si>
  <si>
    <t>95A19</t>
  </si>
  <si>
    <t>101D22</t>
  </si>
  <si>
    <t>95A18</t>
  </si>
  <si>
    <t>101D23</t>
  </si>
  <si>
    <t>95A17</t>
  </si>
  <si>
    <t>101D24</t>
  </si>
  <si>
    <t>95A16</t>
  </si>
  <si>
    <t>101D25</t>
  </si>
  <si>
    <t>95A15</t>
  </si>
  <si>
    <t>101D26</t>
  </si>
  <si>
    <t>95A14</t>
  </si>
  <si>
    <t>101D4</t>
  </si>
  <si>
    <t>95A13</t>
  </si>
  <si>
    <t>101D5</t>
  </si>
  <si>
    <t>95A12</t>
  </si>
  <si>
    <t>101D6</t>
  </si>
  <si>
    <t>95A11</t>
  </si>
  <si>
    <t>101D7</t>
  </si>
  <si>
    <t>95A10</t>
  </si>
  <si>
    <t>101D8</t>
  </si>
  <si>
    <t>95A1</t>
  </si>
  <si>
    <t>101D9</t>
  </si>
  <si>
    <t>94C9</t>
  </si>
  <si>
    <t>102A1</t>
  </si>
  <si>
    <t>94C8</t>
  </si>
  <si>
    <t>102A10</t>
  </si>
  <si>
    <t>94C7</t>
  </si>
  <si>
    <t>102A11</t>
  </si>
  <si>
    <t>94C6</t>
  </si>
  <si>
    <t>102A12</t>
  </si>
  <si>
    <t>94C5</t>
  </si>
  <si>
    <t>102A13</t>
  </si>
  <si>
    <t>94C4</t>
  </si>
  <si>
    <t>102A14</t>
  </si>
  <si>
    <t>94C32</t>
  </si>
  <si>
    <t>102A15</t>
  </si>
  <si>
    <t>94C31</t>
  </si>
  <si>
    <t>102A16</t>
  </si>
  <si>
    <t>94C30</t>
  </si>
  <si>
    <t>102A17</t>
  </si>
  <si>
    <t>94C3</t>
  </si>
  <si>
    <t>102A18</t>
  </si>
  <si>
    <t>94C29</t>
  </si>
  <si>
    <t>102A19</t>
  </si>
  <si>
    <t>94C28</t>
  </si>
  <si>
    <t>102A2</t>
  </si>
  <si>
    <t>94C27</t>
  </si>
  <si>
    <t>102A20</t>
  </si>
  <si>
    <t>94C26</t>
  </si>
  <si>
    <t>102A21</t>
  </si>
  <si>
    <t>94C25</t>
  </si>
  <si>
    <t>102A22</t>
  </si>
  <si>
    <t>94C24</t>
  </si>
  <si>
    <t>102A23</t>
  </si>
  <si>
    <t>94C23</t>
  </si>
  <si>
    <t>102A24</t>
  </si>
  <si>
    <t>94C22</t>
  </si>
  <si>
    <t>102A25</t>
  </si>
  <si>
    <t>94C21</t>
  </si>
  <si>
    <t>102A26</t>
  </si>
  <si>
    <t>94C20</t>
  </si>
  <si>
    <t>102A3</t>
  </si>
  <si>
    <t>94C19</t>
  </si>
  <si>
    <t>102A4</t>
  </si>
  <si>
    <t>94C18</t>
  </si>
  <si>
    <t>102A5</t>
  </si>
  <si>
    <t>94C17</t>
  </si>
  <si>
    <t>102A6</t>
  </si>
  <si>
    <t>94C16</t>
  </si>
  <si>
    <t>102A7</t>
  </si>
  <si>
    <t>94C15</t>
  </si>
  <si>
    <t>102A8</t>
  </si>
  <si>
    <t>94C14</t>
  </si>
  <si>
    <t>102A9</t>
  </si>
  <si>
    <t>94C13</t>
  </si>
  <si>
    <t>102B1</t>
  </si>
  <si>
    <t>94C12</t>
  </si>
  <si>
    <t>102B10</t>
  </si>
  <si>
    <t>94C11</t>
  </si>
  <si>
    <t>102B11</t>
  </si>
  <si>
    <t>94C10</t>
  </si>
  <si>
    <t>102B12</t>
  </si>
  <si>
    <t>94B9</t>
  </si>
  <si>
    <t>102B13</t>
  </si>
  <si>
    <t>94B8</t>
  </si>
  <si>
    <t>102B14</t>
  </si>
  <si>
    <t>94B7</t>
  </si>
  <si>
    <t>102B15</t>
  </si>
  <si>
    <t>94B6</t>
  </si>
  <si>
    <t>102B16</t>
  </si>
  <si>
    <t>94B5</t>
  </si>
  <si>
    <t>102B17</t>
  </si>
  <si>
    <t>94B4</t>
  </si>
  <si>
    <t>102B18</t>
  </si>
  <si>
    <t>94B32</t>
  </si>
  <si>
    <t>102B19</t>
  </si>
  <si>
    <t>94B31</t>
  </si>
  <si>
    <t>102B2</t>
  </si>
  <si>
    <t>94B30</t>
  </si>
  <si>
    <t>102B20</t>
  </si>
  <si>
    <t>94B3</t>
  </si>
  <si>
    <t>102B21</t>
  </si>
  <si>
    <t>94B29</t>
  </si>
  <si>
    <t>102B22</t>
  </si>
  <si>
    <t>94B28</t>
  </si>
  <si>
    <t>102B23</t>
  </si>
  <si>
    <t>94B27</t>
  </si>
  <si>
    <t>102B24</t>
  </si>
  <si>
    <t>94B26</t>
  </si>
  <si>
    <t>102B25</t>
  </si>
  <si>
    <t>94B25</t>
  </si>
  <si>
    <t>102B26</t>
  </si>
  <si>
    <t>94B24</t>
  </si>
  <si>
    <t>102B3</t>
  </si>
  <si>
    <t>94B23</t>
  </si>
  <si>
    <t>102B4</t>
  </si>
  <si>
    <t>94B22</t>
  </si>
  <si>
    <t>102B5</t>
  </si>
  <si>
    <t>94B21</t>
  </si>
  <si>
    <t>102B6</t>
  </si>
  <si>
    <t>94B20</t>
  </si>
  <si>
    <t>102B7</t>
  </si>
  <si>
    <t>94B2</t>
  </si>
  <si>
    <t>102B8</t>
  </si>
  <si>
    <t>94B19</t>
  </si>
  <si>
    <t>102B9</t>
  </si>
  <si>
    <t>94B18</t>
  </si>
  <si>
    <t>102C1</t>
  </si>
  <si>
    <t>94B17</t>
  </si>
  <si>
    <t>102C10</t>
  </si>
  <si>
    <t>94B16</t>
  </si>
  <si>
    <t>102C11</t>
  </si>
  <si>
    <t>94B15</t>
  </si>
  <si>
    <t>102C12</t>
  </si>
  <si>
    <t>94B14</t>
  </si>
  <si>
    <t>102C13</t>
  </si>
  <si>
    <t>94B13</t>
  </si>
  <si>
    <t>102C14</t>
  </si>
  <si>
    <t>94B12</t>
  </si>
  <si>
    <t>102C15</t>
  </si>
  <si>
    <t>94B11</t>
  </si>
  <si>
    <t>102C16</t>
  </si>
  <si>
    <t>94B10</t>
  </si>
  <si>
    <t>102C17</t>
  </si>
  <si>
    <t>94B1</t>
  </si>
  <si>
    <t>102C18</t>
  </si>
  <si>
    <t>94A9</t>
  </si>
  <si>
    <t>102C19</t>
  </si>
  <si>
    <t>94A8</t>
  </si>
  <si>
    <t>102C2</t>
  </si>
  <si>
    <t>94A7</t>
  </si>
  <si>
    <t>102C20</t>
  </si>
  <si>
    <t>94A6</t>
  </si>
  <si>
    <t>102C21</t>
  </si>
  <si>
    <t>94A5</t>
  </si>
  <si>
    <t>102C22</t>
  </si>
  <si>
    <t>94A4</t>
  </si>
  <si>
    <t>102C23</t>
  </si>
  <si>
    <t>94A32</t>
  </si>
  <si>
    <t>102C24</t>
  </si>
  <si>
    <t>94A31</t>
  </si>
  <si>
    <t>102C25</t>
  </si>
  <si>
    <t>94A30</t>
  </si>
  <si>
    <t>102C26</t>
  </si>
  <si>
    <t>94A3</t>
  </si>
  <si>
    <t>102C3</t>
  </si>
  <si>
    <t>94A29</t>
  </si>
  <si>
    <t>102C4</t>
  </si>
  <si>
    <t>94A28</t>
  </si>
  <si>
    <t>102C5</t>
  </si>
  <si>
    <t>94A27</t>
  </si>
  <si>
    <t>102C6</t>
  </si>
  <si>
    <t>94A26</t>
  </si>
  <si>
    <t>102C7</t>
  </si>
  <si>
    <t>94A25</t>
  </si>
  <si>
    <t>102C8</t>
  </si>
  <si>
    <t>94A24</t>
  </si>
  <si>
    <t>102C9</t>
  </si>
  <si>
    <t>94A23</t>
  </si>
  <si>
    <t>102D10</t>
  </si>
  <si>
    <t>94A22</t>
  </si>
  <si>
    <t>102D11</t>
  </si>
  <si>
    <t>94A21</t>
  </si>
  <si>
    <t>102D12</t>
  </si>
  <si>
    <t>94A20</t>
  </si>
  <si>
    <t>102D13</t>
  </si>
  <si>
    <t>94A2</t>
  </si>
  <si>
    <t>102D14</t>
  </si>
  <si>
    <t>94A19</t>
  </si>
  <si>
    <t>102D15</t>
  </si>
  <si>
    <t>94A18</t>
  </si>
  <si>
    <t>102D16</t>
  </si>
  <si>
    <t>94A17</t>
  </si>
  <si>
    <t>102D17</t>
  </si>
  <si>
    <t>94A16</t>
  </si>
  <si>
    <t>102D18</t>
  </si>
  <si>
    <t>94A15</t>
  </si>
  <si>
    <t>102D19</t>
  </si>
  <si>
    <t>94A14</t>
  </si>
  <si>
    <t>102D20</t>
  </si>
  <si>
    <t>94A13</t>
  </si>
  <si>
    <t>102D21</t>
  </si>
  <si>
    <t>94A12</t>
  </si>
  <si>
    <t>102D22</t>
  </si>
  <si>
    <t>94A11</t>
  </si>
  <si>
    <t>102D23</t>
  </si>
  <si>
    <t>94A10</t>
  </si>
  <si>
    <t>102D24</t>
  </si>
  <si>
    <t>94A1</t>
  </si>
  <si>
    <t>102D25</t>
  </si>
  <si>
    <t>93C9</t>
  </si>
  <si>
    <t>102D26</t>
  </si>
  <si>
    <t>93C8</t>
  </si>
  <si>
    <t>102D3</t>
  </si>
  <si>
    <t>93C7</t>
  </si>
  <si>
    <t>102D4</t>
  </si>
  <si>
    <t>93C6</t>
  </si>
  <si>
    <t>102D5</t>
  </si>
  <si>
    <t>93C5</t>
  </si>
  <si>
    <t>102D6</t>
  </si>
  <si>
    <t>93C4</t>
  </si>
  <si>
    <t>102D7</t>
  </si>
  <si>
    <t>93C31</t>
  </si>
  <si>
    <t>102D8</t>
  </si>
  <si>
    <t>93C30</t>
  </si>
  <si>
    <t>102D9</t>
  </si>
  <si>
    <t>93C3</t>
  </si>
  <si>
    <t>103A1</t>
  </si>
  <si>
    <t>93C29</t>
  </si>
  <si>
    <t>103A10</t>
  </si>
  <si>
    <t>93C28</t>
  </si>
  <si>
    <t>103A11</t>
  </si>
  <si>
    <t>93C27</t>
  </si>
  <si>
    <t>103A12</t>
  </si>
  <si>
    <t>93C26</t>
  </si>
  <si>
    <t>103A13</t>
  </si>
  <si>
    <t>93C25</t>
  </si>
  <si>
    <t>103A14</t>
  </si>
  <si>
    <t>93C24</t>
  </si>
  <si>
    <t>103A15</t>
  </si>
  <si>
    <t>93C23</t>
  </si>
  <si>
    <t>103A16</t>
  </si>
  <si>
    <t>93C22</t>
  </si>
  <si>
    <t>103A17</t>
  </si>
  <si>
    <t>93C21</t>
  </si>
  <si>
    <t>103A18</t>
  </si>
  <si>
    <t>93C20</t>
  </si>
  <si>
    <t>103A19</t>
  </si>
  <si>
    <t>93C2</t>
  </si>
  <si>
    <t>103A2</t>
  </si>
  <si>
    <t>93C19</t>
  </si>
  <si>
    <t>103A20</t>
  </si>
  <si>
    <t>93C18</t>
  </si>
  <si>
    <t>103A21</t>
  </si>
  <si>
    <t>93C17</t>
  </si>
  <si>
    <t>103A22</t>
  </si>
  <si>
    <t>93C16</t>
  </si>
  <si>
    <t>103A23</t>
  </si>
  <si>
    <t>93C15</t>
  </si>
  <si>
    <t>103A24</t>
  </si>
  <si>
    <t>93C14</t>
  </si>
  <si>
    <t>103A25</t>
  </si>
  <si>
    <t>93C13</t>
  </si>
  <si>
    <t>103A26</t>
  </si>
  <si>
    <t>93C12</t>
  </si>
  <si>
    <t>103A3</t>
  </si>
  <si>
    <t>93C11</t>
  </si>
  <si>
    <t>103A4</t>
  </si>
  <si>
    <t>93C10</t>
  </si>
  <si>
    <t>103A5</t>
  </si>
  <si>
    <t>93C1</t>
  </si>
  <si>
    <t>103A6</t>
  </si>
  <si>
    <t>93B9</t>
  </si>
  <si>
    <t>103A7</t>
  </si>
  <si>
    <t>93B8</t>
  </si>
  <si>
    <t>103A8</t>
  </si>
  <si>
    <t>93B7</t>
  </si>
  <si>
    <t>103A9</t>
  </si>
  <si>
    <t>93B6</t>
  </si>
  <si>
    <t>103B1</t>
  </si>
  <si>
    <t>93B5</t>
  </si>
  <si>
    <t>103B10</t>
  </si>
  <si>
    <t>93B4</t>
  </si>
  <si>
    <t>103B11</t>
  </si>
  <si>
    <t>93B31</t>
  </si>
  <si>
    <t>103B12</t>
  </si>
  <si>
    <t>93B30</t>
  </si>
  <si>
    <t>103B13</t>
  </si>
  <si>
    <t>93B3</t>
  </si>
  <si>
    <t>103B14</t>
  </si>
  <si>
    <t>93B29</t>
  </si>
  <si>
    <t>103B15</t>
  </si>
  <si>
    <t>93B28</t>
  </si>
  <si>
    <t>103B16</t>
  </si>
  <si>
    <t>93B27</t>
  </si>
  <si>
    <t>103B17</t>
  </si>
  <si>
    <t>93B26</t>
  </si>
  <si>
    <t>103B18</t>
  </si>
  <si>
    <t>93B25</t>
  </si>
  <si>
    <t>103B19</t>
  </si>
  <si>
    <t>93B24</t>
  </si>
  <si>
    <t>103B2</t>
  </si>
  <si>
    <t>93B23</t>
  </si>
  <si>
    <t>103B20</t>
  </si>
  <si>
    <t>93B22</t>
  </si>
  <si>
    <t>103B21</t>
  </si>
  <si>
    <t>93B21</t>
  </si>
  <si>
    <t>103B22</t>
  </si>
  <si>
    <t>93B20</t>
  </si>
  <si>
    <t>103B23</t>
  </si>
  <si>
    <t>93B2</t>
  </si>
  <si>
    <t>103B24</t>
  </si>
  <si>
    <t>93B19</t>
  </si>
  <si>
    <t>103B25</t>
  </si>
  <si>
    <t>93B18</t>
  </si>
  <si>
    <t>103B26</t>
  </si>
  <si>
    <t>93B17</t>
  </si>
  <si>
    <t>103B3</t>
  </si>
  <si>
    <t>93B16</t>
  </si>
  <si>
    <t>103B4</t>
  </si>
  <si>
    <t>93B15</t>
  </si>
  <si>
    <t>103B5</t>
  </si>
  <si>
    <t>93B14</t>
  </si>
  <si>
    <t>103B6</t>
  </si>
  <si>
    <t>93B13</t>
  </si>
  <si>
    <t>103B7</t>
  </si>
  <si>
    <t>93B12</t>
  </si>
  <si>
    <t>103B8</t>
  </si>
  <si>
    <t>93B11</t>
  </si>
  <si>
    <t>103B9</t>
  </si>
  <si>
    <t>93B10</t>
  </si>
  <si>
    <t>103C1</t>
  </si>
  <si>
    <t>93B1</t>
  </si>
  <si>
    <t>103C10</t>
  </si>
  <si>
    <t>93A9</t>
  </si>
  <si>
    <t>103C11</t>
  </si>
  <si>
    <t>93A8</t>
  </si>
  <si>
    <t>103C12</t>
  </si>
  <si>
    <t>93A7</t>
  </si>
  <si>
    <t>103C13</t>
  </si>
  <si>
    <t>93A6</t>
  </si>
  <si>
    <t>103C14</t>
  </si>
  <si>
    <t>93A5</t>
  </si>
  <si>
    <t>103C15</t>
  </si>
  <si>
    <t>93A4</t>
  </si>
  <si>
    <t>103C16</t>
  </si>
  <si>
    <t>93A31</t>
  </si>
  <si>
    <t>103C17</t>
  </si>
  <si>
    <t>93A30</t>
  </si>
  <si>
    <t>103C18</t>
  </si>
  <si>
    <t>93A3</t>
  </si>
  <si>
    <t>103C19</t>
  </si>
  <si>
    <t>93A29</t>
  </si>
  <si>
    <t>103C2</t>
  </si>
  <si>
    <t>93A28</t>
  </si>
  <si>
    <t>103C20</t>
  </si>
  <si>
    <t>93A27</t>
  </si>
  <si>
    <t>103C21</t>
  </si>
  <si>
    <t>93A26</t>
  </si>
  <si>
    <t>103C22</t>
  </si>
  <si>
    <t>93A25</t>
  </si>
  <si>
    <t>103C23</t>
  </si>
  <si>
    <t>93A24</t>
  </si>
  <si>
    <t>103C24</t>
  </si>
  <si>
    <t>93A23</t>
  </si>
  <si>
    <t>103C25</t>
  </si>
  <si>
    <t>93A22</t>
  </si>
  <si>
    <t>103C26</t>
  </si>
  <si>
    <t>93A21</t>
  </si>
  <si>
    <t>103C3</t>
  </si>
  <si>
    <t>93A20</t>
  </si>
  <si>
    <t>103C4</t>
  </si>
  <si>
    <t>93A2</t>
  </si>
  <si>
    <t>103C5</t>
  </si>
  <si>
    <t>93A19</t>
  </si>
  <si>
    <t>103C6</t>
  </si>
  <si>
    <t>93A18</t>
  </si>
  <si>
    <t>103C7</t>
  </si>
  <si>
    <t>93A17</t>
  </si>
  <si>
    <t>103C8</t>
  </si>
  <si>
    <t>93A16</t>
  </si>
  <si>
    <t>103C9</t>
  </si>
  <si>
    <t>93A15</t>
  </si>
  <si>
    <t>103D10</t>
  </si>
  <si>
    <t>93A14</t>
  </si>
  <si>
    <t>103D11</t>
  </si>
  <si>
    <t>93A13</t>
  </si>
  <si>
    <t>103D12</t>
  </si>
  <si>
    <t>93A12</t>
  </si>
  <si>
    <t>103D13</t>
  </si>
  <si>
    <t>93A11</t>
  </si>
  <si>
    <t>103D14</t>
  </si>
  <si>
    <t>93A10</t>
  </si>
  <si>
    <t>103D15</t>
  </si>
  <si>
    <t>93A1</t>
  </si>
  <si>
    <t>103D16</t>
  </si>
  <si>
    <t>92C9</t>
  </si>
  <si>
    <t>103D17</t>
  </si>
  <si>
    <t>92C8</t>
  </si>
  <si>
    <t>103D18</t>
  </si>
  <si>
    <t>92C7</t>
  </si>
  <si>
    <t>103D19</t>
  </si>
  <si>
    <t>92C6</t>
  </si>
  <si>
    <t>103D2</t>
  </si>
  <si>
    <t>92C5</t>
  </si>
  <si>
    <t>103D20</t>
  </si>
  <si>
    <t>92C4</t>
  </si>
  <si>
    <t>103D21</t>
  </si>
  <si>
    <t>92C31</t>
  </si>
  <si>
    <t>103D22</t>
  </si>
  <si>
    <t>92C30</t>
  </si>
  <si>
    <t>103D23</t>
  </si>
  <si>
    <t>92C3</t>
  </si>
  <si>
    <t>103D24</t>
  </si>
  <si>
    <t>92C29</t>
  </si>
  <si>
    <t>103D25</t>
  </si>
  <si>
    <t>92C28</t>
  </si>
  <si>
    <t>103D26</t>
  </si>
  <si>
    <t>92C27</t>
  </si>
  <si>
    <t>103D3</t>
  </si>
  <si>
    <t>92C26</t>
  </si>
  <si>
    <t>103D4</t>
  </si>
  <si>
    <t>92C25</t>
  </si>
  <si>
    <t>103D5</t>
  </si>
  <si>
    <t>92C24</t>
  </si>
  <si>
    <t>103D6</t>
  </si>
  <si>
    <t>92C23</t>
  </si>
  <si>
    <t>103D7</t>
  </si>
  <si>
    <t>92C22</t>
  </si>
  <si>
    <t>103D8</t>
  </si>
  <si>
    <t>92C21</t>
  </si>
  <si>
    <t>103D9</t>
  </si>
  <si>
    <t>92C20</t>
  </si>
  <si>
    <t>104A1</t>
  </si>
  <si>
    <t>92C2</t>
  </si>
  <si>
    <t>104A10</t>
  </si>
  <si>
    <t>92C19</t>
  </si>
  <si>
    <t>104A11</t>
  </si>
  <si>
    <t>92C18</t>
  </si>
  <si>
    <t>104A12</t>
  </si>
  <si>
    <t>92C17</t>
  </si>
  <si>
    <t>104A13</t>
  </si>
  <si>
    <t>92C16</t>
  </si>
  <si>
    <t>104A14</t>
  </si>
  <si>
    <t>92C15</t>
  </si>
  <si>
    <t>104A15</t>
  </si>
  <si>
    <t>92C14</t>
  </si>
  <si>
    <t>104A16</t>
  </si>
  <si>
    <t>92C13</t>
  </si>
  <si>
    <t>104A17</t>
  </si>
  <si>
    <t>92C12</t>
  </si>
  <si>
    <t>104A18</t>
  </si>
  <si>
    <t>92C11</t>
  </si>
  <si>
    <t>104A19</t>
  </si>
  <si>
    <t>92C10</t>
  </si>
  <si>
    <t>104A2</t>
  </si>
  <si>
    <t>92B9</t>
  </si>
  <si>
    <t>104A20</t>
  </si>
  <si>
    <t>92B8</t>
  </si>
  <si>
    <t>104A21</t>
  </si>
  <si>
    <t>92B7</t>
  </si>
  <si>
    <t>104A22</t>
  </si>
  <si>
    <t>92B6</t>
  </si>
  <si>
    <t>104A23</t>
  </si>
  <si>
    <t>92B5</t>
  </si>
  <si>
    <t>104A24</t>
  </si>
  <si>
    <t>92B4</t>
  </si>
  <si>
    <t>104A25</t>
  </si>
  <si>
    <t>92B31</t>
  </si>
  <si>
    <t>104A26</t>
  </si>
  <si>
    <t>92B30</t>
  </si>
  <si>
    <t>104A3</t>
  </si>
  <si>
    <t>92B3</t>
  </si>
  <si>
    <t>104A4</t>
  </si>
  <si>
    <t>92B29</t>
  </si>
  <si>
    <t>104A5</t>
  </si>
  <si>
    <t>92B28</t>
  </si>
  <si>
    <t>104A6</t>
  </si>
  <si>
    <t>92B27</t>
  </si>
  <si>
    <t>104A7</t>
  </si>
  <si>
    <t>92B26</t>
  </si>
  <si>
    <t>104A8</t>
  </si>
  <si>
    <t>92B25</t>
  </si>
  <si>
    <t>104A9</t>
  </si>
  <si>
    <t>92B24</t>
  </si>
  <si>
    <t>104B1</t>
  </si>
  <si>
    <t>92B23</t>
  </si>
  <si>
    <t>104B10</t>
  </si>
  <si>
    <t>92B22</t>
  </si>
  <si>
    <t>104B11</t>
  </si>
  <si>
    <t>92B21</t>
  </si>
  <si>
    <t>104B12</t>
  </si>
  <si>
    <t>92B20</t>
  </si>
  <si>
    <t>104B13</t>
  </si>
  <si>
    <t>92B2</t>
  </si>
  <si>
    <t>104B14</t>
  </si>
  <si>
    <t>92B19</t>
  </si>
  <si>
    <t>104B15</t>
  </si>
  <si>
    <t>92B18</t>
  </si>
  <si>
    <t>104B16</t>
  </si>
  <si>
    <t>92B17</t>
  </si>
  <si>
    <t>104B17</t>
  </si>
  <si>
    <t>92B16</t>
  </si>
  <si>
    <t>104B18</t>
  </si>
  <si>
    <t>92B15</t>
  </si>
  <si>
    <t>104B19</t>
  </si>
  <si>
    <t>92B14</t>
  </si>
  <si>
    <t>104B2</t>
  </si>
  <si>
    <t>92B13</t>
  </si>
  <si>
    <t>104B20</t>
  </si>
  <si>
    <t>92B12</t>
  </si>
  <si>
    <t>104B21</t>
  </si>
  <si>
    <t>92B11</t>
  </si>
  <si>
    <t>104B22</t>
  </si>
  <si>
    <t>92B10</t>
  </si>
  <si>
    <t>104B23</t>
  </si>
  <si>
    <t>92B1</t>
  </si>
  <si>
    <t>104B24</t>
  </si>
  <si>
    <t>92A9</t>
  </si>
  <si>
    <t>104B25</t>
  </si>
  <si>
    <t>92A8</t>
  </si>
  <si>
    <t>104B26</t>
  </si>
  <si>
    <t>92A7</t>
  </si>
  <si>
    <t>104B3</t>
  </si>
  <si>
    <t>92A6</t>
  </si>
  <si>
    <t>104B4</t>
  </si>
  <si>
    <t>92A5</t>
  </si>
  <si>
    <t>104B5</t>
  </si>
  <si>
    <t>92A4</t>
  </si>
  <si>
    <t>104B6</t>
  </si>
  <si>
    <t>92A31</t>
  </si>
  <si>
    <t>104B7</t>
  </si>
  <si>
    <t>92A30</t>
  </si>
  <si>
    <t>104B8</t>
  </si>
  <si>
    <t>92A3</t>
  </si>
  <si>
    <t>104B9</t>
  </si>
  <si>
    <t>92A29</t>
  </si>
  <si>
    <t>104C1</t>
  </si>
  <si>
    <t>92A28</t>
  </si>
  <si>
    <t>104C10</t>
  </si>
  <si>
    <t>92A27</t>
  </si>
  <si>
    <t>104C11</t>
  </si>
  <si>
    <t>92A26</t>
  </si>
  <si>
    <t>104C12</t>
  </si>
  <si>
    <t>92A25</t>
  </si>
  <si>
    <t>104C13</t>
  </si>
  <si>
    <t>92A24</t>
  </si>
  <si>
    <t>104C14</t>
  </si>
  <si>
    <t>92A23</t>
  </si>
  <si>
    <t>104C15</t>
  </si>
  <si>
    <t>92A22</t>
  </si>
  <si>
    <t>104C16</t>
  </si>
  <si>
    <t>92A21</t>
  </si>
  <si>
    <t>104C17</t>
  </si>
  <si>
    <t>92A20</t>
  </si>
  <si>
    <t>104C18</t>
  </si>
  <si>
    <t>92A2</t>
  </si>
  <si>
    <t>104C19</t>
  </si>
  <si>
    <t>92A19</t>
  </si>
  <si>
    <t>104C2</t>
  </si>
  <si>
    <t>92A18</t>
  </si>
  <si>
    <t>104C20</t>
  </si>
  <si>
    <t>92A17</t>
  </si>
  <si>
    <t>104C21</t>
  </si>
  <si>
    <t>92A16</t>
  </si>
  <si>
    <t>104C22</t>
  </si>
  <si>
    <t>92A15</t>
  </si>
  <si>
    <t>104C23</t>
  </si>
  <si>
    <t>92A14</t>
  </si>
  <si>
    <t>104C24</t>
  </si>
  <si>
    <t>92A13</t>
  </si>
  <si>
    <t>104C25</t>
  </si>
  <si>
    <t>92A12</t>
  </si>
  <si>
    <t>104C26</t>
  </si>
  <si>
    <t>92A11</t>
  </si>
  <si>
    <t>104C3</t>
  </si>
  <si>
    <t>92A10</t>
  </si>
  <si>
    <t>104C4</t>
  </si>
  <si>
    <t>92A1</t>
  </si>
  <si>
    <t>104C5</t>
  </si>
  <si>
    <t>91C9</t>
  </si>
  <si>
    <t>104C6</t>
  </si>
  <si>
    <t>91C8</t>
  </si>
  <si>
    <t>104C7</t>
  </si>
  <si>
    <t>91C7</t>
  </si>
  <si>
    <t>104C8</t>
  </si>
  <si>
    <t>91C6</t>
  </si>
  <si>
    <t>104C9</t>
  </si>
  <si>
    <t>91C5</t>
  </si>
  <si>
    <t>104D1</t>
  </si>
  <si>
    <t>91C4</t>
  </si>
  <si>
    <t>104D10</t>
  </si>
  <si>
    <t>91C31</t>
  </si>
  <si>
    <t>104D11</t>
  </si>
  <si>
    <t>91C30</t>
  </si>
  <si>
    <t>104D12</t>
  </si>
  <si>
    <t>91C3</t>
  </si>
  <si>
    <t>104D13</t>
  </si>
  <si>
    <t>91C29</t>
  </si>
  <si>
    <t>104D14</t>
  </si>
  <si>
    <t>91C28</t>
  </si>
  <si>
    <t>104D15</t>
  </si>
  <si>
    <t>91C27</t>
  </si>
  <si>
    <t>104D16</t>
  </si>
  <si>
    <t>91C26</t>
  </si>
  <si>
    <t>104D17</t>
  </si>
  <si>
    <t>91C25</t>
  </si>
  <si>
    <t>104D18</t>
  </si>
  <si>
    <t>91C24</t>
  </si>
  <si>
    <t>104D19</t>
  </si>
  <si>
    <t>91C23</t>
  </si>
  <si>
    <t>104D2</t>
  </si>
  <si>
    <t>91C22</t>
  </si>
  <si>
    <t>104D20</t>
  </si>
  <si>
    <t>91C21</t>
  </si>
  <si>
    <t>104D21</t>
  </si>
  <si>
    <t>91C20</t>
  </si>
  <si>
    <t>104D22</t>
  </si>
  <si>
    <t>91C19</t>
  </si>
  <si>
    <t>104D23</t>
  </si>
  <si>
    <t>91C18</t>
  </si>
  <si>
    <t>104D24</t>
  </si>
  <si>
    <t>91C17</t>
  </si>
  <si>
    <t>104D25</t>
  </si>
  <si>
    <t>91C16</t>
  </si>
  <si>
    <t>104D26</t>
  </si>
  <si>
    <t>91C15</t>
  </si>
  <si>
    <t>104D3</t>
  </si>
  <si>
    <t>91C14</t>
  </si>
  <si>
    <t>104D4</t>
  </si>
  <si>
    <t>91C13</t>
  </si>
  <si>
    <t>104D5</t>
  </si>
  <si>
    <t>91C12</t>
  </si>
  <si>
    <t>104D6</t>
  </si>
  <si>
    <t>91C11</t>
  </si>
  <si>
    <t>104D7</t>
  </si>
  <si>
    <t>91C10</t>
  </si>
  <si>
    <t>104D8</t>
  </si>
  <si>
    <t>91B9</t>
  </si>
  <si>
    <t>104D9</t>
  </si>
  <si>
    <t>91B8</t>
  </si>
  <si>
    <t>105A1</t>
  </si>
  <si>
    <t>91B7</t>
  </si>
  <si>
    <t>105A10</t>
  </si>
  <si>
    <t>91B6</t>
  </si>
  <si>
    <t>105A11</t>
  </si>
  <si>
    <t>91B5</t>
  </si>
  <si>
    <t>105A12</t>
  </si>
  <si>
    <t>91B4</t>
  </si>
  <si>
    <t>105A13</t>
  </si>
  <si>
    <t>91B31</t>
  </si>
  <si>
    <t>105A14</t>
  </si>
  <si>
    <t>91B30</t>
  </si>
  <si>
    <t>105A15</t>
  </si>
  <si>
    <t>91B3</t>
  </si>
  <si>
    <t>105A16</t>
  </si>
  <si>
    <t>91B29</t>
  </si>
  <si>
    <t>105A17</t>
  </si>
  <si>
    <t>91B28</t>
  </si>
  <si>
    <t>105A18</t>
  </si>
  <si>
    <t>91B27</t>
  </si>
  <si>
    <t>105A19</t>
  </si>
  <si>
    <t>91B26</t>
  </si>
  <si>
    <t>105A2</t>
  </si>
  <si>
    <t>91B25</t>
  </si>
  <si>
    <t>105A20</t>
  </si>
  <si>
    <t>91B24</t>
  </si>
  <si>
    <t>105A21</t>
  </si>
  <si>
    <t>91B23</t>
  </si>
  <si>
    <t>105A22</t>
  </si>
  <si>
    <t>91B22</t>
  </si>
  <si>
    <t>105A23</t>
  </si>
  <si>
    <t>91B21</t>
  </si>
  <si>
    <t>105A24</t>
  </si>
  <si>
    <t>91B20</t>
  </si>
  <si>
    <t>105A25</t>
  </si>
  <si>
    <t>91B2</t>
  </si>
  <si>
    <t>105A26</t>
  </si>
  <si>
    <t>91B19</t>
  </si>
  <si>
    <t>105A27</t>
  </si>
  <si>
    <t>91B18</t>
  </si>
  <si>
    <t>105A3</t>
  </si>
  <si>
    <t>91B17</t>
  </si>
  <si>
    <t>105A4</t>
  </si>
  <si>
    <t>91B16</t>
  </si>
  <si>
    <t>105A5</t>
  </si>
  <si>
    <t>91B15</t>
  </si>
  <si>
    <t>105A6</t>
  </si>
  <si>
    <t>91B14</t>
  </si>
  <si>
    <t>105A7</t>
  </si>
  <si>
    <t>91B13</t>
  </si>
  <si>
    <t>105A8</t>
  </si>
  <si>
    <t>91B12</t>
  </si>
  <si>
    <t>105A9</t>
  </si>
  <si>
    <t>91B11</t>
  </si>
  <si>
    <t>105B1</t>
  </si>
  <si>
    <t>91B10</t>
  </si>
  <si>
    <t>105B10</t>
  </si>
  <si>
    <t>91B1</t>
  </si>
  <si>
    <t>105B11</t>
  </si>
  <si>
    <t>91A9</t>
  </si>
  <si>
    <t>105B12</t>
  </si>
  <si>
    <t>91A8</t>
  </si>
  <si>
    <t>105B13</t>
  </si>
  <si>
    <t>91A7</t>
  </si>
  <si>
    <t>105B14</t>
  </si>
  <si>
    <t>91A6</t>
  </si>
  <si>
    <t>105B15</t>
  </si>
  <si>
    <t>91A5</t>
  </si>
  <si>
    <t>105B16</t>
  </si>
  <si>
    <t>91A4</t>
  </si>
  <si>
    <t>105B17</t>
  </si>
  <si>
    <t>91A31</t>
  </si>
  <si>
    <t>105B18</t>
  </si>
  <si>
    <t>91A30</t>
  </si>
  <si>
    <t>105B19</t>
  </si>
  <si>
    <t>91A3</t>
  </si>
  <si>
    <t>105B2</t>
  </si>
  <si>
    <t>91A29</t>
  </si>
  <si>
    <t>105B20</t>
  </si>
  <si>
    <t>91A28</t>
  </si>
  <si>
    <t>105B21</t>
  </si>
  <si>
    <t>91A27</t>
  </si>
  <si>
    <t>105B22</t>
  </si>
  <si>
    <t>91A26</t>
  </si>
  <si>
    <t>105B23</t>
  </si>
  <si>
    <t>91A25</t>
  </si>
  <si>
    <t>105B24</t>
  </si>
  <si>
    <t>91A24</t>
  </si>
  <si>
    <t>105B25</t>
  </si>
  <si>
    <t>91A23</t>
  </si>
  <si>
    <t>105B26</t>
  </si>
  <si>
    <t>91A22</t>
  </si>
  <si>
    <t>105B27</t>
  </si>
  <si>
    <t>91A21</t>
  </si>
  <si>
    <t>105B3</t>
  </si>
  <si>
    <t>91A20</t>
  </si>
  <si>
    <t>105B4</t>
  </si>
  <si>
    <t>91A2</t>
  </si>
  <si>
    <t>105B5</t>
  </si>
  <si>
    <t>91A19</t>
  </si>
  <si>
    <t>105B6</t>
  </si>
  <si>
    <t>91A18</t>
  </si>
  <si>
    <t>105B7</t>
  </si>
  <si>
    <t>91A17</t>
  </si>
  <si>
    <t>105B8</t>
  </si>
  <si>
    <t>91A16</t>
  </si>
  <si>
    <t>105B9</t>
  </si>
  <si>
    <t>91A15</t>
  </si>
  <si>
    <t>105C1</t>
  </si>
  <si>
    <t>91A14</t>
  </si>
  <si>
    <t>105C10</t>
  </si>
  <si>
    <t>91A13</t>
  </si>
  <si>
    <t>105C11</t>
  </si>
  <si>
    <t>91A12</t>
  </si>
  <si>
    <t>105C12</t>
  </si>
  <si>
    <t>91A11</t>
  </si>
  <si>
    <t>105C13</t>
  </si>
  <si>
    <t>91A10</t>
  </si>
  <si>
    <t>105C14</t>
  </si>
  <si>
    <t>91A1</t>
  </si>
  <si>
    <t>105C15</t>
  </si>
  <si>
    <t>90C9</t>
  </si>
  <si>
    <t>105C16</t>
  </si>
  <si>
    <t>90C8</t>
  </si>
  <si>
    <t>105C17</t>
  </si>
  <si>
    <t>90C7</t>
  </si>
  <si>
    <t>105C18</t>
  </si>
  <si>
    <t>90C6</t>
  </si>
  <si>
    <t>105C19</t>
  </si>
  <si>
    <t>90C5</t>
  </si>
  <si>
    <t>105C2</t>
  </si>
  <si>
    <t>90C4</t>
  </si>
  <si>
    <t>105C20</t>
  </si>
  <si>
    <t>90C30</t>
  </si>
  <si>
    <t>105C21</t>
  </si>
  <si>
    <t>90C3</t>
  </si>
  <si>
    <t>105C22</t>
  </si>
  <si>
    <t>90C29</t>
  </si>
  <si>
    <t>105C23</t>
  </si>
  <si>
    <t>90C28</t>
  </si>
  <si>
    <t>105C24</t>
  </si>
  <si>
    <t>90C27</t>
  </si>
  <si>
    <t>105C25</t>
  </si>
  <si>
    <t>90C26</t>
  </si>
  <si>
    <t>105C26</t>
  </si>
  <si>
    <t>90C25</t>
  </si>
  <si>
    <t>105C27</t>
  </si>
  <si>
    <t>90C24</t>
  </si>
  <si>
    <t>105C3</t>
  </si>
  <si>
    <t>90C23</t>
  </si>
  <si>
    <t>105C4</t>
  </si>
  <si>
    <t>90C22</t>
  </si>
  <si>
    <t>105C5</t>
  </si>
  <si>
    <t>90C21</t>
  </si>
  <si>
    <t>105C6</t>
  </si>
  <si>
    <t>90C20</t>
  </si>
  <si>
    <t>105C7</t>
  </si>
  <si>
    <t>90C2</t>
  </si>
  <si>
    <t>105C8</t>
  </si>
  <si>
    <t>90C19</t>
  </si>
  <si>
    <t>105C9</t>
  </si>
  <si>
    <t>90C18</t>
  </si>
  <si>
    <t>105D10</t>
  </si>
  <si>
    <t>90C17</t>
  </si>
  <si>
    <t>105D11</t>
  </si>
  <si>
    <t>90C16</t>
  </si>
  <si>
    <t>105D12</t>
  </si>
  <si>
    <t>90C15</t>
  </si>
  <si>
    <t>105D13</t>
  </si>
  <si>
    <t>90C14</t>
  </si>
  <si>
    <t>105D14</t>
  </si>
  <si>
    <t>90C13</t>
  </si>
  <si>
    <t>105D15</t>
  </si>
  <si>
    <t>90C12</t>
  </si>
  <si>
    <t>105D16</t>
  </si>
  <si>
    <t>90C11</t>
  </si>
  <si>
    <t>105D17</t>
  </si>
  <si>
    <t>90C10</t>
  </si>
  <si>
    <t>105D18</t>
  </si>
  <si>
    <t>90C1</t>
  </si>
  <si>
    <t>105D19</t>
  </si>
  <si>
    <t>90B9</t>
  </si>
  <si>
    <t>105D20</t>
  </si>
  <si>
    <t>90B8</t>
  </si>
  <si>
    <t>105D21</t>
  </si>
  <si>
    <t>90B7</t>
  </si>
  <si>
    <t>105D22</t>
  </si>
  <si>
    <t>90B6</t>
  </si>
  <si>
    <t>105D23</t>
  </si>
  <si>
    <t>90B5</t>
  </si>
  <si>
    <t>105D24</t>
  </si>
  <si>
    <t>90B4</t>
  </si>
  <si>
    <t>105D25</t>
  </si>
  <si>
    <t>90B30</t>
  </si>
  <si>
    <t>105D26</t>
  </si>
  <si>
    <t>90B3</t>
  </si>
  <si>
    <t>105D27</t>
  </si>
  <si>
    <t>90B29</t>
  </si>
  <si>
    <t>105D4</t>
  </si>
  <si>
    <t>90B28</t>
  </si>
  <si>
    <t>105D5</t>
  </si>
  <si>
    <t>90B27</t>
  </si>
  <si>
    <t>105D6</t>
  </si>
  <si>
    <t>90B26</t>
  </si>
  <si>
    <t>105D7</t>
  </si>
  <si>
    <t>90B25</t>
  </si>
  <si>
    <t>105D8</t>
  </si>
  <si>
    <t>90B24</t>
  </si>
  <si>
    <t>105D9</t>
  </si>
  <si>
    <t>90B23</t>
  </si>
  <si>
    <t>106A1</t>
  </si>
  <si>
    <t>90B22</t>
  </si>
  <si>
    <t>106A10</t>
  </si>
  <si>
    <t>90B21</t>
  </si>
  <si>
    <t>106A11</t>
  </si>
  <si>
    <t>90B20</t>
  </si>
  <si>
    <t>106A12</t>
  </si>
  <si>
    <t>90B2</t>
  </si>
  <si>
    <t>106A13</t>
  </si>
  <si>
    <t>90B19</t>
  </si>
  <si>
    <t>106A14</t>
  </si>
  <si>
    <t>90B18</t>
  </si>
  <si>
    <t>106A15</t>
  </si>
  <si>
    <t>90B17</t>
  </si>
  <si>
    <t>106A16</t>
  </si>
  <si>
    <t>90B16</t>
  </si>
  <si>
    <t>106A17</t>
  </si>
  <si>
    <t>90B15</t>
  </si>
  <si>
    <t>106A18</t>
  </si>
  <si>
    <t>90B14</t>
  </si>
  <si>
    <t>106A19</t>
  </si>
  <si>
    <t>90B13</t>
  </si>
  <si>
    <t>106A2</t>
  </si>
  <si>
    <t>90B12</t>
  </si>
  <si>
    <t>106A20</t>
  </si>
  <si>
    <t>90B11</t>
  </si>
  <si>
    <t>106A21</t>
  </si>
  <si>
    <t>90B10</t>
  </si>
  <si>
    <t>106A22</t>
  </si>
  <si>
    <t>90B1</t>
  </si>
  <si>
    <t>106A23</t>
  </si>
  <si>
    <t>90A9</t>
  </si>
  <si>
    <t>106A24</t>
  </si>
  <si>
    <t>90A8</t>
  </si>
  <si>
    <t>106A25</t>
  </si>
  <si>
    <t>90A7</t>
  </si>
  <si>
    <t>106A26</t>
  </si>
  <si>
    <t>90A6</t>
  </si>
  <si>
    <t>106A27</t>
  </si>
  <si>
    <t>90A5</t>
  </si>
  <si>
    <t>106A3</t>
  </si>
  <si>
    <t>90A4</t>
  </si>
  <si>
    <t>106A4</t>
  </si>
  <si>
    <t>90A30</t>
  </si>
  <si>
    <t>106A5</t>
  </si>
  <si>
    <t>90A3</t>
  </si>
  <si>
    <t>106A6</t>
  </si>
  <si>
    <t>90A29</t>
  </si>
  <si>
    <t>106A7</t>
  </si>
  <si>
    <t>90A28</t>
  </si>
  <si>
    <t>106A8</t>
  </si>
  <si>
    <t>90A27</t>
  </si>
  <si>
    <t>106A9</t>
  </si>
  <si>
    <t>90A26</t>
  </si>
  <si>
    <t>106B1</t>
  </si>
  <si>
    <t>90A25</t>
  </si>
  <si>
    <t>106B10</t>
  </si>
  <si>
    <t>90A24</t>
  </si>
  <si>
    <t>106B11</t>
  </si>
  <si>
    <t>90A23</t>
  </si>
  <si>
    <t>106B12</t>
  </si>
  <si>
    <t>90A22</t>
  </si>
  <si>
    <t>106B13</t>
  </si>
  <si>
    <t>90A21</t>
  </si>
  <si>
    <t>106B14</t>
  </si>
  <si>
    <t>90A20</t>
  </si>
  <si>
    <t>106B15</t>
  </si>
  <si>
    <t>90A2</t>
  </si>
  <si>
    <t>106B16</t>
  </si>
  <si>
    <t>90A19</t>
  </si>
  <si>
    <t>106B17</t>
  </si>
  <si>
    <t>90A18</t>
  </si>
  <si>
    <t>106B18</t>
  </si>
  <si>
    <t>90A17</t>
  </si>
  <si>
    <t>106B19</t>
  </si>
  <si>
    <t>90A16</t>
  </si>
  <si>
    <t>106B2</t>
  </si>
  <si>
    <t>90A15</t>
  </si>
  <si>
    <t>106B20</t>
  </si>
  <si>
    <t>90A14</t>
  </si>
  <si>
    <t>106B21</t>
  </si>
  <si>
    <t>90A13</t>
  </si>
  <si>
    <t>106B22</t>
  </si>
  <si>
    <t>90A12</t>
  </si>
  <si>
    <t>106B23</t>
  </si>
  <si>
    <t>90A11</t>
  </si>
  <si>
    <t>106B24</t>
  </si>
  <si>
    <t>90A10</t>
  </si>
  <si>
    <t>106B25</t>
  </si>
  <si>
    <t>90A1</t>
  </si>
  <si>
    <t>106B26</t>
  </si>
  <si>
    <t>8C3</t>
  </si>
  <si>
    <t>106B27</t>
  </si>
  <si>
    <t>8C2</t>
  </si>
  <si>
    <t>106B3</t>
  </si>
  <si>
    <t>8B3</t>
  </si>
  <si>
    <t>106B4</t>
  </si>
  <si>
    <t>8B2</t>
  </si>
  <si>
    <t>106B5</t>
  </si>
  <si>
    <t>8B1</t>
  </si>
  <si>
    <t>106B6</t>
  </si>
  <si>
    <t>8A3</t>
  </si>
  <si>
    <t>106B7</t>
  </si>
  <si>
    <t>8A2</t>
  </si>
  <si>
    <t>106B8</t>
  </si>
  <si>
    <t>8A1</t>
  </si>
  <si>
    <t>106B9</t>
  </si>
  <si>
    <t>89C9</t>
  </si>
  <si>
    <t>106C1</t>
  </si>
  <si>
    <t>89C8</t>
  </si>
  <si>
    <t>106C10</t>
  </si>
  <si>
    <t>89C7</t>
  </si>
  <si>
    <t>106C11</t>
  </si>
  <si>
    <t>89C6</t>
  </si>
  <si>
    <t>106C12</t>
  </si>
  <si>
    <t>89C5</t>
  </si>
  <si>
    <t>106C13</t>
  </si>
  <si>
    <t>89C4</t>
  </si>
  <si>
    <t>106C14</t>
  </si>
  <si>
    <t>89C30</t>
  </si>
  <si>
    <t>106C15</t>
  </si>
  <si>
    <t>89C3</t>
  </si>
  <si>
    <t>106C16</t>
  </si>
  <si>
    <t>89C29</t>
  </si>
  <si>
    <t>106C17</t>
  </si>
  <si>
    <t>89C28</t>
  </si>
  <si>
    <t>106C18</t>
  </si>
  <si>
    <t>89C27</t>
  </si>
  <si>
    <t>106C19</t>
  </si>
  <si>
    <t>89C26</t>
  </si>
  <si>
    <t>106C2</t>
  </si>
  <si>
    <t>89C25</t>
  </si>
  <si>
    <t>106C20</t>
  </si>
  <si>
    <t>89C24</t>
  </si>
  <si>
    <t>106C21</t>
  </si>
  <si>
    <t>89C23</t>
  </si>
  <si>
    <t>106C22</t>
  </si>
  <si>
    <t>89C22</t>
  </si>
  <si>
    <t>106C23</t>
  </si>
  <si>
    <t>89C21</t>
  </si>
  <si>
    <t>106C24</t>
  </si>
  <si>
    <t>89C20</t>
  </si>
  <si>
    <t>106C25</t>
  </si>
  <si>
    <t>89C2</t>
  </si>
  <si>
    <t>106C26</t>
  </si>
  <si>
    <t>89C19</t>
  </si>
  <si>
    <t>106C27</t>
  </si>
  <si>
    <t>89C18</t>
  </si>
  <si>
    <t>106C3</t>
  </si>
  <si>
    <t>89C17</t>
  </si>
  <si>
    <t>106C4</t>
  </si>
  <si>
    <t>89C16</t>
  </si>
  <si>
    <t>106C5</t>
  </si>
  <si>
    <t>89C15</t>
  </si>
  <si>
    <t>106C6</t>
  </si>
  <si>
    <t>89C14</t>
  </si>
  <si>
    <t>106C7</t>
  </si>
  <si>
    <t>89C13</t>
  </si>
  <si>
    <t>106C8</t>
  </si>
  <si>
    <t>89C12</t>
  </si>
  <si>
    <t>106C9</t>
  </si>
  <si>
    <t>89C11</t>
  </si>
  <si>
    <t>106D10</t>
  </si>
  <si>
    <t>89C10</t>
  </si>
  <si>
    <t>106D11</t>
  </si>
  <si>
    <t>89B9</t>
  </si>
  <si>
    <t>106D12</t>
  </si>
  <si>
    <t>89B8</t>
  </si>
  <si>
    <t>106D13</t>
  </si>
  <si>
    <t>89B7</t>
  </si>
  <si>
    <t>106D14</t>
  </si>
  <si>
    <t>89B6</t>
  </si>
  <si>
    <t>106D15</t>
  </si>
  <si>
    <t>89B5</t>
  </si>
  <si>
    <t>106D16</t>
  </si>
  <si>
    <t>89B4</t>
  </si>
  <si>
    <t>106D17</t>
  </si>
  <si>
    <t>89B30</t>
  </si>
  <si>
    <t>106D18</t>
  </si>
  <si>
    <t>89B3</t>
  </si>
  <si>
    <t>106D19</t>
  </si>
  <si>
    <t>89B29</t>
  </si>
  <si>
    <t>106D20</t>
  </si>
  <si>
    <t>89B28</t>
  </si>
  <si>
    <t>106D21</t>
  </si>
  <si>
    <t>89B27</t>
  </si>
  <si>
    <t>106D22</t>
  </si>
  <si>
    <t>89B26</t>
  </si>
  <si>
    <t>106D23</t>
  </si>
  <si>
    <t>89B25</t>
  </si>
  <si>
    <t>106D24</t>
  </si>
  <si>
    <t>89B24</t>
  </si>
  <si>
    <t>106D25</t>
  </si>
  <si>
    <t>89B23</t>
  </si>
  <si>
    <t>106D26</t>
  </si>
  <si>
    <t>89B22</t>
  </si>
  <si>
    <t>106D27</t>
  </si>
  <si>
    <t>89B21</t>
  </si>
  <si>
    <t>106D3</t>
  </si>
  <si>
    <t>89B20</t>
  </si>
  <si>
    <t>106D4</t>
  </si>
  <si>
    <t>89B2</t>
  </si>
  <si>
    <t>106D5</t>
  </si>
  <si>
    <t>89B19</t>
  </si>
  <si>
    <t>106D6</t>
  </si>
  <si>
    <t>89B18</t>
  </si>
  <si>
    <t>106D7</t>
  </si>
  <si>
    <t>89B17</t>
  </si>
  <si>
    <t>106D8</t>
  </si>
  <si>
    <t>89B16</t>
  </si>
  <si>
    <t>106D9</t>
  </si>
  <si>
    <t>89B15</t>
  </si>
  <si>
    <t>107A1</t>
  </si>
  <si>
    <t>89B14</t>
  </si>
  <si>
    <t>107A10</t>
  </si>
  <si>
    <t>89B13</t>
  </si>
  <si>
    <t>107A11</t>
  </si>
  <si>
    <t>89B12</t>
  </si>
  <si>
    <t>107A12</t>
  </si>
  <si>
    <t>89B11</t>
  </si>
  <si>
    <t>107A13</t>
  </si>
  <si>
    <t>89B10</t>
  </si>
  <si>
    <t>107A14</t>
  </si>
  <si>
    <t>89B1</t>
  </si>
  <si>
    <t>107A15</t>
  </si>
  <si>
    <t>89A9</t>
  </si>
  <si>
    <t>107A16</t>
  </si>
  <si>
    <t>89A8</t>
  </si>
  <si>
    <t>107A17</t>
  </si>
  <si>
    <t>89A7</t>
  </si>
  <si>
    <t>107A18</t>
  </si>
  <si>
    <t>89A6</t>
  </si>
  <si>
    <t>107A19</t>
  </si>
  <si>
    <t>89A5</t>
  </si>
  <si>
    <t>107A2</t>
  </si>
  <si>
    <t>89A4</t>
  </si>
  <si>
    <t>107A20</t>
  </si>
  <si>
    <t>89A30</t>
  </si>
  <si>
    <t>107A21</t>
  </si>
  <si>
    <t>89A3</t>
  </si>
  <si>
    <t>107A22</t>
  </si>
  <si>
    <t>89A29</t>
  </si>
  <si>
    <t>107A23</t>
  </si>
  <si>
    <t>89A28</t>
  </si>
  <si>
    <t>107A24</t>
  </si>
  <si>
    <t>89A27</t>
  </si>
  <si>
    <t>107A25</t>
  </si>
  <si>
    <t>89A26</t>
  </si>
  <si>
    <t>107A26</t>
  </si>
  <si>
    <t>89A25</t>
  </si>
  <si>
    <t>107A27</t>
  </si>
  <si>
    <t>89A24</t>
  </si>
  <si>
    <t>107A3</t>
  </si>
  <si>
    <t>89A23</t>
  </si>
  <si>
    <t>107A4</t>
  </si>
  <si>
    <t>89A22</t>
  </si>
  <si>
    <t>107A5</t>
  </si>
  <si>
    <t>89A21</t>
  </si>
  <si>
    <t>107A6</t>
  </si>
  <si>
    <t>89A20</t>
  </si>
  <si>
    <t>107A7</t>
  </si>
  <si>
    <t>89A2</t>
  </si>
  <si>
    <t>107A8</t>
  </si>
  <si>
    <t>89A19</t>
  </si>
  <si>
    <t>107A9</t>
  </si>
  <si>
    <t>89A18</t>
  </si>
  <si>
    <t>107B1</t>
  </si>
  <si>
    <t>89A17</t>
  </si>
  <si>
    <t>107B10</t>
  </si>
  <si>
    <t>89A16</t>
  </si>
  <si>
    <t>107B11</t>
  </si>
  <si>
    <t>89A15</t>
  </si>
  <si>
    <t>107B12</t>
  </si>
  <si>
    <t>89A14</t>
  </si>
  <si>
    <t>107B13</t>
  </si>
  <si>
    <t>89A13</t>
  </si>
  <si>
    <t>107B14</t>
  </si>
  <si>
    <t>89A12</t>
  </si>
  <si>
    <t>107B15</t>
  </si>
  <si>
    <t>89A11</t>
  </si>
  <si>
    <t>107B16</t>
  </si>
  <si>
    <t>89A10</t>
  </si>
  <si>
    <t>107B17</t>
  </si>
  <si>
    <t>89A1</t>
  </si>
  <si>
    <t>107B18</t>
  </si>
  <si>
    <t>88C9</t>
  </si>
  <si>
    <t>107B19</t>
  </si>
  <si>
    <t>88C8</t>
  </si>
  <si>
    <t>107B2</t>
  </si>
  <si>
    <t>88C7</t>
  </si>
  <si>
    <t>107B20</t>
  </si>
  <si>
    <t>88C6</t>
  </si>
  <si>
    <t>107B21</t>
  </si>
  <si>
    <t>88C5</t>
  </si>
  <si>
    <t>107B22</t>
  </si>
  <si>
    <t>88C4</t>
  </si>
  <si>
    <t>107B23</t>
  </si>
  <si>
    <t>88C30</t>
  </si>
  <si>
    <t>107B24</t>
  </si>
  <si>
    <t>88C3</t>
  </si>
  <si>
    <t>107B25</t>
  </si>
  <si>
    <t>88C29</t>
  </si>
  <si>
    <t>107B26</t>
  </si>
  <si>
    <t>88C28</t>
  </si>
  <si>
    <t>107B27</t>
  </si>
  <si>
    <t>88C27</t>
  </si>
  <si>
    <t>107B3</t>
  </si>
  <si>
    <t>88C26</t>
  </si>
  <si>
    <t>107B4</t>
  </si>
  <si>
    <t>88C25</t>
  </si>
  <si>
    <t>107B5</t>
  </si>
  <si>
    <t>88C24</t>
  </si>
  <si>
    <t>107B6</t>
  </si>
  <si>
    <t>88C23</t>
  </si>
  <si>
    <t>107B7</t>
  </si>
  <si>
    <t>88C22</t>
  </si>
  <si>
    <t>107B8</t>
  </si>
  <si>
    <t>88C21</t>
  </si>
  <si>
    <t>107B9</t>
  </si>
  <si>
    <t>88C20</t>
  </si>
  <si>
    <t>107C1</t>
  </si>
  <si>
    <t>88C19</t>
  </si>
  <si>
    <t>107C10</t>
  </si>
  <si>
    <t>88C18</t>
  </si>
  <si>
    <t>107C11</t>
  </si>
  <si>
    <t>88C17</t>
  </si>
  <si>
    <t>107C12</t>
  </si>
  <si>
    <t>88C16</t>
  </si>
  <si>
    <t>107C13</t>
  </si>
  <si>
    <t>88C15</t>
  </si>
  <si>
    <t>107C14</t>
  </si>
  <si>
    <t>88C14</t>
  </si>
  <si>
    <t>107C15</t>
  </si>
  <si>
    <t>88C13</t>
  </si>
  <si>
    <t>107C16</t>
  </si>
  <si>
    <t>88C12</t>
  </si>
  <si>
    <t>107C17</t>
  </si>
  <si>
    <t>88C11</t>
  </si>
  <si>
    <t>107C18</t>
  </si>
  <si>
    <t>88C10</t>
  </si>
  <si>
    <t>107C19</t>
  </si>
  <si>
    <t>88B9</t>
  </si>
  <si>
    <t>107C2</t>
  </si>
  <si>
    <t>88B8</t>
  </si>
  <si>
    <t>107C20</t>
  </si>
  <si>
    <t>88B7</t>
  </si>
  <si>
    <t>107C21</t>
  </si>
  <si>
    <t>88B6</t>
  </si>
  <si>
    <t>107C22</t>
  </si>
  <si>
    <t>88B5</t>
  </si>
  <si>
    <t>107C23</t>
  </si>
  <si>
    <t>88B4</t>
  </si>
  <si>
    <t>107C24</t>
  </si>
  <si>
    <t>88B30</t>
  </si>
  <si>
    <t>107C25</t>
  </si>
  <si>
    <t>88B3</t>
  </si>
  <si>
    <t>107C26</t>
  </si>
  <si>
    <t>88B29</t>
  </si>
  <si>
    <t>107C27</t>
  </si>
  <si>
    <t>88B28</t>
  </si>
  <si>
    <t>107C3</t>
  </si>
  <si>
    <t>88B27</t>
  </si>
  <si>
    <t>107C4</t>
  </si>
  <si>
    <t>88B26</t>
  </si>
  <si>
    <t>107C5</t>
  </si>
  <si>
    <t>88B25</t>
  </si>
  <si>
    <t>107C6</t>
  </si>
  <si>
    <t>88B24</t>
  </si>
  <si>
    <t>107C7</t>
  </si>
  <si>
    <t>88B23</t>
  </si>
  <si>
    <t>107C8</t>
  </si>
  <si>
    <t>88B22</t>
  </si>
  <si>
    <t>107C9</t>
  </si>
  <si>
    <t>88B21</t>
  </si>
  <si>
    <t>107D10</t>
  </si>
  <si>
    <t>88B20</t>
  </si>
  <si>
    <t>107D11</t>
  </si>
  <si>
    <t>88B2</t>
  </si>
  <si>
    <t>107D12</t>
  </si>
  <si>
    <t>88B19</t>
  </si>
  <si>
    <t>107D13</t>
  </si>
  <si>
    <t>88B18</t>
  </si>
  <si>
    <t>107D14</t>
  </si>
  <si>
    <t>88B17</t>
  </si>
  <si>
    <t>107D15</t>
  </si>
  <si>
    <t>88B16</t>
  </si>
  <si>
    <t>107D16</t>
  </si>
  <si>
    <t>88B15</t>
  </si>
  <si>
    <t>107D17</t>
  </si>
  <si>
    <t>88B14</t>
  </si>
  <si>
    <t>107D18</t>
  </si>
  <si>
    <t>88B13</t>
  </si>
  <si>
    <t>107D19</t>
  </si>
  <si>
    <t>88B12</t>
  </si>
  <si>
    <t>107D2</t>
  </si>
  <si>
    <t>88B11</t>
  </si>
  <si>
    <t>107D20</t>
  </si>
  <si>
    <t>88B10</t>
  </si>
  <si>
    <t>107D21</t>
  </si>
  <si>
    <t>88B1</t>
  </si>
  <si>
    <t>107D22</t>
  </si>
  <si>
    <t>88A9</t>
  </si>
  <si>
    <t>107D23</t>
  </si>
  <si>
    <t>88A8</t>
  </si>
  <si>
    <t>107D24</t>
  </si>
  <si>
    <t>88A7</t>
  </si>
  <si>
    <t>107D25</t>
  </si>
  <si>
    <t>88A6</t>
  </si>
  <si>
    <t>107D26</t>
  </si>
  <si>
    <t>88A5</t>
  </si>
  <si>
    <t>107D27</t>
  </si>
  <si>
    <t>88A4</t>
  </si>
  <si>
    <t>107D3</t>
  </si>
  <si>
    <t>88A30</t>
  </si>
  <si>
    <t>107D4</t>
  </si>
  <si>
    <t>88A3</t>
  </si>
  <si>
    <t>107D5</t>
  </si>
  <si>
    <t>88A29</t>
  </si>
  <si>
    <t>107D6</t>
  </si>
  <si>
    <t>88A28</t>
  </si>
  <si>
    <t>107D7</t>
  </si>
  <si>
    <t>88A27</t>
  </si>
  <si>
    <t>107D8</t>
  </si>
  <si>
    <t>88A26</t>
  </si>
  <si>
    <t>107D9</t>
  </si>
  <si>
    <t>88A25</t>
  </si>
  <si>
    <t>108A1</t>
  </si>
  <si>
    <t>88A24</t>
  </si>
  <si>
    <t>108A10</t>
  </si>
  <si>
    <t>88A23</t>
  </si>
  <si>
    <t>108A11</t>
  </si>
  <si>
    <t>88A22</t>
  </si>
  <si>
    <t>108A12</t>
  </si>
  <si>
    <t>88A21</t>
  </si>
  <si>
    <t>108A13</t>
  </si>
  <si>
    <t>88A20</t>
  </si>
  <si>
    <t>108A14</t>
  </si>
  <si>
    <t>88A2</t>
  </si>
  <si>
    <t>108A15</t>
  </si>
  <si>
    <t>88A19</t>
  </si>
  <si>
    <t>108A16</t>
  </si>
  <si>
    <t>88A18</t>
  </si>
  <si>
    <t>108A17</t>
  </si>
  <si>
    <t>88A17</t>
  </si>
  <si>
    <t>108A18</t>
  </si>
  <si>
    <t>88A16</t>
  </si>
  <si>
    <t>108A19</t>
  </si>
  <si>
    <t>88A15</t>
  </si>
  <si>
    <t>108A2</t>
  </si>
  <si>
    <t>88A14</t>
  </si>
  <si>
    <t>108A20</t>
  </si>
  <si>
    <t>88A13</t>
  </si>
  <si>
    <t>108A21</t>
  </si>
  <si>
    <t>88A12</t>
  </si>
  <si>
    <t>108A22</t>
  </si>
  <si>
    <t>88A11</t>
  </si>
  <si>
    <t>108A23</t>
  </si>
  <si>
    <t>88A10</t>
  </si>
  <si>
    <t>108A24</t>
  </si>
  <si>
    <t>88A1</t>
  </si>
  <si>
    <t>108A25</t>
  </si>
  <si>
    <t>87C9</t>
  </si>
  <si>
    <t>108A26</t>
  </si>
  <si>
    <t>87C8</t>
  </si>
  <si>
    <t>108A27</t>
  </si>
  <si>
    <t>87C7</t>
  </si>
  <si>
    <t>108A3</t>
  </si>
  <si>
    <t>87C6</t>
  </si>
  <si>
    <t>108A4</t>
  </si>
  <si>
    <t>87C5</t>
  </si>
  <si>
    <t>108A5</t>
  </si>
  <si>
    <t>87C4</t>
  </si>
  <si>
    <t>108A6</t>
  </si>
  <si>
    <t>87C3</t>
  </si>
  <si>
    <t>108A7</t>
  </si>
  <si>
    <t>87C29</t>
  </si>
  <si>
    <t>108A8</t>
  </si>
  <si>
    <t>87C28</t>
  </si>
  <si>
    <t>108A9</t>
  </si>
  <si>
    <t>87C27</t>
  </si>
  <si>
    <t>108B1</t>
  </si>
  <si>
    <t>87C26</t>
  </si>
  <si>
    <t>108B10</t>
  </si>
  <si>
    <t>87C25</t>
  </si>
  <si>
    <t>108B11</t>
  </si>
  <si>
    <t>87C24</t>
  </si>
  <si>
    <t>108B12</t>
  </si>
  <si>
    <t>87C23</t>
  </si>
  <si>
    <t>108B13</t>
  </si>
  <si>
    <t>87C22</t>
  </si>
  <si>
    <t>108B14</t>
  </si>
  <si>
    <t>87C21</t>
  </si>
  <si>
    <t>108B15</t>
  </si>
  <si>
    <t>87C20</t>
  </si>
  <si>
    <t>108B16</t>
  </si>
  <si>
    <t>87C2</t>
  </si>
  <si>
    <t>108B17</t>
  </si>
  <si>
    <t>87C19</t>
  </si>
  <si>
    <t>108B18</t>
  </si>
  <si>
    <t>87C18</t>
  </si>
  <si>
    <t>108B19</t>
  </si>
  <si>
    <t>87C17</t>
  </si>
  <si>
    <t>108B2</t>
  </si>
  <si>
    <t>87C16</t>
  </si>
  <si>
    <t>108B20</t>
  </si>
  <si>
    <t>87C15</t>
  </si>
  <si>
    <t>108B21</t>
  </si>
  <si>
    <t>87C14</t>
  </si>
  <si>
    <t>108B22</t>
  </si>
  <si>
    <t>87C13</t>
  </si>
  <si>
    <t>108B23</t>
  </si>
  <si>
    <t>87C12</t>
  </si>
  <si>
    <t>108B24</t>
  </si>
  <si>
    <t>87C11</t>
  </si>
  <si>
    <t>108B25</t>
  </si>
  <si>
    <t>87C10</t>
  </si>
  <si>
    <t>108B26</t>
  </si>
  <si>
    <t>87C1</t>
  </si>
  <si>
    <t>108B27</t>
  </si>
  <si>
    <t>87B9</t>
  </si>
  <si>
    <t>108B3</t>
  </si>
  <si>
    <t>87B8</t>
  </si>
  <si>
    <t>108B4</t>
  </si>
  <si>
    <t>87B7</t>
  </si>
  <si>
    <t>108B5</t>
  </si>
  <si>
    <t>87B6</t>
  </si>
  <si>
    <t>108B6</t>
  </si>
  <si>
    <t>87B5</t>
  </si>
  <si>
    <t>108B7</t>
  </si>
  <si>
    <t>87B4</t>
  </si>
  <si>
    <t>108B8</t>
  </si>
  <si>
    <t>87B3</t>
  </si>
  <si>
    <t>108B9</t>
  </si>
  <si>
    <t>87B29</t>
  </si>
  <si>
    <t>108C1</t>
  </si>
  <si>
    <t>87B28</t>
  </si>
  <si>
    <t>108C10</t>
  </si>
  <si>
    <t>87B27</t>
  </si>
  <si>
    <t>108C11</t>
  </si>
  <si>
    <t>87B26</t>
  </si>
  <si>
    <t>108C12</t>
  </si>
  <si>
    <t>87B25</t>
  </si>
  <si>
    <t>108C13</t>
  </si>
  <si>
    <t>87B24</t>
  </si>
  <si>
    <t>108C14</t>
  </si>
  <si>
    <t>87B23</t>
  </si>
  <si>
    <t>108C15</t>
  </si>
  <si>
    <t>87B22</t>
  </si>
  <si>
    <t>108C16</t>
  </si>
  <si>
    <t>87B21</t>
  </si>
  <si>
    <t>108C17</t>
  </si>
  <si>
    <t>87B20</t>
  </si>
  <si>
    <t>108C18</t>
  </si>
  <si>
    <t>87B2</t>
  </si>
  <si>
    <t>108C19</t>
  </si>
  <si>
    <t>87B19</t>
  </si>
  <si>
    <t>108C2</t>
  </si>
  <si>
    <t>87B18</t>
  </si>
  <si>
    <t>108C20</t>
  </si>
  <si>
    <t>87B17</t>
  </si>
  <si>
    <t>108C21</t>
  </si>
  <si>
    <t>87B16</t>
  </si>
  <si>
    <t>108C22</t>
  </si>
  <si>
    <t>87B15</t>
  </si>
  <si>
    <t>108C23</t>
  </si>
  <si>
    <t>87B14</t>
  </si>
  <si>
    <t>108C24</t>
  </si>
  <si>
    <t>87B13</t>
  </si>
  <si>
    <t>108C25</t>
  </si>
  <si>
    <t>87B12</t>
  </si>
  <si>
    <t>108C26</t>
  </si>
  <si>
    <t>87B11</t>
  </si>
  <si>
    <t>108C27</t>
  </si>
  <si>
    <t>87B10</t>
  </si>
  <si>
    <t>108C3</t>
  </si>
  <si>
    <t>87B1</t>
  </si>
  <si>
    <t>108C4</t>
  </si>
  <si>
    <t>87A9</t>
  </si>
  <si>
    <t>108C5</t>
  </si>
  <si>
    <t>87A8</t>
  </si>
  <si>
    <t>108C6</t>
  </si>
  <si>
    <t>87A7</t>
  </si>
  <si>
    <t>108C7</t>
  </si>
  <si>
    <t>87A6</t>
  </si>
  <si>
    <t>108C8</t>
  </si>
  <si>
    <t>87A5</t>
  </si>
  <si>
    <t>108C9</t>
  </si>
  <si>
    <t>87A4</t>
  </si>
  <si>
    <t>108D1</t>
  </si>
  <si>
    <t>87A3</t>
  </si>
  <si>
    <t>108D10</t>
  </si>
  <si>
    <t>87A29</t>
  </si>
  <si>
    <t>108D11</t>
  </si>
  <si>
    <t>87A28</t>
  </si>
  <si>
    <t>108D12</t>
  </si>
  <si>
    <t>87A27</t>
  </si>
  <si>
    <t>108D13</t>
  </si>
  <si>
    <t>87A26</t>
  </si>
  <si>
    <t>108D14</t>
  </si>
  <si>
    <t>87A25</t>
  </si>
  <si>
    <t>108D15</t>
  </si>
  <si>
    <t>87A24</t>
  </si>
  <si>
    <t>108D16</t>
  </si>
  <si>
    <t>87A23</t>
  </si>
  <si>
    <t>108D17</t>
  </si>
  <si>
    <t>87A22</t>
  </si>
  <si>
    <t>108D18</t>
  </si>
  <si>
    <t>87A21</t>
  </si>
  <si>
    <t>108D19</t>
  </si>
  <si>
    <t>87A20</t>
  </si>
  <si>
    <t>108D2</t>
  </si>
  <si>
    <t>87A2</t>
  </si>
  <si>
    <t>108D20</t>
  </si>
  <si>
    <t>87A19</t>
  </si>
  <si>
    <t>108D21</t>
  </si>
  <si>
    <t>87A18</t>
  </si>
  <si>
    <t>108D22</t>
  </si>
  <si>
    <t>87A17</t>
  </si>
  <si>
    <t>108D23</t>
  </si>
  <si>
    <t>87A16</t>
  </si>
  <si>
    <t>108D24</t>
  </si>
  <si>
    <t>87A15</t>
  </si>
  <si>
    <t>108D25</t>
  </si>
  <si>
    <t>87A14</t>
  </si>
  <si>
    <t>108D26</t>
  </si>
  <si>
    <t>87A13</t>
  </si>
  <si>
    <t>108D27</t>
  </si>
  <si>
    <t>87A12</t>
  </si>
  <si>
    <t>108D3</t>
  </si>
  <si>
    <t>87A11</t>
  </si>
  <si>
    <t>108D4</t>
  </si>
  <si>
    <t>87A10</t>
  </si>
  <si>
    <t>108D5</t>
  </si>
  <si>
    <t>87A1</t>
  </si>
  <si>
    <t>108D6</t>
  </si>
  <si>
    <t>86C9</t>
  </si>
  <si>
    <t>108D7</t>
  </si>
  <si>
    <t>86C8</t>
  </si>
  <si>
    <t>108D8</t>
  </si>
  <si>
    <t>86C7</t>
  </si>
  <si>
    <t>108D9</t>
  </si>
  <si>
    <t>86C6</t>
  </si>
  <si>
    <t>109A1</t>
  </si>
  <si>
    <t>86C5</t>
  </si>
  <si>
    <t>109A10</t>
  </si>
  <si>
    <t>86C4</t>
  </si>
  <si>
    <t>109A11</t>
  </si>
  <si>
    <t>86C3</t>
  </si>
  <si>
    <t>109A12</t>
  </si>
  <si>
    <t>86C29</t>
  </si>
  <si>
    <t>109A13</t>
  </si>
  <si>
    <t>86C28</t>
  </si>
  <si>
    <t>109A14</t>
  </si>
  <si>
    <t>86C27</t>
  </si>
  <si>
    <t>109A15</t>
  </si>
  <si>
    <t>86C26</t>
  </si>
  <si>
    <t>109A16</t>
  </si>
  <si>
    <t>86C25</t>
  </si>
  <si>
    <t>109A17</t>
  </si>
  <si>
    <t>86C24</t>
  </si>
  <si>
    <t>109A18</t>
  </si>
  <si>
    <t>86C23</t>
  </si>
  <si>
    <t>109A19</t>
  </si>
  <si>
    <t>86C22</t>
  </si>
  <si>
    <t>109A2</t>
  </si>
  <si>
    <t>86C21</t>
  </si>
  <si>
    <t>109A20</t>
  </si>
  <si>
    <t>86C20</t>
  </si>
  <si>
    <t>109A21</t>
  </si>
  <si>
    <t>86C2</t>
  </si>
  <si>
    <t>109A22</t>
  </si>
  <si>
    <t>86C19</t>
  </si>
  <si>
    <t>109A23</t>
  </si>
  <si>
    <t>86C18</t>
  </si>
  <si>
    <t>109A24</t>
  </si>
  <si>
    <t>86C17</t>
  </si>
  <si>
    <t>109A25</t>
  </si>
  <si>
    <t>86C16</t>
  </si>
  <si>
    <t>109A26</t>
  </si>
  <si>
    <t>86C15</t>
  </si>
  <si>
    <t>109A27</t>
  </si>
  <si>
    <t>86C14</t>
  </si>
  <si>
    <t>109A28</t>
  </si>
  <si>
    <t>86C13</t>
  </si>
  <si>
    <t>109A3</t>
  </si>
  <si>
    <t>86C12</t>
  </si>
  <si>
    <t>109A4</t>
  </si>
  <si>
    <t>86C11</t>
  </si>
  <si>
    <t>109A5</t>
  </si>
  <si>
    <t>86C10</t>
  </si>
  <si>
    <t>109A6</t>
  </si>
  <si>
    <t>86B9</t>
  </si>
  <si>
    <t>109A7</t>
  </si>
  <si>
    <t>86B8</t>
  </si>
  <si>
    <t>109A8</t>
  </si>
  <si>
    <t>86B7</t>
  </si>
  <si>
    <t>109A9</t>
  </si>
  <si>
    <t>86B6</t>
  </si>
  <si>
    <t>109B1</t>
  </si>
  <si>
    <t>86B5</t>
  </si>
  <si>
    <t>109B10</t>
  </si>
  <si>
    <t>86B4</t>
  </si>
  <si>
    <t>109B11</t>
  </si>
  <si>
    <t>86B3</t>
  </si>
  <si>
    <t>109B12</t>
  </si>
  <si>
    <t>86B29</t>
  </si>
  <si>
    <t>109B13</t>
  </si>
  <si>
    <t>86B28</t>
  </si>
  <si>
    <t>109B14</t>
  </si>
  <si>
    <t>86B27</t>
  </si>
  <si>
    <t>109B15</t>
  </si>
  <si>
    <t>86B26</t>
  </si>
  <si>
    <t>109B16</t>
  </si>
  <si>
    <t>86B25</t>
  </si>
  <si>
    <t>109B17</t>
  </si>
  <si>
    <t>86B24</t>
  </si>
  <si>
    <t>109B18</t>
  </si>
  <si>
    <t>86B23</t>
  </si>
  <si>
    <t>109B19</t>
  </si>
  <si>
    <t>86B22</t>
  </si>
  <si>
    <t>109B2</t>
  </si>
  <si>
    <t>86B21</t>
  </si>
  <si>
    <t>109B20</t>
  </si>
  <si>
    <t>86B20</t>
  </si>
  <si>
    <t>109B21</t>
  </si>
  <si>
    <t>86B2</t>
  </si>
  <si>
    <t>109B22</t>
  </si>
  <si>
    <t>86B19</t>
  </si>
  <si>
    <t>109B23</t>
  </si>
  <si>
    <t>86B18</t>
  </si>
  <si>
    <t>109B24</t>
  </si>
  <si>
    <t>86B17</t>
  </si>
  <si>
    <t>109B25</t>
  </si>
  <si>
    <t>86B16</t>
  </si>
  <si>
    <t>109B26</t>
  </si>
  <si>
    <t>86B15</t>
  </si>
  <si>
    <t>109B27</t>
  </si>
  <si>
    <t>86B14</t>
  </si>
  <si>
    <t>109B28</t>
  </si>
  <si>
    <t>86B13</t>
  </si>
  <si>
    <t>109B3</t>
  </si>
  <si>
    <t>86B12</t>
  </si>
  <si>
    <t>109B4</t>
  </si>
  <si>
    <t>86B11</t>
  </si>
  <si>
    <t>109B5</t>
  </si>
  <si>
    <t>86B10</t>
  </si>
  <si>
    <t>109B6</t>
  </si>
  <si>
    <t>86B1</t>
  </si>
  <si>
    <t>109B7</t>
  </si>
  <si>
    <t>86A9</t>
  </si>
  <si>
    <t>109B8</t>
  </si>
  <si>
    <t>86A8</t>
  </si>
  <si>
    <t>109B9</t>
  </si>
  <si>
    <t>86A7</t>
  </si>
  <si>
    <t>109C1</t>
  </si>
  <si>
    <t>86A6</t>
  </si>
  <si>
    <t>109C10</t>
  </si>
  <si>
    <t>86A5</t>
  </si>
  <si>
    <t>109C11</t>
  </si>
  <si>
    <t>86A4</t>
  </si>
  <si>
    <t>109C12</t>
  </si>
  <si>
    <t>86A3</t>
  </si>
  <si>
    <t>109C13</t>
  </si>
  <si>
    <t>86A29</t>
  </si>
  <si>
    <t>109C14</t>
  </si>
  <si>
    <t>86A28</t>
  </si>
  <si>
    <t>109C15</t>
  </si>
  <si>
    <t>86A27</t>
  </si>
  <si>
    <t>109C16</t>
  </si>
  <si>
    <t>86A26</t>
  </si>
  <si>
    <t>109C17</t>
  </si>
  <si>
    <t>86A25</t>
  </si>
  <si>
    <t>109C18</t>
  </si>
  <si>
    <t>86A24</t>
  </si>
  <si>
    <t>109C19</t>
  </si>
  <si>
    <t>86A23</t>
  </si>
  <si>
    <t>109C2</t>
  </si>
  <si>
    <t>86A22</t>
  </si>
  <si>
    <t>109C20</t>
  </si>
  <si>
    <t>86A21</t>
  </si>
  <si>
    <t>109C21</t>
  </si>
  <si>
    <t>86A20</t>
  </si>
  <si>
    <t>109C22</t>
  </si>
  <si>
    <t>86A2</t>
  </si>
  <si>
    <t>109C23</t>
  </si>
  <si>
    <t>86A19</t>
  </si>
  <si>
    <t>109C24</t>
  </si>
  <si>
    <t>86A18</t>
  </si>
  <si>
    <t>109C25</t>
  </si>
  <si>
    <t>86A17</t>
  </si>
  <si>
    <t>109C26</t>
  </si>
  <si>
    <t>86A16</t>
  </si>
  <si>
    <t>109C27</t>
  </si>
  <si>
    <t>86A15</t>
  </si>
  <si>
    <t>109C28</t>
  </si>
  <si>
    <t>86A14</t>
  </si>
  <si>
    <t>109C3</t>
  </si>
  <si>
    <t>86A13</t>
  </si>
  <si>
    <t>109C4</t>
  </si>
  <si>
    <t>86A12</t>
  </si>
  <si>
    <t>109C5</t>
  </si>
  <si>
    <t>86A11</t>
  </si>
  <si>
    <t>109C6</t>
  </si>
  <si>
    <t>86A10</t>
  </si>
  <si>
    <t>109C7</t>
  </si>
  <si>
    <t>86A1</t>
  </si>
  <si>
    <t>109C8</t>
  </si>
  <si>
    <t>85C9</t>
  </si>
  <si>
    <t>109C9</t>
  </si>
  <si>
    <t>85C8</t>
  </si>
  <si>
    <t>109D10</t>
  </si>
  <si>
    <t>85C7</t>
  </si>
  <si>
    <t>109D11</t>
  </si>
  <si>
    <t>85C6</t>
  </si>
  <si>
    <t>109D12</t>
  </si>
  <si>
    <t>85C5</t>
  </si>
  <si>
    <t>109D13</t>
  </si>
  <si>
    <t>85C4</t>
  </si>
  <si>
    <t>109D14</t>
  </si>
  <si>
    <t>85C3</t>
  </si>
  <si>
    <t>109D15</t>
  </si>
  <si>
    <t>85C29</t>
  </si>
  <si>
    <t>109D16</t>
  </si>
  <si>
    <t>85C28</t>
  </si>
  <si>
    <t>109D17</t>
  </si>
  <si>
    <t>85C27</t>
  </si>
  <si>
    <t>109D18</t>
  </si>
  <si>
    <t>85C26</t>
  </si>
  <si>
    <t>109D19</t>
  </si>
  <si>
    <t>85C25</t>
  </si>
  <si>
    <t>109D20</t>
  </si>
  <si>
    <t>85C24</t>
  </si>
  <si>
    <t>109D21</t>
  </si>
  <si>
    <t>85C23</t>
  </si>
  <si>
    <t>109D22</t>
  </si>
  <si>
    <t>85C22</t>
  </si>
  <si>
    <t>109D23</t>
  </si>
  <si>
    <t>85C21</t>
  </si>
  <si>
    <t>109D24</t>
  </si>
  <si>
    <t>85C20</t>
  </si>
  <si>
    <t>109D25</t>
  </si>
  <si>
    <t>85C19</t>
  </si>
  <si>
    <t>109D26</t>
  </si>
  <si>
    <t>85C18</t>
  </si>
  <si>
    <t>109D27</t>
  </si>
  <si>
    <t>85C17</t>
  </si>
  <si>
    <t>109D28</t>
  </si>
  <si>
    <t>85C16</t>
  </si>
  <si>
    <t>109D4</t>
  </si>
  <si>
    <t>85C15</t>
  </si>
  <si>
    <t>109D5</t>
  </si>
  <si>
    <t>85C14</t>
  </si>
  <si>
    <t>109D6</t>
  </si>
  <si>
    <t>85C13</t>
  </si>
  <si>
    <t>109D7</t>
  </si>
  <si>
    <t>85C12</t>
  </si>
  <si>
    <t>109D8</t>
  </si>
  <si>
    <t>85C11</t>
  </si>
  <si>
    <t>109D9</t>
  </si>
  <si>
    <t>85C10</t>
  </si>
  <si>
    <t>10A1</t>
  </si>
  <si>
    <t>85B9</t>
  </si>
  <si>
    <t>10A2</t>
  </si>
  <si>
    <t>85B8</t>
  </si>
  <si>
    <t>10A3</t>
  </si>
  <si>
    <t>85B7</t>
  </si>
  <si>
    <t>10B1</t>
  </si>
  <si>
    <t>85B6</t>
  </si>
  <si>
    <t>10B2</t>
  </si>
  <si>
    <t>85B5</t>
  </si>
  <si>
    <t>10B3</t>
  </si>
  <si>
    <t>85B4</t>
  </si>
  <si>
    <t>10C1</t>
  </si>
  <si>
    <t>85B3</t>
  </si>
  <si>
    <t>10C2</t>
  </si>
  <si>
    <t>85B29</t>
  </si>
  <si>
    <t>10C3</t>
  </si>
  <si>
    <t>85B28</t>
  </si>
  <si>
    <t>10D3</t>
  </si>
  <si>
    <t>85B27</t>
  </si>
  <si>
    <t>110A1</t>
  </si>
  <si>
    <t>85B26</t>
  </si>
  <si>
    <t>110A10</t>
  </si>
  <si>
    <t>85B25</t>
  </si>
  <si>
    <t>110A11</t>
  </si>
  <si>
    <t>85B24</t>
  </si>
  <si>
    <t>110A12</t>
  </si>
  <si>
    <t>85B23</t>
  </si>
  <si>
    <t>110A13</t>
  </si>
  <si>
    <t>85B22</t>
  </si>
  <si>
    <t>110A14</t>
  </si>
  <si>
    <t>85B21</t>
  </si>
  <si>
    <t>110A15</t>
  </si>
  <si>
    <t>85B20</t>
  </si>
  <si>
    <t>110A16</t>
  </si>
  <si>
    <t>85B2</t>
  </si>
  <si>
    <t>110A17</t>
  </si>
  <si>
    <t>85B19</t>
  </si>
  <si>
    <t>110A18</t>
  </si>
  <si>
    <t>85B18</t>
  </si>
  <si>
    <t>110A19</t>
  </si>
  <si>
    <t>85B17</t>
  </si>
  <si>
    <t>110A2</t>
  </si>
  <si>
    <t>85B16</t>
  </si>
  <si>
    <t>110A20</t>
  </si>
  <si>
    <t>85B15</t>
  </si>
  <si>
    <t>110A21</t>
  </si>
  <si>
    <t>85B14</t>
  </si>
  <si>
    <t>110A22</t>
  </si>
  <si>
    <t>85B13</t>
  </si>
  <si>
    <t>110A23</t>
  </si>
  <si>
    <t>85B12</t>
  </si>
  <si>
    <t>110A24</t>
  </si>
  <si>
    <t>85B11</t>
  </si>
  <si>
    <t>110A25</t>
  </si>
  <si>
    <t>85B10</t>
  </si>
  <si>
    <t>110A26</t>
  </si>
  <si>
    <t>85B1</t>
  </si>
  <si>
    <t>110A27</t>
  </si>
  <si>
    <t>85A9</t>
  </si>
  <si>
    <t>110A28</t>
  </si>
  <si>
    <t>85A8</t>
  </si>
  <si>
    <t>110A3</t>
  </si>
  <si>
    <t>85A7</t>
  </si>
  <si>
    <t>110A4</t>
  </si>
  <si>
    <t>85A6</t>
  </si>
  <si>
    <t>110A5</t>
  </si>
  <si>
    <t>85A5</t>
  </si>
  <si>
    <t>110A6</t>
  </si>
  <si>
    <t>85A4</t>
  </si>
  <si>
    <t>110A7</t>
  </si>
  <si>
    <t>85A3</t>
  </si>
  <si>
    <t>110A8</t>
  </si>
  <si>
    <t>85A29</t>
  </si>
  <si>
    <t>110A9</t>
  </si>
  <si>
    <t>85A28</t>
  </si>
  <si>
    <t>110B1</t>
  </si>
  <si>
    <t>85A27</t>
  </si>
  <si>
    <t>110B10</t>
  </si>
  <si>
    <t>85A26</t>
  </si>
  <si>
    <t>110B11</t>
  </si>
  <si>
    <t>85A25</t>
  </si>
  <si>
    <t>110B12</t>
  </si>
  <si>
    <t>85A24</t>
  </si>
  <si>
    <t>110B13</t>
  </si>
  <si>
    <t>85A23</t>
  </si>
  <si>
    <t>110B14</t>
  </si>
  <si>
    <t>85A22</t>
  </si>
  <si>
    <t>110B15</t>
  </si>
  <si>
    <t>85A21</t>
  </si>
  <si>
    <t>110B16</t>
  </si>
  <si>
    <t>85A20</t>
  </si>
  <si>
    <t>110B17</t>
  </si>
  <si>
    <t>85A2</t>
  </si>
  <si>
    <t>110B18</t>
  </si>
  <si>
    <t>85A19</t>
  </si>
  <si>
    <t>110B19</t>
  </si>
  <si>
    <t>85A18</t>
  </si>
  <si>
    <t>110B2</t>
  </si>
  <si>
    <t>85A17</t>
  </si>
  <si>
    <t>110B20</t>
  </si>
  <si>
    <t>85A16</t>
  </si>
  <si>
    <t>110B21</t>
  </si>
  <si>
    <t>85A15</t>
  </si>
  <si>
    <t>110B22</t>
  </si>
  <si>
    <t>85A14</t>
  </si>
  <si>
    <t>110B23</t>
  </si>
  <si>
    <t>85A13</t>
  </si>
  <si>
    <t>110B24</t>
  </si>
  <si>
    <t>85A12</t>
  </si>
  <si>
    <t>110B25</t>
  </si>
  <si>
    <t>85A11</t>
  </si>
  <si>
    <t>110B26</t>
  </si>
  <si>
    <t>85A10</t>
  </si>
  <si>
    <t>110B27</t>
  </si>
  <si>
    <t>85A1</t>
  </si>
  <si>
    <t>110B28</t>
  </si>
  <si>
    <t>84C9</t>
  </si>
  <si>
    <t>110B3</t>
  </si>
  <si>
    <t>84C8</t>
  </si>
  <si>
    <t>110B4</t>
  </si>
  <si>
    <t>84C7</t>
  </si>
  <si>
    <t>110B5</t>
  </si>
  <si>
    <t>84C6</t>
  </si>
  <si>
    <t>110B6</t>
  </si>
  <si>
    <t>84C5</t>
  </si>
  <si>
    <t>110B7</t>
  </si>
  <si>
    <t>84C4</t>
  </si>
  <si>
    <t>110B8</t>
  </si>
  <si>
    <t>84C3</t>
  </si>
  <si>
    <t>110B9</t>
  </si>
  <si>
    <t>84C28</t>
  </si>
  <si>
    <t>110C1</t>
  </si>
  <si>
    <t>84C27</t>
  </si>
  <si>
    <t>110C10</t>
  </si>
  <si>
    <t>84C26</t>
  </si>
  <si>
    <t>110C11</t>
  </si>
  <si>
    <t>84C25</t>
  </si>
  <si>
    <t>110C12</t>
  </si>
  <si>
    <t>84C24</t>
  </si>
  <si>
    <t>110C13</t>
  </si>
  <si>
    <t>84C23</t>
  </si>
  <si>
    <t>110C14</t>
  </si>
  <si>
    <t>84C22</t>
  </si>
  <si>
    <t>110C15</t>
  </si>
  <si>
    <t>84C21</t>
  </si>
  <si>
    <t>110C16</t>
  </si>
  <si>
    <t>84C20</t>
  </si>
  <si>
    <t>110C17</t>
  </si>
  <si>
    <t>84C2</t>
  </si>
  <si>
    <t>110C18</t>
  </si>
  <si>
    <t>84C19</t>
  </si>
  <si>
    <t>110C19</t>
  </si>
  <si>
    <t>84C18</t>
  </si>
  <si>
    <t>110C2</t>
  </si>
  <si>
    <t>84C17</t>
  </si>
  <si>
    <t>110C20</t>
  </si>
  <si>
    <t>84C16</t>
  </si>
  <si>
    <t>110C21</t>
  </si>
  <si>
    <t>84C15</t>
  </si>
  <si>
    <t>110C22</t>
  </si>
  <si>
    <t>84C14</t>
  </si>
  <si>
    <t>110C23</t>
  </si>
  <si>
    <t>84C13</t>
  </si>
  <si>
    <t>110C24</t>
  </si>
  <si>
    <t>84C12</t>
  </si>
  <si>
    <t>110C25</t>
  </si>
  <si>
    <t>84C11</t>
  </si>
  <si>
    <t>110C26</t>
  </si>
  <si>
    <t>84C10</t>
  </si>
  <si>
    <t>110C27</t>
  </si>
  <si>
    <t>84C1</t>
  </si>
  <si>
    <t>110C28</t>
  </si>
  <si>
    <t>84B9</t>
  </si>
  <si>
    <t>110C3</t>
  </si>
  <si>
    <t>84B8</t>
  </si>
  <si>
    <t>110C4</t>
  </si>
  <si>
    <t>84B7</t>
  </si>
  <si>
    <t>110C5</t>
  </si>
  <si>
    <t>84B6</t>
  </si>
  <si>
    <t>110C6</t>
  </si>
  <si>
    <t>84B5</t>
  </si>
  <si>
    <t>110C7</t>
  </si>
  <si>
    <t>84B4</t>
  </si>
  <si>
    <t>110C8</t>
  </si>
  <si>
    <t>84B3</t>
  </si>
  <si>
    <t>110C9</t>
  </si>
  <si>
    <t>84B28</t>
  </si>
  <si>
    <t>110D10</t>
  </si>
  <si>
    <t>84B27</t>
  </si>
  <si>
    <t>110D11</t>
  </si>
  <si>
    <t>84B26</t>
  </si>
  <si>
    <t>110D12</t>
  </si>
  <si>
    <t>84B25</t>
  </si>
  <si>
    <t>110D13</t>
  </si>
  <si>
    <t>84B24</t>
  </si>
  <si>
    <t>110D14</t>
  </si>
  <si>
    <t>84B23</t>
  </si>
  <si>
    <t>110D15</t>
  </si>
  <si>
    <t>84B22</t>
  </si>
  <si>
    <t>110D16</t>
  </si>
  <si>
    <t>84B21</t>
  </si>
  <si>
    <t>110D17</t>
  </si>
  <si>
    <t>84B20</t>
  </si>
  <si>
    <t>110D18</t>
  </si>
  <si>
    <t>84B2</t>
  </si>
  <si>
    <t>110D19</t>
  </si>
  <si>
    <t>84B19</t>
  </si>
  <si>
    <t>110D20</t>
  </si>
  <si>
    <t>84B18</t>
  </si>
  <si>
    <t>110D21</t>
  </si>
  <si>
    <t>84B17</t>
  </si>
  <si>
    <t>110D22</t>
  </si>
  <si>
    <t>84B16</t>
  </si>
  <si>
    <t>110D23</t>
  </si>
  <si>
    <t>84B15</t>
  </si>
  <si>
    <t>110D24</t>
  </si>
  <si>
    <t>84B14</t>
  </si>
  <si>
    <t>110D25</t>
  </si>
  <si>
    <t>84B13</t>
  </si>
  <si>
    <t>110D26</t>
  </si>
  <si>
    <t>84B12</t>
  </si>
  <si>
    <t>110D27</t>
  </si>
  <si>
    <t>84B11</t>
  </si>
  <si>
    <t>110D28</t>
  </si>
  <si>
    <t>84B10</t>
  </si>
  <si>
    <t>110D3</t>
  </si>
  <si>
    <t>84B1</t>
  </si>
  <si>
    <t>110D4</t>
  </si>
  <si>
    <t>84A9</t>
  </si>
  <si>
    <t>110D5</t>
  </si>
  <si>
    <t>84A8</t>
  </si>
  <si>
    <t>110D6</t>
  </si>
  <si>
    <t>84A7</t>
  </si>
  <si>
    <t>110D7</t>
  </si>
  <si>
    <t>84A6</t>
  </si>
  <si>
    <t>110D8</t>
  </si>
  <si>
    <t>84A5</t>
  </si>
  <si>
    <t>110D9</t>
  </si>
  <si>
    <t>84A4</t>
  </si>
  <si>
    <t>111A1</t>
  </si>
  <si>
    <t>84A3</t>
  </si>
  <si>
    <t>111A10</t>
  </si>
  <si>
    <t>84A28</t>
  </si>
  <si>
    <t>111A11</t>
  </si>
  <si>
    <t>84A27</t>
  </si>
  <si>
    <t>111A12</t>
  </si>
  <si>
    <t>84A26</t>
  </si>
  <si>
    <t>111A13</t>
  </si>
  <si>
    <t>84A25</t>
  </si>
  <si>
    <t>111A14</t>
  </si>
  <si>
    <t>84A24</t>
  </si>
  <si>
    <t>111A15</t>
  </si>
  <si>
    <t>84A23</t>
  </si>
  <si>
    <t>111A16</t>
  </si>
  <si>
    <t>84A22</t>
  </si>
  <si>
    <t>111A17</t>
  </si>
  <si>
    <t>84A21</t>
  </si>
  <si>
    <t>111A18</t>
  </si>
  <si>
    <t>84A20</t>
  </si>
  <si>
    <t>111A19</t>
  </si>
  <si>
    <t>84A2</t>
  </si>
  <si>
    <t>111A2</t>
  </si>
  <si>
    <t>84A19</t>
  </si>
  <si>
    <t>111A20</t>
  </si>
  <si>
    <t>84A18</t>
  </si>
  <si>
    <t>111A21</t>
  </si>
  <si>
    <t>84A17</t>
  </si>
  <si>
    <t>111A22</t>
  </si>
  <si>
    <t>84A16</t>
  </si>
  <si>
    <t>111A23</t>
  </si>
  <si>
    <t>84A15</t>
  </si>
  <si>
    <t>111A24</t>
  </si>
  <si>
    <t>84A14</t>
  </si>
  <si>
    <t>111A25</t>
  </si>
  <si>
    <t>84A13</t>
  </si>
  <si>
    <t>111A26</t>
  </si>
  <si>
    <t>84A12</t>
  </si>
  <si>
    <t>111A27</t>
  </si>
  <si>
    <t>84A11</t>
  </si>
  <si>
    <t>111A28</t>
  </si>
  <si>
    <t>84A10</t>
  </si>
  <si>
    <t>111A3</t>
  </si>
  <si>
    <t>84A1</t>
  </si>
  <si>
    <t>111A4</t>
  </si>
  <si>
    <t>83C9</t>
  </si>
  <si>
    <t>111A5</t>
  </si>
  <si>
    <t>83C8</t>
  </si>
  <si>
    <t>111A6</t>
  </si>
  <si>
    <t>83C7</t>
  </si>
  <si>
    <t>111A7</t>
  </si>
  <si>
    <t>83C6</t>
  </si>
  <si>
    <t>111A8</t>
  </si>
  <si>
    <t>83C5</t>
  </si>
  <si>
    <t>111A9</t>
  </si>
  <si>
    <t>83C4</t>
  </si>
  <si>
    <t>111B1</t>
  </si>
  <si>
    <t>83C3</t>
  </si>
  <si>
    <t>111B10</t>
  </si>
  <si>
    <t>83C28</t>
  </si>
  <si>
    <t>111B11</t>
  </si>
  <si>
    <t>83C27</t>
  </si>
  <si>
    <t>111B12</t>
  </si>
  <si>
    <t>83C26</t>
  </si>
  <si>
    <t>111B13</t>
  </si>
  <si>
    <t>83C25</t>
  </si>
  <si>
    <t>111B14</t>
  </si>
  <si>
    <t>83C24</t>
  </si>
  <si>
    <t>111B15</t>
  </si>
  <si>
    <t>83C23</t>
  </si>
  <si>
    <t>111B16</t>
  </si>
  <si>
    <t>83C22</t>
  </si>
  <si>
    <t>111B17</t>
  </si>
  <si>
    <t>83C21</t>
  </si>
  <si>
    <t>111B18</t>
  </si>
  <si>
    <t>83C20</t>
  </si>
  <si>
    <t>111B19</t>
  </si>
  <si>
    <t>83C2</t>
  </si>
  <si>
    <t>111B2</t>
  </si>
  <si>
    <t>83C19</t>
  </si>
  <si>
    <t>111B20</t>
  </si>
  <si>
    <t>83C18</t>
  </si>
  <si>
    <t>111B21</t>
  </si>
  <si>
    <t>83C17</t>
  </si>
  <si>
    <t>111B22</t>
  </si>
  <si>
    <t>83C16</t>
  </si>
  <si>
    <t>111B23</t>
  </si>
  <si>
    <t>83C15</t>
  </si>
  <si>
    <t>111B24</t>
  </si>
  <si>
    <t>83C14</t>
  </si>
  <si>
    <t>111B25</t>
  </si>
  <si>
    <t>83C13</t>
  </si>
  <si>
    <t>111B26</t>
  </si>
  <si>
    <t>83C12</t>
  </si>
  <si>
    <t>111B27</t>
  </si>
  <si>
    <t>83C11</t>
  </si>
  <si>
    <t>111B28</t>
  </si>
  <si>
    <t>83C10</t>
  </si>
  <si>
    <t>111B3</t>
  </si>
  <si>
    <t>83B9</t>
  </si>
  <si>
    <t>111B4</t>
  </si>
  <si>
    <t>83B8</t>
  </si>
  <si>
    <t>111B5</t>
  </si>
  <si>
    <t>83B7</t>
  </si>
  <si>
    <t>111B6</t>
  </si>
  <si>
    <t>83B6</t>
  </si>
  <si>
    <t>111B7</t>
  </si>
  <si>
    <t>83B5</t>
  </si>
  <si>
    <t>111B8</t>
  </si>
  <si>
    <t>83B4</t>
  </si>
  <si>
    <t>111B9</t>
  </si>
  <si>
    <t>83B3</t>
  </si>
  <si>
    <t>111C1</t>
  </si>
  <si>
    <t>83B28</t>
  </si>
  <si>
    <t>111C10</t>
  </si>
  <si>
    <t>83B27</t>
  </si>
  <si>
    <t>111C11</t>
  </si>
  <si>
    <t>83B26</t>
  </si>
  <si>
    <t>111C12</t>
  </si>
  <si>
    <t>83B25</t>
  </si>
  <si>
    <t>111C13</t>
  </si>
  <si>
    <t>83B24</t>
  </si>
  <si>
    <t>111C14</t>
  </si>
  <si>
    <t>83B23</t>
  </si>
  <si>
    <t>111C15</t>
  </si>
  <si>
    <t>83B22</t>
  </si>
  <si>
    <t>111C16</t>
  </si>
  <si>
    <t>83B21</t>
  </si>
  <si>
    <t>111C17</t>
  </si>
  <si>
    <t>83B20</t>
  </si>
  <si>
    <t>111C18</t>
  </si>
  <si>
    <t>83B2</t>
  </si>
  <si>
    <t>111C19</t>
  </si>
  <si>
    <t>83B19</t>
  </si>
  <si>
    <t>111C2</t>
  </si>
  <si>
    <t>83B18</t>
  </si>
  <si>
    <t>111C20</t>
  </si>
  <si>
    <t>83B17</t>
  </si>
  <si>
    <t>111C21</t>
  </si>
  <si>
    <t>83B16</t>
  </si>
  <si>
    <t>111C22</t>
  </si>
  <si>
    <t>83B15</t>
  </si>
  <si>
    <t>111C23</t>
  </si>
  <si>
    <t>83B14</t>
  </si>
  <si>
    <t>111C24</t>
  </si>
  <si>
    <t>83B13</t>
  </si>
  <si>
    <t>111C25</t>
  </si>
  <si>
    <t>83B12</t>
  </si>
  <si>
    <t>111C26</t>
  </si>
  <si>
    <t>83B11</t>
  </si>
  <si>
    <t>111C27</t>
  </si>
  <si>
    <t>83B10</t>
  </si>
  <si>
    <t>111C28</t>
  </si>
  <si>
    <t>83B1</t>
  </si>
  <si>
    <t>111C3</t>
  </si>
  <si>
    <t>83A9</t>
  </si>
  <si>
    <t>111C4</t>
  </si>
  <si>
    <t>83A8</t>
  </si>
  <si>
    <t>111C5</t>
  </si>
  <si>
    <t>83A7</t>
  </si>
  <si>
    <t>111C6</t>
  </si>
  <si>
    <t>83A6</t>
  </si>
  <si>
    <t>111C7</t>
  </si>
  <si>
    <t>83A5</t>
  </si>
  <si>
    <t>111C8</t>
  </si>
  <si>
    <t>83A4</t>
  </si>
  <si>
    <t>111C9</t>
  </si>
  <si>
    <t>83A3</t>
  </si>
  <si>
    <t>111D10</t>
  </si>
  <si>
    <t>83A28</t>
  </si>
  <si>
    <t>111D11</t>
  </si>
  <si>
    <t>83A27</t>
  </si>
  <si>
    <t>111D12</t>
  </si>
  <si>
    <t>83A26</t>
  </si>
  <si>
    <t>111D13</t>
  </si>
  <si>
    <t>83A25</t>
  </si>
  <si>
    <t>111D14</t>
  </si>
  <si>
    <t>83A24</t>
  </si>
  <si>
    <t>111D15</t>
  </si>
  <si>
    <t>83A23</t>
  </si>
  <si>
    <t>111D16</t>
  </si>
  <si>
    <t>83A22</t>
  </si>
  <si>
    <t>111D17</t>
  </si>
  <si>
    <t>83A21</t>
  </si>
  <si>
    <t>111D18</t>
  </si>
  <si>
    <t>83A20</t>
  </si>
  <si>
    <t>111D19</t>
  </si>
  <si>
    <t>83A2</t>
  </si>
  <si>
    <t>111D2</t>
  </si>
  <si>
    <t>83A19</t>
  </si>
  <si>
    <t>111D20</t>
  </si>
  <si>
    <t>83A18</t>
  </si>
  <si>
    <t>111D21</t>
  </si>
  <si>
    <t>83A17</t>
  </si>
  <si>
    <t>111D22</t>
  </si>
  <si>
    <t>83A16</t>
  </si>
  <si>
    <t>111D23</t>
  </si>
  <si>
    <t>83A15</t>
  </si>
  <si>
    <t>111D24</t>
  </si>
  <si>
    <t>83A14</t>
  </si>
  <si>
    <t>111D25</t>
  </si>
  <si>
    <t>83A13</t>
  </si>
  <si>
    <t>111D26</t>
  </si>
  <si>
    <t>83A12</t>
  </si>
  <si>
    <t>111D27</t>
  </si>
  <si>
    <t>83A11</t>
  </si>
  <si>
    <t>111D28</t>
  </si>
  <si>
    <t>83A10</t>
  </si>
  <si>
    <t>111D3</t>
  </si>
  <si>
    <t>83A1</t>
  </si>
  <si>
    <t>111D4</t>
  </si>
  <si>
    <t>82C9</t>
  </si>
  <si>
    <t>111D5</t>
  </si>
  <si>
    <t>82C8</t>
  </si>
  <si>
    <t>111D6</t>
  </si>
  <si>
    <t>82C7</t>
  </si>
  <si>
    <t>111D7</t>
  </si>
  <si>
    <t>82C6</t>
  </si>
  <si>
    <t>111D8</t>
  </si>
  <si>
    <t>82C5</t>
  </si>
  <si>
    <t>111D9</t>
  </si>
  <si>
    <t>82C4</t>
  </si>
  <si>
    <t>112A1</t>
  </si>
  <si>
    <t>82C3</t>
  </si>
  <si>
    <t>112A10</t>
  </si>
  <si>
    <t>82C28</t>
  </si>
  <si>
    <t>112A11</t>
  </si>
  <si>
    <t>82C27</t>
  </si>
  <si>
    <t>112A12</t>
  </si>
  <si>
    <t>82C26</t>
  </si>
  <si>
    <t>112A13</t>
  </si>
  <si>
    <t>82C25</t>
  </si>
  <si>
    <t>112A14</t>
  </si>
  <si>
    <t>82C24</t>
  </si>
  <si>
    <t>112A15</t>
  </si>
  <si>
    <t>82C23</t>
  </si>
  <si>
    <t>112A16</t>
  </si>
  <si>
    <t>82C22</t>
  </si>
  <si>
    <t>112A17</t>
  </si>
  <si>
    <t>82C21</t>
  </si>
  <si>
    <t>112A18</t>
  </si>
  <si>
    <t>82C20</t>
  </si>
  <si>
    <t>112A19</t>
  </si>
  <si>
    <t>82C19</t>
  </si>
  <si>
    <t>112A2</t>
  </si>
  <si>
    <t>82C18</t>
  </si>
  <si>
    <t>112A20</t>
  </si>
  <si>
    <t>82C17</t>
  </si>
  <si>
    <t>112A21</t>
  </si>
  <si>
    <t>82C16</t>
  </si>
  <si>
    <t>112A22</t>
  </si>
  <si>
    <t>82C15</t>
  </si>
  <si>
    <t>112A23</t>
  </si>
  <si>
    <t>82C14</t>
  </si>
  <si>
    <t>112A24</t>
  </si>
  <si>
    <t>82C13</t>
  </si>
  <si>
    <t>112A25</t>
  </si>
  <si>
    <t>82C12</t>
  </si>
  <si>
    <t>112A26</t>
  </si>
  <si>
    <t>82C11</t>
  </si>
  <si>
    <t>112A27</t>
  </si>
  <si>
    <t>82C10</t>
  </si>
  <si>
    <t>112A28</t>
  </si>
  <si>
    <t>82B9</t>
  </si>
  <si>
    <t>112A3</t>
  </si>
  <si>
    <t>82B8</t>
  </si>
  <si>
    <t>112A4</t>
  </si>
  <si>
    <t>82B7</t>
  </si>
  <si>
    <t>112A5</t>
  </si>
  <si>
    <t>82B6</t>
  </si>
  <si>
    <t>112A6</t>
  </si>
  <si>
    <t>82B5</t>
  </si>
  <si>
    <t>112A7</t>
  </si>
  <si>
    <t>82B4</t>
  </si>
  <si>
    <t>112A8</t>
  </si>
  <si>
    <t>82B3</t>
  </si>
  <si>
    <t>112A9</t>
  </si>
  <si>
    <t>82B28</t>
  </si>
  <si>
    <t>112B1</t>
  </si>
  <si>
    <t>82B27</t>
  </si>
  <si>
    <t>112B10</t>
  </si>
  <si>
    <t>82B26</t>
  </si>
  <si>
    <t>112B11</t>
  </si>
  <si>
    <t>82B25</t>
  </si>
  <si>
    <t>112B12</t>
  </si>
  <si>
    <t>82B24</t>
  </si>
  <si>
    <t>112B13</t>
  </si>
  <si>
    <t>82B23</t>
  </si>
  <si>
    <t>112B14</t>
  </si>
  <si>
    <t>82B22</t>
  </si>
  <si>
    <t>112B15</t>
  </si>
  <si>
    <t>82B21</t>
  </si>
  <si>
    <t>112B16</t>
  </si>
  <si>
    <t>82B20</t>
  </si>
  <si>
    <t>112B17</t>
  </si>
  <si>
    <t>82B2</t>
  </si>
  <si>
    <t>112B18</t>
  </si>
  <si>
    <t>82B19</t>
  </si>
  <si>
    <t>112B19</t>
  </si>
  <si>
    <t>82B18</t>
  </si>
  <si>
    <t>112B2</t>
  </si>
  <si>
    <t>82B17</t>
  </si>
  <si>
    <t>112B20</t>
  </si>
  <si>
    <t>82B16</t>
  </si>
  <si>
    <t>112B21</t>
  </si>
  <si>
    <t>82B15</t>
  </si>
  <si>
    <t>112B22</t>
  </si>
  <si>
    <t>82B14</t>
  </si>
  <si>
    <t>112B23</t>
  </si>
  <si>
    <t>82B13</t>
  </si>
  <si>
    <t>112B24</t>
  </si>
  <si>
    <t>82B12</t>
  </si>
  <si>
    <t>112B25</t>
  </si>
  <si>
    <t>82B11</t>
  </si>
  <si>
    <t>112B26</t>
  </si>
  <si>
    <t>82B10</t>
  </si>
  <si>
    <t>112B27</t>
  </si>
  <si>
    <t>82B1</t>
  </si>
  <si>
    <t>112B28</t>
  </si>
  <si>
    <t>82A9</t>
  </si>
  <si>
    <t>112B3</t>
  </si>
  <si>
    <t>82A8</t>
  </si>
  <si>
    <t>112B4</t>
  </si>
  <si>
    <t>82A7</t>
  </si>
  <si>
    <t>112B5</t>
  </si>
  <si>
    <t>82A6</t>
  </si>
  <si>
    <t>112B6</t>
  </si>
  <si>
    <t>82A5</t>
  </si>
  <si>
    <t>112B7</t>
  </si>
  <si>
    <t>82A4</t>
  </si>
  <si>
    <t>112B8</t>
  </si>
  <si>
    <t>82A3</t>
  </si>
  <si>
    <t>112B9</t>
  </si>
  <si>
    <t>82A28</t>
  </si>
  <si>
    <t>112C1</t>
  </si>
  <si>
    <t>82A27</t>
  </si>
  <si>
    <t>112C10</t>
  </si>
  <si>
    <t>82A26</t>
  </si>
  <si>
    <t>112C11</t>
  </si>
  <si>
    <t>82A25</t>
  </si>
  <si>
    <t>112C12</t>
  </si>
  <si>
    <t>82A24</t>
  </si>
  <si>
    <t>112C13</t>
  </si>
  <si>
    <t>82A23</t>
  </si>
  <si>
    <t>112C14</t>
  </si>
  <si>
    <t>82A22</t>
  </si>
  <si>
    <t>112C15</t>
  </si>
  <si>
    <t>82A21</t>
  </si>
  <si>
    <t>112C16</t>
  </si>
  <si>
    <t>82A20</t>
  </si>
  <si>
    <t>112C17</t>
  </si>
  <si>
    <t>82A2</t>
  </si>
  <si>
    <t>112C18</t>
  </si>
  <si>
    <t>82A19</t>
  </si>
  <si>
    <t>112C19</t>
  </si>
  <si>
    <t>82A18</t>
  </si>
  <si>
    <t>112C2</t>
  </si>
  <si>
    <t>82A17</t>
  </si>
  <si>
    <t>112C20</t>
  </si>
  <si>
    <t>82A16</t>
  </si>
  <si>
    <t>112C21</t>
  </si>
  <si>
    <t>82A15</t>
  </si>
  <si>
    <t>112C22</t>
  </si>
  <si>
    <t>82A14</t>
  </si>
  <si>
    <t>112C23</t>
  </si>
  <si>
    <t>82A13</t>
  </si>
  <si>
    <t>112C24</t>
  </si>
  <si>
    <t>82A12</t>
  </si>
  <si>
    <t>112C25</t>
  </si>
  <si>
    <t>82A11</t>
  </si>
  <si>
    <t>112C26</t>
  </si>
  <si>
    <t>82A10</t>
  </si>
  <si>
    <t>112C27</t>
  </si>
  <si>
    <t>82A1</t>
  </si>
  <si>
    <t>112C28</t>
  </si>
  <si>
    <t>81C9</t>
  </si>
  <si>
    <t>112C3</t>
  </si>
  <si>
    <t>81C8</t>
  </si>
  <si>
    <t>112C4</t>
  </si>
  <si>
    <t>81C7</t>
  </si>
  <si>
    <t>112C5</t>
  </si>
  <si>
    <t>81C6</t>
  </si>
  <si>
    <t>112C6</t>
  </si>
  <si>
    <t>81C5</t>
  </si>
  <si>
    <t>112C7</t>
  </si>
  <si>
    <t>81C4</t>
  </si>
  <si>
    <t>112C8</t>
  </si>
  <si>
    <t>81C3</t>
  </si>
  <si>
    <t>112C9</t>
  </si>
  <si>
    <t>81C27</t>
  </si>
  <si>
    <t>112D1</t>
  </si>
  <si>
    <t>81C26</t>
  </si>
  <si>
    <t>112D10</t>
  </si>
  <si>
    <t>81C25</t>
  </si>
  <si>
    <t>112D11</t>
  </si>
  <si>
    <t>81C24</t>
  </si>
  <si>
    <t>112D12</t>
  </si>
  <si>
    <t>81C23</t>
  </si>
  <si>
    <t>112D13</t>
  </si>
  <si>
    <t>81C22</t>
  </si>
  <si>
    <t>112D14</t>
  </si>
  <si>
    <t>81C21</t>
  </si>
  <si>
    <t>112D15</t>
  </si>
  <si>
    <t>81C20</t>
  </si>
  <si>
    <t>112D16</t>
  </si>
  <si>
    <t>81C2</t>
  </si>
  <si>
    <t>112D17</t>
  </si>
  <si>
    <t>81C19</t>
  </si>
  <si>
    <t>112D18</t>
  </si>
  <si>
    <t>81C18</t>
  </si>
  <si>
    <t>112D19</t>
  </si>
  <si>
    <t>81C17</t>
  </si>
  <si>
    <t>112D2</t>
  </si>
  <si>
    <t>81C16</t>
  </si>
  <si>
    <t>112D20</t>
  </si>
  <si>
    <t>81C15</t>
  </si>
  <si>
    <t>112D21</t>
  </si>
  <si>
    <t>81C14</t>
  </si>
  <si>
    <t>112D22</t>
  </si>
  <si>
    <t>81C13</t>
  </si>
  <si>
    <t>112D23</t>
  </si>
  <si>
    <t>81C12</t>
  </si>
  <si>
    <t>112D24</t>
  </si>
  <si>
    <t>81C11</t>
  </si>
  <si>
    <t>112D25</t>
  </si>
  <si>
    <t>81C10</t>
  </si>
  <si>
    <t>112D26</t>
  </si>
  <si>
    <t>81C1</t>
  </si>
  <si>
    <t>112D27</t>
  </si>
  <si>
    <t>81B9</t>
  </si>
  <si>
    <t>112D28</t>
  </si>
  <si>
    <t>81B8</t>
  </si>
  <si>
    <t>112D3</t>
  </si>
  <si>
    <t>81B7</t>
  </si>
  <si>
    <t>112D4</t>
  </si>
  <si>
    <t>81B6</t>
  </si>
  <si>
    <t>112D5</t>
  </si>
  <si>
    <t>81B5</t>
  </si>
  <si>
    <t>112D6</t>
  </si>
  <si>
    <t>81B4</t>
  </si>
  <si>
    <t>112D7</t>
  </si>
  <si>
    <t>81B3</t>
  </si>
  <si>
    <t>112D8</t>
  </si>
  <si>
    <t>81B27</t>
  </si>
  <si>
    <t>112D9</t>
  </si>
  <si>
    <t>81B26</t>
  </si>
  <si>
    <t>113A1</t>
  </si>
  <si>
    <t>81B25</t>
  </si>
  <si>
    <t>113A10</t>
  </si>
  <si>
    <t>81B24</t>
  </si>
  <si>
    <t>113A11</t>
  </si>
  <si>
    <t>81B23</t>
  </si>
  <si>
    <t>113A12</t>
  </si>
  <si>
    <t>81B22</t>
  </si>
  <si>
    <t>113A13</t>
  </si>
  <si>
    <t>81B21</t>
  </si>
  <si>
    <t>113A14</t>
  </si>
  <si>
    <t>81B20</t>
  </si>
  <si>
    <t>113A15</t>
  </si>
  <si>
    <t>81B2</t>
  </si>
  <si>
    <t>113A16</t>
  </si>
  <si>
    <t>81B19</t>
  </si>
  <si>
    <t>113A17</t>
  </si>
  <si>
    <t>81B18</t>
  </si>
  <si>
    <t>113A18</t>
  </si>
  <si>
    <t>81B17</t>
  </si>
  <si>
    <t>113A19</t>
  </si>
  <si>
    <t>81B16</t>
  </si>
  <si>
    <t>113A2</t>
  </si>
  <si>
    <t>81B15</t>
  </si>
  <si>
    <t>113A20</t>
  </si>
  <si>
    <t>81B14</t>
  </si>
  <si>
    <t>113A21</t>
  </si>
  <si>
    <t>81B13</t>
  </si>
  <si>
    <t>113A22</t>
  </si>
  <si>
    <t>81B12</t>
  </si>
  <si>
    <t>113A23</t>
  </si>
  <si>
    <t>81B11</t>
  </si>
  <si>
    <t>113A24</t>
  </si>
  <si>
    <t>81B10</t>
  </si>
  <si>
    <t>113A25</t>
  </si>
  <si>
    <t>81B1</t>
  </si>
  <si>
    <t>113A26</t>
  </si>
  <si>
    <t>81A9</t>
  </si>
  <si>
    <t>113A27</t>
  </si>
  <si>
    <t>81A8</t>
  </si>
  <si>
    <t>113A28</t>
  </si>
  <si>
    <t>81A7</t>
  </si>
  <si>
    <t>113A29</t>
  </si>
  <si>
    <t>81A6</t>
  </si>
  <si>
    <t>113A3</t>
  </si>
  <si>
    <t>81A5</t>
  </si>
  <si>
    <t>113A4</t>
  </si>
  <si>
    <t>81A4</t>
  </si>
  <si>
    <t>113A5</t>
  </si>
  <si>
    <t>81A3</t>
  </si>
  <si>
    <t>113A6</t>
  </si>
  <si>
    <t>81A27</t>
  </si>
  <si>
    <t>113A7</t>
  </si>
  <si>
    <t>81A26</t>
  </si>
  <si>
    <t>113A8</t>
  </si>
  <si>
    <t>81A25</t>
  </si>
  <si>
    <t>113A9</t>
  </si>
  <si>
    <t>81A24</t>
  </si>
  <si>
    <t>113B1</t>
  </si>
  <si>
    <t>81A23</t>
  </si>
  <si>
    <t>113B10</t>
  </si>
  <si>
    <t>81A22</t>
  </si>
  <si>
    <t>113B11</t>
  </si>
  <si>
    <t>81A21</t>
  </si>
  <si>
    <t>113B12</t>
  </si>
  <si>
    <t>81A20</t>
  </si>
  <si>
    <t>113B13</t>
  </si>
  <si>
    <t>81A2</t>
  </si>
  <si>
    <t>113B14</t>
  </si>
  <si>
    <t>81A19</t>
  </si>
  <si>
    <t>113B15</t>
  </si>
  <si>
    <t>81A18</t>
  </si>
  <si>
    <t>113B16</t>
  </si>
  <si>
    <t>81A17</t>
  </si>
  <si>
    <t>113B17</t>
  </si>
  <si>
    <t>81A16</t>
  </si>
  <si>
    <t>113B18</t>
  </si>
  <si>
    <t>81A15</t>
  </si>
  <si>
    <t>113B19</t>
  </si>
  <si>
    <t>81A14</t>
  </si>
  <si>
    <t>113B2</t>
  </si>
  <si>
    <t>81A13</t>
  </si>
  <si>
    <t>113B20</t>
  </si>
  <si>
    <t>81A12</t>
  </si>
  <si>
    <t>113B21</t>
  </si>
  <si>
    <t>81A11</t>
  </si>
  <si>
    <t>113B22</t>
  </si>
  <si>
    <t>81A10</t>
  </si>
  <si>
    <t>113B23</t>
  </si>
  <si>
    <t>81A1</t>
  </si>
  <si>
    <t>113B24</t>
  </si>
  <si>
    <t>80C9</t>
  </si>
  <si>
    <t>113B25</t>
  </si>
  <si>
    <t>80C8</t>
  </si>
  <si>
    <t>113B26</t>
  </si>
  <si>
    <t>80C7</t>
  </si>
  <si>
    <t>113B27</t>
  </si>
  <si>
    <t>80C6</t>
  </si>
  <si>
    <t>113B28</t>
  </si>
  <si>
    <t>80C5</t>
  </si>
  <si>
    <t>113B29</t>
  </si>
  <si>
    <t>80C4</t>
  </si>
  <si>
    <t>113B3</t>
  </si>
  <si>
    <t>80C3</t>
  </si>
  <si>
    <t>113B4</t>
  </si>
  <si>
    <t>80C27</t>
  </si>
  <si>
    <t>113B5</t>
  </si>
  <si>
    <t>80C26</t>
  </si>
  <si>
    <t>113B6</t>
  </si>
  <si>
    <t>80C25</t>
  </si>
  <si>
    <t>113B7</t>
  </si>
  <si>
    <t>80C24</t>
  </si>
  <si>
    <t>113B8</t>
  </si>
  <si>
    <t>80C23</t>
  </si>
  <si>
    <t>113B9</t>
  </si>
  <si>
    <t>80C22</t>
  </si>
  <si>
    <t>113C1</t>
  </si>
  <si>
    <t>80C21</t>
  </si>
  <si>
    <t>113C10</t>
  </si>
  <si>
    <t>80C20</t>
  </si>
  <si>
    <t>113C11</t>
  </si>
  <si>
    <t>80C2</t>
  </si>
  <si>
    <t>113C12</t>
  </si>
  <si>
    <t>80C19</t>
  </si>
  <si>
    <t>113C13</t>
  </si>
  <si>
    <t>80C18</t>
  </si>
  <si>
    <t>113C14</t>
  </si>
  <si>
    <t>80C17</t>
  </si>
  <si>
    <t>113C15</t>
  </si>
  <si>
    <t>80C16</t>
  </si>
  <si>
    <t>113C16</t>
  </si>
  <si>
    <t>80C15</t>
  </si>
  <si>
    <t>113C17</t>
  </si>
  <si>
    <t>80C14</t>
  </si>
  <si>
    <t>113C18</t>
  </si>
  <si>
    <t>80C13</t>
  </si>
  <si>
    <t>113C19</t>
  </si>
  <si>
    <t>80C12</t>
  </si>
  <si>
    <t>113C2</t>
  </si>
  <si>
    <t>80C11</t>
  </si>
  <si>
    <t>113C20</t>
  </si>
  <si>
    <t>80C10</t>
  </si>
  <si>
    <t>113C21</t>
  </si>
  <si>
    <t>80B9</t>
  </si>
  <si>
    <t>113C22</t>
  </si>
  <si>
    <t>80B8</t>
  </si>
  <si>
    <t>113C23</t>
  </si>
  <si>
    <t>80B7</t>
  </si>
  <si>
    <t>113C24</t>
  </si>
  <si>
    <t>80B6</t>
  </si>
  <si>
    <t>113C25</t>
  </si>
  <si>
    <t>80B5</t>
  </si>
  <si>
    <t>113C26</t>
  </si>
  <si>
    <t>80B4</t>
  </si>
  <si>
    <t>113C27</t>
  </si>
  <si>
    <t>80B3</t>
  </si>
  <si>
    <t>113C28</t>
  </si>
  <si>
    <t>80B27</t>
  </si>
  <si>
    <t>113C29</t>
  </si>
  <si>
    <t>80B26</t>
  </si>
  <si>
    <t>113C3</t>
  </si>
  <si>
    <t>80B25</t>
  </si>
  <si>
    <t>113C4</t>
  </si>
  <si>
    <t>80B24</t>
  </si>
  <si>
    <t>113C5</t>
  </si>
  <si>
    <t>80B23</t>
  </si>
  <si>
    <t>113C6</t>
  </si>
  <si>
    <t>80B22</t>
  </si>
  <si>
    <t>113C7</t>
  </si>
  <si>
    <t>80B21</t>
  </si>
  <si>
    <t>113C8</t>
  </si>
  <si>
    <t>80B20</t>
  </si>
  <si>
    <t>113C9</t>
  </si>
  <si>
    <t>80B2</t>
  </si>
  <si>
    <t>113D10</t>
  </si>
  <si>
    <t>80B19</t>
  </si>
  <si>
    <t>113D11</t>
  </si>
  <si>
    <t>80B18</t>
  </si>
  <si>
    <t>113D12</t>
  </si>
  <si>
    <t>80B17</t>
  </si>
  <si>
    <t>113D13</t>
  </si>
  <si>
    <t>80B16</t>
  </si>
  <si>
    <t>113D14</t>
  </si>
  <si>
    <t>80B15</t>
  </si>
  <si>
    <t>113D15</t>
  </si>
  <si>
    <t>80B14</t>
  </si>
  <si>
    <t>113D16</t>
  </si>
  <si>
    <t>80B13</t>
  </si>
  <si>
    <t>113D17</t>
  </si>
  <si>
    <t>80B12</t>
  </si>
  <si>
    <t>113D18</t>
  </si>
  <si>
    <t>80B11</t>
  </si>
  <si>
    <t>113D19</t>
  </si>
  <si>
    <t>80B10</t>
  </si>
  <si>
    <t>113D20</t>
  </si>
  <si>
    <t>80B1</t>
  </si>
  <si>
    <t>113D21</t>
  </si>
  <si>
    <t>80A9</t>
  </si>
  <si>
    <t>113D22</t>
  </si>
  <si>
    <t>80A8</t>
  </si>
  <si>
    <t>113D23</t>
  </si>
  <si>
    <t>80A7</t>
  </si>
  <si>
    <t>113D24</t>
  </si>
  <si>
    <t>80A6</t>
  </si>
  <si>
    <t>113D25</t>
  </si>
  <si>
    <t>80A5</t>
  </si>
  <si>
    <t>113D26</t>
  </si>
  <si>
    <t>80A4</t>
  </si>
  <si>
    <t>113D27</t>
  </si>
  <si>
    <t>80A3</t>
  </si>
  <si>
    <t>113D28</t>
  </si>
  <si>
    <t>80A27</t>
  </si>
  <si>
    <t>113D29</t>
  </si>
  <si>
    <t>80A26</t>
  </si>
  <si>
    <t>113D4</t>
  </si>
  <si>
    <t>80A25</t>
  </si>
  <si>
    <t>113D5</t>
  </si>
  <si>
    <t>80A24</t>
  </si>
  <si>
    <t>113D6</t>
  </si>
  <si>
    <t>80A23</t>
  </si>
  <si>
    <t>113D7</t>
  </si>
  <si>
    <t>80A22</t>
  </si>
  <si>
    <t>113D8</t>
  </si>
  <si>
    <t>80A21</t>
  </si>
  <si>
    <t>113D9</t>
  </si>
  <si>
    <t>80A20</t>
  </si>
  <si>
    <t>114A1</t>
  </si>
  <si>
    <t>80A2</t>
  </si>
  <si>
    <t>114A10</t>
  </si>
  <si>
    <t>80A19</t>
  </si>
  <si>
    <t>114A11</t>
  </si>
  <si>
    <t>80A18</t>
  </si>
  <si>
    <t>114A12</t>
  </si>
  <si>
    <t>80A17</t>
  </si>
  <si>
    <t>114A13</t>
  </si>
  <si>
    <t>80A16</t>
  </si>
  <si>
    <t>114A14</t>
  </si>
  <si>
    <t>80A15</t>
  </si>
  <si>
    <t>114A15</t>
  </si>
  <si>
    <t>80A14</t>
  </si>
  <si>
    <t>114A16</t>
  </si>
  <si>
    <t>80A13</t>
  </si>
  <si>
    <t>114A17</t>
  </si>
  <si>
    <t>80A12</t>
  </si>
  <si>
    <t>114A18</t>
  </si>
  <si>
    <t>80A11</t>
  </si>
  <si>
    <t>114A19</t>
  </si>
  <si>
    <t>80A10</t>
  </si>
  <si>
    <t>114A2</t>
  </si>
  <si>
    <t>80A1</t>
  </si>
  <si>
    <t>114A20</t>
  </si>
  <si>
    <t>7C3</t>
  </si>
  <si>
    <t>114A21</t>
  </si>
  <si>
    <t>7B3</t>
  </si>
  <si>
    <t>114A22</t>
  </si>
  <si>
    <t>7B2</t>
  </si>
  <si>
    <t>114A23</t>
  </si>
  <si>
    <t>7B1</t>
  </si>
  <si>
    <t>114A24</t>
  </si>
  <si>
    <t>7A3</t>
  </si>
  <si>
    <t>114A25</t>
  </si>
  <si>
    <t>7A2</t>
  </si>
  <si>
    <t>114A26</t>
  </si>
  <si>
    <t>7A1</t>
  </si>
  <si>
    <t>114A27</t>
  </si>
  <si>
    <t>79C9</t>
  </si>
  <si>
    <t>114A28</t>
  </si>
  <si>
    <t>79C8</t>
  </si>
  <si>
    <t>114A29</t>
  </si>
  <si>
    <t>79C7</t>
  </si>
  <si>
    <t>114A3</t>
  </si>
  <si>
    <t>79C6</t>
  </si>
  <si>
    <t>114A4</t>
  </si>
  <si>
    <t>79C5</t>
  </si>
  <si>
    <t>114A5</t>
  </si>
  <si>
    <t>79C4</t>
  </si>
  <si>
    <t>114A6</t>
  </si>
  <si>
    <t>79C3</t>
  </si>
  <si>
    <t>114A7</t>
  </si>
  <si>
    <t>79C27</t>
  </si>
  <si>
    <t>114A8</t>
  </si>
  <si>
    <t>79C26</t>
  </si>
  <si>
    <t>114A9</t>
  </si>
  <si>
    <t>79C25</t>
  </si>
  <si>
    <t>114B1</t>
  </si>
  <si>
    <t>79C24</t>
  </si>
  <si>
    <t>114B10</t>
  </si>
  <si>
    <t>79C23</t>
  </si>
  <si>
    <t>114B11</t>
  </si>
  <si>
    <t>79C22</t>
  </si>
  <si>
    <t>114B12</t>
  </si>
  <si>
    <t>79C21</t>
  </si>
  <si>
    <t>114B13</t>
  </si>
  <si>
    <t>79C20</t>
  </si>
  <si>
    <t>114B14</t>
  </si>
  <si>
    <t>79C19</t>
  </si>
  <si>
    <t>114B15</t>
  </si>
  <si>
    <t>79C18</t>
  </si>
  <si>
    <t>114B16</t>
  </si>
  <si>
    <t>79C17</t>
  </si>
  <si>
    <t>114B17</t>
  </si>
  <si>
    <t>79C16</t>
  </si>
  <si>
    <t>114B18</t>
  </si>
  <si>
    <t>79C15</t>
  </si>
  <si>
    <t>114B19</t>
  </si>
  <si>
    <t>79C14</t>
  </si>
  <si>
    <t>114B2</t>
  </si>
  <si>
    <t>79C13</t>
  </si>
  <si>
    <t>114B20</t>
  </si>
  <si>
    <t>79C12</t>
  </si>
  <si>
    <t>114B21</t>
  </si>
  <si>
    <t>79C11</t>
  </si>
  <si>
    <t>114B22</t>
  </si>
  <si>
    <t>79C10</t>
  </si>
  <si>
    <t>114B23</t>
  </si>
  <si>
    <t>79B9</t>
  </si>
  <si>
    <t>114B24</t>
  </si>
  <si>
    <t>79B8</t>
  </si>
  <si>
    <t>114B25</t>
  </si>
  <si>
    <t>79B7</t>
  </si>
  <si>
    <t>114B26</t>
  </si>
  <si>
    <t>79B6</t>
  </si>
  <si>
    <t>114B27</t>
  </si>
  <si>
    <t>79B5</t>
  </si>
  <si>
    <t>114B28</t>
  </si>
  <si>
    <t>79B4</t>
  </si>
  <si>
    <t>114B29</t>
  </si>
  <si>
    <t>79B3</t>
  </si>
  <si>
    <t>114B3</t>
  </si>
  <si>
    <t>79B27</t>
  </si>
  <si>
    <t>114B4</t>
  </si>
  <si>
    <t>79B26</t>
  </si>
  <si>
    <t>114B5</t>
  </si>
  <si>
    <t>79B25</t>
  </si>
  <si>
    <t>114B6</t>
  </si>
  <si>
    <t>79B24</t>
  </si>
  <si>
    <t>114B7</t>
  </si>
  <si>
    <t>79B23</t>
  </si>
  <si>
    <t>114B8</t>
  </si>
  <si>
    <t>79B22</t>
  </si>
  <si>
    <t>114B9</t>
  </si>
  <si>
    <t>79B21</t>
  </si>
  <si>
    <t>114C1</t>
  </si>
  <si>
    <t>79B20</t>
  </si>
  <si>
    <t>114C10</t>
  </si>
  <si>
    <t>79B2</t>
  </si>
  <si>
    <t>114C11</t>
  </si>
  <si>
    <t>79B19</t>
  </si>
  <si>
    <t>114C12</t>
  </si>
  <si>
    <t>79B18</t>
  </si>
  <si>
    <t>114C13</t>
  </si>
  <si>
    <t>79B17</t>
  </si>
  <si>
    <t>114C14</t>
  </si>
  <si>
    <t>79B16</t>
  </si>
  <si>
    <t>114C15</t>
  </si>
  <si>
    <t>79B15</t>
  </si>
  <si>
    <t>114C16</t>
  </si>
  <si>
    <t>79B14</t>
  </si>
  <si>
    <t>114C17</t>
  </si>
  <si>
    <t>79B13</t>
  </si>
  <si>
    <t>114C18</t>
  </si>
  <si>
    <t>79B12</t>
  </si>
  <si>
    <t>114C19</t>
  </si>
  <si>
    <t>79B11</t>
  </si>
  <si>
    <t>114C2</t>
  </si>
  <si>
    <t>79B10</t>
  </si>
  <si>
    <t>114C20</t>
  </si>
  <si>
    <t>79B1</t>
  </si>
  <si>
    <t>114C21</t>
  </si>
  <si>
    <t>79A9</t>
  </si>
  <si>
    <t>114C22</t>
  </si>
  <si>
    <t>79A8</t>
  </si>
  <si>
    <t>114C23</t>
  </si>
  <si>
    <t>79A7</t>
  </si>
  <si>
    <t>114C24</t>
  </si>
  <si>
    <t>79A6</t>
  </si>
  <si>
    <t>114C25</t>
  </si>
  <si>
    <t>79A5</t>
  </si>
  <si>
    <t>114C26</t>
  </si>
  <si>
    <t>79A4</t>
  </si>
  <si>
    <t>114C27</t>
  </si>
  <si>
    <t>79A3</t>
  </si>
  <si>
    <t>114C28</t>
  </si>
  <si>
    <t>79A27</t>
  </si>
  <si>
    <t>114C29</t>
  </si>
  <si>
    <t>79A26</t>
  </si>
  <si>
    <t>114C3</t>
  </si>
  <si>
    <t>79A25</t>
  </si>
  <si>
    <t>114C4</t>
  </si>
  <si>
    <t>79A24</t>
  </si>
  <si>
    <t>114C5</t>
  </si>
  <si>
    <t>79A23</t>
  </si>
  <si>
    <t>114C6</t>
  </si>
  <si>
    <t>79A22</t>
  </si>
  <si>
    <t>114C7</t>
  </si>
  <si>
    <t>79A21</t>
  </si>
  <si>
    <t>114C8</t>
  </si>
  <si>
    <t>79A20</t>
  </si>
  <si>
    <t>114C9</t>
  </si>
  <si>
    <t>79A2</t>
  </si>
  <si>
    <t>114D10</t>
  </si>
  <si>
    <t>79A19</t>
  </si>
  <si>
    <t>114D11</t>
  </si>
  <si>
    <t>79A18</t>
  </si>
  <si>
    <t>114D12</t>
  </si>
  <si>
    <t>79A17</t>
  </si>
  <si>
    <t>114D13</t>
  </si>
  <si>
    <t>79A16</t>
  </si>
  <si>
    <t>114D14</t>
  </si>
  <si>
    <t>79A15</t>
  </si>
  <si>
    <t>114D15</t>
  </si>
  <si>
    <t>79A14</t>
  </si>
  <si>
    <t>114D16</t>
  </si>
  <si>
    <t>79A13</t>
  </si>
  <si>
    <t>114D17</t>
  </si>
  <si>
    <t>79A12</t>
  </si>
  <si>
    <t>114D18</t>
  </si>
  <si>
    <t>79A11</t>
  </si>
  <si>
    <t>114D19</t>
  </si>
  <si>
    <t>79A10</t>
  </si>
  <si>
    <t>114D20</t>
  </si>
  <si>
    <t>79A1</t>
  </si>
  <si>
    <t>114D21</t>
  </si>
  <si>
    <t>78C9</t>
  </si>
  <si>
    <t>114D22</t>
  </si>
  <si>
    <t>78C8</t>
  </si>
  <si>
    <t>114D23</t>
  </si>
  <si>
    <t>78C7</t>
  </si>
  <si>
    <t>114D24</t>
  </si>
  <si>
    <t>78C6</t>
  </si>
  <si>
    <t>114D25</t>
  </si>
  <si>
    <t>78C5</t>
  </si>
  <si>
    <t>114D26</t>
  </si>
  <si>
    <t>78C4</t>
  </si>
  <si>
    <t>114D27</t>
  </si>
  <si>
    <t>78C3</t>
  </si>
  <si>
    <t>114D28</t>
  </si>
  <si>
    <t>78C26</t>
  </si>
  <si>
    <t>114D29</t>
  </si>
  <si>
    <t>78C25</t>
  </si>
  <si>
    <t>114D3</t>
  </si>
  <si>
    <t>78C24</t>
  </si>
  <si>
    <t>114D4</t>
  </si>
  <si>
    <t>78C23</t>
  </si>
  <si>
    <t>114D5</t>
  </si>
  <si>
    <t>78C22</t>
  </si>
  <si>
    <t>114D6</t>
  </si>
  <si>
    <t>78C21</t>
  </si>
  <si>
    <t>114D7</t>
  </si>
  <si>
    <t>78C20</t>
  </si>
  <si>
    <t>114D8</t>
  </si>
  <si>
    <t>78C2</t>
  </si>
  <si>
    <t>114D9</t>
  </si>
  <si>
    <t>78C19</t>
  </si>
  <si>
    <t>115A1</t>
  </si>
  <si>
    <t>78C18</t>
  </si>
  <si>
    <t>115A10</t>
  </si>
  <si>
    <t>78C17</t>
  </si>
  <si>
    <t>115A11</t>
  </si>
  <si>
    <t>78C16</t>
  </si>
  <si>
    <t>115A12</t>
  </si>
  <si>
    <t>78C15</t>
  </si>
  <si>
    <t>115A13</t>
  </si>
  <si>
    <t>78C14</t>
  </si>
  <si>
    <t>115A14</t>
  </si>
  <si>
    <t>78C13</t>
  </si>
  <si>
    <t>115A15</t>
  </si>
  <si>
    <t>78C12</t>
  </si>
  <si>
    <t>115A16</t>
  </si>
  <si>
    <t>78C11</t>
  </si>
  <si>
    <t>115A17</t>
  </si>
  <si>
    <t>78C10</t>
  </si>
  <si>
    <t>115A18</t>
  </si>
  <si>
    <t>78C1</t>
  </si>
  <si>
    <t>115A19</t>
  </si>
  <si>
    <t>78B9</t>
  </si>
  <si>
    <t>115A2</t>
  </si>
  <si>
    <t>78B8</t>
  </si>
  <si>
    <t>115A20</t>
  </si>
  <si>
    <t>78B7</t>
  </si>
  <si>
    <t>115A21</t>
  </si>
  <si>
    <t>78B6</t>
  </si>
  <si>
    <t>115A22</t>
  </si>
  <si>
    <t>78B5</t>
  </si>
  <si>
    <t>115A23</t>
  </si>
  <si>
    <t>78B4</t>
  </si>
  <si>
    <t>115A24</t>
  </si>
  <si>
    <t>78B3</t>
  </si>
  <si>
    <t>115A25</t>
  </si>
  <si>
    <t>78B26</t>
  </si>
  <si>
    <t>115A26</t>
  </si>
  <si>
    <t>78B25</t>
  </si>
  <si>
    <t>115A27</t>
  </si>
  <si>
    <t>78B24</t>
  </si>
  <si>
    <t>115A28</t>
  </si>
  <si>
    <t>78B23</t>
  </si>
  <si>
    <t>115A29</t>
  </si>
  <si>
    <t>78B22</t>
  </si>
  <si>
    <t>115A3</t>
  </si>
  <si>
    <t>78B21</t>
  </si>
  <si>
    <t>115A4</t>
  </si>
  <si>
    <t>78B20</t>
  </si>
  <si>
    <t>115A5</t>
  </si>
  <si>
    <t>78B2</t>
  </si>
  <si>
    <t>115A6</t>
  </si>
  <si>
    <t>78B19</t>
  </si>
  <si>
    <t>115A7</t>
  </si>
  <si>
    <t>78B18</t>
  </si>
  <si>
    <t>115A8</t>
  </si>
  <si>
    <t>78B17</t>
  </si>
  <si>
    <t>115A9</t>
  </si>
  <si>
    <t>78B16</t>
  </si>
  <si>
    <t>115B1</t>
  </si>
  <si>
    <t>78B15</t>
  </si>
  <si>
    <t>115B10</t>
  </si>
  <si>
    <t>78B14</t>
  </si>
  <si>
    <t>115B11</t>
  </si>
  <si>
    <t>78B13</t>
  </si>
  <si>
    <t>115B12</t>
  </si>
  <si>
    <t>78B12</t>
  </si>
  <si>
    <t>115B13</t>
  </si>
  <si>
    <t>78B11</t>
  </si>
  <si>
    <t>115B14</t>
  </si>
  <si>
    <t>78B10</t>
  </si>
  <si>
    <t>115B15</t>
  </si>
  <si>
    <t>78B1</t>
  </si>
  <si>
    <t>115B16</t>
  </si>
  <si>
    <t>78A9</t>
  </si>
  <si>
    <t>115B17</t>
  </si>
  <si>
    <t>78A8</t>
  </si>
  <si>
    <t>115B18</t>
  </si>
  <si>
    <t>78A7</t>
  </si>
  <si>
    <t>115B19</t>
  </si>
  <si>
    <t>78A6</t>
  </si>
  <si>
    <t>115B2</t>
  </si>
  <si>
    <t>78A5</t>
  </si>
  <si>
    <t>115B20</t>
  </si>
  <si>
    <t>78A4</t>
  </si>
  <si>
    <t>115B21</t>
  </si>
  <si>
    <t>78A3</t>
  </si>
  <si>
    <t>115B22</t>
  </si>
  <si>
    <t>78A26</t>
  </si>
  <si>
    <t>115B23</t>
  </si>
  <si>
    <t>78A25</t>
  </si>
  <si>
    <t>115B24</t>
  </si>
  <si>
    <t>78A24</t>
  </si>
  <si>
    <t>115B25</t>
  </si>
  <si>
    <t>78A23</t>
  </si>
  <si>
    <t>115B26</t>
  </si>
  <si>
    <t>78A22</t>
  </si>
  <si>
    <t>115B27</t>
  </si>
  <si>
    <t>78A21</t>
  </si>
  <si>
    <t>115B28</t>
  </si>
  <si>
    <t>78A20</t>
  </si>
  <si>
    <t>115B29</t>
  </si>
  <si>
    <t>78A2</t>
  </si>
  <si>
    <t>115B3</t>
  </si>
  <si>
    <t>78A19</t>
  </si>
  <si>
    <t>115B4</t>
  </si>
  <si>
    <t>78A18</t>
  </si>
  <si>
    <t>115B5</t>
  </si>
  <si>
    <t>78A17</t>
  </si>
  <si>
    <t>115B6</t>
  </si>
  <si>
    <t>78A16</t>
  </si>
  <si>
    <t>115B7</t>
  </si>
  <si>
    <t>78A15</t>
  </si>
  <si>
    <t>115B8</t>
  </si>
  <si>
    <t>78A14</t>
  </si>
  <si>
    <t>115B9</t>
  </si>
  <si>
    <t>78A13</t>
  </si>
  <si>
    <t>115C1</t>
  </si>
  <si>
    <t>78A12</t>
  </si>
  <si>
    <t>115C10</t>
  </si>
  <si>
    <t>78A11</t>
  </si>
  <si>
    <t>115C11</t>
  </si>
  <si>
    <t>78A10</t>
  </si>
  <si>
    <t>115C12</t>
  </si>
  <si>
    <t>78A1</t>
  </si>
  <si>
    <t>115C13</t>
  </si>
  <si>
    <t>77C9</t>
  </si>
  <si>
    <t>115C14</t>
  </si>
  <si>
    <t>77C8</t>
  </si>
  <si>
    <t>115C15</t>
  </si>
  <si>
    <t>77C7</t>
  </si>
  <si>
    <t>115C16</t>
  </si>
  <si>
    <t>77C6</t>
  </si>
  <si>
    <t>115C17</t>
  </si>
  <si>
    <t>77C5</t>
  </si>
  <si>
    <t>115C18</t>
  </si>
  <si>
    <t>77C4</t>
  </si>
  <si>
    <t>115C19</t>
  </si>
  <si>
    <t>77C3</t>
  </si>
  <si>
    <t>115C2</t>
  </si>
  <si>
    <t>77C26</t>
  </si>
  <si>
    <t>115C20</t>
  </si>
  <si>
    <t>77C25</t>
  </si>
  <si>
    <t>115C21</t>
  </si>
  <si>
    <t>77C24</t>
  </si>
  <si>
    <t>115C22</t>
  </si>
  <si>
    <t>77C23</t>
  </si>
  <si>
    <t>115C23</t>
  </si>
  <si>
    <t>77C22</t>
  </si>
  <si>
    <t>115C24</t>
  </si>
  <si>
    <t>77C21</t>
  </si>
  <si>
    <t>115C25</t>
  </si>
  <si>
    <t>77C20</t>
  </si>
  <si>
    <t>115C26</t>
  </si>
  <si>
    <t>77C2</t>
  </si>
  <si>
    <t>115C27</t>
  </si>
  <si>
    <t>77C19</t>
  </si>
  <si>
    <t>115C28</t>
  </si>
  <si>
    <t>77C18</t>
  </si>
  <si>
    <t>115C29</t>
  </si>
  <si>
    <t>77C17</t>
  </si>
  <si>
    <t>115C3</t>
  </si>
  <si>
    <t>77C16</t>
  </si>
  <si>
    <t>115C4</t>
  </si>
  <si>
    <t>77C15</t>
  </si>
  <si>
    <t>115C5</t>
  </si>
  <si>
    <t>77C14</t>
  </si>
  <si>
    <t>115C6</t>
  </si>
  <si>
    <t>77C13</t>
  </si>
  <si>
    <t>115C7</t>
  </si>
  <si>
    <t>77C12</t>
  </si>
  <si>
    <t>115C8</t>
  </si>
  <si>
    <t>77C11</t>
  </si>
  <si>
    <t>115C9</t>
  </si>
  <si>
    <t>77C10</t>
  </si>
  <si>
    <t>115D10</t>
  </si>
  <si>
    <t>77B9</t>
  </si>
  <si>
    <t>115D11</t>
  </si>
  <si>
    <t>77B8</t>
  </si>
  <si>
    <t>115D12</t>
  </si>
  <si>
    <t>77B7</t>
  </si>
  <si>
    <t>115D13</t>
  </si>
  <si>
    <t>77B6</t>
  </si>
  <si>
    <t>115D14</t>
  </si>
  <si>
    <t>77B5</t>
  </si>
  <si>
    <t>115D15</t>
  </si>
  <si>
    <t>77B4</t>
  </si>
  <si>
    <t>115D16</t>
  </si>
  <si>
    <t>77B3</t>
  </si>
  <si>
    <t>115D17</t>
  </si>
  <si>
    <t>77B26</t>
  </si>
  <si>
    <t>115D18</t>
  </si>
  <si>
    <t>77B25</t>
  </si>
  <si>
    <t>115D19</t>
  </si>
  <si>
    <t>77B24</t>
  </si>
  <si>
    <t>115D2</t>
  </si>
  <si>
    <t>77B23</t>
  </si>
  <si>
    <t>115D20</t>
  </si>
  <si>
    <t>77B22</t>
  </si>
  <si>
    <t>115D21</t>
  </si>
  <si>
    <t>77B21</t>
  </si>
  <si>
    <t>115D22</t>
  </si>
  <si>
    <t>77B20</t>
  </si>
  <si>
    <t>115D23</t>
  </si>
  <si>
    <t>77B2</t>
  </si>
  <si>
    <t>115D24</t>
  </si>
  <si>
    <t>77B19</t>
  </si>
  <si>
    <t>115D25</t>
  </si>
  <si>
    <t>77B18</t>
  </si>
  <si>
    <t>115D26</t>
  </si>
  <si>
    <t>77B17</t>
  </si>
  <si>
    <t>115D27</t>
  </si>
  <si>
    <t>77B16</t>
  </si>
  <si>
    <t>115D28</t>
  </si>
  <si>
    <t>77B15</t>
  </si>
  <si>
    <t>115D29</t>
  </si>
  <si>
    <t>77B14</t>
  </si>
  <si>
    <t>115D3</t>
  </si>
  <si>
    <t>77B13</t>
  </si>
  <si>
    <t>115D4</t>
  </si>
  <si>
    <t>77B12</t>
  </si>
  <si>
    <t>115D5</t>
  </si>
  <si>
    <t>77B11</t>
  </si>
  <si>
    <t>115D6</t>
  </si>
  <si>
    <t>77B10</t>
  </si>
  <si>
    <t>115D7</t>
  </si>
  <si>
    <t>77B1</t>
  </si>
  <si>
    <t>115D8</t>
  </si>
  <si>
    <t>77A9</t>
  </si>
  <si>
    <t>115D9</t>
  </si>
  <si>
    <t>77A8</t>
  </si>
  <si>
    <t>116A1</t>
  </si>
  <si>
    <t>77A7</t>
  </si>
  <si>
    <t>116A10</t>
  </si>
  <si>
    <t>77A6</t>
  </si>
  <si>
    <t>116A11</t>
  </si>
  <si>
    <t>77A5</t>
  </si>
  <si>
    <t>116A12</t>
  </si>
  <si>
    <t>77A4</t>
  </si>
  <si>
    <t>116A13</t>
  </si>
  <si>
    <t>77A3</t>
  </si>
  <si>
    <t>116A14</t>
  </si>
  <si>
    <t>77A26</t>
  </si>
  <si>
    <t>116A15</t>
  </si>
  <si>
    <t>77A25</t>
  </si>
  <si>
    <t>116A16</t>
  </si>
  <si>
    <t>77A24</t>
  </si>
  <si>
    <t>116A17</t>
  </si>
  <si>
    <t>77A23</t>
  </si>
  <si>
    <t>116A18</t>
  </si>
  <si>
    <t>77A22</t>
  </si>
  <si>
    <t>116A19</t>
  </si>
  <si>
    <t>77A21</t>
  </si>
  <si>
    <t>116A2</t>
  </si>
  <si>
    <t>77A20</t>
  </si>
  <si>
    <t>116A20</t>
  </si>
  <si>
    <t>77A2</t>
  </si>
  <si>
    <t>116A21</t>
  </si>
  <si>
    <t>77A19</t>
  </si>
  <si>
    <t>116A22</t>
  </si>
  <si>
    <t>77A18</t>
  </si>
  <si>
    <t>116A23</t>
  </si>
  <si>
    <t>77A17</t>
  </si>
  <si>
    <t>116A24</t>
  </si>
  <si>
    <t>77A16</t>
  </si>
  <si>
    <t>116A25</t>
  </si>
  <si>
    <t>77A15</t>
  </si>
  <si>
    <t>116A26</t>
  </si>
  <si>
    <t>77A14</t>
  </si>
  <si>
    <t>116A27</t>
  </si>
  <si>
    <t>77A13</t>
  </si>
  <si>
    <t>116A28</t>
  </si>
  <si>
    <t>77A12</t>
  </si>
  <si>
    <t>116A29</t>
  </si>
  <si>
    <t>77A11</t>
  </si>
  <si>
    <t>116A3</t>
  </si>
  <si>
    <t>77A10</t>
  </si>
  <si>
    <t>116A4</t>
  </si>
  <si>
    <t>77A1</t>
  </si>
  <si>
    <t>116A5</t>
  </si>
  <si>
    <t>76C9</t>
  </si>
  <si>
    <t>116A6</t>
  </si>
  <si>
    <t>76C8</t>
  </si>
  <si>
    <t>116A7</t>
  </si>
  <si>
    <t>76C7</t>
  </si>
  <si>
    <t>116A8</t>
  </si>
  <si>
    <t>76C6</t>
  </si>
  <si>
    <t>116A9</t>
  </si>
  <si>
    <t>76C5</t>
  </si>
  <si>
    <t>116B1</t>
  </si>
  <si>
    <t>76C4</t>
  </si>
  <si>
    <t>116B10</t>
  </si>
  <si>
    <t>76C3</t>
  </si>
  <si>
    <t>116B11</t>
  </si>
  <si>
    <t>76C26</t>
  </si>
  <si>
    <t>116B12</t>
  </si>
  <si>
    <t>76C25</t>
  </si>
  <si>
    <t>116B13</t>
  </si>
  <si>
    <t>76C24</t>
  </si>
  <si>
    <t>116B14</t>
  </si>
  <si>
    <t>76C23</t>
  </si>
  <si>
    <t>116B15</t>
  </si>
  <si>
    <t>76C22</t>
  </si>
  <si>
    <t>116B16</t>
  </si>
  <si>
    <t>76C21</t>
  </si>
  <si>
    <t>116B17</t>
  </si>
  <si>
    <t>76C20</t>
  </si>
  <si>
    <t>116B18</t>
  </si>
  <si>
    <t>76C19</t>
  </si>
  <si>
    <t>116B19</t>
  </si>
  <si>
    <t>76C18</t>
  </si>
  <si>
    <t>116B2</t>
  </si>
  <si>
    <t>76C17</t>
  </si>
  <si>
    <t>116B20</t>
  </si>
  <si>
    <t>76C16</t>
  </si>
  <si>
    <t>116B21</t>
  </si>
  <si>
    <t>76C15</t>
  </si>
  <si>
    <t>116B22</t>
  </si>
  <si>
    <t>76C14</t>
  </si>
  <si>
    <t>116B23</t>
  </si>
  <si>
    <t>76C13</t>
  </si>
  <si>
    <t>116B24</t>
  </si>
  <si>
    <t>76C12</t>
  </si>
  <si>
    <t>116B25</t>
  </si>
  <si>
    <t>76C11</t>
  </si>
  <si>
    <t>116B26</t>
  </si>
  <si>
    <t>76C10</t>
  </si>
  <si>
    <t>116B27</t>
  </si>
  <si>
    <t>76B9</t>
  </si>
  <si>
    <t>116B28</t>
  </si>
  <si>
    <t>76B8</t>
  </si>
  <si>
    <t>116B29</t>
  </si>
  <si>
    <t>76B7</t>
  </si>
  <si>
    <t>116B3</t>
  </si>
  <si>
    <t>76B6</t>
  </si>
  <si>
    <t>116B4</t>
  </si>
  <si>
    <t>76B5</t>
  </si>
  <si>
    <t>116B5</t>
  </si>
  <si>
    <t>76B4</t>
  </si>
  <si>
    <t>116B6</t>
  </si>
  <si>
    <t>76B3</t>
  </si>
  <si>
    <t>116B7</t>
  </si>
  <si>
    <t>76B26</t>
  </si>
  <si>
    <t>116B8</t>
  </si>
  <si>
    <t>76B25</t>
  </si>
  <si>
    <t>116B9</t>
  </si>
  <si>
    <t>76B24</t>
  </si>
  <si>
    <t>116C1</t>
  </si>
  <si>
    <t>76B23</t>
  </si>
  <si>
    <t>116C10</t>
  </si>
  <si>
    <t>76B22</t>
  </si>
  <si>
    <t>116C11</t>
  </si>
  <si>
    <t>76B21</t>
  </si>
  <si>
    <t>116C12</t>
  </si>
  <si>
    <t>76B20</t>
  </si>
  <si>
    <t>116C13</t>
  </si>
  <si>
    <t>76B2</t>
  </si>
  <si>
    <t>116C14</t>
  </si>
  <si>
    <t>76B19</t>
  </si>
  <si>
    <t>116C15</t>
  </si>
  <si>
    <t>76B18</t>
  </si>
  <si>
    <t>116C16</t>
  </si>
  <si>
    <t>76B17</t>
  </si>
  <si>
    <t>116C17</t>
  </si>
  <si>
    <t>76B16</t>
  </si>
  <si>
    <t>116C18</t>
  </si>
  <si>
    <t>76B15</t>
  </si>
  <si>
    <t>116C19</t>
  </si>
  <si>
    <t>76B14</t>
  </si>
  <si>
    <t>116C2</t>
  </si>
  <si>
    <t>76B13</t>
  </si>
  <si>
    <t>116C20</t>
  </si>
  <si>
    <t>76B12</t>
  </si>
  <si>
    <t>116C21</t>
  </si>
  <si>
    <t>76B11</t>
  </si>
  <si>
    <t>116C22</t>
  </si>
  <si>
    <t>76B10</t>
  </si>
  <si>
    <t>116C23</t>
  </si>
  <si>
    <t>76B1</t>
  </si>
  <si>
    <t>116C24</t>
  </si>
  <si>
    <t>76A9</t>
  </si>
  <si>
    <t>116C25</t>
  </si>
  <si>
    <t>76A8</t>
  </si>
  <si>
    <t>116C26</t>
  </si>
  <si>
    <t>76A7</t>
  </si>
  <si>
    <t>116C27</t>
  </si>
  <si>
    <t>76A6</t>
  </si>
  <si>
    <t>116C28</t>
  </si>
  <si>
    <t>76A5</t>
  </si>
  <si>
    <t>116C29</t>
  </si>
  <si>
    <t>76A4</t>
  </si>
  <si>
    <t>116C3</t>
  </si>
  <si>
    <t>76A3</t>
  </si>
  <si>
    <t>116C4</t>
  </si>
  <si>
    <t>76A26</t>
  </si>
  <si>
    <t>116C5</t>
  </si>
  <si>
    <t>76A25</t>
  </si>
  <si>
    <t>116C6</t>
  </si>
  <si>
    <t>76A24</t>
  </si>
  <si>
    <t>116C7</t>
  </si>
  <si>
    <t>76A23</t>
  </si>
  <si>
    <t>116C8</t>
  </si>
  <si>
    <t>76A22</t>
  </si>
  <si>
    <t>116C9</t>
  </si>
  <si>
    <t>76A21</t>
  </si>
  <si>
    <t>116D1</t>
  </si>
  <si>
    <t>76A20</t>
  </si>
  <si>
    <t>116D10</t>
  </si>
  <si>
    <t>76A2</t>
  </si>
  <si>
    <t>116D11</t>
  </si>
  <si>
    <t>76A19</t>
  </si>
  <si>
    <t>116D12</t>
  </si>
  <si>
    <t>76A18</t>
  </si>
  <si>
    <t>116D13</t>
  </si>
  <si>
    <t>76A17</t>
  </si>
  <si>
    <t>116D14</t>
  </si>
  <si>
    <t>76A16</t>
  </si>
  <si>
    <t>116D15</t>
  </si>
  <si>
    <t>76A15</t>
  </si>
  <si>
    <t>116D16</t>
  </si>
  <si>
    <t>76A14</t>
  </si>
  <si>
    <t>116D17</t>
  </si>
  <si>
    <t>76A13</t>
  </si>
  <si>
    <t>116D18</t>
  </si>
  <si>
    <t>76A12</t>
  </si>
  <si>
    <t>116D19</t>
  </si>
  <si>
    <t>76A11</t>
  </si>
  <si>
    <t>116D2</t>
  </si>
  <si>
    <t>76A10</t>
  </si>
  <si>
    <t>116D20</t>
  </si>
  <si>
    <t>76A1</t>
  </si>
  <si>
    <t>116D21</t>
  </si>
  <si>
    <t>75C9</t>
  </si>
  <si>
    <t>116D22</t>
  </si>
  <si>
    <t>75C8</t>
  </si>
  <si>
    <t>116D23</t>
  </si>
  <si>
    <t>75C7</t>
  </si>
  <si>
    <t>116D24</t>
  </si>
  <si>
    <t>75C6</t>
  </si>
  <si>
    <t>116D25</t>
  </si>
  <si>
    <t>75C5</t>
  </si>
  <si>
    <t>116D26</t>
  </si>
  <si>
    <t>75C4</t>
  </si>
  <si>
    <t>116D27</t>
  </si>
  <si>
    <t>75C3</t>
  </si>
  <si>
    <t>116D28</t>
  </si>
  <si>
    <t>75C25</t>
  </si>
  <si>
    <t>116D29</t>
  </si>
  <si>
    <t>75C24</t>
  </si>
  <si>
    <t>116D3</t>
  </si>
  <si>
    <t>75C23</t>
  </si>
  <si>
    <t>116D4</t>
  </si>
  <si>
    <t>75C22</t>
  </si>
  <si>
    <t>116D5</t>
  </si>
  <si>
    <t>75C21</t>
  </si>
  <si>
    <t>116D6</t>
  </si>
  <si>
    <t>75C20</t>
  </si>
  <si>
    <t>116D7</t>
  </si>
  <si>
    <t>75C2</t>
  </si>
  <si>
    <t>116D8</t>
  </si>
  <si>
    <t>75C19</t>
  </si>
  <si>
    <t>116D9</t>
  </si>
  <si>
    <t>75C18</t>
  </si>
  <si>
    <t>117A1</t>
  </si>
  <si>
    <t>75C17</t>
  </si>
  <si>
    <t>117A10</t>
  </si>
  <si>
    <t>75C16</t>
  </si>
  <si>
    <t>117A11</t>
  </si>
  <si>
    <t>75C15</t>
  </si>
  <si>
    <t>117A12</t>
  </si>
  <si>
    <t>75C14</t>
  </si>
  <si>
    <t>117A13</t>
  </si>
  <si>
    <t>75C13</t>
  </si>
  <si>
    <t>117A14</t>
  </si>
  <si>
    <t>75C12</t>
  </si>
  <si>
    <t>117A15</t>
  </si>
  <si>
    <t>75C11</t>
  </si>
  <si>
    <t>117A16</t>
  </si>
  <si>
    <t>75C10</t>
  </si>
  <si>
    <t>117A17</t>
  </si>
  <si>
    <t>75C1</t>
  </si>
  <si>
    <t>117A18</t>
  </si>
  <si>
    <t>75B9</t>
  </si>
  <si>
    <t>117A19</t>
  </si>
  <si>
    <t>75B8</t>
  </si>
  <si>
    <t>117A2</t>
  </si>
  <si>
    <t>75B7</t>
  </si>
  <si>
    <t>117A20</t>
  </si>
  <si>
    <t>75B6</t>
  </si>
  <si>
    <t>117A21</t>
  </si>
  <si>
    <t>75B5</t>
  </si>
  <si>
    <t>117A22</t>
  </si>
  <si>
    <t>75B4</t>
  </si>
  <si>
    <t>117A23</t>
  </si>
  <si>
    <t>75B3</t>
  </si>
  <si>
    <t>117A24</t>
  </si>
  <si>
    <t>75B25</t>
  </si>
  <si>
    <t>117A25</t>
  </si>
  <si>
    <t>75B24</t>
  </si>
  <si>
    <t>117A26</t>
  </si>
  <si>
    <t>75B23</t>
  </si>
  <si>
    <t>117A27</t>
  </si>
  <si>
    <t>75B22</t>
  </si>
  <si>
    <t>117A28</t>
  </si>
  <si>
    <t>75B21</t>
  </si>
  <si>
    <t>117A29</t>
  </si>
  <si>
    <t>75B20</t>
  </si>
  <si>
    <t>117A3</t>
  </si>
  <si>
    <t>75B2</t>
  </si>
  <si>
    <t>117A30</t>
  </si>
  <si>
    <t>75B19</t>
  </si>
  <si>
    <t>117A4</t>
  </si>
  <si>
    <t>75B18</t>
  </si>
  <si>
    <t>117A5</t>
  </si>
  <si>
    <t>75B17</t>
  </si>
  <si>
    <t>117A6</t>
  </si>
  <si>
    <t>75B16</t>
  </si>
  <si>
    <t>117A7</t>
  </si>
  <si>
    <t>75B15</t>
  </si>
  <si>
    <t>117A8</t>
  </si>
  <si>
    <t>75B14</t>
  </si>
  <si>
    <t>117A9</t>
  </si>
  <si>
    <t>75B13</t>
  </si>
  <si>
    <t>117B1</t>
  </si>
  <si>
    <t>75B12</t>
  </si>
  <si>
    <t>117B10</t>
  </si>
  <si>
    <t>75B11</t>
  </si>
  <si>
    <t>117B11</t>
  </si>
  <si>
    <t>75B10</t>
  </si>
  <si>
    <t>117B12</t>
  </si>
  <si>
    <t>75B1</t>
  </si>
  <si>
    <t>117B13</t>
  </si>
  <si>
    <t>75A9</t>
  </si>
  <si>
    <t>117B14</t>
  </si>
  <si>
    <t>75A8</t>
  </si>
  <si>
    <t>117B15</t>
  </si>
  <si>
    <t>75A7</t>
  </si>
  <si>
    <t>117B16</t>
  </si>
  <si>
    <t>75A6</t>
  </si>
  <si>
    <t>117B17</t>
  </si>
  <si>
    <t>75A5</t>
  </si>
  <si>
    <t>117B18</t>
  </si>
  <si>
    <t>75A4</t>
  </si>
  <si>
    <t>117B19</t>
  </si>
  <si>
    <t>75A3</t>
  </si>
  <si>
    <t>117B2</t>
  </si>
  <si>
    <t>75A25</t>
  </si>
  <si>
    <t>117B20</t>
  </si>
  <si>
    <t>75A24</t>
  </si>
  <si>
    <t>117B21</t>
  </si>
  <si>
    <t>75A23</t>
  </si>
  <si>
    <t>117B22</t>
  </si>
  <si>
    <t>75A22</t>
  </si>
  <si>
    <t>117B23</t>
  </si>
  <si>
    <t>75A21</t>
  </si>
  <si>
    <t>117B24</t>
  </si>
  <si>
    <t>75A20</t>
  </si>
  <si>
    <t>117B25</t>
  </si>
  <si>
    <t>75A2</t>
  </si>
  <si>
    <t>117B26</t>
  </si>
  <si>
    <t>75A19</t>
  </si>
  <si>
    <t>117B27</t>
  </si>
  <si>
    <t>75A18</t>
  </si>
  <si>
    <t>117B28</t>
  </si>
  <si>
    <t>75A17</t>
  </si>
  <si>
    <t>117B29</t>
  </si>
  <si>
    <t>75A16</t>
  </si>
  <si>
    <t>117B3</t>
  </si>
  <si>
    <t>75A15</t>
  </si>
  <si>
    <t>117B30</t>
  </si>
  <si>
    <t>75A14</t>
  </si>
  <si>
    <t>117B4</t>
  </si>
  <si>
    <t>75A13</t>
  </si>
  <si>
    <t>117B5</t>
  </si>
  <si>
    <t>75A12</t>
  </si>
  <si>
    <t>117B6</t>
  </si>
  <si>
    <t>75A11</t>
  </si>
  <si>
    <t>117B7</t>
  </si>
  <si>
    <t>75A10</t>
  </si>
  <si>
    <t>117B8</t>
  </si>
  <si>
    <t>75A1</t>
  </si>
  <si>
    <t>117B9</t>
  </si>
  <si>
    <t>74C9</t>
  </si>
  <si>
    <t>117C1</t>
  </si>
  <si>
    <t>74C8</t>
  </si>
  <si>
    <t>117C10</t>
  </si>
  <si>
    <t>74C7</t>
  </si>
  <si>
    <t>117C11</t>
  </si>
  <si>
    <t>74C6</t>
  </si>
  <si>
    <t>117C12</t>
  </si>
  <si>
    <t>74C5</t>
  </si>
  <si>
    <t>117C13</t>
  </si>
  <si>
    <t>74C4</t>
  </si>
  <si>
    <t>117C14</t>
  </si>
  <si>
    <t>74C3</t>
  </si>
  <si>
    <t>117C15</t>
  </si>
  <si>
    <t>74C25</t>
  </si>
  <si>
    <t>117C16</t>
  </si>
  <si>
    <t>74C24</t>
  </si>
  <si>
    <t>117C17</t>
  </si>
  <si>
    <t>74C23</t>
  </si>
  <si>
    <t>117C18</t>
  </si>
  <si>
    <t>74C22</t>
  </si>
  <si>
    <t>117C19</t>
  </si>
  <si>
    <t>74C21</t>
  </si>
  <si>
    <t>117C2</t>
  </si>
  <si>
    <t>74C20</t>
  </si>
  <si>
    <t>117C20</t>
  </si>
  <si>
    <t>74C2</t>
  </si>
  <si>
    <t>117C21</t>
  </si>
  <si>
    <t>74C19</t>
  </si>
  <si>
    <t>117C22</t>
  </si>
  <si>
    <t>74C18</t>
  </si>
  <si>
    <t>117C23</t>
  </si>
  <si>
    <t>74C17</t>
  </si>
  <si>
    <t>117C24</t>
  </si>
  <si>
    <t>74C16</t>
  </si>
  <si>
    <t>117C25</t>
  </si>
  <si>
    <t>74C15</t>
  </si>
  <si>
    <t>117C26</t>
  </si>
  <si>
    <t>74C14</t>
  </si>
  <si>
    <t>117C27</t>
  </si>
  <si>
    <t>74C13</t>
  </si>
  <si>
    <t>117C28</t>
  </si>
  <si>
    <t>74C12</t>
  </si>
  <si>
    <t>117C29</t>
  </si>
  <si>
    <t>74C11</t>
  </si>
  <si>
    <t>117C3</t>
  </si>
  <si>
    <t>74C10</t>
  </si>
  <si>
    <t>117C30</t>
  </si>
  <si>
    <t>74B9</t>
  </si>
  <si>
    <t>117C4</t>
  </si>
  <si>
    <t>74B8</t>
  </si>
  <si>
    <t>117C5</t>
  </si>
  <si>
    <t>74B7</t>
  </si>
  <si>
    <t>117C6</t>
  </si>
  <si>
    <t>74B6</t>
  </si>
  <si>
    <t>117C7</t>
  </si>
  <si>
    <t>74B5</t>
  </si>
  <si>
    <t>117C8</t>
  </si>
  <si>
    <t>74B4</t>
  </si>
  <si>
    <t>117C9</t>
  </si>
  <si>
    <t>74B3</t>
  </si>
  <si>
    <t>117D10</t>
  </si>
  <si>
    <t>74B25</t>
  </si>
  <si>
    <t>117D11</t>
  </si>
  <si>
    <t>74B24</t>
  </si>
  <si>
    <t>117D12</t>
  </si>
  <si>
    <t>74B23</t>
  </si>
  <si>
    <t>117D13</t>
  </si>
  <si>
    <t>74B22</t>
  </si>
  <si>
    <t>117D14</t>
  </si>
  <si>
    <t>74B21</t>
  </si>
  <si>
    <t>117D15</t>
  </si>
  <si>
    <t>74B20</t>
  </si>
  <si>
    <t>117D16</t>
  </si>
  <si>
    <t>74B2</t>
  </si>
  <si>
    <t>117D17</t>
  </si>
  <si>
    <t>74B19</t>
  </si>
  <si>
    <t>117D18</t>
  </si>
  <si>
    <t>74B18</t>
  </si>
  <si>
    <t>117D19</t>
  </si>
  <si>
    <t>74B17</t>
  </si>
  <si>
    <t>117D20</t>
  </si>
  <si>
    <t>74B16</t>
  </si>
  <si>
    <t>117D21</t>
  </si>
  <si>
    <t>74B15</t>
  </si>
  <si>
    <t>117D22</t>
  </si>
  <si>
    <t>74B14</t>
  </si>
  <si>
    <t>117D23</t>
  </si>
  <si>
    <t>74B13</t>
  </si>
  <si>
    <t>117D24</t>
  </si>
  <si>
    <t>74B12</t>
  </si>
  <si>
    <t>117D25</t>
  </si>
  <si>
    <t>74B11</t>
  </si>
  <si>
    <t>117D26</t>
  </si>
  <si>
    <t>74B10</t>
  </si>
  <si>
    <t>117D27</t>
  </si>
  <si>
    <t>74B1</t>
  </si>
  <si>
    <t>117D28</t>
  </si>
  <si>
    <t>74A9</t>
  </si>
  <si>
    <t>117D29</t>
  </si>
  <si>
    <t>74A8</t>
  </si>
  <si>
    <t>117D30</t>
  </si>
  <si>
    <t>74A7</t>
  </si>
  <si>
    <t>117D4</t>
  </si>
  <si>
    <t>74A6</t>
  </si>
  <si>
    <t>117D5</t>
  </si>
  <si>
    <t>74A5</t>
  </si>
  <si>
    <t>117D6</t>
  </si>
  <si>
    <t>74A4</t>
  </si>
  <si>
    <t>117D7</t>
  </si>
  <si>
    <t>74A3</t>
  </si>
  <si>
    <t>117D8</t>
  </si>
  <si>
    <t>74A25</t>
  </si>
  <si>
    <t>117D9</t>
  </si>
  <si>
    <t>74A24</t>
  </si>
  <si>
    <t>118A1</t>
  </si>
  <si>
    <t>74A23</t>
  </si>
  <si>
    <t>118A10</t>
  </si>
  <si>
    <t>74A22</t>
  </si>
  <si>
    <t>118A11</t>
  </si>
  <si>
    <t>74A21</t>
  </si>
  <si>
    <t>118A12</t>
  </si>
  <si>
    <t>74A20</t>
  </si>
  <si>
    <t>118A13</t>
  </si>
  <si>
    <t>74A2</t>
  </si>
  <si>
    <t>118A14</t>
  </si>
  <si>
    <t>74A19</t>
  </si>
  <si>
    <t>118A15</t>
  </si>
  <si>
    <t>74A18</t>
  </si>
  <si>
    <t>118A16</t>
  </si>
  <si>
    <t>74A17</t>
  </si>
  <si>
    <t>118A17</t>
  </si>
  <si>
    <t>74A16</t>
  </si>
  <si>
    <t>118A18</t>
  </si>
  <si>
    <t>74A15</t>
  </si>
  <si>
    <t>118A19</t>
  </si>
  <si>
    <t>74A14</t>
  </si>
  <si>
    <t>118A2</t>
  </si>
  <si>
    <t>74A13</t>
  </si>
  <si>
    <t>118A20</t>
  </si>
  <si>
    <t>74A12</t>
  </si>
  <si>
    <t>118A21</t>
  </si>
  <si>
    <t>74A11</t>
  </si>
  <si>
    <t>118A22</t>
  </si>
  <si>
    <t>74A10</t>
  </si>
  <si>
    <t>118A23</t>
  </si>
  <si>
    <t>74A1</t>
  </si>
  <si>
    <t>118A24</t>
  </si>
  <si>
    <t>73C9</t>
  </si>
  <si>
    <t>118A25</t>
  </si>
  <si>
    <t>73C8</t>
  </si>
  <si>
    <t>118A26</t>
  </si>
  <si>
    <t>73C7</t>
  </si>
  <si>
    <t>118A27</t>
  </si>
  <si>
    <t>73C6</t>
  </si>
  <si>
    <t>118A28</t>
  </si>
  <si>
    <t>73C5</t>
  </si>
  <si>
    <t>118A29</t>
  </si>
  <si>
    <t>73C4</t>
  </si>
  <si>
    <t>118A3</t>
  </si>
  <si>
    <t>73C3</t>
  </si>
  <si>
    <t>118A30</t>
  </si>
  <si>
    <t>73C25</t>
  </si>
  <si>
    <t>118A4</t>
  </si>
  <si>
    <t>73C24</t>
  </si>
  <si>
    <t>118A5</t>
  </si>
  <si>
    <t>73C23</t>
  </si>
  <si>
    <t>118A6</t>
  </si>
  <si>
    <t>73C22</t>
  </si>
  <si>
    <t>118A7</t>
  </si>
  <si>
    <t>73C21</t>
  </si>
  <si>
    <t>118A8</t>
  </si>
  <si>
    <t>73C20</t>
  </si>
  <si>
    <t>118A9</t>
  </si>
  <si>
    <t>73C19</t>
  </si>
  <si>
    <t>118B1</t>
  </si>
  <si>
    <t>73C18</t>
  </si>
  <si>
    <t>118B10</t>
  </si>
  <si>
    <t>73C17</t>
  </si>
  <si>
    <t>118B11</t>
  </si>
  <si>
    <t>73C16</t>
  </si>
  <si>
    <t>118B12</t>
  </si>
  <si>
    <t>73C15</t>
  </si>
  <si>
    <t>118B13</t>
  </si>
  <si>
    <t>73C14</t>
  </si>
  <si>
    <t>118B14</t>
  </si>
  <si>
    <t>73C13</t>
  </si>
  <si>
    <t>118B15</t>
  </si>
  <si>
    <t>73C12</t>
  </si>
  <si>
    <t>118B16</t>
  </si>
  <si>
    <t>73C11</t>
  </si>
  <si>
    <t>118B17</t>
  </si>
  <si>
    <t>73C10</t>
  </si>
  <si>
    <t>118B18</t>
  </si>
  <si>
    <t>73B9</t>
  </si>
  <si>
    <t>118B19</t>
  </si>
  <si>
    <t>73B8</t>
  </si>
  <si>
    <t>118B2</t>
  </si>
  <si>
    <t>73B7</t>
  </si>
  <si>
    <t>118B20</t>
  </si>
  <si>
    <t>73B6</t>
  </si>
  <si>
    <t>118B21</t>
  </si>
  <si>
    <t>73B5</t>
  </si>
  <si>
    <t>118B22</t>
  </si>
  <si>
    <t>73B4</t>
  </si>
  <si>
    <t>118B23</t>
  </si>
  <si>
    <t>73B3</t>
  </si>
  <si>
    <t>118B24</t>
  </si>
  <si>
    <t>73B25</t>
  </si>
  <si>
    <t>118B25</t>
  </si>
  <si>
    <t>73B24</t>
  </si>
  <si>
    <t>118B26</t>
  </si>
  <si>
    <t>73B23</t>
  </si>
  <si>
    <t>118B27</t>
  </si>
  <si>
    <t>73B22</t>
  </si>
  <si>
    <t>118B28</t>
  </si>
  <si>
    <t>73B21</t>
  </si>
  <si>
    <t>118B29</t>
  </si>
  <si>
    <t>73B20</t>
  </si>
  <si>
    <t>118B3</t>
  </si>
  <si>
    <t>73B2</t>
  </si>
  <si>
    <t>118B30</t>
  </si>
  <si>
    <t>73B19</t>
  </si>
  <si>
    <t>118B4</t>
  </si>
  <si>
    <t>73B18</t>
  </si>
  <si>
    <t>118B5</t>
  </si>
  <si>
    <t>73B17</t>
  </si>
  <si>
    <t>118B6</t>
  </si>
  <si>
    <t>73B16</t>
  </si>
  <si>
    <t>118B7</t>
  </si>
  <si>
    <t>73B15</t>
  </si>
  <si>
    <t>118B8</t>
  </si>
  <si>
    <t>73B14</t>
  </si>
  <si>
    <t>118B9</t>
  </si>
  <si>
    <t>73B13</t>
  </si>
  <si>
    <t>118C1</t>
  </si>
  <si>
    <t>73B12</t>
  </si>
  <si>
    <t>118C10</t>
  </si>
  <si>
    <t>73B11</t>
  </si>
  <si>
    <t>118C11</t>
  </si>
  <si>
    <t>73B10</t>
  </si>
  <si>
    <t>118C12</t>
  </si>
  <si>
    <t>73B1</t>
  </si>
  <si>
    <t>118C13</t>
  </si>
  <si>
    <t>73A9</t>
  </si>
  <si>
    <t>118C14</t>
  </si>
  <si>
    <t>73A8</t>
  </si>
  <si>
    <t>118C15</t>
  </si>
  <si>
    <t>73A7</t>
  </si>
  <si>
    <t>118C16</t>
  </si>
  <si>
    <t>73A6</t>
  </si>
  <si>
    <t>118C17</t>
  </si>
  <si>
    <t>73A5</t>
  </si>
  <si>
    <t>118C18</t>
  </si>
  <si>
    <t>73A4</t>
  </si>
  <si>
    <t>118C19</t>
  </si>
  <si>
    <t>73A3</t>
  </si>
  <si>
    <t>118C2</t>
  </si>
  <si>
    <t>73A25</t>
  </si>
  <si>
    <t>118C20</t>
  </si>
  <si>
    <t>73A24</t>
  </si>
  <si>
    <t>118C21</t>
  </si>
  <si>
    <t>73A23</t>
  </si>
  <si>
    <t>118C22</t>
  </si>
  <si>
    <t>73A22</t>
  </si>
  <si>
    <t>118C23</t>
  </si>
  <si>
    <t>73A21</t>
  </si>
  <si>
    <t>118C24</t>
  </si>
  <si>
    <t>73A20</t>
  </si>
  <si>
    <t>118C25</t>
  </si>
  <si>
    <t>73A2</t>
  </si>
  <si>
    <t>118C26</t>
  </si>
  <si>
    <t>73A19</t>
  </si>
  <si>
    <t>118C27</t>
  </si>
  <si>
    <t>73A18</t>
  </si>
  <si>
    <t>118C28</t>
  </si>
  <si>
    <t>73A17</t>
  </si>
  <si>
    <t>118C29</t>
  </si>
  <si>
    <t>73A16</t>
  </si>
  <si>
    <t>118C3</t>
  </si>
  <si>
    <t>73A15</t>
  </si>
  <si>
    <t>118C30</t>
  </si>
  <si>
    <t>73A14</t>
  </si>
  <si>
    <t>118C4</t>
  </si>
  <si>
    <t>73A13</t>
  </si>
  <si>
    <t>118C5</t>
  </si>
  <si>
    <t>73A12</t>
  </si>
  <si>
    <t>118C6</t>
  </si>
  <si>
    <t>73A11</t>
  </si>
  <si>
    <t>118C7</t>
  </si>
  <si>
    <t>73A10</t>
  </si>
  <si>
    <t>118C8</t>
  </si>
  <si>
    <t>73A1</t>
  </si>
  <si>
    <t>118C9</t>
  </si>
  <si>
    <t>72C9</t>
  </si>
  <si>
    <t>118D10</t>
  </si>
  <si>
    <t>72C8</t>
  </si>
  <si>
    <t>118D11</t>
  </si>
  <si>
    <t>72C7</t>
  </si>
  <si>
    <t>118D12</t>
  </si>
  <si>
    <t>72C6</t>
  </si>
  <si>
    <t>118D13</t>
  </si>
  <si>
    <t>72C5</t>
  </si>
  <si>
    <t>118D14</t>
  </si>
  <si>
    <t>72C4</t>
  </si>
  <si>
    <t>118D15</t>
  </si>
  <si>
    <t>72C3</t>
  </si>
  <si>
    <t>118D16</t>
  </si>
  <si>
    <t>72C24</t>
  </si>
  <si>
    <t>118D17</t>
  </si>
  <si>
    <t>72C23</t>
  </si>
  <si>
    <t>118D18</t>
  </si>
  <si>
    <t>72C22</t>
  </si>
  <si>
    <t>118D19</t>
  </si>
  <si>
    <t>72C21</t>
  </si>
  <si>
    <t>118D20</t>
  </si>
  <si>
    <t>72C20</t>
  </si>
  <si>
    <t>118D21</t>
  </si>
  <si>
    <t>72C2</t>
  </si>
  <si>
    <t>118D22</t>
  </si>
  <si>
    <t>72C19</t>
  </si>
  <si>
    <t>118D23</t>
  </si>
  <si>
    <t>72C18</t>
  </si>
  <si>
    <t>118D24</t>
  </si>
  <si>
    <t>72C17</t>
  </si>
  <si>
    <t>118D25</t>
  </si>
  <si>
    <t>72C16</t>
  </si>
  <si>
    <t>118D26</t>
  </si>
  <si>
    <t>72C15</t>
  </si>
  <si>
    <t>118D27</t>
  </si>
  <si>
    <t>72C14</t>
  </si>
  <si>
    <t>118D28</t>
  </si>
  <si>
    <t>72C13</t>
  </si>
  <si>
    <t>118D29</t>
  </si>
  <si>
    <t>72C12</t>
  </si>
  <si>
    <t>118D3</t>
  </si>
  <si>
    <t>72C11</t>
  </si>
  <si>
    <t>118D30</t>
  </si>
  <si>
    <t>72C10</t>
  </si>
  <si>
    <t>118D4</t>
  </si>
  <si>
    <t>72C1</t>
  </si>
  <si>
    <t>118D5</t>
  </si>
  <si>
    <t>72B9</t>
  </si>
  <si>
    <t>118D6</t>
  </si>
  <si>
    <t>72B8</t>
  </si>
  <si>
    <t>118D7</t>
  </si>
  <si>
    <t>72B7</t>
  </si>
  <si>
    <t>118D8</t>
  </si>
  <si>
    <t>72B6</t>
  </si>
  <si>
    <t>118D9</t>
  </si>
  <si>
    <t>72B5</t>
  </si>
  <si>
    <t>119A1</t>
  </si>
  <si>
    <t>72B4</t>
  </si>
  <si>
    <t>119A10</t>
  </si>
  <si>
    <t>72B3</t>
  </si>
  <si>
    <t>119A11</t>
  </si>
  <si>
    <t>72B24</t>
  </si>
  <si>
    <t>119A12</t>
  </si>
  <si>
    <t>72B23</t>
  </si>
  <si>
    <t>119A13</t>
  </si>
  <si>
    <t>72B22</t>
  </si>
  <si>
    <t>119A14</t>
  </si>
  <si>
    <t>72B21</t>
  </si>
  <si>
    <t>119A15</t>
  </si>
  <si>
    <t>72B20</t>
  </si>
  <si>
    <t>119A16</t>
  </si>
  <si>
    <t>72B2</t>
  </si>
  <si>
    <t>119A17</t>
  </si>
  <si>
    <t>72B19</t>
  </si>
  <si>
    <t>119A18</t>
  </si>
  <si>
    <t>72B18</t>
  </si>
  <si>
    <t>119A19</t>
  </si>
  <si>
    <t>72B17</t>
  </si>
  <si>
    <t>119A2</t>
  </si>
  <si>
    <t>72B16</t>
  </si>
  <si>
    <t>119A20</t>
  </si>
  <si>
    <t>72B15</t>
  </si>
  <si>
    <t>119A21</t>
  </si>
  <si>
    <t>72B14</t>
  </si>
  <si>
    <t>119A22</t>
  </si>
  <si>
    <t>72B13</t>
  </si>
  <si>
    <t>119A23</t>
  </si>
  <si>
    <t>72B12</t>
  </si>
  <si>
    <t>119A24</t>
  </si>
  <si>
    <t>72B11</t>
  </si>
  <si>
    <t>119A25</t>
  </si>
  <si>
    <t>72B10</t>
  </si>
  <si>
    <t>119A26</t>
  </si>
  <si>
    <t>72B1</t>
  </si>
  <si>
    <t>119A27</t>
  </si>
  <si>
    <t>72A9</t>
  </si>
  <si>
    <t>119A28</t>
  </si>
  <si>
    <t>72A8</t>
  </si>
  <si>
    <t>119A29</t>
  </si>
  <si>
    <t>72A7</t>
  </si>
  <si>
    <t>119A3</t>
  </si>
  <si>
    <t>72A6</t>
  </si>
  <si>
    <t>119A30</t>
  </si>
  <si>
    <t>72A5</t>
  </si>
  <si>
    <t>119A4</t>
  </si>
  <si>
    <t>72A4</t>
  </si>
  <si>
    <t>119A5</t>
  </si>
  <si>
    <t>72A3</t>
  </si>
  <si>
    <t>119A6</t>
  </si>
  <si>
    <t>72A24</t>
  </si>
  <si>
    <t>119A7</t>
  </si>
  <si>
    <t>72A23</t>
  </si>
  <si>
    <t>119A8</t>
  </si>
  <si>
    <t>72A22</t>
  </si>
  <si>
    <t>119A9</t>
  </si>
  <si>
    <t>72A21</t>
  </si>
  <si>
    <t>119B1</t>
  </si>
  <si>
    <t>72A20</t>
  </si>
  <si>
    <t>119B10</t>
  </si>
  <si>
    <t>72A2</t>
  </si>
  <si>
    <t>119B11</t>
  </si>
  <si>
    <t>72A19</t>
  </si>
  <si>
    <t>119B12</t>
  </si>
  <si>
    <t>72A18</t>
  </si>
  <si>
    <t>119B13</t>
  </si>
  <si>
    <t>72A17</t>
  </si>
  <si>
    <t>119B14</t>
  </si>
  <si>
    <t>72A16</t>
  </si>
  <si>
    <t>119B15</t>
  </si>
  <si>
    <t>72A15</t>
  </si>
  <si>
    <t>119B16</t>
  </si>
  <si>
    <t>72A14</t>
  </si>
  <si>
    <t>119B17</t>
  </si>
  <si>
    <t>72A13</t>
  </si>
  <si>
    <t>119B18</t>
  </si>
  <si>
    <t>72A12</t>
  </si>
  <si>
    <t>119B19</t>
  </si>
  <si>
    <t>72A11</t>
  </si>
  <si>
    <t>119B2</t>
  </si>
  <si>
    <t>72A10</t>
  </si>
  <si>
    <t>119B20</t>
  </si>
  <si>
    <t>72A1</t>
  </si>
  <si>
    <t>119B21</t>
  </si>
  <si>
    <t>71C9</t>
  </si>
  <si>
    <t>119B22</t>
  </si>
  <si>
    <t>71C8</t>
  </si>
  <si>
    <t>119B23</t>
  </si>
  <si>
    <t>71C7</t>
  </si>
  <si>
    <t>119B24</t>
  </si>
  <si>
    <t>71C6</t>
  </si>
  <si>
    <t>119B25</t>
  </si>
  <si>
    <t>71C5</t>
  </si>
  <si>
    <t>119B26</t>
  </si>
  <si>
    <t>71C4</t>
  </si>
  <si>
    <t>119B27</t>
  </si>
  <si>
    <t>71C3</t>
  </si>
  <si>
    <t>119B28</t>
  </si>
  <si>
    <t>71C24</t>
  </si>
  <si>
    <t>119B29</t>
  </si>
  <si>
    <t>71C23</t>
  </si>
  <si>
    <t>119B3</t>
  </si>
  <si>
    <t>71C22</t>
  </si>
  <si>
    <t>119B30</t>
  </si>
  <si>
    <t>71C21</t>
  </si>
  <si>
    <t>119B4</t>
  </si>
  <si>
    <t>71C20</t>
  </si>
  <si>
    <t>119B5</t>
  </si>
  <si>
    <t>71C2</t>
  </si>
  <si>
    <t>119B6</t>
  </si>
  <si>
    <t>71C19</t>
  </si>
  <si>
    <t>119B7</t>
  </si>
  <si>
    <t>71C18</t>
  </si>
  <si>
    <t>119B8</t>
  </si>
  <si>
    <t>71C17</t>
  </si>
  <si>
    <t>119B9</t>
  </si>
  <si>
    <t>71C16</t>
  </si>
  <si>
    <t>119C1</t>
  </si>
  <si>
    <t>71C15</t>
  </si>
  <si>
    <t>119C10</t>
  </si>
  <si>
    <t>71C14</t>
  </si>
  <si>
    <t>119C11</t>
  </si>
  <si>
    <t>71C13</t>
  </si>
  <si>
    <t>119C12</t>
  </si>
  <si>
    <t>71C12</t>
  </si>
  <si>
    <t>119C13</t>
  </si>
  <si>
    <t>71C11</t>
  </si>
  <si>
    <t>119C14</t>
  </si>
  <si>
    <t>71C10</t>
  </si>
  <si>
    <t>119C15</t>
  </si>
  <si>
    <t>71B9</t>
  </si>
  <si>
    <t>119C16</t>
  </si>
  <si>
    <t>71B8</t>
  </si>
  <si>
    <t>119C17</t>
  </si>
  <si>
    <t>71B7</t>
  </si>
  <si>
    <t>119C18</t>
  </si>
  <si>
    <t>71B6</t>
  </si>
  <si>
    <t>119C19</t>
  </si>
  <si>
    <t>71B5</t>
  </si>
  <si>
    <t>119C2</t>
  </si>
  <si>
    <t>71B4</t>
  </si>
  <si>
    <t>119C20</t>
  </si>
  <si>
    <t>71B3</t>
  </si>
  <si>
    <t>119C21</t>
  </si>
  <si>
    <t>71B24</t>
  </si>
  <si>
    <t>119C22</t>
  </si>
  <si>
    <t>71B23</t>
  </si>
  <si>
    <t>119C23</t>
  </si>
  <si>
    <t>71B22</t>
  </si>
  <si>
    <t>119C24</t>
  </si>
  <si>
    <t>71B21</t>
  </si>
  <si>
    <t>119C25</t>
  </si>
  <si>
    <t>71B20</t>
  </si>
  <si>
    <t>119C26</t>
  </si>
  <si>
    <t>71B2</t>
  </si>
  <si>
    <t>119C27</t>
  </si>
  <si>
    <t>71B19</t>
  </si>
  <si>
    <t>119C28</t>
  </si>
  <si>
    <t>71B18</t>
  </si>
  <si>
    <t>119C29</t>
  </si>
  <si>
    <t>71B17</t>
  </si>
  <si>
    <t>119C3</t>
  </si>
  <si>
    <t>71B16</t>
  </si>
  <si>
    <t>119C30</t>
  </si>
  <si>
    <t>71B15</t>
  </si>
  <si>
    <t>119C4</t>
  </si>
  <si>
    <t>71B14</t>
  </si>
  <si>
    <t>119C5</t>
  </si>
  <si>
    <t>71B13</t>
  </si>
  <si>
    <t>119C6</t>
  </si>
  <si>
    <t>71B12</t>
  </si>
  <si>
    <t>119C7</t>
  </si>
  <si>
    <t>71B11</t>
  </si>
  <si>
    <t>119C8</t>
  </si>
  <si>
    <t>71B10</t>
  </si>
  <si>
    <t>119C9</t>
  </si>
  <si>
    <t>71B1</t>
  </si>
  <si>
    <t>119D10</t>
  </si>
  <si>
    <t>71A9</t>
  </si>
  <si>
    <t>119D11</t>
  </si>
  <si>
    <t>71A8</t>
  </si>
  <si>
    <t>119D12</t>
  </si>
  <si>
    <t>71A7</t>
  </si>
  <si>
    <t>119D13</t>
  </si>
  <si>
    <t>71A6</t>
  </si>
  <si>
    <t>119D14</t>
  </si>
  <si>
    <t>71A5</t>
  </si>
  <si>
    <t>119D15</t>
  </si>
  <si>
    <t>71A4</t>
  </si>
  <si>
    <t>119D16</t>
  </si>
  <si>
    <t>71A3</t>
  </si>
  <si>
    <t>119D17</t>
  </si>
  <si>
    <t>71A24</t>
  </si>
  <si>
    <t>119D18</t>
  </si>
  <si>
    <t>71A23</t>
  </si>
  <si>
    <t>119D19</t>
  </si>
  <si>
    <t>71A22</t>
  </si>
  <si>
    <t>119D2</t>
  </si>
  <si>
    <t>71A21</t>
  </si>
  <si>
    <t>119D20</t>
  </si>
  <si>
    <t>71A20</t>
  </si>
  <si>
    <t>119D21</t>
  </si>
  <si>
    <t>71A2</t>
  </si>
  <si>
    <t>119D22</t>
  </si>
  <si>
    <t>71A19</t>
  </si>
  <si>
    <t>119D23</t>
  </si>
  <si>
    <t>71A18</t>
  </si>
  <si>
    <t>119D24</t>
  </si>
  <si>
    <t>71A17</t>
  </si>
  <si>
    <t>119D25</t>
  </si>
  <si>
    <t>71A16</t>
  </si>
  <si>
    <t>119D26</t>
  </si>
  <si>
    <t>71A15</t>
  </si>
  <si>
    <t>119D27</t>
  </si>
  <si>
    <t>71A14</t>
  </si>
  <si>
    <t>119D28</t>
  </si>
  <si>
    <t>71A13</t>
  </si>
  <si>
    <t>119D29</t>
  </si>
  <si>
    <t>71A12</t>
  </si>
  <si>
    <t>119D3</t>
  </si>
  <si>
    <t>71A11</t>
  </si>
  <si>
    <t>119D30</t>
  </si>
  <si>
    <t>71A10</t>
  </si>
  <si>
    <t>119D4</t>
  </si>
  <si>
    <t>71A1</t>
  </si>
  <si>
    <t>119D5</t>
  </si>
  <si>
    <t>70C9</t>
  </si>
  <si>
    <t>119D6</t>
  </si>
  <si>
    <t>70C8</t>
  </si>
  <si>
    <t>119D7</t>
  </si>
  <si>
    <t>70C7</t>
  </si>
  <si>
    <t>119D8</t>
  </si>
  <si>
    <t>70C6</t>
  </si>
  <si>
    <t>119D9</t>
  </si>
  <si>
    <t>70C5</t>
  </si>
  <si>
    <t>11A1</t>
  </si>
  <si>
    <t>70C4</t>
  </si>
  <si>
    <t>11A2</t>
  </si>
  <si>
    <t>70C3</t>
  </si>
  <si>
    <t>11A3</t>
  </si>
  <si>
    <t>70C24</t>
  </si>
  <si>
    <t>11B1</t>
  </si>
  <si>
    <t>70C23</t>
  </si>
  <si>
    <t>11B2</t>
  </si>
  <si>
    <t>70C22</t>
  </si>
  <si>
    <t>11B3</t>
  </si>
  <si>
    <t>70C21</t>
  </si>
  <si>
    <t>11C1</t>
  </si>
  <si>
    <t>70C20</t>
  </si>
  <si>
    <t>11C2</t>
  </si>
  <si>
    <t>70C19</t>
  </si>
  <si>
    <t>11C3</t>
  </si>
  <si>
    <t>70C18</t>
  </si>
  <si>
    <t>11D2</t>
  </si>
  <si>
    <t>70C17</t>
  </si>
  <si>
    <t>11D3</t>
  </si>
  <si>
    <t>70C16</t>
  </si>
  <si>
    <t>120A1</t>
  </si>
  <si>
    <t>70C15</t>
  </si>
  <si>
    <t>120A10</t>
  </si>
  <si>
    <t>70C14</t>
  </si>
  <si>
    <t>120A11</t>
  </si>
  <si>
    <t>70C13</t>
  </si>
  <si>
    <t>120A12</t>
  </si>
  <si>
    <t>70C12</t>
  </si>
  <si>
    <t>120A13</t>
  </si>
  <si>
    <t>70C11</t>
  </si>
  <si>
    <t>120A14</t>
  </si>
  <si>
    <t>70C10</t>
  </si>
  <si>
    <t>120A15</t>
  </si>
  <si>
    <t>70B9</t>
  </si>
  <si>
    <t>120A16</t>
  </si>
  <si>
    <t>70B8</t>
  </si>
  <si>
    <t>120A17</t>
  </si>
  <si>
    <t>70B7</t>
  </si>
  <si>
    <t>120A18</t>
  </si>
  <si>
    <t>70B6</t>
  </si>
  <si>
    <t>120A19</t>
  </si>
  <si>
    <t>70B5</t>
  </si>
  <si>
    <t>120A2</t>
  </si>
  <si>
    <t>70B4</t>
  </si>
  <si>
    <t>120A20</t>
  </si>
  <si>
    <t>70B3</t>
  </si>
  <si>
    <t>120A21</t>
  </si>
  <si>
    <t>70B24</t>
  </si>
  <si>
    <t>120A22</t>
  </si>
  <si>
    <t>70B23</t>
  </si>
  <si>
    <t>120A23</t>
  </si>
  <si>
    <t>70B22</t>
  </si>
  <si>
    <t>120A24</t>
  </si>
  <si>
    <t>70B21</t>
  </si>
  <si>
    <t>120A25</t>
  </si>
  <si>
    <t>70B20</t>
  </si>
  <si>
    <t>120A26</t>
  </si>
  <si>
    <t>70B2</t>
  </si>
  <si>
    <t>120A27</t>
  </si>
  <si>
    <t>70B19</t>
  </si>
  <si>
    <t>120A28</t>
  </si>
  <si>
    <t>70B18</t>
  </si>
  <si>
    <t>120A29</t>
  </si>
  <si>
    <t>70B17</t>
  </si>
  <si>
    <t>120A3</t>
  </si>
  <si>
    <t>70B16</t>
  </si>
  <si>
    <t>120A30</t>
  </si>
  <si>
    <t>70B15</t>
  </si>
  <si>
    <t>120A4</t>
  </si>
  <si>
    <t>70B14</t>
  </si>
  <si>
    <t>120A5</t>
  </si>
  <si>
    <t>70B13</t>
  </si>
  <si>
    <t>120A6</t>
  </si>
  <si>
    <t>70B12</t>
  </si>
  <si>
    <t>120A7</t>
  </si>
  <si>
    <t>70B11</t>
  </si>
  <si>
    <t>120A8</t>
  </si>
  <si>
    <t>70B10</t>
  </si>
  <si>
    <t>120A9</t>
  </si>
  <si>
    <t>70B1</t>
  </si>
  <si>
    <t>120B1</t>
  </si>
  <si>
    <t>70A9</t>
  </si>
  <si>
    <t>120B10</t>
  </si>
  <si>
    <t>70A8</t>
  </si>
  <si>
    <t>120B11</t>
  </si>
  <si>
    <t>70A7</t>
  </si>
  <si>
    <t>120B12</t>
  </si>
  <si>
    <t>70A6</t>
  </si>
  <si>
    <t>120B13</t>
  </si>
  <si>
    <t>70A5</t>
  </si>
  <si>
    <t>120B14</t>
  </si>
  <si>
    <t>70A4</t>
  </si>
  <si>
    <t>120B15</t>
  </si>
  <si>
    <t>70A3</t>
  </si>
  <si>
    <t>120B16</t>
  </si>
  <si>
    <t>70A24</t>
  </si>
  <si>
    <t>120B17</t>
  </si>
  <si>
    <t>70A23</t>
  </si>
  <si>
    <t>120B18</t>
  </si>
  <si>
    <t>70A22</t>
  </si>
  <si>
    <t>120B19</t>
  </si>
  <si>
    <t>70A21</t>
  </si>
  <si>
    <t>120B2</t>
  </si>
  <si>
    <t>70A20</t>
  </si>
  <si>
    <t>120B20</t>
  </si>
  <si>
    <t>70A2</t>
  </si>
  <si>
    <t>120B21</t>
  </si>
  <si>
    <t>70A19</t>
  </si>
  <si>
    <t>120B22</t>
  </si>
  <si>
    <t>70A18</t>
  </si>
  <si>
    <t>120B23</t>
  </si>
  <si>
    <t>70A17</t>
  </si>
  <si>
    <t>120B24</t>
  </si>
  <si>
    <t>70A16</t>
  </si>
  <si>
    <t>120B25</t>
  </si>
  <si>
    <t>70A15</t>
  </si>
  <si>
    <t>120B26</t>
  </si>
  <si>
    <t>70A14</t>
  </si>
  <si>
    <t>120B27</t>
  </si>
  <si>
    <t>70A13</t>
  </si>
  <si>
    <t>120B28</t>
  </si>
  <si>
    <t>70A12</t>
  </si>
  <si>
    <t>120B29</t>
  </si>
  <si>
    <t>70A11</t>
  </si>
  <si>
    <t>120B3</t>
  </si>
  <si>
    <t>70A10</t>
  </si>
  <si>
    <t>120B30</t>
  </si>
  <si>
    <t>70A1</t>
  </si>
  <si>
    <t>120B4</t>
  </si>
  <si>
    <t>6C2</t>
  </si>
  <si>
    <t>120B5</t>
  </si>
  <si>
    <t>6C1</t>
  </si>
  <si>
    <t>120B6</t>
  </si>
  <si>
    <t>6B2</t>
  </si>
  <si>
    <t>120B7</t>
  </si>
  <si>
    <t>6B1</t>
  </si>
  <si>
    <t>120B8</t>
  </si>
  <si>
    <t>6A2</t>
  </si>
  <si>
    <t>120B9</t>
  </si>
  <si>
    <t>6A1</t>
  </si>
  <si>
    <t>120C1</t>
  </si>
  <si>
    <t>69C9</t>
  </si>
  <si>
    <t>120C10</t>
  </si>
  <si>
    <t>69C8</t>
  </si>
  <si>
    <t>120C11</t>
  </si>
  <si>
    <t>69C7</t>
  </si>
  <si>
    <t>120C12</t>
  </si>
  <si>
    <t>69C6</t>
  </si>
  <si>
    <t>120C13</t>
  </si>
  <si>
    <t>69C5</t>
  </si>
  <si>
    <t>120C14</t>
  </si>
  <si>
    <t>69C4</t>
  </si>
  <si>
    <t>120C15</t>
  </si>
  <si>
    <t>69C3</t>
  </si>
  <si>
    <t>120C16</t>
  </si>
  <si>
    <t>69C23</t>
  </si>
  <si>
    <t>120C17</t>
  </si>
  <si>
    <t>69C22</t>
  </si>
  <si>
    <t>120C18</t>
  </si>
  <si>
    <t>69C21</t>
  </si>
  <si>
    <t>120C19</t>
  </si>
  <si>
    <t>69C20</t>
  </si>
  <si>
    <t>120C2</t>
  </si>
  <si>
    <t>69C2</t>
  </si>
  <si>
    <t>120C20</t>
  </si>
  <si>
    <t>69C19</t>
  </si>
  <si>
    <t>120C21</t>
  </si>
  <si>
    <t>69C18</t>
  </si>
  <si>
    <t>120C22</t>
  </si>
  <si>
    <t>69C17</t>
  </si>
  <si>
    <t>120C23</t>
  </si>
  <si>
    <t>69C16</t>
  </si>
  <si>
    <t>120C24</t>
  </si>
  <si>
    <t>69C15</t>
  </si>
  <si>
    <t>120C25</t>
  </si>
  <si>
    <t>69C14</t>
  </si>
  <si>
    <t>120C26</t>
  </si>
  <si>
    <t>69C13</t>
  </si>
  <si>
    <t>120C27</t>
  </si>
  <si>
    <t>69C12</t>
  </si>
  <si>
    <t>120C28</t>
  </si>
  <si>
    <t>69C11</t>
  </si>
  <si>
    <t>120C29</t>
  </si>
  <si>
    <t>69C10</t>
  </si>
  <si>
    <t>120C3</t>
  </si>
  <si>
    <t>69C1</t>
  </si>
  <si>
    <t>120C30</t>
  </si>
  <si>
    <t>69B9</t>
  </si>
  <si>
    <t>120C4</t>
  </si>
  <si>
    <t>69B8</t>
  </si>
  <si>
    <t>120C5</t>
  </si>
  <si>
    <t>69B7</t>
  </si>
  <si>
    <t>120C6</t>
  </si>
  <si>
    <t>69B6</t>
  </si>
  <si>
    <t>120C7</t>
  </si>
  <si>
    <t>69B5</t>
  </si>
  <si>
    <t>120C8</t>
  </si>
  <si>
    <t>69B4</t>
  </si>
  <si>
    <t>120C9</t>
  </si>
  <si>
    <t>69B3</t>
  </si>
  <si>
    <t>120D1</t>
  </si>
  <si>
    <t>69B23</t>
  </si>
  <si>
    <t>120D10</t>
  </si>
  <si>
    <t>69B22</t>
  </si>
  <si>
    <t>120D11</t>
  </si>
  <si>
    <t>69B21</t>
  </si>
  <si>
    <t>120D12</t>
  </si>
  <si>
    <t>69B20</t>
  </si>
  <si>
    <t>120D13</t>
  </si>
  <si>
    <t>69B2</t>
  </si>
  <si>
    <t>120D14</t>
  </si>
  <si>
    <t>69B19</t>
  </si>
  <si>
    <t>120D15</t>
  </si>
  <si>
    <t>69B18</t>
  </si>
  <si>
    <t>120D16</t>
  </si>
  <si>
    <t>69B17</t>
  </si>
  <si>
    <t>120D17</t>
  </si>
  <si>
    <t>69B16</t>
  </si>
  <si>
    <t>120D18</t>
  </si>
  <si>
    <t>69B15</t>
  </si>
  <si>
    <t>120D19</t>
  </si>
  <si>
    <t>69B14</t>
  </si>
  <si>
    <t>120D2</t>
  </si>
  <si>
    <t>69B13</t>
  </si>
  <si>
    <t>120D20</t>
  </si>
  <si>
    <t>69B12</t>
  </si>
  <si>
    <t>120D21</t>
  </si>
  <si>
    <t>69B11</t>
  </si>
  <si>
    <t>120D22</t>
  </si>
  <si>
    <t>69B10</t>
  </si>
  <si>
    <t>120D23</t>
  </si>
  <si>
    <t>69B1</t>
  </si>
  <si>
    <t>120D24</t>
  </si>
  <si>
    <t>69A9</t>
  </si>
  <si>
    <t>120D25</t>
  </si>
  <si>
    <t>69A8</t>
  </si>
  <si>
    <t>120D26</t>
  </si>
  <si>
    <t>69A7</t>
  </si>
  <si>
    <t>120D27</t>
  </si>
  <si>
    <t>69A6</t>
  </si>
  <si>
    <t>120D28</t>
  </si>
  <si>
    <t>69A5</t>
  </si>
  <si>
    <t>120D29</t>
  </si>
  <si>
    <t>69A4</t>
  </si>
  <si>
    <t>120D3</t>
  </si>
  <si>
    <t>69A3</t>
  </si>
  <si>
    <t>120D30</t>
  </si>
  <si>
    <t>69A23</t>
  </si>
  <si>
    <t>120D4</t>
  </si>
  <si>
    <t>69A22</t>
  </si>
  <si>
    <t>120D5</t>
  </si>
  <si>
    <t>69A21</t>
  </si>
  <si>
    <t>120D6</t>
  </si>
  <si>
    <t>69A20</t>
  </si>
  <si>
    <t>120D7</t>
  </si>
  <si>
    <t>69A2</t>
  </si>
  <si>
    <t>120D8</t>
  </si>
  <si>
    <t>69A19</t>
  </si>
  <si>
    <t>120D9</t>
  </si>
  <si>
    <t>69A18</t>
  </si>
  <si>
    <t>121A1</t>
  </si>
  <si>
    <t>69A17</t>
  </si>
  <si>
    <t>121A10</t>
  </si>
  <si>
    <t>69A16</t>
  </si>
  <si>
    <t>121A11</t>
  </si>
  <si>
    <t>69A15</t>
  </si>
  <si>
    <t>121A12</t>
  </si>
  <si>
    <t>69A14</t>
  </si>
  <si>
    <t>121A13</t>
  </si>
  <si>
    <t>69A13</t>
  </si>
  <si>
    <t>121A14</t>
  </si>
  <si>
    <t>69A12</t>
  </si>
  <si>
    <t>121A15</t>
  </si>
  <si>
    <t>69A11</t>
  </si>
  <si>
    <t>121A16</t>
  </si>
  <si>
    <t>69A10</t>
  </si>
  <si>
    <t>121A17</t>
  </si>
  <si>
    <t>69A1</t>
  </si>
  <si>
    <t>121A18</t>
  </si>
  <si>
    <t>68C9</t>
  </si>
  <si>
    <t>121A19</t>
  </si>
  <si>
    <t>68C8</t>
  </si>
  <si>
    <t>121A2</t>
  </si>
  <si>
    <t>68C7</t>
  </si>
  <si>
    <t>121A20</t>
  </si>
  <si>
    <t>68C6</t>
  </si>
  <si>
    <t>121A21</t>
  </si>
  <si>
    <t>68C5</t>
  </si>
  <si>
    <t>121A22</t>
  </si>
  <si>
    <t>68C4</t>
  </si>
  <si>
    <t>121A23</t>
  </si>
  <si>
    <t>68C3</t>
  </si>
  <si>
    <t>121A24</t>
  </si>
  <si>
    <t>68C23</t>
  </si>
  <si>
    <t>121A25</t>
  </si>
  <si>
    <t>68C22</t>
  </si>
  <si>
    <t>121A26</t>
  </si>
  <si>
    <t>68C21</t>
  </si>
  <si>
    <t>121A27</t>
  </si>
  <si>
    <t>68C20</t>
  </si>
  <si>
    <t>121A28</t>
  </si>
  <si>
    <t>68C2</t>
  </si>
  <si>
    <t>121A29</t>
  </si>
  <si>
    <t>68C19</t>
  </si>
  <si>
    <t>121A3</t>
  </si>
  <si>
    <t>68C18</t>
  </si>
  <si>
    <t>121A30</t>
  </si>
  <si>
    <t>68C17</t>
  </si>
  <si>
    <t>121A31</t>
  </si>
  <si>
    <t>68C16</t>
  </si>
  <si>
    <t>121A4</t>
  </si>
  <si>
    <t>68C15</t>
  </si>
  <si>
    <t>121A5</t>
  </si>
  <si>
    <t>68C14</t>
  </si>
  <si>
    <t>121A6</t>
  </si>
  <si>
    <t>68C13</t>
  </si>
  <si>
    <t>121A7</t>
  </si>
  <si>
    <t>68C12</t>
  </si>
  <si>
    <t>121A8</t>
  </si>
  <si>
    <t>68C11</t>
  </si>
  <si>
    <t>121A9</t>
  </si>
  <si>
    <t>68C10</t>
  </si>
  <si>
    <t>121B1</t>
  </si>
  <si>
    <t>68B9</t>
  </si>
  <si>
    <t>121B10</t>
  </si>
  <si>
    <t>68B8</t>
  </si>
  <si>
    <t>121B11</t>
  </si>
  <si>
    <t>68B7</t>
  </si>
  <si>
    <t>121B12</t>
  </si>
  <si>
    <t>68B6</t>
  </si>
  <si>
    <t>121B13</t>
  </si>
  <si>
    <t>68B5</t>
  </si>
  <si>
    <t>121B14</t>
  </si>
  <si>
    <t>68B4</t>
  </si>
  <si>
    <t>121B15</t>
  </si>
  <si>
    <t>68B3</t>
  </si>
  <si>
    <t>121B16</t>
  </si>
  <si>
    <t>68B23</t>
  </si>
  <si>
    <t>121B17</t>
  </si>
  <si>
    <t>68B22</t>
  </si>
  <si>
    <t>121B18</t>
  </si>
  <si>
    <t>68B21</t>
  </si>
  <si>
    <t>121B19</t>
  </si>
  <si>
    <t>68B20</t>
  </si>
  <si>
    <t>121B2</t>
  </si>
  <si>
    <t>68B2</t>
  </si>
  <si>
    <t>121B20</t>
  </si>
  <si>
    <t>68B19</t>
  </si>
  <si>
    <t>121B21</t>
  </si>
  <si>
    <t>68B18</t>
  </si>
  <si>
    <t>121B22</t>
  </si>
  <si>
    <t>68B17</t>
  </si>
  <si>
    <t>121B23</t>
  </si>
  <si>
    <t>68B16</t>
  </si>
  <si>
    <t>121B24</t>
  </si>
  <si>
    <t>68B15</t>
  </si>
  <si>
    <t>121B25</t>
  </si>
  <si>
    <t>68B14</t>
  </si>
  <si>
    <t>121B26</t>
  </si>
  <si>
    <t>68B13</t>
  </si>
  <si>
    <t>121B27</t>
  </si>
  <si>
    <t>68B12</t>
  </si>
  <si>
    <t>121B28</t>
  </si>
  <si>
    <t>68B11</t>
  </si>
  <si>
    <t>121B29</t>
  </si>
  <si>
    <t>68B10</t>
  </si>
  <si>
    <t>121B3</t>
  </si>
  <si>
    <t>68B1</t>
  </si>
  <si>
    <t>121B30</t>
  </si>
  <si>
    <t>68A9</t>
  </si>
  <si>
    <t>121B31</t>
  </si>
  <si>
    <t>68A8</t>
  </si>
  <si>
    <t>121B4</t>
  </si>
  <si>
    <t>68A7</t>
  </si>
  <si>
    <t>121B5</t>
  </si>
  <si>
    <t>68A6</t>
  </si>
  <si>
    <t>121B6</t>
  </si>
  <si>
    <t>68A5</t>
  </si>
  <si>
    <t>121B7</t>
  </si>
  <si>
    <t>68A4</t>
  </si>
  <si>
    <t>121B8</t>
  </si>
  <si>
    <t>68A3</t>
  </si>
  <si>
    <t>121B9</t>
  </si>
  <si>
    <t>68A23</t>
  </si>
  <si>
    <t>121C1</t>
  </si>
  <si>
    <t>68A22</t>
  </si>
  <si>
    <t>121C10</t>
  </si>
  <si>
    <t>68A21</t>
  </si>
  <si>
    <t>121C11</t>
  </si>
  <si>
    <t>68A20</t>
  </si>
  <si>
    <t>121C12</t>
  </si>
  <si>
    <t>68A2</t>
  </si>
  <si>
    <t>121C13</t>
  </si>
  <si>
    <t>68A19</t>
  </si>
  <si>
    <t>121C14</t>
  </si>
  <si>
    <t>68A18</t>
  </si>
  <si>
    <t>121C15</t>
  </si>
  <si>
    <t>68A17</t>
  </si>
  <si>
    <t>121C16</t>
  </si>
  <si>
    <t>68A16</t>
  </si>
  <si>
    <t>121C17</t>
  </si>
  <si>
    <t>68A15</t>
  </si>
  <si>
    <t>121C18</t>
  </si>
  <si>
    <t>68A14</t>
  </si>
  <si>
    <t>121C19</t>
  </si>
  <si>
    <t>68A13</t>
  </si>
  <si>
    <t>121C2</t>
  </si>
  <si>
    <t>68A12</t>
  </si>
  <si>
    <t>121C20</t>
  </si>
  <si>
    <t>68A11</t>
  </si>
  <si>
    <t>121C21</t>
  </si>
  <si>
    <t>68A10</t>
  </si>
  <si>
    <t>121C22</t>
  </si>
  <si>
    <t>68A1</t>
  </si>
  <si>
    <t>121C23</t>
  </si>
  <si>
    <t>67C9</t>
  </si>
  <si>
    <t>121C24</t>
  </si>
  <si>
    <t>67C8</t>
  </si>
  <si>
    <t>121C25</t>
  </si>
  <si>
    <t>67C7</t>
  </si>
  <si>
    <t>121C26</t>
  </si>
  <si>
    <t>67C6</t>
  </si>
  <si>
    <t>121C27</t>
  </si>
  <si>
    <t>67C5</t>
  </si>
  <si>
    <t>121C28</t>
  </si>
  <si>
    <t>67C4</t>
  </si>
  <si>
    <t>121C29</t>
  </si>
  <si>
    <t>67C3</t>
  </si>
  <si>
    <t>121C3</t>
  </si>
  <si>
    <t>67C23</t>
  </si>
  <si>
    <t>121C30</t>
  </si>
  <si>
    <t>67C22</t>
  </si>
  <si>
    <t>121C31</t>
  </si>
  <si>
    <t>67C21</t>
  </si>
  <si>
    <t>121C4</t>
  </si>
  <si>
    <t>67C20</t>
  </si>
  <si>
    <t>121C5</t>
  </si>
  <si>
    <t>67C19</t>
  </si>
  <si>
    <t>121C6</t>
  </si>
  <si>
    <t>67C18</t>
  </si>
  <si>
    <t>121C7</t>
  </si>
  <si>
    <t>67C17</t>
  </si>
  <si>
    <t>121C8</t>
  </si>
  <si>
    <t>67C16</t>
  </si>
  <si>
    <t>121C9</t>
  </si>
  <si>
    <t>67C15</t>
  </si>
  <si>
    <t>121D10</t>
  </si>
  <si>
    <t>67C14</t>
  </si>
  <si>
    <t>121D11</t>
  </si>
  <si>
    <t>67C13</t>
  </si>
  <si>
    <t>121D12</t>
  </si>
  <si>
    <t>67C12</t>
  </si>
  <si>
    <t>121D13</t>
  </si>
  <si>
    <t>67C11</t>
  </si>
  <si>
    <t>121D14</t>
  </si>
  <si>
    <t>67C10</t>
  </si>
  <si>
    <t>121D15</t>
  </si>
  <si>
    <t>67B9</t>
  </si>
  <si>
    <t>121D16</t>
  </si>
  <si>
    <t>67B8</t>
  </si>
  <si>
    <t>121D17</t>
  </si>
  <si>
    <t>67B7</t>
  </si>
  <si>
    <t>121D18</t>
  </si>
  <si>
    <t>67B6</t>
  </si>
  <si>
    <t>121D19</t>
  </si>
  <si>
    <t>67B5</t>
  </si>
  <si>
    <t>121D20</t>
  </si>
  <si>
    <t>67B4</t>
  </si>
  <si>
    <t>121D21</t>
  </si>
  <si>
    <t>67B3</t>
  </si>
  <si>
    <t>121D22</t>
  </si>
  <si>
    <t>67B23</t>
  </si>
  <si>
    <t>121D23</t>
  </si>
  <si>
    <t>67B22</t>
  </si>
  <si>
    <t>121D24</t>
  </si>
  <si>
    <t>67B21</t>
  </si>
  <si>
    <t>121D25</t>
  </si>
  <si>
    <t>67B20</t>
  </si>
  <si>
    <t>121D26</t>
  </si>
  <si>
    <t>67B2</t>
  </si>
  <si>
    <t>121D27</t>
  </si>
  <si>
    <t>67B19</t>
  </si>
  <si>
    <t>121D28</t>
  </si>
  <si>
    <t>67B18</t>
  </si>
  <si>
    <t>121D29</t>
  </si>
  <si>
    <t>67B17</t>
  </si>
  <si>
    <t>121D30</t>
  </si>
  <si>
    <t>67B16</t>
  </si>
  <si>
    <t>121D31</t>
  </si>
  <si>
    <t>67B15</t>
  </si>
  <si>
    <t>121D4</t>
  </si>
  <si>
    <t>67B14</t>
  </si>
  <si>
    <t>121D5</t>
  </si>
  <si>
    <t>67B13</t>
  </si>
  <si>
    <t>121D6</t>
  </si>
  <si>
    <t>67B12</t>
  </si>
  <si>
    <t>121D7</t>
  </si>
  <si>
    <t>67B11</t>
  </si>
  <si>
    <t>121D8</t>
  </si>
  <si>
    <t>67B10</t>
  </si>
  <si>
    <t>121D9</t>
  </si>
  <si>
    <t>67B1</t>
  </si>
  <si>
    <t>122A1</t>
  </si>
  <si>
    <t>67A9</t>
  </si>
  <si>
    <t>122A10</t>
  </si>
  <si>
    <t>67A8</t>
  </si>
  <si>
    <t>122A11</t>
  </si>
  <si>
    <t>67A7</t>
  </si>
  <si>
    <t>122A12</t>
  </si>
  <si>
    <t>67A6</t>
  </si>
  <si>
    <t>122A13</t>
  </si>
  <si>
    <t>67A5</t>
  </si>
  <si>
    <t>122A14</t>
  </si>
  <si>
    <t>67A4</t>
  </si>
  <si>
    <t>122A15</t>
  </si>
  <si>
    <t>67A3</t>
  </si>
  <si>
    <t>122A16</t>
  </si>
  <si>
    <t>67A23</t>
  </si>
  <si>
    <t>122A17</t>
  </si>
  <si>
    <t>67A22</t>
  </si>
  <si>
    <t>122A18</t>
  </si>
  <si>
    <t>67A21</t>
  </si>
  <si>
    <t>122A19</t>
  </si>
  <si>
    <t>67A20</t>
  </si>
  <si>
    <t>122A2</t>
  </si>
  <si>
    <t>67A2</t>
  </si>
  <si>
    <t>122A20</t>
  </si>
  <si>
    <t>67A19</t>
  </si>
  <si>
    <t>122A21</t>
  </si>
  <si>
    <t>67A18</t>
  </si>
  <si>
    <t>122A22</t>
  </si>
  <si>
    <t>67A17</t>
  </si>
  <si>
    <t>122A23</t>
  </si>
  <si>
    <t>67A16</t>
  </si>
  <si>
    <t>122A24</t>
  </si>
  <si>
    <t>67A15</t>
  </si>
  <si>
    <t>122A25</t>
  </si>
  <si>
    <t>67A14</t>
  </si>
  <si>
    <t>122A26</t>
  </si>
  <si>
    <t>67A13</t>
  </si>
  <si>
    <t>122A27</t>
  </si>
  <si>
    <t>67A12</t>
  </si>
  <si>
    <t>122A28</t>
  </si>
  <si>
    <t>67A11</t>
  </si>
  <si>
    <t>122A29</t>
  </si>
  <si>
    <t>67A10</t>
  </si>
  <si>
    <t>122A3</t>
  </si>
  <si>
    <t>67A1</t>
  </si>
  <si>
    <t>122A30</t>
  </si>
  <si>
    <t>66C9</t>
  </si>
  <si>
    <t>122A31</t>
  </si>
  <si>
    <t>66C8</t>
  </si>
  <si>
    <t>122A4</t>
  </si>
  <si>
    <t>66C7</t>
  </si>
  <si>
    <t>122A5</t>
  </si>
  <si>
    <t>66C6</t>
  </si>
  <si>
    <t>122A6</t>
  </si>
  <si>
    <t>66C5</t>
  </si>
  <si>
    <t>122A7</t>
  </si>
  <si>
    <t>66C4</t>
  </si>
  <si>
    <t>122A8</t>
  </si>
  <si>
    <t>66C3</t>
  </si>
  <si>
    <t>122A9</t>
  </si>
  <si>
    <t>66C22</t>
  </si>
  <si>
    <t>122B1</t>
  </si>
  <si>
    <t>66C21</t>
  </si>
  <si>
    <t>122B10</t>
  </si>
  <si>
    <t>66C20</t>
  </si>
  <si>
    <t>122B11</t>
  </si>
  <si>
    <t>66C2</t>
  </si>
  <si>
    <t>122B12</t>
  </si>
  <si>
    <t>66C19</t>
  </si>
  <si>
    <t>122B13</t>
  </si>
  <si>
    <t>66C18</t>
  </si>
  <si>
    <t>122B14</t>
  </si>
  <si>
    <t>66C17</t>
  </si>
  <si>
    <t>122B15</t>
  </si>
  <si>
    <t>66C16</t>
  </si>
  <si>
    <t>122B16</t>
  </si>
  <si>
    <t>66C15</t>
  </si>
  <si>
    <t>122B17</t>
  </si>
  <si>
    <t>66C14</t>
  </si>
  <si>
    <t>122B18</t>
  </si>
  <si>
    <t>66C13</t>
  </si>
  <si>
    <t>122B19</t>
  </si>
  <si>
    <t>66C12</t>
  </si>
  <si>
    <t>122B2</t>
  </si>
  <si>
    <t>66C11</t>
  </si>
  <si>
    <t>122B20</t>
  </si>
  <si>
    <t>66C10</t>
  </si>
  <si>
    <t>122B21</t>
  </si>
  <si>
    <t>66C1</t>
  </si>
  <si>
    <t>122B22</t>
  </si>
  <si>
    <t>66B9</t>
  </si>
  <si>
    <t>122B23</t>
  </si>
  <si>
    <t>66B8</t>
  </si>
  <si>
    <t>122B24</t>
  </si>
  <si>
    <t>66B7</t>
  </si>
  <si>
    <t>122B25</t>
  </si>
  <si>
    <t>66B6</t>
  </si>
  <si>
    <t>122B26</t>
  </si>
  <si>
    <t>66B5</t>
  </si>
  <si>
    <t>122B27</t>
  </si>
  <si>
    <t>66B4</t>
  </si>
  <si>
    <t>122B28</t>
  </si>
  <si>
    <t>66B3</t>
  </si>
  <si>
    <t>122B29</t>
  </si>
  <si>
    <t>66B22</t>
  </si>
  <si>
    <t>122B3</t>
  </si>
  <si>
    <t>66B21</t>
  </si>
  <si>
    <t>122B30</t>
  </si>
  <si>
    <t>66B20</t>
  </si>
  <si>
    <t>122B31</t>
  </si>
  <si>
    <t>66B2</t>
  </si>
  <si>
    <t>122B4</t>
  </si>
  <si>
    <t>66B19</t>
  </si>
  <si>
    <t>122B5</t>
  </si>
  <si>
    <t>66B18</t>
  </si>
  <si>
    <t>122B6</t>
  </si>
  <si>
    <t>66B17</t>
  </si>
  <si>
    <t>122B7</t>
  </si>
  <si>
    <t>66B16</t>
  </si>
  <si>
    <t>122B8</t>
  </si>
  <si>
    <t>66B15</t>
  </si>
  <si>
    <t>122B9</t>
  </si>
  <si>
    <t>66B14</t>
  </si>
  <si>
    <t>122C1</t>
  </si>
  <si>
    <t>66B13</t>
  </si>
  <si>
    <t>122C10</t>
  </si>
  <si>
    <t>66B12</t>
  </si>
  <si>
    <t>122C11</t>
  </si>
  <si>
    <t>66B11</t>
  </si>
  <si>
    <t>122C12</t>
  </si>
  <si>
    <t>66B10</t>
  </si>
  <si>
    <t>122C13</t>
  </si>
  <si>
    <t>66B1</t>
  </si>
  <si>
    <t>122C14</t>
  </si>
  <si>
    <t>66A9</t>
  </si>
  <si>
    <t>122C15</t>
  </si>
  <si>
    <t>66A8</t>
  </si>
  <si>
    <t>122C16</t>
  </si>
  <si>
    <t>66A7</t>
  </si>
  <si>
    <t>122C17</t>
  </si>
  <si>
    <t>66A6</t>
  </si>
  <si>
    <t>122C18</t>
  </si>
  <si>
    <t>66A5</t>
  </si>
  <si>
    <t>122C19</t>
  </si>
  <si>
    <t>66A4</t>
  </si>
  <si>
    <t>122C2</t>
  </si>
  <si>
    <t>66A3</t>
  </si>
  <si>
    <t>122C20</t>
  </si>
  <si>
    <t>66A22</t>
  </si>
  <si>
    <t>122C21</t>
  </si>
  <si>
    <t>66A21</t>
  </si>
  <si>
    <t>122C22</t>
  </si>
  <si>
    <t>66A20</t>
  </si>
  <si>
    <t>122C23</t>
  </si>
  <si>
    <t>66A2</t>
  </si>
  <si>
    <t>122C24</t>
  </si>
  <si>
    <t>66A19</t>
  </si>
  <si>
    <t>122C25</t>
  </si>
  <si>
    <t>66A18</t>
  </si>
  <si>
    <t>122C26</t>
  </si>
  <si>
    <t>66A17</t>
  </si>
  <si>
    <t>122C27</t>
  </si>
  <si>
    <t>66A16</t>
  </si>
  <si>
    <t>122C28</t>
  </si>
  <si>
    <t>66A15</t>
  </si>
  <si>
    <t>122C29</t>
  </si>
  <si>
    <t>66A14</t>
  </si>
  <si>
    <t>122C3</t>
  </si>
  <si>
    <t>66A13</t>
  </si>
  <si>
    <t>122C30</t>
  </si>
  <si>
    <t>66A12</t>
  </si>
  <si>
    <t>122C31</t>
  </si>
  <si>
    <t>66A11</t>
  </si>
  <si>
    <t>122C4</t>
  </si>
  <si>
    <t>66A10</t>
  </si>
  <si>
    <t>122C5</t>
  </si>
  <si>
    <t>66A1</t>
  </si>
  <si>
    <t>122C6</t>
  </si>
  <si>
    <t>65C9</t>
  </si>
  <si>
    <t>122C7</t>
  </si>
  <si>
    <t>65C8</t>
  </si>
  <si>
    <t>122C8</t>
  </si>
  <si>
    <t>65C7</t>
  </si>
  <si>
    <t>122C9</t>
  </si>
  <si>
    <t>65C6</t>
  </si>
  <si>
    <t>122D10</t>
  </si>
  <si>
    <t>65C5</t>
  </si>
  <si>
    <t>122D11</t>
  </si>
  <si>
    <t>65C4</t>
  </si>
  <si>
    <t>122D12</t>
  </si>
  <si>
    <t>65C3</t>
  </si>
  <si>
    <t>122D13</t>
  </si>
  <si>
    <t>65C22</t>
  </si>
  <si>
    <t>122D14</t>
  </si>
  <si>
    <t>65C21</t>
  </si>
  <si>
    <t>122D15</t>
  </si>
  <si>
    <t>65C20</t>
  </si>
  <si>
    <t>122D16</t>
  </si>
  <si>
    <t>65C2</t>
  </si>
  <si>
    <t>122D17</t>
  </si>
  <si>
    <t>65C19</t>
  </si>
  <si>
    <t>122D18</t>
  </si>
  <si>
    <t>65C18</t>
  </si>
  <si>
    <t>122D19</t>
  </si>
  <si>
    <t>65C17</t>
  </si>
  <si>
    <t>122D20</t>
  </si>
  <si>
    <t>65C16</t>
  </si>
  <si>
    <t>122D21</t>
  </si>
  <si>
    <t>65C15</t>
  </si>
  <si>
    <t>122D22</t>
  </si>
  <si>
    <t>65C14</t>
  </si>
  <si>
    <t>122D23</t>
  </si>
  <si>
    <t>65C13</t>
  </si>
  <si>
    <t>122D24</t>
  </si>
  <si>
    <t>65C12</t>
  </si>
  <si>
    <t>122D25</t>
  </si>
  <si>
    <t>65C11</t>
  </si>
  <si>
    <t>122D26</t>
  </si>
  <si>
    <t>65C10</t>
  </si>
  <si>
    <t>122D27</t>
  </si>
  <si>
    <t>65B9</t>
  </si>
  <si>
    <t>122D28</t>
  </si>
  <si>
    <t>65B8</t>
  </si>
  <si>
    <t>122D29</t>
  </si>
  <si>
    <t>65B7</t>
  </si>
  <si>
    <t>122D3</t>
  </si>
  <si>
    <t>65B6</t>
  </si>
  <si>
    <t>122D30</t>
  </si>
  <si>
    <t>65B5</t>
  </si>
  <si>
    <t>122D31</t>
  </si>
  <si>
    <t>65B4</t>
  </si>
  <si>
    <t>122D4</t>
  </si>
  <si>
    <t>65B3</t>
  </si>
  <si>
    <t>122D5</t>
  </si>
  <si>
    <t>65B22</t>
  </si>
  <si>
    <t>122D6</t>
  </si>
  <si>
    <t>65B21</t>
  </si>
  <si>
    <t>122D7</t>
  </si>
  <si>
    <t>65B20</t>
  </si>
  <si>
    <t>122D8</t>
  </si>
  <si>
    <t>65B2</t>
  </si>
  <si>
    <t>122D9</t>
  </si>
  <si>
    <t>65B19</t>
  </si>
  <si>
    <t>123A1</t>
  </si>
  <si>
    <t>65B18</t>
  </si>
  <si>
    <t>123A10</t>
  </si>
  <si>
    <t>65B17</t>
  </si>
  <si>
    <t>123A11</t>
  </si>
  <si>
    <t>65B16</t>
  </si>
  <si>
    <t>123A12</t>
  </si>
  <si>
    <t>65B15</t>
  </si>
  <si>
    <t>123A13</t>
  </si>
  <si>
    <t>65B14</t>
  </si>
  <si>
    <t>123A14</t>
  </si>
  <si>
    <t>65B13</t>
  </si>
  <si>
    <t>123A15</t>
  </si>
  <si>
    <t>65B12</t>
  </si>
  <si>
    <t>123A16</t>
  </si>
  <si>
    <t>65B11</t>
  </si>
  <si>
    <t>123A17</t>
  </si>
  <si>
    <t>65B10</t>
  </si>
  <si>
    <t>123A18</t>
  </si>
  <si>
    <t>65B1</t>
  </si>
  <si>
    <t>123A19</t>
  </si>
  <si>
    <t>65A9</t>
  </si>
  <si>
    <t>123A2</t>
  </si>
  <si>
    <t>65A8</t>
  </si>
  <si>
    <t>123A20</t>
  </si>
  <si>
    <t>65A7</t>
  </si>
  <si>
    <t>123A21</t>
  </si>
  <si>
    <t>65A6</t>
  </si>
  <si>
    <t>123A22</t>
  </si>
  <si>
    <t>65A5</t>
  </si>
  <si>
    <t>123A23</t>
  </si>
  <si>
    <t>65A4</t>
  </si>
  <si>
    <t>123A24</t>
  </si>
  <si>
    <t>65A3</t>
  </si>
  <si>
    <t>123A25</t>
  </si>
  <si>
    <t>65A22</t>
  </si>
  <si>
    <t>123A26</t>
  </si>
  <si>
    <t>65A21</t>
  </si>
  <si>
    <t>123A27</t>
  </si>
  <si>
    <t>65A20</t>
  </si>
  <si>
    <t>123A28</t>
  </si>
  <si>
    <t>65A2</t>
  </si>
  <si>
    <t>123A29</t>
  </si>
  <si>
    <t>65A19</t>
  </si>
  <si>
    <t>123A3</t>
  </si>
  <si>
    <t>65A18</t>
  </si>
  <si>
    <t>123A30</t>
  </si>
  <si>
    <t>65A17</t>
  </si>
  <si>
    <t>123A31</t>
  </si>
  <si>
    <t>65A16</t>
  </si>
  <si>
    <t>123A4</t>
  </si>
  <si>
    <t>65A15</t>
  </si>
  <si>
    <t>123A5</t>
  </si>
  <si>
    <t>65A14</t>
  </si>
  <si>
    <t>123A6</t>
  </si>
  <si>
    <t>65A13</t>
  </si>
  <si>
    <t>123A7</t>
  </si>
  <si>
    <t>65A12</t>
  </si>
  <si>
    <t>123A8</t>
  </si>
  <si>
    <t>65A11</t>
  </si>
  <si>
    <t>123A9</t>
  </si>
  <si>
    <t>65A10</t>
  </si>
  <si>
    <t>123B1</t>
  </si>
  <si>
    <t>65A1</t>
  </si>
  <si>
    <t>123B10</t>
  </si>
  <si>
    <t>64C9</t>
  </si>
  <si>
    <t>123B11</t>
  </si>
  <si>
    <t>64C8</t>
  </si>
  <si>
    <t>123B12</t>
  </si>
  <si>
    <t>64C7</t>
  </si>
  <si>
    <t>123B13</t>
  </si>
  <si>
    <t>64C6</t>
  </si>
  <si>
    <t>123B14</t>
  </si>
  <si>
    <t>64C5</t>
  </si>
  <si>
    <t>123B15</t>
  </si>
  <si>
    <t>64C4</t>
  </si>
  <si>
    <t>123B16</t>
  </si>
  <si>
    <t>64C3</t>
  </si>
  <si>
    <t>123B17</t>
  </si>
  <si>
    <t>64C22</t>
  </si>
  <si>
    <t>123B18</t>
  </si>
  <si>
    <t>64C21</t>
  </si>
  <si>
    <t>123B19</t>
  </si>
  <si>
    <t>64C20</t>
  </si>
  <si>
    <t>123B2</t>
  </si>
  <si>
    <t>64C19</t>
  </si>
  <si>
    <t>123B20</t>
  </si>
  <si>
    <t>64C18</t>
  </si>
  <si>
    <t>123B21</t>
  </si>
  <si>
    <t>64C17</t>
  </si>
  <si>
    <t>123B22</t>
  </si>
  <si>
    <t>64C16</t>
  </si>
  <si>
    <t>123B23</t>
  </si>
  <si>
    <t>64C15</t>
  </si>
  <si>
    <t>123B24</t>
  </si>
  <si>
    <t>64C14</t>
  </si>
  <si>
    <t>123B25</t>
  </si>
  <si>
    <t>64C13</t>
  </si>
  <si>
    <t>123B26</t>
  </si>
  <si>
    <t>64C12</t>
  </si>
  <si>
    <t>123B27</t>
  </si>
  <si>
    <t>64C11</t>
  </si>
  <si>
    <t>123B28</t>
  </si>
  <si>
    <t>64C10</t>
  </si>
  <si>
    <t>123B29</t>
  </si>
  <si>
    <t>64B9</t>
  </si>
  <si>
    <t>123B3</t>
  </si>
  <si>
    <t>64B8</t>
  </si>
  <si>
    <t>123B30</t>
  </si>
  <si>
    <t>64B7</t>
  </si>
  <si>
    <t>123B31</t>
  </si>
  <si>
    <t>64B6</t>
  </si>
  <si>
    <t>123B4</t>
  </si>
  <si>
    <t>64B5</t>
  </si>
  <si>
    <t>123B5</t>
  </si>
  <si>
    <t>64B4</t>
  </si>
  <si>
    <t>123B6</t>
  </si>
  <si>
    <t>64B3</t>
  </si>
  <si>
    <t>123B7</t>
  </si>
  <si>
    <t>64B22</t>
  </si>
  <si>
    <t>123B8</t>
  </si>
  <si>
    <t>64B21</t>
  </si>
  <si>
    <t>123B9</t>
  </si>
  <si>
    <t>64B20</t>
  </si>
  <si>
    <t>123C1</t>
  </si>
  <si>
    <t>64B2</t>
  </si>
  <si>
    <t>123C10</t>
  </si>
  <si>
    <t>64B19</t>
  </si>
  <si>
    <t>123C11</t>
  </si>
  <si>
    <t>64B18</t>
  </si>
  <si>
    <t>123C12</t>
  </si>
  <si>
    <t>64B17</t>
  </si>
  <si>
    <t>123C13</t>
  </si>
  <si>
    <t>64B16</t>
  </si>
  <si>
    <t>123C14</t>
  </si>
  <si>
    <t>64B15</t>
  </si>
  <si>
    <t>123C15</t>
  </si>
  <si>
    <t>64B14</t>
  </si>
  <si>
    <t>123C16</t>
  </si>
  <si>
    <t>64B13</t>
  </si>
  <si>
    <t>123C17</t>
  </si>
  <si>
    <t>64B12</t>
  </si>
  <si>
    <t>123C18</t>
  </si>
  <si>
    <t>64B11</t>
  </si>
  <si>
    <t>123C19</t>
  </si>
  <si>
    <t>64B10</t>
  </si>
  <si>
    <t>123C2</t>
  </si>
  <si>
    <t>64B1</t>
  </si>
  <si>
    <t>123C20</t>
  </si>
  <si>
    <t>64A9</t>
  </si>
  <si>
    <t>123C21</t>
  </si>
  <si>
    <t>64A8</t>
  </si>
  <si>
    <t>123C22</t>
  </si>
  <si>
    <t>64A7</t>
  </si>
  <si>
    <t>123C23</t>
  </si>
  <si>
    <t>64A6</t>
  </si>
  <si>
    <t>123C24</t>
  </si>
  <si>
    <t>64A5</t>
  </si>
  <si>
    <t>123C25</t>
  </si>
  <si>
    <t>64A4</t>
  </si>
  <si>
    <t>123C26</t>
  </si>
  <si>
    <t>64A3</t>
  </si>
  <si>
    <t>123C27</t>
  </si>
  <si>
    <t>64A22</t>
  </si>
  <si>
    <t>123C28</t>
  </si>
  <si>
    <t>64A21</t>
  </si>
  <si>
    <t>123C29</t>
  </si>
  <si>
    <t>64A20</t>
  </si>
  <si>
    <t>123C3</t>
  </si>
  <si>
    <t>64A2</t>
  </si>
  <si>
    <t>123C30</t>
  </si>
  <si>
    <t>64A19</t>
  </si>
  <si>
    <t>123C31</t>
  </si>
  <si>
    <t>64A18</t>
  </si>
  <si>
    <t>123C4</t>
  </si>
  <si>
    <t>64A17</t>
  </si>
  <si>
    <t>123C5</t>
  </si>
  <si>
    <t>64A16</t>
  </si>
  <si>
    <t>123C6</t>
  </si>
  <si>
    <t>64A15</t>
  </si>
  <si>
    <t>123C7</t>
  </si>
  <si>
    <t>64A14</t>
  </si>
  <si>
    <t>123C8</t>
  </si>
  <si>
    <t>64A13</t>
  </si>
  <si>
    <t>123C9</t>
  </si>
  <si>
    <t>64A12</t>
  </si>
  <si>
    <t>123D10</t>
  </si>
  <si>
    <t>64A11</t>
  </si>
  <si>
    <t>123D11</t>
  </si>
  <si>
    <t>64A10</t>
  </si>
  <si>
    <t>123D12</t>
  </si>
  <si>
    <t>64A1</t>
  </si>
  <si>
    <t>123D13</t>
  </si>
  <si>
    <t>63C9</t>
  </si>
  <si>
    <t>123D14</t>
  </si>
  <si>
    <t>63C8</t>
  </si>
  <si>
    <t>123D15</t>
  </si>
  <si>
    <t>63C7</t>
  </si>
  <si>
    <t>123D16</t>
  </si>
  <si>
    <t>63C6</t>
  </si>
  <si>
    <t>123D17</t>
  </si>
  <si>
    <t>63C5</t>
  </si>
  <si>
    <t>123D18</t>
  </si>
  <si>
    <t>63C4</t>
  </si>
  <si>
    <t>123D19</t>
  </si>
  <si>
    <t>63C3</t>
  </si>
  <si>
    <t>123D2</t>
  </si>
  <si>
    <t>63C21</t>
  </si>
  <si>
    <t>123D20</t>
  </si>
  <si>
    <t>63C20</t>
  </si>
  <si>
    <t>123D21</t>
  </si>
  <si>
    <t>63C2</t>
  </si>
  <si>
    <t>123D22</t>
  </si>
  <si>
    <t>63C19</t>
  </si>
  <si>
    <t>123D23</t>
  </si>
  <si>
    <t>63C18</t>
  </si>
  <si>
    <t>123D24</t>
  </si>
  <si>
    <t>63C17</t>
  </si>
  <si>
    <t>123D25</t>
  </si>
  <si>
    <t>63C16</t>
  </si>
  <si>
    <t>123D26</t>
  </si>
  <si>
    <t>63C15</t>
  </si>
  <si>
    <t>123D27</t>
  </si>
  <si>
    <t>63C14</t>
  </si>
  <si>
    <t>123D28</t>
  </si>
  <si>
    <t>63C13</t>
  </si>
  <si>
    <t>123D29</t>
  </si>
  <si>
    <t>63C12</t>
  </si>
  <si>
    <t>123D3</t>
  </si>
  <si>
    <t>63C11</t>
  </si>
  <si>
    <t>123D30</t>
  </si>
  <si>
    <t>63C10</t>
  </si>
  <si>
    <t>123D31</t>
  </si>
  <si>
    <t>63C1</t>
  </si>
  <si>
    <t>123D4</t>
  </si>
  <si>
    <t>63B9</t>
  </si>
  <si>
    <t>123D5</t>
  </si>
  <si>
    <t>63B8</t>
  </si>
  <si>
    <t>123D6</t>
  </si>
  <si>
    <t>63B7</t>
  </si>
  <si>
    <t>123D7</t>
  </si>
  <si>
    <t>63B6</t>
  </si>
  <si>
    <t>123D8</t>
  </si>
  <si>
    <t>63B5</t>
  </si>
  <si>
    <t>123D9</t>
  </si>
  <si>
    <t>63B4</t>
  </si>
  <si>
    <t>124A1</t>
  </si>
  <si>
    <t>63B3</t>
  </si>
  <si>
    <t>124A10</t>
  </si>
  <si>
    <t>63B21</t>
  </si>
  <si>
    <t>124A11</t>
  </si>
  <si>
    <t>63B20</t>
  </si>
  <si>
    <t>124A12</t>
  </si>
  <si>
    <t>63B2</t>
  </si>
  <si>
    <t>124A13</t>
  </si>
  <si>
    <t>63B19</t>
  </si>
  <si>
    <t>124A14</t>
  </si>
  <si>
    <t>63B18</t>
  </si>
  <si>
    <t>124A15</t>
  </si>
  <si>
    <t>63B17</t>
  </si>
  <si>
    <t>124A16</t>
  </si>
  <si>
    <t>63B16</t>
  </si>
  <si>
    <t>124A17</t>
  </si>
  <si>
    <t>63B15</t>
  </si>
  <si>
    <t>124A18</t>
  </si>
  <si>
    <t>63B14</t>
  </si>
  <si>
    <t>124A19</t>
  </si>
  <si>
    <t>63B13</t>
  </si>
  <si>
    <t>124A2</t>
  </si>
  <si>
    <t>63B12</t>
  </si>
  <si>
    <t>124A20</t>
  </si>
  <si>
    <t>63B11</t>
  </si>
  <si>
    <t>124A21</t>
  </si>
  <si>
    <t>63B10</t>
  </si>
  <si>
    <t>124A22</t>
  </si>
  <si>
    <t>63B1</t>
  </si>
  <si>
    <t>124A23</t>
  </si>
  <si>
    <t>63A9</t>
  </si>
  <si>
    <t>124A24</t>
  </si>
  <si>
    <t>63A8</t>
  </si>
  <si>
    <t>124A25</t>
  </si>
  <si>
    <t>63A7</t>
  </si>
  <si>
    <t>124A26</t>
  </si>
  <si>
    <t>63A6</t>
  </si>
  <si>
    <t>124A27</t>
  </si>
  <si>
    <t>63A5</t>
  </si>
  <si>
    <t>124A28</t>
  </si>
  <si>
    <t>63A4</t>
  </si>
  <si>
    <t>124A29</t>
  </si>
  <si>
    <t>63A3</t>
  </si>
  <si>
    <t>124A3</t>
  </si>
  <si>
    <t>63A21</t>
  </si>
  <si>
    <t>124A30</t>
  </si>
  <si>
    <t>63A20</t>
  </si>
  <si>
    <t>124A31</t>
  </si>
  <si>
    <t>63A2</t>
  </si>
  <si>
    <t>124A4</t>
  </si>
  <si>
    <t>63A19</t>
  </si>
  <si>
    <t>124A5</t>
  </si>
  <si>
    <t>63A18</t>
  </si>
  <si>
    <t>124A6</t>
  </si>
  <si>
    <t>63A17</t>
  </si>
  <si>
    <t>124A7</t>
  </si>
  <si>
    <t>63A16</t>
  </si>
  <si>
    <t>124A8</t>
  </si>
  <si>
    <t>63A15</t>
  </si>
  <si>
    <t>124A9</t>
  </si>
  <si>
    <t>63A14</t>
  </si>
  <si>
    <t>124B1</t>
  </si>
  <si>
    <t>63A13</t>
  </si>
  <si>
    <t>124B10</t>
  </si>
  <si>
    <t>63A12</t>
  </si>
  <si>
    <t>124B11</t>
  </si>
  <si>
    <t>63A11</t>
  </si>
  <si>
    <t>124B12</t>
  </si>
  <si>
    <t>63A10</t>
  </si>
  <si>
    <t>124B13</t>
  </si>
  <si>
    <t>63A1</t>
  </si>
  <si>
    <t>124B14</t>
  </si>
  <si>
    <t>62C9</t>
  </si>
  <si>
    <t>124B15</t>
  </si>
  <si>
    <t>62C8</t>
  </si>
  <si>
    <t>124B16</t>
  </si>
  <si>
    <t>62C7</t>
  </si>
  <si>
    <t>124B17</t>
  </si>
  <si>
    <t>62C6</t>
  </si>
  <si>
    <t>124B18</t>
  </si>
  <si>
    <t>62C5</t>
  </si>
  <si>
    <t>124B19</t>
  </si>
  <si>
    <t>62C4</t>
  </si>
  <si>
    <t>124B2</t>
  </si>
  <si>
    <t>62C3</t>
  </si>
  <si>
    <t>124B20</t>
  </si>
  <si>
    <t>62C21</t>
  </si>
  <si>
    <t>124B21</t>
  </si>
  <si>
    <t>62C20</t>
  </si>
  <si>
    <t>124B22</t>
  </si>
  <si>
    <t>62C2</t>
  </si>
  <si>
    <t>124B23</t>
  </si>
  <si>
    <t>62C19</t>
  </si>
  <si>
    <t>124B24</t>
  </si>
  <si>
    <t>62C18</t>
  </si>
  <si>
    <t>124B25</t>
  </si>
  <si>
    <t>62C17</t>
  </si>
  <si>
    <t>124B26</t>
  </si>
  <si>
    <t>62C16</t>
  </si>
  <si>
    <t>124B27</t>
  </si>
  <si>
    <t>62C15</t>
  </si>
  <si>
    <t>124B28</t>
  </si>
  <si>
    <t>62C14</t>
  </si>
  <si>
    <t>124B29</t>
  </si>
  <si>
    <t>62C13</t>
  </si>
  <si>
    <t>124B3</t>
  </si>
  <si>
    <t>62C12</t>
  </si>
  <si>
    <t>124B30</t>
  </si>
  <si>
    <t>62C11</t>
  </si>
  <si>
    <t>124B31</t>
  </si>
  <si>
    <t>62C10</t>
  </si>
  <si>
    <t>124B4</t>
  </si>
  <si>
    <t>62B9</t>
  </si>
  <si>
    <t>124B5</t>
  </si>
  <si>
    <t>62B8</t>
  </si>
  <si>
    <t>124B6</t>
  </si>
  <si>
    <t>62B7</t>
  </si>
  <si>
    <t>124B7</t>
  </si>
  <si>
    <t>62B6</t>
  </si>
  <si>
    <t>124B8</t>
  </si>
  <si>
    <t>62B5</t>
  </si>
  <si>
    <t>124B9</t>
  </si>
  <si>
    <t>62B4</t>
  </si>
  <si>
    <t>124C1</t>
  </si>
  <si>
    <t>62B3</t>
  </si>
  <si>
    <t>124C10</t>
  </si>
  <si>
    <t>62B21</t>
  </si>
  <si>
    <t>124C11</t>
  </si>
  <si>
    <t>62B20</t>
  </si>
  <si>
    <t>124C12</t>
  </si>
  <si>
    <t>62B2</t>
  </si>
  <si>
    <t>124C13</t>
  </si>
  <si>
    <t>62B19</t>
  </si>
  <si>
    <t>124C14</t>
  </si>
  <si>
    <t>62B18</t>
  </si>
  <si>
    <t>124C15</t>
  </si>
  <si>
    <t>62B17</t>
  </si>
  <si>
    <t>124C16</t>
  </si>
  <si>
    <t>62B16</t>
  </si>
  <si>
    <t>124C17</t>
  </si>
  <si>
    <t>62B15</t>
  </si>
  <si>
    <t>124C18</t>
  </si>
  <si>
    <t>62B14</t>
  </si>
  <si>
    <t>124C19</t>
  </si>
  <si>
    <t>62B13</t>
  </si>
  <si>
    <t>124C2</t>
  </si>
  <si>
    <t>62B12</t>
  </si>
  <si>
    <t>124C20</t>
  </si>
  <si>
    <t>62B11</t>
  </si>
  <si>
    <t>124C21</t>
  </si>
  <si>
    <t>62B10</t>
  </si>
  <si>
    <t>124C22</t>
  </si>
  <si>
    <t>62B1</t>
  </si>
  <si>
    <t>124C23</t>
  </si>
  <si>
    <t>62A9</t>
  </si>
  <si>
    <t>124C24</t>
  </si>
  <si>
    <t>62A8</t>
  </si>
  <si>
    <t>124C25</t>
  </si>
  <si>
    <t>62A7</t>
  </si>
  <si>
    <t>124C26</t>
  </si>
  <si>
    <t>62A6</t>
  </si>
  <si>
    <t>124C27</t>
  </si>
  <si>
    <t>62A5</t>
  </si>
  <si>
    <t>124C28</t>
  </si>
  <si>
    <t>62A4</t>
  </si>
  <si>
    <t>124C29</t>
  </si>
  <si>
    <t>62A3</t>
  </si>
  <si>
    <t>124C3</t>
  </si>
  <si>
    <t>62A21</t>
  </si>
  <si>
    <t>124C30</t>
  </si>
  <si>
    <t>62A20</t>
  </si>
  <si>
    <t>124C31</t>
  </si>
  <si>
    <t>62A2</t>
  </si>
  <si>
    <t>124C4</t>
  </si>
  <si>
    <t>62A19</t>
  </si>
  <si>
    <t>124C5</t>
  </si>
  <si>
    <t>62A18</t>
  </si>
  <si>
    <t>124C6</t>
  </si>
  <si>
    <t>62A17</t>
  </si>
  <si>
    <t>124C7</t>
  </si>
  <si>
    <t>62A16</t>
  </si>
  <si>
    <t>124C8</t>
  </si>
  <si>
    <t>62A15</t>
  </si>
  <si>
    <t>124C9</t>
  </si>
  <si>
    <t>62A14</t>
  </si>
  <si>
    <t>124D1</t>
  </si>
  <si>
    <t>62A13</t>
  </si>
  <si>
    <t>124D10</t>
  </si>
  <si>
    <t>62A12</t>
  </si>
  <si>
    <t>124D11</t>
  </si>
  <si>
    <t>62A11</t>
  </si>
  <si>
    <t>124D12</t>
  </si>
  <si>
    <t>62A10</t>
  </si>
  <si>
    <t>124D13</t>
  </si>
  <si>
    <t>62A1</t>
  </si>
  <si>
    <t>124D14</t>
  </si>
  <si>
    <t>61C9</t>
  </si>
  <si>
    <t>124D15</t>
  </si>
  <si>
    <t>61C8</t>
  </si>
  <si>
    <t>124D16</t>
  </si>
  <si>
    <t>61C7</t>
  </si>
  <si>
    <t>124D17</t>
  </si>
  <si>
    <t>61C6</t>
  </si>
  <si>
    <t>124D18</t>
  </si>
  <si>
    <t>61C5</t>
  </si>
  <si>
    <t>124D19</t>
  </si>
  <si>
    <t>61C4</t>
  </si>
  <si>
    <t>124D2</t>
  </si>
  <si>
    <t>61C3</t>
  </si>
  <si>
    <t>124D20</t>
  </si>
  <si>
    <t>61C21</t>
  </si>
  <si>
    <t>124D21</t>
  </si>
  <si>
    <t>61C20</t>
  </si>
  <si>
    <t>124D22</t>
  </si>
  <si>
    <t>61C19</t>
  </si>
  <si>
    <t>124D23</t>
  </si>
  <si>
    <t>61C18</t>
  </si>
  <si>
    <t>124D24</t>
  </si>
  <si>
    <t>61C17</t>
  </si>
  <si>
    <t>124D25</t>
  </si>
  <si>
    <t>61C16</t>
  </si>
  <si>
    <t>124D26</t>
  </si>
  <si>
    <t>61C15</t>
  </si>
  <si>
    <t>124D27</t>
  </si>
  <si>
    <t>61C14</t>
  </si>
  <si>
    <t>124D28</t>
  </si>
  <si>
    <t>61C13</t>
  </si>
  <si>
    <t>124D29</t>
  </si>
  <si>
    <t>61C12</t>
  </si>
  <si>
    <t>124D3</t>
  </si>
  <si>
    <t>61C11</t>
  </si>
  <si>
    <t>124D30</t>
  </si>
  <si>
    <t>61C10</t>
  </si>
  <si>
    <t>124D31</t>
  </si>
  <si>
    <t>61B9</t>
  </si>
  <si>
    <t>124D4</t>
  </si>
  <si>
    <t>61B8</t>
  </si>
  <si>
    <t>124D5</t>
  </si>
  <si>
    <t>61B7</t>
  </si>
  <si>
    <t>124D6</t>
  </si>
  <si>
    <t>61B6</t>
  </si>
  <si>
    <t>124D7</t>
  </si>
  <si>
    <t>61B5</t>
  </si>
  <si>
    <t>124D8</t>
  </si>
  <si>
    <t>61B4</t>
  </si>
  <si>
    <t>124D9</t>
  </si>
  <si>
    <t>61B3</t>
  </si>
  <si>
    <t>125A1</t>
  </si>
  <si>
    <t>61B21</t>
  </si>
  <si>
    <t>125A10</t>
  </si>
  <si>
    <t>61B20</t>
  </si>
  <si>
    <t>125A11</t>
  </si>
  <si>
    <t>61B2</t>
  </si>
  <si>
    <t>125A12</t>
  </si>
  <si>
    <t>61B19</t>
  </si>
  <si>
    <t>125A13</t>
  </si>
  <si>
    <t>61B18</t>
  </si>
  <si>
    <t>125A14</t>
  </si>
  <si>
    <t>61B17</t>
  </si>
  <si>
    <t>125A15</t>
  </si>
  <si>
    <t>61B16</t>
  </si>
  <si>
    <t>125A16</t>
  </si>
  <si>
    <t>61B15</t>
  </si>
  <si>
    <t>125A17</t>
  </si>
  <si>
    <t>61B14</t>
  </si>
  <si>
    <t>125A18</t>
  </si>
  <si>
    <t>61B13</t>
  </si>
  <si>
    <t>125A19</t>
  </si>
  <si>
    <t>61B12</t>
  </si>
  <si>
    <t>125A2</t>
  </si>
  <si>
    <t>61B11</t>
  </si>
  <si>
    <t>125A20</t>
  </si>
  <si>
    <t>61B10</t>
  </si>
  <si>
    <t>125A21</t>
  </si>
  <si>
    <t>61B1</t>
  </si>
  <si>
    <t>125A22</t>
  </si>
  <si>
    <t>61A9</t>
  </si>
  <si>
    <t>125A23</t>
  </si>
  <si>
    <t>61A8</t>
  </si>
  <si>
    <t>125A24</t>
  </si>
  <si>
    <t>61A7</t>
  </si>
  <si>
    <t>125A25</t>
  </si>
  <si>
    <t>61A6</t>
  </si>
  <si>
    <t>125A26</t>
  </si>
  <si>
    <t>61A5</t>
  </si>
  <si>
    <t>125A27</t>
  </si>
  <si>
    <t>61A4</t>
  </si>
  <si>
    <t>125A28</t>
  </si>
  <si>
    <t>61A3</t>
  </si>
  <si>
    <t>125A29</t>
  </si>
  <si>
    <t>61A21</t>
  </si>
  <si>
    <t>125A3</t>
  </si>
  <si>
    <t>61A20</t>
  </si>
  <si>
    <t>125A30</t>
  </si>
  <si>
    <t>61A2</t>
  </si>
  <si>
    <t>125A31</t>
  </si>
  <si>
    <t>61A19</t>
  </si>
  <si>
    <t>125A32</t>
  </si>
  <si>
    <t>61A18</t>
  </si>
  <si>
    <t>125A4</t>
  </si>
  <si>
    <t>61A17</t>
  </si>
  <si>
    <t>125A5</t>
  </si>
  <si>
    <t>61A16</t>
  </si>
  <si>
    <t>125A6</t>
  </si>
  <si>
    <t>61A15</t>
  </si>
  <si>
    <t>125A7</t>
  </si>
  <si>
    <t>61A14</t>
  </si>
  <si>
    <t>125A8</t>
  </si>
  <si>
    <t>61A13</t>
  </si>
  <si>
    <t>125A9</t>
  </si>
  <si>
    <t>61A12</t>
  </si>
  <si>
    <t>125B1</t>
  </si>
  <si>
    <t>61A11</t>
  </si>
  <si>
    <t>125B10</t>
  </si>
  <si>
    <t>61A10</t>
  </si>
  <si>
    <t>125B11</t>
  </si>
  <si>
    <t>61A1</t>
  </si>
  <si>
    <t>125B12</t>
  </si>
  <si>
    <t>60C9</t>
  </si>
  <si>
    <t>125B13</t>
  </si>
  <si>
    <t>60C8</t>
  </si>
  <si>
    <t>125B14</t>
  </si>
  <si>
    <t>60C7</t>
  </si>
  <si>
    <t>125B15</t>
  </si>
  <si>
    <t>60C6</t>
  </si>
  <si>
    <t>125B16</t>
  </si>
  <si>
    <t>60C5</t>
  </si>
  <si>
    <t>125B17</t>
  </si>
  <si>
    <t>60C4</t>
  </si>
  <si>
    <t>125B18</t>
  </si>
  <si>
    <t>60C3</t>
  </si>
  <si>
    <t>125B19</t>
  </si>
  <si>
    <t>60C20</t>
  </si>
  <si>
    <t>125B2</t>
  </si>
  <si>
    <t>60C2</t>
  </si>
  <si>
    <t>125B20</t>
  </si>
  <si>
    <t>60C19</t>
  </si>
  <si>
    <t>125B21</t>
  </si>
  <si>
    <t>60C18</t>
  </si>
  <si>
    <t>125B22</t>
  </si>
  <si>
    <t>60C17</t>
  </si>
  <si>
    <t>125B23</t>
  </si>
  <si>
    <t>60C16</t>
  </si>
  <si>
    <t>125B24</t>
  </si>
  <si>
    <t>60C15</t>
  </si>
  <si>
    <t>125B25</t>
  </si>
  <si>
    <t>60C14</t>
  </si>
  <si>
    <t>125B26</t>
  </si>
  <si>
    <t>60C13</t>
  </si>
  <si>
    <t>125B27</t>
  </si>
  <si>
    <t>60C12</t>
  </si>
  <si>
    <t>125B28</t>
  </si>
  <si>
    <t>60C11</t>
  </si>
  <si>
    <t>125B29</t>
  </si>
  <si>
    <t>60C10</t>
  </si>
  <si>
    <t>125B3</t>
  </si>
  <si>
    <t>60C1</t>
  </si>
  <si>
    <t>125B30</t>
  </si>
  <si>
    <t>60B9</t>
  </si>
  <si>
    <t>125B31</t>
  </si>
  <si>
    <t>60B8</t>
  </si>
  <si>
    <t>125B32</t>
  </si>
  <si>
    <t>60B7</t>
  </si>
  <si>
    <t>125B4</t>
  </si>
  <si>
    <t>60B6</t>
  </si>
  <si>
    <t>125B5</t>
  </si>
  <si>
    <t>60B5</t>
  </si>
  <si>
    <t>125B6</t>
  </si>
  <si>
    <t>60B4</t>
  </si>
  <si>
    <t>125B7</t>
  </si>
  <si>
    <t>60B3</t>
  </si>
  <si>
    <t>125B8</t>
  </si>
  <si>
    <t>60B20</t>
  </si>
  <si>
    <t>125B9</t>
  </si>
  <si>
    <t>60B2</t>
  </si>
  <si>
    <t>125C1</t>
  </si>
  <si>
    <t>60B19</t>
  </si>
  <si>
    <t>125C10</t>
  </si>
  <si>
    <t>60B18</t>
  </si>
  <si>
    <t>125C11</t>
  </si>
  <si>
    <t>60B17</t>
  </si>
  <si>
    <t>125C12</t>
  </si>
  <si>
    <t>60B16</t>
  </si>
  <si>
    <t>125C13</t>
  </si>
  <si>
    <t>60B15</t>
  </si>
  <si>
    <t>125C14</t>
  </si>
  <si>
    <t>60B14</t>
  </si>
  <si>
    <t>125C15</t>
  </si>
  <si>
    <t>60B13</t>
  </si>
  <si>
    <t>125C16</t>
  </si>
  <si>
    <t>60B12</t>
  </si>
  <si>
    <t>125C17</t>
  </si>
  <si>
    <t>60B11</t>
  </si>
  <si>
    <t>125C18</t>
  </si>
  <si>
    <t>60B10</t>
  </si>
  <si>
    <t>125C19</t>
  </si>
  <si>
    <t>60B1</t>
  </si>
  <si>
    <t>125C2</t>
  </si>
  <si>
    <t>60A9</t>
  </si>
  <si>
    <t>125C20</t>
  </si>
  <si>
    <t>60A8</t>
  </si>
  <si>
    <t>125C21</t>
  </si>
  <si>
    <t>60A7</t>
  </si>
  <si>
    <t>125C22</t>
  </si>
  <si>
    <t>60A6</t>
  </si>
  <si>
    <t>125C23</t>
  </si>
  <si>
    <t>60A5</t>
  </si>
  <si>
    <t>125C24</t>
  </si>
  <si>
    <t>60A4</t>
  </si>
  <si>
    <t>125C25</t>
  </si>
  <si>
    <t>60A3</t>
  </si>
  <si>
    <t>125C26</t>
  </si>
  <si>
    <t>60A20</t>
  </si>
  <si>
    <t>125C27</t>
  </si>
  <si>
    <t>60A2</t>
  </si>
  <si>
    <t>125C28</t>
  </si>
  <si>
    <t>60A19</t>
  </si>
  <si>
    <t>125C29</t>
  </si>
  <si>
    <t>60A18</t>
  </si>
  <si>
    <t>125C3</t>
  </si>
  <si>
    <t>60A17</t>
  </si>
  <si>
    <t>125C30</t>
  </si>
  <si>
    <t>60A16</t>
  </si>
  <si>
    <t>125C31</t>
  </si>
  <si>
    <t>60A15</t>
  </si>
  <si>
    <t>125C32</t>
  </si>
  <si>
    <t>60A14</t>
  </si>
  <si>
    <t>125C4</t>
  </si>
  <si>
    <t>60A13</t>
  </si>
  <si>
    <t>125C5</t>
  </si>
  <si>
    <t>60A12</t>
  </si>
  <si>
    <t>125C6</t>
  </si>
  <si>
    <t>60A11</t>
  </si>
  <si>
    <t>125C7</t>
  </si>
  <si>
    <t>60A10</t>
  </si>
  <si>
    <t>125C8</t>
  </si>
  <si>
    <t>60A1</t>
  </si>
  <si>
    <t>125C9</t>
  </si>
  <si>
    <t>5C2</t>
  </si>
  <si>
    <t>125D10</t>
  </si>
  <si>
    <t>5B2</t>
  </si>
  <si>
    <t>125D11</t>
  </si>
  <si>
    <t>5B1</t>
  </si>
  <si>
    <t>125D12</t>
  </si>
  <si>
    <t>5A2</t>
  </si>
  <si>
    <t>125D13</t>
  </si>
  <si>
    <t>5A1</t>
  </si>
  <si>
    <t>125D14</t>
  </si>
  <si>
    <t>59C9</t>
  </si>
  <si>
    <t>125D15</t>
  </si>
  <si>
    <t>59C8</t>
  </si>
  <si>
    <t>125D16</t>
  </si>
  <si>
    <t>59C7</t>
  </si>
  <si>
    <t>125D17</t>
  </si>
  <si>
    <t>59C6</t>
  </si>
  <si>
    <t>125D18</t>
  </si>
  <si>
    <t>59C5</t>
  </si>
  <si>
    <t>125D19</t>
  </si>
  <si>
    <t>59C4</t>
  </si>
  <si>
    <t>125D20</t>
  </si>
  <si>
    <t>59C3</t>
  </si>
  <si>
    <t>125D21</t>
  </si>
  <si>
    <t>59C20</t>
  </si>
  <si>
    <t>125D22</t>
  </si>
  <si>
    <t>59C2</t>
  </si>
  <si>
    <t>125D23</t>
  </si>
  <si>
    <t>59C19</t>
  </si>
  <si>
    <t>125D24</t>
  </si>
  <si>
    <t>59C18</t>
  </si>
  <si>
    <t>125D25</t>
  </si>
  <si>
    <t>59C17</t>
  </si>
  <si>
    <t>125D26</t>
  </si>
  <si>
    <t>59C16</t>
  </si>
  <si>
    <t>125D27</t>
  </si>
  <si>
    <t>59C15</t>
  </si>
  <si>
    <t>125D28</t>
  </si>
  <si>
    <t>59C14</t>
  </si>
  <si>
    <t>125D29</t>
  </si>
  <si>
    <t>59C13</t>
  </si>
  <si>
    <t>125D30</t>
  </si>
  <si>
    <t>59C12</t>
  </si>
  <si>
    <t>125D31</t>
  </si>
  <si>
    <t>59C11</t>
  </si>
  <si>
    <t>125D32</t>
  </si>
  <si>
    <t>59C10</t>
  </si>
  <si>
    <t>125D4</t>
  </si>
  <si>
    <t>59B9</t>
  </si>
  <si>
    <t>125D5</t>
  </si>
  <si>
    <t>59B8</t>
  </si>
  <si>
    <t>125D6</t>
  </si>
  <si>
    <t>59B7</t>
  </si>
  <si>
    <t>125D7</t>
  </si>
  <si>
    <t>59B6</t>
  </si>
  <si>
    <t>125D8</t>
  </si>
  <si>
    <t>59B5</t>
  </si>
  <si>
    <t>125D9</t>
  </si>
  <si>
    <t>59B4</t>
  </si>
  <si>
    <t>126A1</t>
  </si>
  <si>
    <t>59B3</t>
  </si>
  <si>
    <t>126A10</t>
  </si>
  <si>
    <t>59B20</t>
  </si>
  <si>
    <t>126A11</t>
  </si>
  <si>
    <t>59B2</t>
  </si>
  <si>
    <t>126A12</t>
  </si>
  <si>
    <t>59B19</t>
  </si>
  <si>
    <t>126A13</t>
  </si>
  <si>
    <t>59B18</t>
  </si>
  <si>
    <t>126A14</t>
  </si>
  <si>
    <t>59B17</t>
  </si>
  <si>
    <t>126A15</t>
  </si>
  <si>
    <t>59B16</t>
  </si>
  <si>
    <t>126A16</t>
  </si>
  <si>
    <t>59B15</t>
  </si>
  <si>
    <t>126A17</t>
  </si>
  <si>
    <t>59B14</t>
  </si>
  <si>
    <t>126A18</t>
  </si>
  <si>
    <t>59B13</t>
  </si>
  <si>
    <t>126A19</t>
  </si>
  <si>
    <t>59B12</t>
  </si>
  <si>
    <t>126A2</t>
  </si>
  <si>
    <t>59B11</t>
  </si>
  <si>
    <t>126A20</t>
  </si>
  <si>
    <t>59B10</t>
  </si>
  <si>
    <t>126A21</t>
  </si>
  <si>
    <t>59B1</t>
  </si>
  <si>
    <t>126A22</t>
  </si>
  <si>
    <t>59A9</t>
  </si>
  <si>
    <t>126A23</t>
  </si>
  <si>
    <t>59A8</t>
  </si>
  <si>
    <t>126A24</t>
  </si>
  <si>
    <t>59A7</t>
  </si>
  <si>
    <t>126A25</t>
  </si>
  <si>
    <t>59A6</t>
  </si>
  <si>
    <t>126A26</t>
  </si>
  <si>
    <t>59A5</t>
  </si>
  <si>
    <t>126A27</t>
  </si>
  <si>
    <t>59A4</t>
  </si>
  <si>
    <t>126A28</t>
  </si>
  <si>
    <t>59A3</t>
  </si>
  <si>
    <t>126A29</t>
  </si>
  <si>
    <t>59A20</t>
  </si>
  <si>
    <t>126A3</t>
  </si>
  <si>
    <t>59A2</t>
  </si>
  <si>
    <t>126A30</t>
  </si>
  <si>
    <t>59A19</t>
  </si>
  <si>
    <t>126A31</t>
  </si>
  <si>
    <t>59A18</t>
  </si>
  <si>
    <t>126A32</t>
  </si>
  <si>
    <t>59A17</t>
  </si>
  <si>
    <t>126A4</t>
  </si>
  <si>
    <t>59A16</t>
  </si>
  <si>
    <t>126A5</t>
  </si>
  <si>
    <t>59A15</t>
  </si>
  <si>
    <t>126A6</t>
  </si>
  <si>
    <t>59A14</t>
  </si>
  <si>
    <t>126A7</t>
  </si>
  <si>
    <t>59A13</t>
  </si>
  <si>
    <t>126A8</t>
  </si>
  <si>
    <t>59A12</t>
  </si>
  <si>
    <t>126A9</t>
  </si>
  <si>
    <t>59A11</t>
  </si>
  <si>
    <t>126B1</t>
  </si>
  <si>
    <t>59A10</t>
  </si>
  <si>
    <t>126B10</t>
  </si>
  <si>
    <t>59A1</t>
  </si>
  <si>
    <t>126B11</t>
  </si>
  <si>
    <t>58C9</t>
  </si>
  <si>
    <t>126B12</t>
  </si>
  <si>
    <t>58C8</t>
  </si>
  <si>
    <t>126B13</t>
  </si>
  <si>
    <t>58C7</t>
  </si>
  <si>
    <t>126B14</t>
  </si>
  <si>
    <t>58C6</t>
  </si>
  <si>
    <t>126B15</t>
  </si>
  <si>
    <t>58C5</t>
  </si>
  <si>
    <t>126B16</t>
  </si>
  <si>
    <t>58C4</t>
  </si>
  <si>
    <t>126B17</t>
  </si>
  <si>
    <t>58C3</t>
  </si>
  <si>
    <t>126B18</t>
  </si>
  <si>
    <t>58C20</t>
  </si>
  <si>
    <t>126B19</t>
  </si>
  <si>
    <t>58C19</t>
  </si>
  <si>
    <t>126B2</t>
  </si>
  <si>
    <t>58C18</t>
  </si>
  <si>
    <t>126B20</t>
  </si>
  <si>
    <t>58C17</t>
  </si>
  <si>
    <t>126B21</t>
  </si>
  <si>
    <t>58C16</t>
  </si>
  <si>
    <t>126B22</t>
  </si>
  <si>
    <t>58C15</t>
  </si>
  <si>
    <t>126B23</t>
  </si>
  <si>
    <t>58C14</t>
  </si>
  <si>
    <t>126B24</t>
  </si>
  <si>
    <t>58C13</t>
  </si>
  <si>
    <t>126B25</t>
  </si>
  <si>
    <t>58C12</t>
  </si>
  <si>
    <t>126B26</t>
  </si>
  <si>
    <t>58C11</t>
  </si>
  <si>
    <t>126B27</t>
  </si>
  <si>
    <t>58C10</t>
  </si>
  <si>
    <t>126B28</t>
  </si>
  <si>
    <t>58B9</t>
  </si>
  <si>
    <t>126B29</t>
  </si>
  <si>
    <t>58B8</t>
  </si>
  <si>
    <t>126B3</t>
  </si>
  <si>
    <t>58B7</t>
  </si>
  <si>
    <t>126B30</t>
  </si>
  <si>
    <t>58B6</t>
  </si>
  <si>
    <t>126B31</t>
  </si>
  <si>
    <t>58B5</t>
  </si>
  <si>
    <t>126B32</t>
  </si>
  <si>
    <t>58B4</t>
  </si>
  <si>
    <t>126B4</t>
  </si>
  <si>
    <t>58B3</t>
  </si>
  <si>
    <t>126B5</t>
  </si>
  <si>
    <t>58B20</t>
  </si>
  <si>
    <t>126B6</t>
  </si>
  <si>
    <t>58B2</t>
  </si>
  <si>
    <t>126B7</t>
  </si>
  <si>
    <t>58B19</t>
  </si>
  <si>
    <t>126B8</t>
  </si>
  <si>
    <t>58B18</t>
  </si>
  <si>
    <t>126B9</t>
  </si>
  <si>
    <t>58B17</t>
  </si>
  <si>
    <t>126C1</t>
  </si>
  <si>
    <t>58B16</t>
  </si>
  <si>
    <t>126C10</t>
  </si>
  <si>
    <t>58B15</t>
  </si>
  <si>
    <t>126C11</t>
  </si>
  <si>
    <t>58B14</t>
  </si>
  <si>
    <t>126C12</t>
  </si>
  <si>
    <t>58B13</t>
  </si>
  <si>
    <t>126C13</t>
  </si>
  <si>
    <t>58B12</t>
  </si>
  <si>
    <t>126C14</t>
  </si>
  <si>
    <t>58B11</t>
  </si>
  <si>
    <t>126C15</t>
  </si>
  <si>
    <t>58B10</t>
  </si>
  <si>
    <t>126C16</t>
  </si>
  <si>
    <t>58B1</t>
  </si>
  <si>
    <t>126C17</t>
  </si>
  <si>
    <t>58A9</t>
  </si>
  <si>
    <t>126C18</t>
  </si>
  <si>
    <t>58A8</t>
  </si>
  <si>
    <t>126C19</t>
  </si>
  <si>
    <t>58A7</t>
  </si>
  <si>
    <t>126C2</t>
  </si>
  <si>
    <t>58A6</t>
  </si>
  <si>
    <t>126C20</t>
  </si>
  <si>
    <t>58A5</t>
  </si>
  <si>
    <t>126C21</t>
  </si>
  <si>
    <t>58A4</t>
  </si>
  <si>
    <t>126C22</t>
  </si>
  <si>
    <t>58A3</t>
  </si>
  <si>
    <t>126C23</t>
  </si>
  <si>
    <t>58A20</t>
  </si>
  <si>
    <t>126C24</t>
  </si>
  <si>
    <t>58A2</t>
  </si>
  <si>
    <t>126C25</t>
  </si>
  <si>
    <t>58A19</t>
  </si>
  <si>
    <t>126C26</t>
  </si>
  <si>
    <t>58A18</t>
  </si>
  <si>
    <t>126C27</t>
  </si>
  <si>
    <t>58A17</t>
  </si>
  <si>
    <t>126C28</t>
  </si>
  <si>
    <t>58A16</t>
  </si>
  <si>
    <t>126C29</t>
  </si>
  <si>
    <t>58A15</t>
  </si>
  <si>
    <t>126C3</t>
  </si>
  <si>
    <t>58A14</t>
  </si>
  <si>
    <t>126C30</t>
  </si>
  <si>
    <t>58A13</t>
  </si>
  <si>
    <t>126C31</t>
  </si>
  <si>
    <t>58A12</t>
  </si>
  <si>
    <t>126C32</t>
  </si>
  <si>
    <t>58A11</t>
  </si>
  <si>
    <t>126C4</t>
  </si>
  <si>
    <t>58A10</t>
  </si>
  <si>
    <t>126C5</t>
  </si>
  <si>
    <t>58A1</t>
  </si>
  <si>
    <t>126C6</t>
  </si>
  <si>
    <t>57C9</t>
  </si>
  <si>
    <t>126C7</t>
  </si>
  <si>
    <t>57C8</t>
  </si>
  <si>
    <t>126C8</t>
  </si>
  <si>
    <t>57C7</t>
  </si>
  <si>
    <t>126C9</t>
  </si>
  <si>
    <t>57C6</t>
  </si>
  <si>
    <t>126D10</t>
  </si>
  <si>
    <t>57C5</t>
  </si>
  <si>
    <t>126D11</t>
  </si>
  <si>
    <t>57C4</t>
  </si>
  <si>
    <t>126D12</t>
  </si>
  <si>
    <t>57C3</t>
  </si>
  <si>
    <t>126D13</t>
  </si>
  <si>
    <t>57C2</t>
  </si>
  <si>
    <t>126D14</t>
  </si>
  <si>
    <t>57C19</t>
  </si>
  <si>
    <t>126D15</t>
  </si>
  <si>
    <t>57C18</t>
  </si>
  <si>
    <t>126D16</t>
  </si>
  <si>
    <t>57C17</t>
  </si>
  <si>
    <t>126D17</t>
  </si>
  <si>
    <t>57C16</t>
  </si>
  <si>
    <t>126D18</t>
  </si>
  <si>
    <t>57C15</t>
  </si>
  <si>
    <t>126D19</t>
  </si>
  <si>
    <t>57C14</t>
  </si>
  <si>
    <t>126D20</t>
  </si>
  <si>
    <t>57C13</t>
  </si>
  <si>
    <t>126D21</t>
  </si>
  <si>
    <t>57C12</t>
  </si>
  <si>
    <t>126D22</t>
  </si>
  <si>
    <t>57C11</t>
  </si>
  <si>
    <t>126D23</t>
  </si>
  <si>
    <t>57C10</t>
  </si>
  <si>
    <t>126D24</t>
  </si>
  <si>
    <t>57C1</t>
  </si>
  <si>
    <t>126D25</t>
  </si>
  <si>
    <t>57B9</t>
  </si>
  <si>
    <t>126D26</t>
  </si>
  <si>
    <t>57B8</t>
  </si>
  <si>
    <t>126D27</t>
  </si>
  <si>
    <t>57B7</t>
  </si>
  <si>
    <t>126D28</t>
  </si>
  <si>
    <t>57B6</t>
  </si>
  <si>
    <t>126D29</t>
  </si>
  <si>
    <t>57B5</t>
  </si>
  <si>
    <t>126D3</t>
  </si>
  <si>
    <t>57B4</t>
  </si>
  <si>
    <t>126D30</t>
  </si>
  <si>
    <t>57B3</t>
  </si>
  <si>
    <t>126D31</t>
  </si>
  <si>
    <t>57B2</t>
  </si>
  <si>
    <t>126D32</t>
  </si>
  <si>
    <t>57B19</t>
  </si>
  <si>
    <t>126D4</t>
  </si>
  <si>
    <t>57B18</t>
  </si>
  <si>
    <t>126D5</t>
  </si>
  <si>
    <t>57B17</t>
  </si>
  <si>
    <t>126D6</t>
  </si>
  <si>
    <t>57B16</t>
  </si>
  <si>
    <t>126D7</t>
  </si>
  <si>
    <t>57B15</t>
  </si>
  <si>
    <t>126D8</t>
  </si>
  <si>
    <t>57B14</t>
  </si>
  <si>
    <t>126D9</t>
  </si>
  <si>
    <t>57B13</t>
  </si>
  <si>
    <t>127A1</t>
  </si>
  <si>
    <t>57B12</t>
  </si>
  <si>
    <t>127A10</t>
  </si>
  <si>
    <t>57B11</t>
  </si>
  <si>
    <t>127A11</t>
  </si>
  <si>
    <t>57B10</t>
  </si>
  <si>
    <t>127A12</t>
  </si>
  <si>
    <t>57B1</t>
  </si>
  <si>
    <t>127A13</t>
  </si>
  <si>
    <t>57A9</t>
  </si>
  <si>
    <t>127A14</t>
  </si>
  <si>
    <t>57A8</t>
  </si>
  <si>
    <t>127A15</t>
  </si>
  <si>
    <t>57A7</t>
  </si>
  <si>
    <t>127A16</t>
  </si>
  <si>
    <t>57A6</t>
  </si>
  <si>
    <t>127A17</t>
  </si>
  <si>
    <t>57A5</t>
  </si>
  <si>
    <t>127A18</t>
  </si>
  <si>
    <t>57A4</t>
  </si>
  <si>
    <t>127A19</t>
  </si>
  <si>
    <t>57A3</t>
  </si>
  <si>
    <t>127A2</t>
  </si>
  <si>
    <t>57A2</t>
  </si>
  <si>
    <t>127A20</t>
  </si>
  <si>
    <t>57A19</t>
  </si>
  <si>
    <t>127A21</t>
  </si>
  <si>
    <t>57A18</t>
  </si>
  <si>
    <t>127A22</t>
  </si>
  <si>
    <t>57A17</t>
  </si>
  <si>
    <t>127A23</t>
  </si>
  <si>
    <t>57A16</t>
  </si>
  <si>
    <t>127A24</t>
  </si>
  <si>
    <t>57A15</t>
  </si>
  <si>
    <t>127A25</t>
  </si>
  <si>
    <t>57A14</t>
  </si>
  <si>
    <t>127A26</t>
  </si>
  <si>
    <t>57A13</t>
  </si>
  <si>
    <t>127A27</t>
  </si>
  <si>
    <t>57A12</t>
  </si>
  <si>
    <t>127A28</t>
  </si>
  <si>
    <t>57A11</t>
  </si>
  <si>
    <t>127A29</t>
  </si>
  <si>
    <t>57A10</t>
  </si>
  <si>
    <t>127A3</t>
  </si>
  <si>
    <t>57A1</t>
  </si>
  <si>
    <t>127A30</t>
  </si>
  <si>
    <t>56C9</t>
  </si>
  <si>
    <t>127A31</t>
  </si>
  <si>
    <t>56C8</t>
  </si>
  <si>
    <t>127A32</t>
  </si>
  <si>
    <t>56C7</t>
  </si>
  <si>
    <t>127A4</t>
  </si>
  <si>
    <t>56C6</t>
  </si>
  <si>
    <t>127A5</t>
  </si>
  <si>
    <t>56C5</t>
  </si>
  <si>
    <t>127A6</t>
  </si>
  <si>
    <t>56C4</t>
  </si>
  <si>
    <t>127A7</t>
  </si>
  <si>
    <t>56C3</t>
  </si>
  <si>
    <t>127A8</t>
  </si>
  <si>
    <t>56C2</t>
  </si>
  <si>
    <t>127A9</t>
  </si>
  <si>
    <t>56C19</t>
  </si>
  <si>
    <t>127B1</t>
  </si>
  <si>
    <t>56C18</t>
  </si>
  <si>
    <t>127B10</t>
  </si>
  <si>
    <t>56C17</t>
  </si>
  <si>
    <t>127B11</t>
  </si>
  <si>
    <t>56C16</t>
  </si>
  <si>
    <t>127B12</t>
  </si>
  <si>
    <t>56C15</t>
  </si>
  <si>
    <t>127B13</t>
  </si>
  <si>
    <t>56C14</t>
  </si>
  <si>
    <t>127B14</t>
  </si>
  <si>
    <t>56C13</t>
  </si>
  <si>
    <t>127B15</t>
  </si>
  <si>
    <t>56C12</t>
  </si>
  <si>
    <t>127B16</t>
  </si>
  <si>
    <t>56C11</t>
  </si>
  <si>
    <t>127B17</t>
  </si>
  <si>
    <t>56C10</t>
  </si>
  <si>
    <t>127B18</t>
  </si>
  <si>
    <t>56B9</t>
  </si>
  <si>
    <t>127B19</t>
  </si>
  <si>
    <t>56B8</t>
  </si>
  <si>
    <t>127B2</t>
  </si>
  <si>
    <t>56B7</t>
  </si>
  <si>
    <t>127B20</t>
  </si>
  <si>
    <t>56B6</t>
  </si>
  <si>
    <t>127B21</t>
  </si>
  <si>
    <t>56B5</t>
  </si>
  <si>
    <t>127B22</t>
  </si>
  <si>
    <t>56B4</t>
  </si>
  <si>
    <t>127B23</t>
  </si>
  <si>
    <t>56B3</t>
  </si>
  <si>
    <t>127B24</t>
  </si>
  <si>
    <t>56B2</t>
  </si>
  <si>
    <t>127B25</t>
  </si>
  <si>
    <t>56B19</t>
  </si>
  <si>
    <t>127B26</t>
  </si>
  <si>
    <t>56B18</t>
  </si>
  <si>
    <t>127B27</t>
  </si>
  <si>
    <t>56B17</t>
  </si>
  <si>
    <t>127B28</t>
  </si>
  <si>
    <t>56B16</t>
  </si>
  <si>
    <t>127B29</t>
  </si>
  <si>
    <t>56B15</t>
  </si>
  <si>
    <t>127B3</t>
  </si>
  <si>
    <t>56B14</t>
  </si>
  <si>
    <t>127B30</t>
  </si>
  <si>
    <t>56B13</t>
  </si>
  <si>
    <t>127B31</t>
  </si>
  <si>
    <t>56B12</t>
  </si>
  <si>
    <t>127B32</t>
  </si>
  <si>
    <t>56B11</t>
  </si>
  <si>
    <t>127B4</t>
  </si>
  <si>
    <t>56B10</t>
  </si>
  <si>
    <t>127B5</t>
  </si>
  <si>
    <t>56B1</t>
  </si>
  <si>
    <t>127B6</t>
  </si>
  <si>
    <t>56A9</t>
  </si>
  <si>
    <t>127B7</t>
  </si>
  <si>
    <t>56A8</t>
  </si>
  <si>
    <t>127B8</t>
  </si>
  <si>
    <t>56A7</t>
  </si>
  <si>
    <t>127B9</t>
  </si>
  <si>
    <t>56A6</t>
  </si>
  <si>
    <t>127C1</t>
  </si>
  <si>
    <t>56A5</t>
  </si>
  <si>
    <t>127C10</t>
  </si>
  <si>
    <t>56A4</t>
  </si>
  <si>
    <t>127C11</t>
  </si>
  <si>
    <t>56A3</t>
  </si>
  <si>
    <t>127C12</t>
  </si>
  <si>
    <t>56A2</t>
  </si>
  <si>
    <t>127C13</t>
  </si>
  <si>
    <t>56A19</t>
  </si>
  <si>
    <t>127C14</t>
  </si>
  <si>
    <t>56A18</t>
  </si>
  <si>
    <t>127C15</t>
  </si>
  <si>
    <t>56A17</t>
  </si>
  <si>
    <t>127C16</t>
  </si>
  <si>
    <t>56A16</t>
  </si>
  <si>
    <t>127C17</t>
  </si>
  <si>
    <t>56A15</t>
  </si>
  <si>
    <t>127C18</t>
  </si>
  <si>
    <t>56A14</t>
  </si>
  <si>
    <t>127C19</t>
  </si>
  <si>
    <t>56A13</t>
  </si>
  <si>
    <t>127C2</t>
  </si>
  <si>
    <t>56A12</t>
  </si>
  <si>
    <t>127C20</t>
  </si>
  <si>
    <t>56A11</t>
  </si>
  <si>
    <t>127C21</t>
  </si>
  <si>
    <t>56A10</t>
  </si>
  <si>
    <t>127C22</t>
  </si>
  <si>
    <t>56A1</t>
  </si>
  <si>
    <t>127C23</t>
  </si>
  <si>
    <t>55C9</t>
  </si>
  <si>
    <t>127C24</t>
  </si>
  <si>
    <t>55C8</t>
  </si>
  <si>
    <t>127C25</t>
  </si>
  <si>
    <t>55C7</t>
  </si>
  <si>
    <t>127C26</t>
  </si>
  <si>
    <t>55C6</t>
  </si>
  <si>
    <t>127C27</t>
  </si>
  <si>
    <t>55C5</t>
  </si>
  <si>
    <t>127C28</t>
  </si>
  <si>
    <t>55C4</t>
  </si>
  <si>
    <t>127C29</t>
  </si>
  <si>
    <t>55C3</t>
  </si>
  <si>
    <t>127C3</t>
  </si>
  <si>
    <t>55C18</t>
  </si>
  <si>
    <t>127C30</t>
  </si>
  <si>
    <t>55C17</t>
  </si>
  <si>
    <t>127C31</t>
  </si>
  <si>
    <t>55C16</t>
  </si>
  <si>
    <t>127C32</t>
  </si>
  <si>
    <t>55C15</t>
  </si>
  <si>
    <t>127C4</t>
  </si>
  <si>
    <t>55C14</t>
  </si>
  <si>
    <t>127C5</t>
  </si>
  <si>
    <t>55C13</t>
  </si>
  <si>
    <t>127C6</t>
  </si>
  <si>
    <t>55C12</t>
  </si>
  <si>
    <t>127C7</t>
  </si>
  <si>
    <t>55C11</t>
  </si>
  <si>
    <t>127C8</t>
  </si>
  <si>
    <t>55C10</t>
  </si>
  <si>
    <t>127C9</t>
  </si>
  <si>
    <t>55B9</t>
  </si>
  <si>
    <t>127D10</t>
  </si>
  <si>
    <t>55B8</t>
  </si>
  <si>
    <t>127D11</t>
  </si>
  <si>
    <t>55B7</t>
  </si>
  <si>
    <t>127D12</t>
  </si>
  <si>
    <t>55B6</t>
  </si>
  <si>
    <t>127D13</t>
  </si>
  <si>
    <t>55B5</t>
  </si>
  <si>
    <t>127D14</t>
  </si>
  <si>
    <t>55B4</t>
  </si>
  <si>
    <t>127D15</t>
  </si>
  <si>
    <t>55B3</t>
  </si>
  <si>
    <t>127D16</t>
  </si>
  <si>
    <t>55B2</t>
  </si>
  <si>
    <t>127D17</t>
  </si>
  <si>
    <t>55B19</t>
  </si>
  <si>
    <t>127D18</t>
  </si>
  <si>
    <t>55B18</t>
  </si>
  <si>
    <t>127D19</t>
  </si>
  <si>
    <t>55B17</t>
  </si>
  <si>
    <t>127D2</t>
  </si>
  <si>
    <t>55B16</t>
  </si>
  <si>
    <t>127D20</t>
  </si>
  <si>
    <t>55B15</t>
  </si>
  <si>
    <t>127D21</t>
  </si>
  <si>
    <t>55B14</t>
  </si>
  <si>
    <t>127D22</t>
  </si>
  <si>
    <t>55B13</t>
  </si>
  <si>
    <t>127D23</t>
  </si>
  <si>
    <t>55B12</t>
  </si>
  <si>
    <t>127D24</t>
  </si>
  <si>
    <t>55B11</t>
  </si>
  <si>
    <t>127D25</t>
  </si>
  <si>
    <t>55B10</t>
  </si>
  <si>
    <t>127D26</t>
  </si>
  <si>
    <t>55B1</t>
  </si>
  <si>
    <t>127D27</t>
  </si>
  <si>
    <t>55A9</t>
  </si>
  <si>
    <t>127D28</t>
  </si>
  <si>
    <t>55A8</t>
  </si>
  <si>
    <t>127D29</t>
  </si>
  <si>
    <t>55A7</t>
  </si>
  <si>
    <t>127D3</t>
  </si>
  <si>
    <t>55A6</t>
  </si>
  <si>
    <t>127D30</t>
  </si>
  <si>
    <t>127D31</t>
  </si>
  <si>
    <t>55A5</t>
  </si>
  <si>
    <t>127D32</t>
  </si>
  <si>
    <t>55A4</t>
  </si>
  <si>
    <t>127D4</t>
  </si>
  <si>
    <t>55A3</t>
  </si>
  <si>
    <t>127D5</t>
  </si>
  <si>
    <t>55A2</t>
  </si>
  <si>
    <t>127D6</t>
  </si>
  <si>
    <t>55A19</t>
  </si>
  <si>
    <t>127D7</t>
  </si>
  <si>
    <t>55A18</t>
  </si>
  <si>
    <t>127D8</t>
  </si>
  <si>
    <t>55A17</t>
  </si>
  <si>
    <t>127D9</t>
  </si>
  <si>
    <t>55A16</t>
  </si>
  <si>
    <t>128A1</t>
  </si>
  <si>
    <t>55A15</t>
  </si>
  <si>
    <t>128A10</t>
  </si>
  <si>
    <t>55A14</t>
  </si>
  <si>
    <t>128A11</t>
  </si>
  <si>
    <t>55A13</t>
  </si>
  <si>
    <t>128A12</t>
  </si>
  <si>
    <t>55A12</t>
  </si>
  <si>
    <t>128A13</t>
  </si>
  <si>
    <t>55A11</t>
  </si>
  <si>
    <t>128A14</t>
  </si>
  <si>
    <t>55A10</t>
  </si>
  <si>
    <t>128A15</t>
  </si>
  <si>
    <t>55A1</t>
  </si>
  <si>
    <t>128A16</t>
  </si>
  <si>
    <t>54C9</t>
  </si>
  <si>
    <t>128A17</t>
  </si>
  <si>
    <t>54C8</t>
  </si>
  <si>
    <t>128A18</t>
  </si>
  <si>
    <t>54C7</t>
  </si>
  <si>
    <t>128A19</t>
  </si>
  <si>
    <t>54C6</t>
  </si>
  <si>
    <t>128A2</t>
  </si>
  <si>
    <t>54C5</t>
  </si>
  <si>
    <t>128A20</t>
  </si>
  <si>
    <t>54C4</t>
  </si>
  <si>
    <t>128A21</t>
  </si>
  <si>
    <t>54C3</t>
  </si>
  <si>
    <t>128A22</t>
  </si>
  <si>
    <t>54C2</t>
  </si>
  <si>
    <t>128A23</t>
  </si>
  <si>
    <t>54C18</t>
  </si>
  <si>
    <t>128A24</t>
  </si>
  <si>
    <t>54C17</t>
  </si>
  <si>
    <t>128A25</t>
  </si>
  <si>
    <t>54C16</t>
  </si>
  <si>
    <t>128A26</t>
  </si>
  <si>
    <t>54C15</t>
  </si>
  <si>
    <t>128A27</t>
  </si>
  <si>
    <t>54C14</t>
  </si>
  <si>
    <t>128A28</t>
  </si>
  <si>
    <t>54C13</t>
  </si>
  <si>
    <t>128A29</t>
  </si>
  <si>
    <t>54C12</t>
  </si>
  <si>
    <t>128A3</t>
  </si>
  <si>
    <t>54C11</t>
  </si>
  <si>
    <t>128A30</t>
  </si>
  <si>
    <t>54C10</t>
  </si>
  <si>
    <t>128A31</t>
  </si>
  <si>
    <t>54C1</t>
  </si>
  <si>
    <t>128A32</t>
  </si>
  <si>
    <t>54B9</t>
  </si>
  <si>
    <t>128A4</t>
  </si>
  <si>
    <t>54B8</t>
  </si>
  <si>
    <t>128A5</t>
  </si>
  <si>
    <t>54B7</t>
  </si>
  <si>
    <t>128A6</t>
  </si>
  <si>
    <t>54B6</t>
  </si>
  <si>
    <t>128A7</t>
  </si>
  <si>
    <t>54B5</t>
  </si>
  <si>
    <t>128A8</t>
  </si>
  <si>
    <t>54B4</t>
  </si>
  <si>
    <t>128A9</t>
  </si>
  <si>
    <t>54B3</t>
  </si>
  <si>
    <t>128B1</t>
  </si>
  <si>
    <t>54B2</t>
  </si>
  <si>
    <t>128B10</t>
  </si>
  <si>
    <t>54B18</t>
  </si>
  <si>
    <t>128B11</t>
  </si>
  <si>
    <t>54B17</t>
  </si>
  <si>
    <t>128B12</t>
  </si>
  <si>
    <t>54B16</t>
  </si>
  <si>
    <t>128B13</t>
  </si>
  <si>
    <t>54B15</t>
  </si>
  <si>
    <t>128B14</t>
  </si>
  <si>
    <t>54B14</t>
  </si>
  <si>
    <t>128B15</t>
  </si>
  <si>
    <t>54B13</t>
  </si>
  <si>
    <t>128B16</t>
  </si>
  <si>
    <t>54B12</t>
  </si>
  <si>
    <t>128B17</t>
  </si>
  <si>
    <t>54B11</t>
  </si>
  <si>
    <t>128B18</t>
  </si>
  <si>
    <t>54B10</t>
  </si>
  <si>
    <t>128B19</t>
  </si>
  <si>
    <t>54B1</t>
  </si>
  <si>
    <t>128B2</t>
  </si>
  <si>
    <t>54A9</t>
  </si>
  <si>
    <t>128B20</t>
  </si>
  <si>
    <t>54A8</t>
  </si>
  <si>
    <t>128B21</t>
  </si>
  <si>
    <t>54A7</t>
  </si>
  <si>
    <t>128B22</t>
  </si>
  <si>
    <t>54A6</t>
  </si>
  <si>
    <t>128B23</t>
  </si>
  <si>
    <t>54A5</t>
  </si>
  <si>
    <t>128B24</t>
  </si>
  <si>
    <t>54A4</t>
  </si>
  <si>
    <t>128B25</t>
  </si>
  <si>
    <t>54A3</t>
  </si>
  <si>
    <t>128B26</t>
  </si>
  <si>
    <t>54A2</t>
  </si>
  <si>
    <t>128B27</t>
  </si>
  <si>
    <t>54A18</t>
  </si>
  <si>
    <t>128B28</t>
  </si>
  <si>
    <t>54A17</t>
  </si>
  <si>
    <t>128B29</t>
  </si>
  <si>
    <t>54A16</t>
  </si>
  <si>
    <t>128B3</t>
  </si>
  <si>
    <t>54A15</t>
  </si>
  <si>
    <t>128B30</t>
  </si>
  <si>
    <t>54A14</t>
  </si>
  <si>
    <t>128B31</t>
  </si>
  <si>
    <t>54A13</t>
  </si>
  <si>
    <t>128B32</t>
  </si>
  <si>
    <t>54A12</t>
  </si>
  <si>
    <t>128B4</t>
  </si>
  <si>
    <t>54A11</t>
  </si>
  <si>
    <t>128B5</t>
  </si>
  <si>
    <t>54A10</t>
  </si>
  <si>
    <t>128B6</t>
  </si>
  <si>
    <t>54A1</t>
  </si>
  <si>
    <t>128B7</t>
  </si>
  <si>
    <t>53C9</t>
  </si>
  <si>
    <t>128B8</t>
  </si>
  <si>
    <t>53C8</t>
  </si>
  <si>
    <t>128B9</t>
  </si>
  <si>
    <t>53C7</t>
  </si>
  <si>
    <t>128C1</t>
  </si>
  <si>
    <t>53C6</t>
  </si>
  <si>
    <t>128C10</t>
  </si>
  <si>
    <t>53C5</t>
  </si>
  <si>
    <t>128C11</t>
  </si>
  <si>
    <t>53C4</t>
  </si>
  <si>
    <t>128C12</t>
  </si>
  <si>
    <t>53C3</t>
  </si>
  <si>
    <t>128C13</t>
  </si>
  <si>
    <t>53C2</t>
  </si>
  <si>
    <t>128C14</t>
  </si>
  <si>
    <t>53C18</t>
  </si>
  <si>
    <t>128C15</t>
  </si>
  <si>
    <t>53C17</t>
  </si>
  <si>
    <t>128C16</t>
  </si>
  <si>
    <t>53C16</t>
  </si>
  <si>
    <t>128C17</t>
  </si>
  <si>
    <t>53C15</t>
  </si>
  <si>
    <t>128C18</t>
  </si>
  <si>
    <t>53C14</t>
  </si>
  <si>
    <t>128C19</t>
  </si>
  <si>
    <t>53C13</t>
  </si>
  <si>
    <t>128C2</t>
  </si>
  <si>
    <t>53C12</t>
  </si>
  <si>
    <t>128C20</t>
  </si>
  <si>
    <t>53C11</t>
  </si>
  <si>
    <t>128C21</t>
  </si>
  <si>
    <t>53C10</t>
  </si>
  <si>
    <t>128C22</t>
  </si>
  <si>
    <t>53B9</t>
  </si>
  <si>
    <t>128C23</t>
  </si>
  <si>
    <t>53B8</t>
  </si>
  <si>
    <t>128C24</t>
  </si>
  <si>
    <t>53B7</t>
  </si>
  <si>
    <t>128C25</t>
  </si>
  <si>
    <t>53B6</t>
  </si>
  <si>
    <t>128C26</t>
  </si>
  <si>
    <t>53B5</t>
  </si>
  <si>
    <t>128C27</t>
  </si>
  <si>
    <t>53B4</t>
  </si>
  <si>
    <t>128C28</t>
  </si>
  <si>
    <t>53B3</t>
  </si>
  <si>
    <t>128C29</t>
  </si>
  <si>
    <t>53B2</t>
  </si>
  <si>
    <t>128C3</t>
  </si>
  <si>
    <t>53B18</t>
  </si>
  <si>
    <t>128C30</t>
  </si>
  <si>
    <t>53B17</t>
  </si>
  <si>
    <t>128C31</t>
  </si>
  <si>
    <t>53B16</t>
  </si>
  <si>
    <t>128C32</t>
  </si>
  <si>
    <t>53B15</t>
  </si>
  <si>
    <t>128C4</t>
  </si>
  <si>
    <t>53B14</t>
  </si>
  <si>
    <t>128C5</t>
  </si>
  <si>
    <t>53B13</t>
  </si>
  <si>
    <t>128C6</t>
  </si>
  <si>
    <t>53B12</t>
  </si>
  <si>
    <t>128C7</t>
  </si>
  <si>
    <t>53B11</t>
  </si>
  <si>
    <t>128C8</t>
  </si>
  <si>
    <t>53B10</t>
  </si>
  <si>
    <t>128C9</t>
  </si>
  <si>
    <t>53B1</t>
  </si>
  <si>
    <t>128D1</t>
  </si>
  <si>
    <t>53A9</t>
  </si>
  <si>
    <t>128D10</t>
  </si>
  <si>
    <t>53A8</t>
  </si>
  <si>
    <t>128D11</t>
  </si>
  <si>
    <t>53A7</t>
  </si>
  <si>
    <t>128D12</t>
  </si>
  <si>
    <t>53A6</t>
  </si>
  <si>
    <t>128D13</t>
  </si>
  <si>
    <t>53A5</t>
  </si>
  <si>
    <t>128D14</t>
  </si>
  <si>
    <t>53A4</t>
  </si>
  <si>
    <t>128D15</t>
  </si>
  <si>
    <t>53A3</t>
  </si>
  <si>
    <t>128D16</t>
  </si>
  <si>
    <t>53A2</t>
  </si>
  <si>
    <t>128D17</t>
  </si>
  <si>
    <t>53A18</t>
  </si>
  <si>
    <t>128D18</t>
  </si>
  <si>
    <t>53A17</t>
  </si>
  <si>
    <t>128D19</t>
  </si>
  <si>
    <t>53A16</t>
  </si>
  <si>
    <t>128D2</t>
  </si>
  <si>
    <t>53A15</t>
  </si>
  <si>
    <t>128D20</t>
  </si>
  <si>
    <t>53A14</t>
  </si>
  <si>
    <t>128D21</t>
  </si>
  <si>
    <t>53A13</t>
  </si>
  <si>
    <t>128D22</t>
  </si>
  <si>
    <t>53A12</t>
  </si>
  <si>
    <t>128D23</t>
  </si>
  <si>
    <t>53A11</t>
  </si>
  <si>
    <t>128D24</t>
  </si>
  <si>
    <t>53A10</t>
  </si>
  <si>
    <t>128D25</t>
  </si>
  <si>
    <t>53A1</t>
  </si>
  <si>
    <t>128D26</t>
  </si>
  <si>
    <t>52C9</t>
  </si>
  <si>
    <t>128D27</t>
  </si>
  <si>
    <t>52C8</t>
  </si>
  <si>
    <t>128D28</t>
  </si>
  <si>
    <t>52C7</t>
  </si>
  <si>
    <t>128D29</t>
  </si>
  <si>
    <t>52C6</t>
  </si>
  <si>
    <t>128D3</t>
  </si>
  <si>
    <t>52C5</t>
  </si>
  <si>
    <t>128D30</t>
  </si>
  <si>
    <t>52C4</t>
  </si>
  <si>
    <t>128D31</t>
  </si>
  <si>
    <t>52C3</t>
  </si>
  <si>
    <t>128D32</t>
  </si>
  <si>
    <t>52C18</t>
  </si>
  <si>
    <t>128D4</t>
  </si>
  <si>
    <t>52C17</t>
  </si>
  <si>
    <t>128D5</t>
  </si>
  <si>
    <t>52C16</t>
  </si>
  <si>
    <t>128D6</t>
  </si>
  <si>
    <t>52C15</t>
  </si>
  <si>
    <t>128D7</t>
  </si>
  <si>
    <t>52C14</t>
  </si>
  <si>
    <t>128D8</t>
  </si>
  <si>
    <t>52C13</t>
  </si>
  <si>
    <t>128D9</t>
  </si>
  <si>
    <t>52C12</t>
  </si>
  <si>
    <t>12A1</t>
  </si>
  <si>
    <t>52C11</t>
  </si>
  <si>
    <t>12A2</t>
  </si>
  <si>
    <t>52C10</t>
  </si>
  <si>
    <t>12A3</t>
  </si>
  <si>
    <t>52B9</t>
  </si>
  <si>
    <t>12B1</t>
  </si>
  <si>
    <t>52B8</t>
  </si>
  <si>
    <t>12B2</t>
  </si>
  <si>
    <t>52B7</t>
  </si>
  <si>
    <t>12B3</t>
  </si>
  <si>
    <t>52B6</t>
  </si>
  <si>
    <t>12C1</t>
  </si>
  <si>
    <t>52B5</t>
  </si>
  <si>
    <t>12C2</t>
  </si>
  <si>
    <t>52B4</t>
  </si>
  <si>
    <t>12C3</t>
  </si>
  <si>
    <t>52B3</t>
  </si>
  <si>
    <t>12D1</t>
  </si>
  <si>
    <t>52B2</t>
  </si>
  <si>
    <t>12D2</t>
  </si>
  <si>
    <t>52B18</t>
  </si>
  <si>
    <t>12D3</t>
  </si>
  <si>
    <t>52B17</t>
  </si>
  <si>
    <t>13A1</t>
  </si>
  <si>
    <t>52B16</t>
  </si>
  <si>
    <t>13A2</t>
  </si>
  <si>
    <t>52B15</t>
  </si>
  <si>
    <t>13A3</t>
  </si>
  <si>
    <t>52B14</t>
  </si>
  <si>
    <t>13A4</t>
  </si>
  <si>
    <t>52B13</t>
  </si>
  <si>
    <t>13B1</t>
  </si>
  <si>
    <t>52B12</t>
  </si>
  <si>
    <t>13B2</t>
  </si>
  <si>
    <t>52B11</t>
  </si>
  <si>
    <t>13B3</t>
  </si>
  <si>
    <t>52B10</t>
  </si>
  <si>
    <t>13B4</t>
  </si>
  <si>
    <t>52B1</t>
  </si>
  <si>
    <t>13C1</t>
  </si>
  <si>
    <t>52A9</t>
  </si>
  <si>
    <t>13C2</t>
  </si>
  <si>
    <t>52A8</t>
  </si>
  <si>
    <t>13C3</t>
  </si>
  <si>
    <t>52A7</t>
  </si>
  <si>
    <t>13C4</t>
  </si>
  <si>
    <t>52A6</t>
  </si>
  <si>
    <t>13D4</t>
  </si>
  <si>
    <t>52A5</t>
  </si>
  <si>
    <t>14A1</t>
  </si>
  <si>
    <t>52A4</t>
  </si>
  <si>
    <t>14A2</t>
  </si>
  <si>
    <t>52A3</t>
  </si>
  <si>
    <t>14A3</t>
  </si>
  <si>
    <t>52A2</t>
  </si>
  <si>
    <t>14A4</t>
  </si>
  <si>
    <t>52A18</t>
  </si>
  <si>
    <t>14B1</t>
  </si>
  <si>
    <t>52A17</t>
  </si>
  <si>
    <t>14B2</t>
  </si>
  <si>
    <t>52A16</t>
  </si>
  <si>
    <t>14B3</t>
  </si>
  <si>
    <t>52A15</t>
  </si>
  <si>
    <t>14B4</t>
  </si>
  <si>
    <t>52A14</t>
  </si>
  <si>
    <t>14C1</t>
  </si>
  <si>
    <t>52A13</t>
  </si>
  <si>
    <t>14C2</t>
  </si>
  <si>
    <t>52A12</t>
  </si>
  <si>
    <t>14C3</t>
  </si>
  <si>
    <t>52A11</t>
  </si>
  <si>
    <t>14C4</t>
  </si>
  <si>
    <t>52A10</t>
  </si>
  <si>
    <t>14D3</t>
  </si>
  <si>
    <t>52A1</t>
  </si>
  <si>
    <t>14D4</t>
  </si>
  <si>
    <t>51C9</t>
  </si>
  <si>
    <t>15A1</t>
  </si>
  <si>
    <t>51C8</t>
  </si>
  <si>
    <t>15A2</t>
  </si>
  <si>
    <t>51C7</t>
  </si>
  <si>
    <t>15A3</t>
  </si>
  <si>
    <t>51C6</t>
  </si>
  <si>
    <t>15A4</t>
  </si>
  <si>
    <t>51C5</t>
  </si>
  <si>
    <t>15B1</t>
  </si>
  <si>
    <t>51C4</t>
  </si>
  <si>
    <t>15B2</t>
  </si>
  <si>
    <t>51C3</t>
  </si>
  <si>
    <t>15B3</t>
  </si>
  <si>
    <t>51C2</t>
  </si>
  <si>
    <t>15B4</t>
  </si>
  <si>
    <t>51C17</t>
  </si>
  <si>
    <t>15C1</t>
  </si>
  <si>
    <t>51C16</t>
  </si>
  <si>
    <t>15C2</t>
  </si>
  <si>
    <t>51C15</t>
  </si>
  <si>
    <t>15C3</t>
  </si>
  <si>
    <t>51C14</t>
  </si>
  <si>
    <t>15C4</t>
  </si>
  <si>
    <t>51C13</t>
  </si>
  <si>
    <t>15D2</t>
  </si>
  <si>
    <t>51C12</t>
  </si>
  <si>
    <t>15D3</t>
  </si>
  <si>
    <t>51C11</t>
  </si>
  <si>
    <t>15D4</t>
  </si>
  <si>
    <t>51C10</t>
  </si>
  <si>
    <t>16A1</t>
  </si>
  <si>
    <t>51C1</t>
  </si>
  <si>
    <t>16A2</t>
  </si>
  <si>
    <t>51B9</t>
  </si>
  <si>
    <t>16A3</t>
  </si>
  <si>
    <t>51B8</t>
  </si>
  <si>
    <t>16A4</t>
  </si>
  <si>
    <t>51B7</t>
  </si>
  <si>
    <t>16B1</t>
  </si>
  <si>
    <t>51B6</t>
  </si>
  <si>
    <t>16B2</t>
  </si>
  <si>
    <t>51B5</t>
  </si>
  <si>
    <t>16B3</t>
  </si>
  <si>
    <t>51B4</t>
  </si>
  <si>
    <t>16B4</t>
  </si>
  <si>
    <t>51B3</t>
  </si>
  <si>
    <t>16C1</t>
  </si>
  <si>
    <t>51B2</t>
  </si>
  <si>
    <t>16C2</t>
  </si>
  <si>
    <t>51B17</t>
  </si>
  <si>
    <t>16C3</t>
  </si>
  <si>
    <t>51B16</t>
  </si>
  <si>
    <t>16C4</t>
  </si>
  <si>
    <t>51B15</t>
  </si>
  <si>
    <t>16D1</t>
  </si>
  <si>
    <t>51B14</t>
  </si>
  <si>
    <t>16D2</t>
  </si>
  <si>
    <t>51B13</t>
  </si>
  <si>
    <t>16D3</t>
  </si>
  <si>
    <t>51B12</t>
  </si>
  <si>
    <t>16D4</t>
  </si>
  <si>
    <t>51B11</t>
  </si>
  <si>
    <t>17A1</t>
  </si>
  <si>
    <t>51B10</t>
  </si>
  <si>
    <t>17A2</t>
  </si>
  <si>
    <t>51B1</t>
  </si>
  <si>
    <t>17A3</t>
  </si>
  <si>
    <t>51A9</t>
  </si>
  <si>
    <t>17A4</t>
  </si>
  <si>
    <t>51A8</t>
  </si>
  <si>
    <t>17A5</t>
  </si>
  <si>
    <t>51A7</t>
  </si>
  <si>
    <t>17B1</t>
  </si>
  <si>
    <t>51A6</t>
  </si>
  <si>
    <t>17B2</t>
  </si>
  <si>
    <t>51A5</t>
  </si>
  <si>
    <t>17B3</t>
  </si>
  <si>
    <t>51A4</t>
  </si>
  <si>
    <t>17B4</t>
  </si>
  <si>
    <t>51A3</t>
  </si>
  <si>
    <t>17B5</t>
  </si>
  <si>
    <t>51A2</t>
  </si>
  <si>
    <t>17C1</t>
  </si>
  <si>
    <t>51A17</t>
  </si>
  <si>
    <t>17C2</t>
  </si>
  <si>
    <t>51A16</t>
  </si>
  <si>
    <t>17C3</t>
  </si>
  <si>
    <t>51A15</t>
  </si>
  <si>
    <t>17C4</t>
  </si>
  <si>
    <t>51A14</t>
  </si>
  <si>
    <t>17C5</t>
  </si>
  <si>
    <t>51A13</t>
  </si>
  <si>
    <t>17D4</t>
  </si>
  <si>
    <t>51A12</t>
  </si>
  <si>
    <t>17D5</t>
  </si>
  <si>
    <t>51A11</t>
  </si>
  <si>
    <t>18A1</t>
  </si>
  <si>
    <t>51A10</t>
  </si>
  <si>
    <t>18A2</t>
  </si>
  <si>
    <t>51A1</t>
  </si>
  <si>
    <t>18A3</t>
  </si>
  <si>
    <t>50C9</t>
  </si>
  <si>
    <t>18A4</t>
  </si>
  <si>
    <t>50C8</t>
  </si>
  <si>
    <t>18A5</t>
  </si>
  <si>
    <t>50C7</t>
  </si>
  <si>
    <t>18B1</t>
  </si>
  <si>
    <t>50C6</t>
  </si>
  <si>
    <t>18B2</t>
  </si>
  <si>
    <t>50C5</t>
  </si>
  <si>
    <t>18B3</t>
  </si>
  <si>
    <t>50C4</t>
  </si>
  <si>
    <t>18B4</t>
  </si>
  <si>
    <t>50C3</t>
  </si>
  <si>
    <t>18B5</t>
  </si>
  <si>
    <t>50C2</t>
  </si>
  <si>
    <t>18C1</t>
  </si>
  <si>
    <t>50C17</t>
  </si>
  <si>
    <t>18C2</t>
  </si>
  <si>
    <t>50C16</t>
  </si>
  <si>
    <t>18C3</t>
  </si>
  <si>
    <t>50C15</t>
  </si>
  <si>
    <t>18C4</t>
  </si>
  <si>
    <t>50C14</t>
  </si>
  <si>
    <t>18C5</t>
  </si>
  <si>
    <t>50C13</t>
  </si>
  <si>
    <t>18D3</t>
  </si>
  <si>
    <t>50C12</t>
  </si>
  <si>
    <t>18D4</t>
  </si>
  <si>
    <t>50C11</t>
  </si>
  <si>
    <t>18D5</t>
  </si>
  <si>
    <t>50C10</t>
  </si>
  <si>
    <t>19A1</t>
  </si>
  <si>
    <t>50B9</t>
  </si>
  <si>
    <t>19A2</t>
  </si>
  <si>
    <t>50B8</t>
  </si>
  <si>
    <t>19A3</t>
  </si>
  <si>
    <t>50B7</t>
  </si>
  <si>
    <t>19A4</t>
  </si>
  <si>
    <t>50B6</t>
  </si>
  <si>
    <t>19A5</t>
  </si>
  <si>
    <t>50B5</t>
  </si>
  <si>
    <t>19B1</t>
  </si>
  <si>
    <t>50B4</t>
  </si>
  <si>
    <t>19B2</t>
  </si>
  <si>
    <t>50B3</t>
  </si>
  <si>
    <t>19B3</t>
  </si>
  <si>
    <t>50B2</t>
  </si>
  <si>
    <t>19B4</t>
  </si>
  <si>
    <t>50B17</t>
  </si>
  <si>
    <t>19B5</t>
  </si>
  <si>
    <t>50B16</t>
  </si>
  <si>
    <t>19C1</t>
  </si>
  <si>
    <t>50B15</t>
  </si>
  <si>
    <t>19C2</t>
  </si>
  <si>
    <t>50B14</t>
  </si>
  <si>
    <t>19C3</t>
  </si>
  <si>
    <t>50B13</t>
  </si>
  <si>
    <t>19C4</t>
  </si>
  <si>
    <t>50B12</t>
  </si>
  <si>
    <t>19C5</t>
  </si>
  <si>
    <t>50B11</t>
  </si>
  <si>
    <t>19D2</t>
  </si>
  <si>
    <t>50B10</t>
  </si>
  <si>
    <t>19D3</t>
  </si>
  <si>
    <t>50B1</t>
  </si>
  <si>
    <t>19D4</t>
  </si>
  <si>
    <t>50A9</t>
  </si>
  <si>
    <t>19D5</t>
  </si>
  <si>
    <t>50A8</t>
  </si>
  <si>
    <t>1A1</t>
  </si>
  <si>
    <t>50A7</t>
  </si>
  <si>
    <t>20A1</t>
  </si>
  <si>
    <t>50A6</t>
  </si>
  <si>
    <t>20A2</t>
  </si>
  <si>
    <t>50A5</t>
  </si>
  <si>
    <t>20A3</t>
  </si>
  <si>
    <t>50A4</t>
  </si>
  <si>
    <t>20A4</t>
  </si>
  <si>
    <t>50A3</t>
  </si>
  <si>
    <t>20A5</t>
  </si>
  <si>
    <t>50A2</t>
  </si>
  <si>
    <t>20B1</t>
  </si>
  <si>
    <t>50A17</t>
  </si>
  <si>
    <t>20B2</t>
  </si>
  <si>
    <t>50A16</t>
  </si>
  <si>
    <t>20B3</t>
  </si>
  <si>
    <t>50A15</t>
  </si>
  <si>
    <t>20B4</t>
  </si>
  <si>
    <t>50A14</t>
  </si>
  <si>
    <t>20B5</t>
  </si>
  <si>
    <t>50A13</t>
  </si>
  <si>
    <t>20C1</t>
  </si>
  <si>
    <t>50A12</t>
  </si>
  <si>
    <t>20C2</t>
  </si>
  <si>
    <t>50A11</t>
  </si>
  <si>
    <t>20C3</t>
  </si>
  <si>
    <t>50A10</t>
  </si>
  <si>
    <t>20C4</t>
  </si>
  <si>
    <t>50A1</t>
  </si>
  <si>
    <t>20C5</t>
  </si>
  <si>
    <t>4B2</t>
  </si>
  <si>
    <t>20D1</t>
  </si>
  <si>
    <t>4B1</t>
  </si>
  <si>
    <t>20D2</t>
  </si>
  <si>
    <t>4A2</t>
  </si>
  <si>
    <t>20D3</t>
  </si>
  <si>
    <t>4A1</t>
  </si>
  <si>
    <t>20D4</t>
  </si>
  <si>
    <t>49C9</t>
  </si>
  <si>
    <t>20D5</t>
  </si>
  <si>
    <t>49C8</t>
  </si>
  <si>
    <t>21A1</t>
  </si>
  <si>
    <t>49C7</t>
  </si>
  <si>
    <t>21A2</t>
  </si>
  <si>
    <t>49C6</t>
  </si>
  <si>
    <t>21A3</t>
  </si>
  <si>
    <t>49C5</t>
  </si>
  <si>
    <t>21A4</t>
  </si>
  <si>
    <t>49C4</t>
  </si>
  <si>
    <t>21A5</t>
  </si>
  <si>
    <t>49C3</t>
  </si>
  <si>
    <t>21A6</t>
  </si>
  <si>
    <t>49C17</t>
  </si>
  <si>
    <t>21B1</t>
  </si>
  <si>
    <t>49C16</t>
  </si>
  <si>
    <t>21B2</t>
  </si>
  <si>
    <t>49C15</t>
  </si>
  <si>
    <t>21B3</t>
  </si>
  <si>
    <t>49C14</t>
  </si>
  <si>
    <t>21B4</t>
  </si>
  <si>
    <t>49C13</t>
  </si>
  <si>
    <t>21B5</t>
  </si>
  <si>
    <t>49C12</t>
  </si>
  <si>
    <t>21B6</t>
  </si>
  <si>
    <t>49C11</t>
  </si>
  <si>
    <t>21C1</t>
  </si>
  <si>
    <t>49C10</t>
  </si>
  <si>
    <t>21C2</t>
  </si>
  <si>
    <t>49B9</t>
  </si>
  <si>
    <t>21C3</t>
  </si>
  <si>
    <t>49B8</t>
  </si>
  <si>
    <t>21C4</t>
  </si>
  <si>
    <t>49B7</t>
  </si>
  <si>
    <t>21C5</t>
  </si>
  <si>
    <t>49B6</t>
  </si>
  <si>
    <t>21C6</t>
  </si>
  <si>
    <t>49B5</t>
  </si>
  <si>
    <t>21D4</t>
  </si>
  <si>
    <t>49B4</t>
  </si>
  <si>
    <t>21D5</t>
  </si>
  <si>
    <t>49B3</t>
  </si>
  <si>
    <t>21D6</t>
  </si>
  <si>
    <t>49B2</t>
  </si>
  <si>
    <t>22A1</t>
  </si>
  <si>
    <t>49B17</t>
  </si>
  <si>
    <t>22A2</t>
  </si>
  <si>
    <t>49B16</t>
  </si>
  <si>
    <t>22A3</t>
  </si>
  <si>
    <t>49B15</t>
  </si>
  <si>
    <t>22A4</t>
  </si>
  <si>
    <t>49B14</t>
  </si>
  <si>
    <t>22A5</t>
  </si>
  <si>
    <t>49B13</t>
  </si>
  <si>
    <t>22A6</t>
  </si>
  <si>
    <t>49B12</t>
  </si>
  <si>
    <t>22B1</t>
  </si>
  <si>
    <t>49B11</t>
  </si>
  <si>
    <t>22B2</t>
  </si>
  <si>
    <t>49B10</t>
  </si>
  <si>
    <t>22B3</t>
  </si>
  <si>
    <t>49B1</t>
  </si>
  <si>
    <t>22B4</t>
  </si>
  <si>
    <t>49A9</t>
  </si>
  <si>
    <t>22B5</t>
  </si>
  <si>
    <t>49A8</t>
  </si>
  <si>
    <t>22B6</t>
  </si>
  <si>
    <t>49A7</t>
  </si>
  <si>
    <t>22C1</t>
  </si>
  <si>
    <t>49A6</t>
  </si>
  <si>
    <t>22C2</t>
  </si>
  <si>
    <t>49A5</t>
  </si>
  <si>
    <t>22C3</t>
  </si>
  <si>
    <t>49A4</t>
  </si>
  <si>
    <t>22C4</t>
  </si>
  <si>
    <t>49A3</t>
  </si>
  <si>
    <t>22C5</t>
  </si>
  <si>
    <t>49A2</t>
  </si>
  <si>
    <t>22C6</t>
  </si>
  <si>
    <t>49A17</t>
  </si>
  <si>
    <t>22D3</t>
  </si>
  <si>
    <t>49A16</t>
  </si>
  <si>
    <t>22D4</t>
  </si>
  <si>
    <t>49A15</t>
  </si>
  <si>
    <t>22D5</t>
  </si>
  <si>
    <t>49A14</t>
  </si>
  <si>
    <t>22D6</t>
  </si>
  <si>
    <t>49A13</t>
  </si>
  <si>
    <t>23A1</t>
  </si>
  <si>
    <t>49A12</t>
  </si>
  <si>
    <t>23A2</t>
  </si>
  <si>
    <t>49A11</t>
  </si>
  <si>
    <t>23A3</t>
  </si>
  <si>
    <t>49A10</t>
  </si>
  <si>
    <t>23A4</t>
  </si>
  <si>
    <t>49A1</t>
  </si>
  <si>
    <t>23A5</t>
  </si>
  <si>
    <t>48C9</t>
  </si>
  <si>
    <t>23A6</t>
  </si>
  <si>
    <t>48C8</t>
  </si>
  <si>
    <t>23B1</t>
  </si>
  <si>
    <t>48C7</t>
  </si>
  <si>
    <t>23B2</t>
  </si>
  <si>
    <t>48C6</t>
  </si>
  <si>
    <t>23B3</t>
  </si>
  <si>
    <t>48C5</t>
  </si>
  <si>
    <t>23B4</t>
  </si>
  <si>
    <t>48C4</t>
  </si>
  <si>
    <t>23B5</t>
  </si>
  <si>
    <t>48C3</t>
  </si>
  <si>
    <t>23B6</t>
  </si>
  <si>
    <t>48C2</t>
  </si>
  <si>
    <t>23C1</t>
  </si>
  <si>
    <t>48C16</t>
  </si>
  <si>
    <t>23C2</t>
  </si>
  <si>
    <t>48C15</t>
  </si>
  <si>
    <t>23C3</t>
  </si>
  <si>
    <t>48C14</t>
  </si>
  <si>
    <t>23C4</t>
  </si>
  <si>
    <t>48C13</t>
  </si>
  <si>
    <t>23C5</t>
  </si>
  <si>
    <t>48C12</t>
  </si>
  <si>
    <t>23C6</t>
  </si>
  <si>
    <t>48C11</t>
  </si>
  <si>
    <t>23D2</t>
  </si>
  <si>
    <t>48C10</t>
  </si>
  <si>
    <t>23D3</t>
  </si>
  <si>
    <t>48C1</t>
  </si>
  <si>
    <t>23D4</t>
  </si>
  <si>
    <t>48B9</t>
  </si>
  <si>
    <t>23D5</t>
  </si>
  <si>
    <t>48B8</t>
  </si>
  <si>
    <t>23D6</t>
  </si>
  <si>
    <t>48B7</t>
  </si>
  <si>
    <t>24A1</t>
  </si>
  <si>
    <t>48B6</t>
  </si>
  <si>
    <t>24A2</t>
  </si>
  <si>
    <t>48B5</t>
  </si>
  <si>
    <t>24A3</t>
  </si>
  <si>
    <t>48B4</t>
  </si>
  <si>
    <t>24A4</t>
  </si>
  <si>
    <t>48B3</t>
  </si>
  <si>
    <t>24A5</t>
  </si>
  <si>
    <t>48B2</t>
  </si>
  <si>
    <t>24A6</t>
  </si>
  <si>
    <t>48B16</t>
  </si>
  <si>
    <t>24B1</t>
  </si>
  <si>
    <t>48B15</t>
  </si>
  <si>
    <t>24B2</t>
  </si>
  <si>
    <t>48B14</t>
  </si>
  <si>
    <t>24B3</t>
  </si>
  <si>
    <t>48B13</t>
  </si>
  <si>
    <t>24B4</t>
  </si>
  <si>
    <t>48B12</t>
  </si>
  <si>
    <t>24B5</t>
  </si>
  <si>
    <t>48B11</t>
  </si>
  <si>
    <t>24B6</t>
  </si>
  <si>
    <t>48B10</t>
  </si>
  <si>
    <t>24C1</t>
  </si>
  <si>
    <t>48B1</t>
  </si>
  <si>
    <t>24C2</t>
  </si>
  <si>
    <t>48A9</t>
  </si>
  <si>
    <t>24C3</t>
  </si>
  <si>
    <t>48A8</t>
  </si>
  <si>
    <t>24C4</t>
  </si>
  <si>
    <t>48A7</t>
  </si>
  <si>
    <t>24C5</t>
  </si>
  <si>
    <t>48A6</t>
  </si>
  <si>
    <t>24C6</t>
  </si>
  <si>
    <t>48A5</t>
  </si>
  <si>
    <t>24D1</t>
  </si>
  <si>
    <t>48A4</t>
  </si>
  <si>
    <t>24D2</t>
  </si>
  <si>
    <t>48A3</t>
  </si>
  <si>
    <t>24D3</t>
  </si>
  <si>
    <t>48A2</t>
  </si>
  <si>
    <t>24D4</t>
  </si>
  <si>
    <t>48A16</t>
  </si>
  <si>
    <t>24D5</t>
  </si>
  <si>
    <t>48A15</t>
  </si>
  <si>
    <t>24D6</t>
  </si>
  <si>
    <t>48A14</t>
  </si>
  <si>
    <t>25A1</t>
  </si>
  <si>
    <t>48A13</t>
  </si>
  <si>
    <t>25A2</t>
  </si>
  <si>
    <t>48A12</t>
  </si>
  <si>
    <t>25A3</t>
  </si>
  <si>
    <t>48A11</t>
  </si>
  <si>
    <t>25A4</t>
  </si>
  <si>
    <t>48A10</t>
  </si>
  <si>
    <t>25A5</t>
  </si>
  <si>
    <t>48A1</t>
  </si>
  <si>
    <t>25A6</t>
  </si>
  <si>
    <t>47C9</t>
  </si>
  <si>
    <t>25A7</t>
  </si>
  <si>
    <t>47C8</t>
  </si>
  <si>
    <t>25B1</t>
  </si>
  <si>
    <t>47C7</t>
  </si>
  <si>
    <t>25B2</t>
  </si>
  <si>
    <t>47C6</t>
  </si>
  <si>
    <t>25B3</t>
  </si>
  <si>
    <t>47C5</t>
  </si>
  <si>
    <t>25B4</t>
  </si>
  <si>
    <t>47C4</t>
  </si>
  <si>
    <t>25B5</t>
  </si>
  <si>
    <t>47C3</t>
  </si>
  <si>
    <t>25B6</t>
  </si>
  <si>
    <t>47C2</t>
  </si>
  <si>
    <t>25B7</t>
  </si>
  <si>
    <t>47C16</t>
  </si>
  <si>
    <t>25C1</t>
  </si>
  <si>
    <t>47C15</t>
  </si>
  <si>
    <t>25C2</t>
  </si>
  <si>
    <t>47C14</t>
  </si>
  <si>
    <t>25C3</t>
  </si>
  <si>
    <t>47C13</t>
  </si>
  <si>
    <t>25C4</t>
  </si>
  <si>
    <t>47C12</t>
  </si>
  <si>
    <t>25C5</t>
  </si>
  <si>
    <t>47C11</t>
  </si>
  <si>
    <t>25C6</t>
  </si>
  <si>
    <t>47C10</t>
  </si>
  <si>
    <t>25C7</t>
  </si>
  <si>
    <t>47B9</t>
  </si>
  <si>
    <t>25D4</t>
  </si>
  <si>
    <t>47B8</t>
  </si>
  <si>
    <t>25D5</t>
  </si>
  <si>
    <t>47B7</t>
  </si>
  <si>
    <t>25D6</t>
  </si>
  <si>
    <t>47B6</t>
  </si>
  <si>
    <t>25D7</t>
  </si>
  <si>
    <t>47B5</t>
  </si>
  <si>
    <t>26A1</t>
  </si>
  <si>
    <t>47B4</t>
  </si>
  <si>
    <t>26A2</t>
  </si>
  <si>
    <t>47B3</t>
  </si>
  <si>
    <t>26A3</t>
  </si>
  <si>
    <t>47B2</t>
  </si>
  <si>
    <t>26A4</t>
  </si>
  <si>
    <t>47B16</t>
  </si>
  <si>
    <t>26A5</t>
  </si>
  <si>
    <t>47B15</t>
  </si>
  <si>
    <t>26A6</t>
  </si>
  <si>
    <t>47B14</t>
  </si>
  <si>
    <t>26A7</t>
  </si>
  <si>
    <t>47B13</t>
  </si>
  <si>
    <t>26B1</t>
  </si>
  <si>
    <t>47B12</t>
  </si>
  <si>
    <t>26B2</t>
  </si>
  <si>
    <t>47B11</t>
  </si>
  <si>
    <t>26B3</t>
  </si>
  <si>
    <t>47B10</t>
  </si>
  <si>
    <t>26B4</t>
  </si>
  <si>
    <t>47B1</t>
  </si>
  <si>
    <t>26B5</t>
  </si>
  <si>
    <t>47A9</t>
  </si>
  <si>
    <t>26B6</t>
  </si>
  <si>
    <t>47A8</t>
  </si>
  <si>
    <t>26B7</t>
  </si>
  <si>
    <t>47A7</t>
  </si>
  <si>
    <t>26C1</t>
  </si>
  <si>
    <t>47A6</t>
  </si>
  <si>
    <t>26C2</t>
  </si>
  <si>
    <t>47A5</t>
  </si>
  <si>
    <t>26C3</t>
  </si>
  <si>
    <t>47A4</t>
  </si>
  <si>
    <t>26C4</t>
  </si>
  <si>
    <t>47A3</t>
  </si>
  <si>
    <t>26C5</t>
  </si>
  <si>
    <t>47A2</t>
  </si>
  <si>
    <t>26C6</t>
  </si>
  <si>
    <t>47A16</t>
  </si>
  <si>
    <t>26C7</t>
  </si>
  <si>
    <t>47A15</t>
  </si>
  <si>
    <t>26D3</t>
  </si>
  <si>
    <t>47A14</t>
  </si>
  <si>
    <t>26D4</t>
  </si>
  <si>
    <t>47A13</t>
  </si>
  <si>
    <t>26D5</t>
  </si>
  <si>
    <t>47A12</t>
  </si>
  <si>
    <t>26D6</t>
  </si>
  <si>
    <t>47A11</t>
  </si>
  <si>
    <t>26D7</t>
  </si>
  <si>
    <t>47A10</t>
  </si>
  <si>
    <t>27A1</t>
  </si>
  <si>
    <t>47A1</t>
  </si>
  <si>
    <t>27A2</t>
  </si>
  <si>
    <t>46C9</t>
  </si>
  <si>
    <t>27A3</t>
  </si>
  <si>
    <t>46C8</t>
  </si>
  <si>
    <t>27A4</t>
  </si>
  <si>
    <t>46C7</t>
  </si>
  <si>
    <t>27A5</t>
  </si>
  <si>
    <t>46C6</t>
  </si>
  <si>
    <t>27A6</t>
  </si>
  <si>
    <t>46C5</t>
  </si>
  <si>
    <t>27A7</t>
  </si>
  <si>
    <t>46C4</t>
  </si>
  <si>
    <t>27B1</t>
  </si>
  <si>
    <t>46C3</t>
  </si>
  <si>
    <t>27B2</t>
  </si>
  <si>
    <t>46C16</t>
  </si>
  <si>
    <t>27B3</t>
  </si>
  <si>
    <t>46C15</t>
  </si>
  <si>
    <t>27B4</t>
  </si>
  <si>
    <t>46C14</t>
  </si>
  <si>
    <t>27B5</t>
  </si>
  <si>
    <t>46C13</t>
  </si>
  <si>
    <t>27B6</t>
  </si>
  <si>
    <t>46C12</t>
  </si>
  <si>
    <t>27B7</t>
  </si>
  <si>
    <t>46C11</t>
  </si>
  <si>
    <t>27C1</t>
  </si>
  <si>
    <t>46C10</t>
  </si>
  <si>
    <t>27C2</t>
  </si>
  <si>
    <t>46B9</t>
  </si>
  <si>
    <t>27C3</t>
  </si>
  <si>
    <t>46B8</t>
  </si>
  <si>
    <t>27C4</t>
  </si>
  <si>
    <t>46B7</t>
  </si>
  <si>
    <t>27C5</t>
  </si>
  <si>
    <t>46B6</t>
  </si>
  <si>
    <t>27C6</t>
  </si>
  <si>
    <t>46B5</t>
  </si>
  <si>
    <t>27C7</t>
  </si>
  <si>
    <t>46B4</t>
  </si>
  <si>
    <t>27D2</t>
  </si>
  <si>
    <t>46B3</t>
  </si>
  <si>
    <t>27D3</t>
  </si>
  <si>
    <t>46B2</t>
  </si>
  <si>
    <t>27D4</t>
  </si>
  <si>
    <t>46B16</t>
  </si>
  <si>
    <t>27D5</t>
  </si>
  <si>
    <t>46B15</t>
  </si>
  <si>
    <t>27D6</t>
  </si>
  <si>
    <t>46B14</t>
  </si>
  <si>
    <t>27D7</t>
  </si>
  <si>
    <t>46B13</t>
  </si>
  <si>
    <t>28A1</t>
  </si>
  <si>
    <t>46B12</t>
  </si>
  <si>
    <t>28A2</t>
  </si>
  <si>
    <t>46B11</t>
  </si>
  <si>
    <t>28A3</t>
  </si>
  <si>
    <t>46B10</t>
  </si>
  <si>
    <t>28A4</t>
  </si>
  <si>
    <t>46B1</t>
  </si>
  <si>
    <t>28A5</t>
  </si>
  <si>
    <t>46A9</t>
  </si>
  <si>
    <t>28A6</t>
  </si>
  <si>
    <t>46A8</t>
  </si>
  <si>
    <t>28A7</t>
  </si>
  <si>
    <t>46A7</t>
  </si>
  <si>
    <t>28B1</t>
  </si>
  <si>
    <t>46A6</t>
  </si>
  <si>
    <t>28B2</t>
  </si>
  <si>
    <t>46A5</t>
  </si>
  <si>
    <t>28B3</t>
  </si>
  <si>
    <t>46A4</t>
  </si>
  <si>
    <t>28B4</t>
  </si>
  <si>
    <t>46A3</t>
  </si>
  <si>
    <t>28B5</t>
  </si>
  <si>
    <t>46A2</t>
  </si>
  <si>
    <t>28B6</t>
  </si>
  <si>
    <t>46A16</t>
  </si>
  <si>
    <t>28B7</t>
  </si>
  <si>
    <t>46A15</t>
  </si>
  <si>
    <t>28C1</t>
  </si>
  <si>
    <t>46A14</t>
  </si>
  <si>
    <t>28C2</t>
  </si>
  <si>
    <t>46A13</t>
  </si>
  <si>
    <t>28C3</t>
  </si>
  <si>
    <t>46A12</t>
  </si>
  <si>
    <t>28C4</t>
  </si>
  <si>
    <t>46A11</t>
  </si>
  <si>
    <t>28C5</t>
  </si>
  <si>
    <t>46A10</t>
  </si>
  <si>
    <t>28C6</t>
  </si>
  <si>
    <t>46A1</t>
  </si>
  <si>
    <t>28C7</t>
  </si>
  <si>
    <t>45C9</t>
  </si>
  <si>
    <t>28D1</t>
  </si>
  <si>
    <t>45C8</t>
  </si>
  <si>
    <t>28D2</t>
  </si>
  <si>
    <t>45C7</t>
  </si>
  <si>
    <t>28D3</t>
  </si>
  <si>
    <t>45C6</t>
  </si>
  <si>
    <t>28D4</t>
  </si>
  <si>
    <t>45C5</t>
  </si>
  <si>
    <t>28D5</t>
  </si>
  <si>
    <t>45C4</t>
  </si>
  <si>
    <t>28D6</t>
  </si>
  <si>
    <t>45C3</t>
  </si>
  <si>
    <t>28D7</t>
  </si>
  <si>
    <t>45C2</t>
  </si>
  <si>
    <t>29A1</t>
  </si>
  <si>
    <t>45C15</t>
  </si>
  <si>
    <t>29A2</t>
  </si>
  <si>
    <t>45C14</t>
  </si>
  <si>
    <t>29A3</t>
  </si>
  <si>
    <t>45C13</t>
  </si>
  <si>
    <t>29A4</t>
  </si>
  <si>
    <t>45C12</t>
  </si>
  <si>
    <t>29A5</t>
  </si>
  <si>
    <t>45C11</t>
  </si>
  <si>
    <t>29A6</t>
  </si>
  <si>
    <t>45C10</t>
  </si>
  <si>
    <t>29A7</t>
  </si>
  <si>
    <t>45C1</t>
  </si>
  <si>
    <t>29A8</t>
  </si>
  <si>
    <t>45B9</t>
  </si>
  <si>
    <t>29B1</t>
  </si>
  <si>
    <t>45B8</t>
  </si>
  <si>
    <t>29B2</t>
  </si>
  <si>
    <t>45B7</t>
  </si>
  <si>
    <t>29B3</t>
  </si>
  <si>
    <t>45B6</t>
  </si>
  <si>
    <t>29B4</t>
  </si>
  <si>
    <t>45B5</t>
  </si>
  <si>
    <t>29B5</t>
  </si>
  <si>
    <t>45B4</t>
  </si>
  <si>
    <t>29B6</t>
  </si>
  <si>
    <t>45B3</t>
  </si>
  <si>
    <t>29B7</t>
  </si>
  <si>
    <t>45B2</t>
  </si>
  <si>
    <t>29B8</t>
  </si>
  <si>
    <t>45B15</t>
  </si>
  <si>
    <t>29C1</t>
  </si>
  <si>
    <t>45B14</t>
  </si>
  <si>
    <t>29C2</t>
  </si>
  <si>
    <t>45B13</t>
  </si>
  <si>
    <t>29C3</t>
  </si>
  <si>
    <t>45B12</t>
  </si>
  <si>
    <t>29C4</t>
  </si>
  <si>
    <t>45B11</t>
  </si>
  <si>
    <t>29C5</t>
  </si>
  <si>
    <t>45B10</t>
  </si>
  <si>
    <t>29C6</t>
  </si>
  <si>
    <t>45B1</t>
  </si>
  <si>
    <t>29C7</t>
  </si>
  <si>
    <t>45A9</t>
  </si>
  <si>
    <t>29C8</t>
  </si>
  <si>
    <t>45A8</t>
  </si>
  <si>
    <t>29D4</t>
  </si>
  <si>
    <t>45A7</t>
  </si>
  <si>
    <t>29D5</t>
  </si>
  <si>
    <t>45A6</t>
  </si>
  <si>
    <t>29D6</t>
  </si>
  <si>
    <t>45A5</t>
  </si>
  <si>
    <t>29D7</t>
  </si>
  <si>
    <t>45A4</t>
  </si>
  <si>
    <t>29D8</t>
  </si>
  <si>
    <t>45A3</t>
  </si>
  <si>
    <t>2A1</t>
  </si>
  <si>
    <t>45A2</t>
  </si>
  <si>
    <t>2B1</t>
  </si>
  <si>
    <t>45A15</t>
  </si>
  <si>
    <t>30A1</t>
  </si>
  <si>
    <t>45A14</t>
  </si>
  <si>
    <t>30A2</t>
  </si>
  <si>
    <t>45A13</t>
  </si>
  <si>
    <t>30A3</t>
  </si>
  <si>
    <t>45A12</t>
  </si>
  <si>
    <t>30A4</t>
  </si>
  <si>
    <t>45A11</t>
  </si>
  <si>
    <t>30A5</t>
  </si>
  <si>
    <t>45A10</t>
  </si>
  <si>
    <t>30A6</t>
  </si>
  <si>
    <t>45A1</t>
  </si>
  <si>
    <t>30A7</t>
  </si>
  <si>
    <t>44C9</t>
  </si>
  <si>
    <t>30A8</t>
  </si>
  <si>
    <t>44C8</t>
  </si>
  <si>
    <t>30B1</t>
  </si>
  <si>
    <t>44C7</t>
  </si>
  <si>
    <t>30B2</t>
  </si>
  <si>
    <t>44C6</t>
  </si>
  <si>
    <t>30B3</t>
  </si>
  <si>
    <t>44C5</t>
  </si>
  <si>
    <t>30B4</t>
  </si>
  <si>
    <t>44C4</t>
  </si>
  <si>
    <t>30B5</t>
  </si>
  <si>
    <t>44C3</t>
  </si>
  <si>
    <t>30B6</t>
  </si>
  <si>
    <t>44C2</t>
  </si>
  <si>
    <t>30B7</t>
  </si>
  <si>
    <t>44C15</t>
  </si>
  <si>
    <t>30B8</t>
  </si>
  <si>
    <t>44C14</t>
  </si>
  <si>
    <t>30C1</t>
  </si>
  <si>
    <t>44C13</t>
  </si>
  <si>
    <t>30C2</t>
  </si>
  <si>
    <t>44C12</t>
  </si>
  <si>
    <t>30C3</t>
  </si>
  <si>
    <t>44C11</t>
  </si>
  <si>
    <t>30C4</t>
  </si>
  <si>
    <t>44C10</t>
  </si>
  <si>
    <t>30C5</t>
  </si>
  <si>
    <t>44B9</t>
  </si>
  <si>
    <t>30C6</t>
  </si>
  <si>
    <t>44B8</t>
  </si>
  <si>
    <t>30C7</t>
  </si>
  <si>
    <t>44B7</t>
  </si>
  <si>
    <t>30C8</t>
  </si>
  <si>
    <t>44B6</t>
  </si>
  <si>
    <t>30D3</t>
  </si>
  <si>
    <t>44B5</t>
  </si>
  <si>
    <t>30D4</t>
  </si>
  <si>
    <t>44B4</t>
  </si>
  <si>
    <t>30D5</t>
  </si>
  <si>
    <t>44B3</t>
  </si>
  <si>
    <t>30D6</t>
  </si>
  <si>
    <t>44B2</t>
  </si>
  <si>
    <t>30D7</t>
  </si>
  <si>
    <t>44B15</t>
  </si>
  <si>
    <t>30D8</t>
  </si>
  <si>
    <t>44B14</t>
  </si>
  <si>
    <t>31A1</t>
  </si>
  <si>
    <t>44B13</t>
  </si>
  <si>
    <t>31A2</t>
  </si>
  <si>
    <t>44B12</t>
  </si>
  <si>
    <t>31A3</t>
  </si>
  <si>
    <t>44B11</t>
  </si>
  <si>
    <t>31A4</t>
  </si>
  <si>
    <t>44B10</t>
  </si>
  <si>
    <t>31A5</t>
  </si>
  <si>
    <t>44B1</t>
  </si>
  <si>
    <t>31A6</t>
  </si>
  <si>
    <t>44A9</t>
  </si>
  <si>
    <t>31A7</t>
  </si>
  <si>
    <t>44A8</t>
  </si>
  <si>
    <t>31A8</t>
  </si>
  <si>
    <t>44A7</t>
  </si>
  <si>
    <t>31B1</t>
  </si>
  <si>
    <t>44A6</t>
  </si>
  <si>
    <t>31B2</t>
  </si>
  <si>
    <t>44A5</t>
  </si>
  <si>
    <t>31B3</t>
  </si>
  <si>
    <t>44A4</t>
  </si>
  <si>
    <t>31B4</t>
  </si>
  <si>
    <t>44A3</t>
  </si>
  <si>
    <t>31B5</t>
  </si>
  <si>
    <t>44A2</t>
  </si>
  <si>
    <t>31B6</t>
  </si>
  <si>
    <t>44A15</t>
  </si>
  <si>
    <t>31B7</t>
  </si>
  <si>
    <t>44A14</t>
  </si>
  <si>
    <t>31B8</t>
  </si>
  <si>
    <t>44A13</t>
  </si>
  <si>
    <t>31C1</t>
  </si>
  <si>
    <t>44A12</t>
  </si>
  <si>
    <t>31C2</t>
  </si>
  <si>
    <t>44A11</t>
  </si>
  <si>
    <t>31C3</t>
  </si>
  <si>
    <t>44A10</t>
  </si>
  <si>
    <t>31C4</t>
  </si>
  <si>
    <t>44A1</t>
  </si>
  <si>
    <t>31C5</t>
  </si>
  <si>
    <t>43C9</t>
  </si>
  <si>
    <t>31C6</t>
  </si>
  <si>
    <t>43C8</t>
  </si>
  <si>
    <t>31C7</t>
  </si>
  <si>
    <t>43C7</t>
  </si>
  <si>
    <t>31C8</t>
  </si>
  <si>
    <t>43C6</t>
  </si>
  <si>
    <t>31D2</t>
  </si>
  <si>
    <t>43C5</t>
  </si>
  <si>
    <t>31D3</t>
  </si>
  <si>
    <t>43C4</t>
  </si>
  <si>
    <t>31D4</t>
  </si>
  <si>
    <t>43C3</t>
  </si>
  <si>
    <t>31D5</t>
  </si>
  <si>
    <t>43C15</t>
  </si>
  <si>
    <t>31D6</t>
  </si>
  <si>
    <t>43C14</t>
  </si>
  <si>
    <t>31D7</t>
  </si>
  <si>
    <t>43C13</t>
  </si>
  <si>
    <t>31D8</t>
  </si>
  <si>
    <t>43C12</t>
  </si>
  <si>
    <t>32A1</t>
  </si>
  <si>
    <t>43C11</t>
  </si>
  <si>
    <t>32A2</t>
  </si>
  <si>
    <t>43C10</t>
  </si>
  <si>
    <t>32A3</t>
  </si>
  <si>
    <t>43B9</t>
  </si>
  <si>
    <t>32A4</t>
  </si>
  <si>
    <t>43B8</t>
  </si>
  <si>
    <t>32A5</t>
  </si>
  <si>
    <t>43B7</t>
  </si>
  <si>
    <t>32A6</t>
  </si>
  <si>
    <t>43B6</t>
  </si>
  <si>
    <t>32A7</t>
  </si>
  <si>
    <t>43B5</t>
  </si>
  <si>
    <t>32A8</t>
  </si>
  <si>
    <t>43B4</t>
  </si>
  <si>
    <t>32B1</t>
  </si>
  <si>
    <t>43B3</t>
  </si>
  <si>
    <t>32B2</t>
  </si>
  <si>
    <t>43B2</t>
  </si>
  <si>
    <t>32B3</t>
  </si>
  <si>
    <t>43B15</t>
  </si>
  <si>
    <t>32B4</t>
  </si>
  <si>
    <t>43B14</t>
  </si>
  <si>
    <t>32B5</t>
  </si>
  <si>
    <t>43B13</t>
  </si>
  <si>
    <t>32B6</t>
  </si>
  <si>
    <t>43B12</t>
  </si>
  <si>
    <t>32B7</t>
  </si>
  <si>
    <t>43B11</t>
  </si>
  <si>
    <t>32B8</t>
  </si>
  <si>
    <t>43B10</t>
  </si>
  <si>
    <t>32C1</t>
  </si>
  <si>
    <t>43B1</t>
  </si>
  <si>
    <t>32C2</t>
  </si>
  <si>
    <t>43A9</t>
  </si>
  <si>
    <t>32C3</t>
  </si>
  <si>
    <t>43A8</t>
  </si>
  <si>
    <t>32C4</t>
  </si>
  <si>
    <t>43A7</t>
  </si>
  <si>
    <t>32C5</t>
  </si>
  <si>
    <t>43A6</t>
  </si>
  <si>
    <t>32C6</t>
  </si>
  <si>
    <t>43A5</t>
  </si>
  <si>
    <t>32C7</t>
  </si>
  <si>
    <t>43A4</t>
  </si>
  <si>
    <t>32C8</t>
  </si>
  <si>
    <t>43A3</t>
  </si>
  <si>
    <t>32D1</t>
  </si>
  <si>
    <t>43A2</t>
  </si>
  <si>
    <t>32D2</t>
  </si>
  <si>
    <t>43A15</t>
  </si>
  <si>
    <t>32D3</t>
  </si>
  <si>
    <t>43A14</t>
  </si>
  <si>
    <t>32D4</t>
  </si>
  <si>
    <t>43A13</t>
  </si>
  <si>
    <t>32D5</t>
  </si>
  <si>
    <t>43A12</t>
  </si>
  <si>
    <t>32D6</t>
  </si>
  <si>
    <t>43A11</t>
  </si>
  <si>
    <t>32D7</t>
  </si>
  <si>
    <t>43A10</t>
  </si>
  <si>
    <t>32D8</t>
  </si>
  <si>
    <t>43A1</t>
  </si>
  <si>
    <t>33A1</t>
  </si>
  <si>
    <t>42C9</t>
  </si>
  <si>
    <t>33A2</t>
  </si>
  <si>
    <t>42C8</t>
  </si>
  <si>
    <t>33A3</t>
  </si>
  <si>
    <t>42C7</t>
  </si>
  <si>
    <t>33A4</t>
  </si>
  <si>
    <t>42C6</t>
  </si>
  <si>
    <t>33A5</t>
  </si>
  <si>
    <t>42C5</t>
  </si>
  <si>
    <t>33A6</t>
  </si>
  <si>
    <t>42C4</t>
  </si>
  <si>
    <t>33A7</t>
  </si>
  <si>
    <t>42C3</t>
  </si>
  <si>
    <t>33A8</t>
  </si>
  <si>
    <t>42C2</t>
  </si>
  <si>
    <t>33A9</t>
  </si>
  <si>
    <t>42C14</t>
  </si>
  <si>
    <t>33B1</t>
  </si>
  <si>
    <t>42C13</t>
  </si>
  <si>
    <t>33B2</t>
  </si>
  <si>
    <t>42C12</t>
  </si>
  <si>
    <t>33B3</t>
  </si>
  <si>
    <t>42C11</t>
  </si>
  <si>
    <t>33B4</t>
  </si>
  <si>
    <t>42C10</t>
  </si>
  <si>
    <t>33B5</t>
  </si>
  <si>
    <t>42C1</t>
  </si>
  <si>
    <t>33B6</t>
  </si>
  <si>
    <t>42B9</t>
  </si>
  <si>
    <t>33B7</t>
  </si>
  <si>
    <t>42B8</t>
  </si>
  <si>
    <t>33B8</t>
  </si>
  <si>
    <t>42B7</t>
  </si>
  <si>
    <t>33B9</t>
  </si>
  <si>
    <t>42B6</t>
  </si>
  <si>
    <t>33C1</t>
  </si>
  <si>
    <t>42B5</t>
  </si>
  <si>
    <t>33C2</t>
  </si>
  <si>
    <t>42B4</t>
  </si>
  <si>
    <t>33C3</t>
  </si>
  <si>
    <t>42B3</t>
  </si>
  <si>
    <t>33C4</t>
  </si>
  <si>
    <t>42B2</t>
  </si>
  <si>
    <t>33C5</t>
  </si>
  <si>
    <t>42B14</t>
  </si>
  <si>
    <t>33C6</t>
  </si>
  <si>
    <t>42B13</t>
  </si>
  <si>
    <t>33C7</t>
  </si>
  <si>
    <t>42B12</t>
  </si>
  <si>
    <t>33C8</t>
  </si>
  <si>
    <t>42B11</t>
  </si>
  <si>
    <t>33C9</t>
  </si>
  <si>
    <t>42B10</t>
  </si>
  <si>
    <t>33D4</t>
  </si>
  <si>
    <t>42B1</t>
  </si>
  <si>
    <t>33D5</t>
  </si>
  <si>
    <t>42A9</t>
  </si>
  <si>
    <t>33D6</t>
  </si>
  <si>
    <t>42A8</t>
  </si>
  <si>
    <t>33D7</t>
  </si>
  <si>
    <t>42A7</t>
  </si>
  <si>
    <t>33D8</t>
  </si>
  <si>
    <t>42A6</t>
  </si>
  <si>
    <t>33D9</t>
  </si>
  <si>
    <t>42A5</t>
  </si>
  <si>
    <t>34A1</t>
  </si>
  <si>
    <t>42A4</t>
  </si>
  <si>
    <t>34A2</t>
  </si>
  <si>
    <t>42A3</t>
  </si>
  <si>
    <t>34A3</t>
  </si>
  <si>
    <t>42A2</t>
  </si>
  <si>
    <t>34A4</t>
  </si>
  <si>
    <t>42A14</t>
  </si>
  <si>
    <t>34A5</t>
  </si>
  <si>
    <t>42A13</t>
  </si>
  <si>
    <t>34A6</t>
  </si>
  <si>
    <t>42A12</t>
  </si>
  <si>
    <t>34A7</t>
  </si>
  <si>
    <t>42A11</t>
  </si>
  <si>
    <t>34A8</t>
  </si>
  <si>
    <t>42A10</t>
  </si>
  <si>
    <t>34A9</t>
  </si>
  <si>
    <t>42A1</t>
  </si>
  <si>
    <t>34B1</t>
  </si>
  <si>
    <t>41C9</t>
  </si>
  <si>
    <t>34B2</t>
  </si>
  <si>
    <t>41C8</t>
  </si>
  <si>
    <t>34B3</t>
  </si>
  <si>
    <t>41C7</t>
  </si>
  <si>
    <t>34B4</t>
  </si>
  <si>
    <t>41C6</t>
  </si>
  <si>
    <t>34B5</t>
  </si>
  <si>
    <t>41C5</t>
  </si>
  <si>
    <t>34B6</t>
  </si>
  <si>
    <t>41C4</t>
  </si>
  <si>
    <t>34B7</t>
  </si>
  <si>
    <t>41C3</t>
  </si>
  <si>
    <t>34B8</t>
  </si>
  <si>
    <t>41C2</t>
  </si>
  <si>
    <t>34B9</t>
  </si>
  <si>
    <t>41C14</t>
  </si>
  <si>
    <t>34C1</t>
  </si>
  <si>
    <t>41C13</t>
  </si>
  <si>
    <t>34C2</t>
  </si>
  <si>
    <t>41C12</t>
  </si>
  <si>
    <t>34C3</t>
  </si>
  <si>
    <t>41C11</t>
  </si>
  <si>
    <t>34C4</t>
  </si>
  <si>
    <t>41C10</t>
  </si>
  <si>
    <t>34C5</t>
  </si>
  <si>
    <t>41B9</t>
  </si>
  <si>
    <t>34C6</t>
  </si>
  <si>
    <t>41B8</t>
  </si>
  <si>
    <t>34C7</t>
  </si>
  <si>
    <t>41B7</t>
  </si>
  <si>
    <t>34C8</t>
  </si>
  <si>
    <t>41B6</t>
  </si>
  <si>
    <t>34C9</t>
  </si>
  <si>
    <t>41B5</t>
  </si>
  <si>
    <t>34D3</t>
  </si>
  <si>
    <t>41B4</t>
  </si>
  <si>
    <t>34D4</t>
  </si>
  <si>
    <t>41B3</t>
  </si>
  <si>
    <t>34D5</t>
  </si>
  <si>
    <t>41B2</t>
  </si>
  <si>
    <t>34D6</t>
  </si>
  <si>
    <t>41B14</t>
  </si>
  <si>
    <t>34D7</t>
  </si>
  <si>
    <t>41B13</t>
  </si>
  <si>
    <t>34D8</t>
  </si>
  <si>
    <t>41B12</t>
  </si>
  <si>
    <t>34D9</t>
  </si>
  <si>
    <t>41B11</t>
  </si>
  <si>
    <t>35A1</t>
  </si>
  <si>
    <t>41B10</t>
  </si>
  <si>
    <t>35A2</t>
  </si>
  <si>
    <t>41B1</t>
  </si>
  <si>
    <t>35A3</t>
  </si>
  <si>
    <t>41A9</t>
  </si>
  <si>
    <t>35A4</t>
  </si>
  <si>
    <t>41A8</t>
  </si>
  <si>
    <t>35A5</t>
  </si>
  <si>
    <t>41A7</t>
  </si>
  <si>
    <t>35A6</t>
  </si>
  <si>
    <t>41A6</t>
  </si>
  <si>
    <t>35A7</t>
  </si>
  <si>
    <t>41A5</t>
  </si>
  <si>
    <t>35A8</t>
  </si>
  <si>
    <t>41A4</t>
  </si>
  <si>
    <t>35A9</t>
  </si>
  <si>
    <t>41A3</t>
  </si>
  <si>
    <t>35B1</t>
  </si>
  <si>
    <t>41A2</t>
  </si>
  <si>
    <t>35B2</t>
  </si>
  <si>
    <t>41A14</t>
  </si>
  <si>
    <t>35B3</t>
  </si>
  <si>
    <t>41A13</t>
  </si>
  <si>
    <t>35B4</t>
  </si>
  <si>
    <t>41A12</t>
  </si>
  <si>
    <t>35B5</t>
  </si>
  <si>
    <t>41A11</t>
  </si>
  <si>
    <t>35B6</t>
  </si>
  <si>
    <t>41A10</t>
  </si>
  <si>
    <t>35B7</t>
  </si>
  <si>
    <t>41A1</t>
  </si>
  <si>
    <t>35B8</t>
  </si>
  <si>
    <t>40C9</t>
  </si>
  <si>
    <t>35B9</t>
  </si>
  <si>
    <t>40C8</t>
  </si>
  <si>
    <t>35C1</t>
  </si>
  <si>
    <t>40C7</t>
  </si>
  <si>
    <t>35C2</t>
  </si>
  <si>
    <t>40C6</t>
  </si>
  <si>
    <t>35C3</t>
  </si>
  <si>
    <t>40C5</t>
  </si>
  <si>
    <t>35C4</t>
  </si>
  <si>
    <t>40C4</t>
  </si>
  <si>
    <t>35C5</t>
  </si>
  <si>
    <t>40C3</t>
  </si>
  <si>
    <t>35C6</t>
  </si>
  <si>
    <t>40C14</t>
  </si>
  <si>
    <t>35C7</t>
  </si>
  <si>
    <t>40C13</t>
  </si>
  <si>
    <t>35C8</t>
  </si>
  <si>
    <t>40C12</t>
  </si>
  <si>
    <t>35C9</t>
  </si>
  <si>
    <t>40C11</t>
  </si>
  <si>
    <t>35D2</t>
  </si>
  <si>
    <t>40C10</t>
  </si>
  <si>
    <t>35D3</t>
  </si>
  <si>
    <t>40B9</t>
  </si>
  <si>
    <t>35D4</t>
  </si>
  <si>
    <t>40B8</t>
  </si>
  <si>
    <t>35D5</t>
  </si>
  <si>
    <t>40B7</t>
  </si>
  <si>
    <t>35D6</t>
  </si>
  <si>
    <t>40B6</t>
  </si>
  <si>
    <t>35D7</t>
  </si>
  <si>
    <t>40B5</t>
  </si>
  <si>
    <t>35D8</t>
  </si>
  <si>
    <t>40B4</t>
  </si>
  <si>
    <t>35D9</t>
  </si>
  <si>
    <t>40B3</t>
  </si>
  <si>
    <t>36A1</t>
  </si>
  <si>
    <t>40B2</t>
  </si>
  <si>
    <t>36A2</t>
  </si>
  <si>
    <t>40B14</t>
  </si>
  <si>
    <t>36A3</t>
  </si>
  <si>
    <t>40B13</t>
  </si>
  <si>
    <t>36A4</t>
  </si>
  <si>
    <t>40B12</t>
  </si>
  <si>
    <t>36A5</t>
  </si>
  <si>
    <t>40B11</t>
  </si>
  <si>
    <t>36A6</t>
  </si>
  <si>
    <t>40B10</t>
  </si>
  <si>
    <t>36A7</t>
  </si>
  <si>
    <t>40B1</t>
  </si>
  <si>
    <t>36A8</t>
  </si>
  <si>
    <t>40A9</t>
  </si>
  <si>
    <t>36A9</t>
  </si>
  <si>
    <t>40A8</t>
  </si>
  <si>
    <t>36B1</t>
  </si>
  <si>
    <t>40A7</t>
  </si>
  <si>
    <t>36B2</t>
  </si>
  <si>
    <t>40A6</t>
  </si>
  <si>
    <t>36B3</t>
  </si>
  <si>
    <t>40A5</t>
  </si>
  <si>
    <t>36B4</t>
  </si>
  <si>
    <t>40A4</t>
  </si>
  <si>
    <t>36B5</t>
  </si>
  <si>
    <t>40A3</t>
  </si>
  <si>
    <t>36B6</t>
  </si>
  <si>
    <t>40A2</t>
  </si>
  <si>
    <t>36B7</t>
  </si>
  <si>
    <t>40A14</t>
  </si>
  <si>
    <t>36B8</t>
  </si>
  <si>
    <t>40A13</t>
  </si>
  <si>
    <t>36B9</t>
  </si>
  <si>
    <t>40A12</t>
  </si>
  <si>
    <t>36C1</t>
  </si>
  <si>
    <t>40A11</t>
  </si>
  <si>
    <t>36C2</t>
  </si>
  <si>
    <t>40A10</t>
  </si>
  <si>
    <t>36C3</t>
  </si>
  <si>
    <t>40A1</t>
  </si>
  <si>
    <t>36C4</t>
  </si>
  <si>
    <t>3C1</t>
  </si>
  <si>
    <t>36C5</t>
  </si>
  <si>
    <t>3B1</t>
  </si>
  <si>
    <t>36C6</t>
  </si>
  <si>
    <t>3A1</t>
  </si>
  <si>
    <t>36C7</t>
  </si>
  <si>
    <t>39C9</t>
  </si>
  <si>
    <t>36C8</t>
  </si>
  <si>
    <t>39C8</t>
  </si>
  <si>
    <t>36C9</t>
  </si>
  <si>
    <t>39C7</t>
  </si>
  <si>
    <t>36D1</t>
  </si>
  <si>
    <t>39C6</t>
  </si>
  <si>
    <t>36D2</t>
  </si>
  <si>
    <t>39C5</t>
  </si>
  <si>
    <t>36D3</t>
  </si>
  <si>
    <t>39C4</t>
  </si>
  <si>
    <t>36D4</t>
  </si>
  <si>
    <t>39C3</t>
  </si>
  <si>
    <t>36D5</t>
  </si>
  <si>
    <t>39C2</t>
  </si>
  <si>
    <t>36D6</t>
  </si>
  <si>
    <t>39C13</t>
  </si>
  <si>
    <t>36D7</t>
  </si>
  <si>
    <t>39C12</t>
  </si>
  <si>
    <t>36D8</t>
  </si>
  <si>
    <t>39C11</t>
  </si>
  <si>
    <t>36D9</t>
  </si>
  <si>
    <t>39C10</t>
  </si>
  <si>
    <t>37A1</t>
  </si>
  <si>
    <t>39C1</t>
  </si>
  <si>
    <t>37A10</t>
  </si>
  <si>
    <t>39B9</t>
  </si>
  <si>
    <t>37A2</t>
  </si>
  <si>
    <t>39B8</t>
  </si>
  <si>
    <t>37A3</t>
  </si>
  <si>
    <t>39B7</t>
  </si>
  <si>
    <t>37A4</t>
  </si>
  <si>
    <t>39B6</t>
  </si>
  <si>
    <t>37A5</t>
  </si>
  <si>
    <t>39B5</t>
  </si>
  <si>
    <t>37A6</t>
  </si>
  <si>
    <t>39B4</t>
  </si>
  <si>
    <t>37A7</t>
  </si>
  <si>
    <t>39B3</t>
  </si>
  <si>
    <t>37A8</t>
  </si>
  <si>
    <t>39B2</t>
  </si>
  <si>
    <t>37A9</t>
  </si>
  <si>
    <t>39B13</t>
  </si>
  <si>
    <t>37B1</t>
  </si>
  <si>
    <t>39B12</t>
  </si>
  <si>
    <t>37B10</t>
  </si>
  <si>
    <t>39B11</t>
  </si>
  <si>
    <t>37B2</t>
  </si>
  <si>
    <t>39B10</t>
  </si>
  <si>
    <t>37B3</t>
  </si>
  <si>
    <t>39B1</t>
  </si>
  <si>
    <t>37B4</t>
  </si>
  <si>
    <t>39A9</t>
  </si>
  <si>
    <t>37B5</t>
  </si>
  <si>
    <t>39A8</t>
  </si>
  <si>
    <t>37B6</t>
  </si>
  <si>
    <t>39A7</t>
  </si>
  <si>
    <t>37B7</t>
  </si>
  <si>
    <t>39A6</t>
  </si>
  <si>
    <t>37B8</t>
  </si>
  <si>
    <t>39A5</t>
  </si>
  <si>
    <t>37B9</t>
  </si>
  <si>
    <t>39A4</t>
  </si>
  <si>
    <t>37C1</t>
  </si>
  <si>
    <t>39A3</t>
  </si>
  <si>
    <t>37C10</t>
  </si>
  <si>
    <t>39A2</t>
  </si>
  <si>
    <t>37C2</t>
  </si>
  <si>
    <t>39A13</t>
  </si>
  <si>
    <t>37C3</t>
  </si>
  <si>
    <t>39A12</t>
  </si>
  <si>
    <t>37C4</t>
  </si>
  <si>
    <t>39A11</t>
  </si>
  <si>
    <t>37C5</t>
  </si>
  <si>
    <t>39A10</t>
  </si>
  <si>
    <t>37C6</t>
  </si>
  <si>
    <t>39A1</t>
  </si>
  <si>
    <t>37C7</t>
  </si>
  <si>
    <t>38C9</t>
  </si>
  <si>
    <t>37C8</t>
  </si>
  <si>
    <t>38C8</t>
  </si>
  <si>
    <t>37C9</t>
  </si>
  <si>
    <t>38C7</t>
  </si>
  <si>
    <t>37D10</t>
  </si>
  <si>
    <t>38C6</t>
  </si>
  <si>
    <t>37D4</t>
  </si>
  <si>
    <t>38C5</t>
  </si>
  <si>
    <t>37D5</t>
  </si>
  <si>
    <t>38C4</t>
  </si>
  <si>
    <t>37D6</t>
  </si>
  <si>
    <t>38C3</t>
  </si>
  <si>
    <t>37D7</t>
  </si>
  <si>
    <t>38C2</t>
  </si>
  <si>
    <t>37D8</t>
  </si>
  <si>
    <t>38C13</t>
  </si>
  <si>
    <t>37D9</t>
  </si>
  <si>
    <t>38C12</t>
  </si>
  <si>
    <t>38A1</t>
  </si>
  <si>
    <t>38C11</t>
  </si>
  <si>
    <t>38A10</t>
  </si>
  <si>
    <t>38C10</t>
  </si>
  <si>
    <t>38A2</t>
  </si>
  <si>
    <t>38B9</t>
  </si>
  <si>
    <t>38A3</t>
  </si>
  <si>
    <t>38B8</t>
  </si>
  <si>
    <t>38A4</t>
  </si>
  <si>
    <t>38B7</t>
  </si>
  <si>
    <t>38A5</t>
  </si>
  <si>
    <t>38B6</t>
  </si>
  <si>
    <t>38A6</t>
  </si>
  <si>
    <t>38B5</t>
  </si>
  <si>
    <t>38A7</t>
  </si>
  <si>
    <t>38B4</t>
  </si>
  <si>
    <t>38A8</t>
  </si>
  <si>
    <t>38B3</t>
  </si>
  <si>
    <t>38A9</t>
  </si>
  <si>
    <t>38B2</t>
  </si>
  <si>
    <t>38B1</t>
  </si>
  <si>
    <t>38B13</t>
  </si>
  <si>
    <t>38B10</t>
  </si>
  <si>
    <t>38B12</t>
  </si>
  <si>
    <t>38B11</t>
  </si>
  <si>
    <t>38C1</t>
  </si>
  <si>
    <t>38A13</t>
  </si>
  <si>
    <t>38A12</t>
  </si>
  <si>
    <t>38A11</t>
  </si>
  <si>
    <t>38D10</t>
  </si>
  <si>
    <t>38D3</t>
  </si>
  <si>
    <t>38D4</t>
  </si>
  <si>
    <t>38D5</t>
  </si>
  <si>
    <t>38D6</t>
  </si>
  <si>
    <t>38D7</t>
  </si>
  <si>
    <t>37C13</t>
  </si>
  <si>
    <t>38D8</t>
  </si>
  <si>
    <t>37C12</t>
  </si>
  <si>
    <t>38D9</t>
  </si>
  <si>
    <t>37C11</t>
  </si>
  <si>
    <t>37B13</t>
  </si>
  <si>
    <t>37B12</t>
  </si>
  <si>
    <t>37B11</t>
  </si>
  <si>
    <t>37A13</t>
  </si>
  <si>
    <t>37A12</t>
  </si>
  <si>
    <t>37A11</t>
  </si>
  <si>
    <t>39D10</t>
  </si>
  <si>
    <t>39D2</t>
  </si>
  <si>
    <t>39D3</t>
  </si>
  <si>
    <t>39D4</t>
  </si>
  <si>
    <t>39D5</t>
  </si>
  <si>
    <t>39D6</t>
  </si>
  <si>
    <t>36C12</t>
  </si>
  <si>
    <t>39D7</t>
  </si>
  <si>
    <t>36C11</t>
  </si>
  <si>
    <t>39D8</t>
  </si>
  <si>
    <t>36C10</t>
  </si>
  <si>
    <t>39D9</t>
  </si>
  <si>
    <t>36B12</t>
  </si>
  <si>
    <t>36B11</t>
  </si>
  <si>
    <t>36B10</t>
  </si>
  <si>
    <t>36A12</t>
  </si>
  <si>
    <t>36A11</t>
  </si>
  <si>
    <t>36A10</t>
  </si>
  <si>
    <t>40C1</t>
  </si>
  <si>
    <t>40C2</t>
  </si>
  <si>
    <t>35C12</t>
  </si>
  <si>
    <t>40D1</t>
  </si>
  <si>
    <t>35C11</t>
  </si>
  <si>
    <t>40D10</t>
  </si>
  <si>
    <t>35C10</t>
  </si>
  <si>
    <t>40D2</t>
  </si>
  <si>
    <t>40D3</t>
  </si>
  <si>
    <t>40D4</t>
  </si>
  <si>
    <t>40D5</t>
  </si>
  <si>
    <t>40D6</t>
  </si>
  <si>
    <t>40D7</t>
  </si>
  <si>
    <t>40D8</t>
  </si>
  <si>
    <t>40D9</t>
  </si>
  <si>
    <t>35B12</t>
  </si>
  <si>
    <t>35B11</t>
  </si>
  <si>
    <t>35B10</t>
  </si>
  <si>
    <t>35A12</t>
  </si>
  <si>
    <t>35A11</t>
  </si>
  <si>
    <t>35A10</t>
  </si>
  <si>
    <t>41C1</t>
  </si>
  <si>
    <t>34C12</t>
  </si>
  <si>
    <t>34C11</t>
  </si>
  <si>
    <t>34C10</t>
  </si>
  <si>
    <t>41D10</t>
  </si>
  <si>
    <t>41D11</t>
  </si>
  <si>
    <t>34B12</t>
  </si>
  <si>
    <t>41D4</t>
  </si>
  <si>
    <t>34B11</t>
  </si>
  <si>
    <t>41D5</t>
  </si>
  <si>
    <t>34B10</t>
  </si>
  <si>
    <t>41D6</t>
  </si>
  <si>
    <t>41D7</t>
  </si>
  <si>
    <t>41D8</t>
  </si>
  <si>
    <t>41D9</t>
  </si>
  <si>
    <t>34A12</t>
  </si>
  <si>
    <t>34A11</t>
  </si>
  <si>
    <t>34A10</t>
  </si>
  <si>
    <t>33C11</t>
  </si>
  <si>
    <t>33C10</t>
  </si>
  <si>
    <t>33B11</t>
  </si>
  <si>
    <t>33B10</t>
  </si>
  <si>
    <t>42D10</t>
  </si>
  <si>
    <t>42D11</t>
  </si>
  <si>
    <t>42D3</t>
  </si>
  <si>
    <t>42D4</t>
  </si>
  <si>
    <t>42D5</t>
  </si>
  <si>
    <t>42D6</t>
  </si>
  <si>
    <t>42D7</t>
  </si>
  <si>
    <t>33A11</t>
  </si>
  <si>
    <t>42D8</t>
  </si>
  <si>
    <t>33A10</t>
  </si>
  <si>
    <t>42D9</t>
  </si>
  <si>
    <t>32C9</t>
  </si>
  <si>
    <t>32C11</t>
  </si>
  <si>
    <t>32C10</t>
  </si>
  <si>
    <t>32B9</t>
  </si>
  <si>
    <t>32B11</t>
  </si>
  <si>
    <t>32B10</t>
  </si>
  <si>
    <t>32A9</t>
  </si>
  <si>
    <t>43C1</t>
  </si>
  <si>
    <t>43C2</t>
  </si>
  <si>
    <t>32A11</t>
  </si>
  <si>
    <t>32A10</t>
  </si>
  <si>
    <t>31C9</t>
  </si>
  <si>
    <t>43D10</t>
  </si>
  <si>
    <t>43D11</t>
  </si>
  <si>
    <t>43D2</t>
  </si>
  <si>
    <t>43D3</t>
  </si>
  <si>
    <t>43D4</t>
  </si>
  <si>
    <t>43D5</t>
  </si>
  <si>
    <t>43D6</t>
  </si>
  <si>
    <t>31C11</t>
  </si>
  <si>
    <t>43D7</t>
  </si>
  <si>
    <t>31C10</t>
  </si>
  <si>
    <t>43D8</t>
  </si>
  <si>
    <t>31B9</t>
  </si>
  <si>
    <t>43D9</t>
  </si>
  <si>
    <t>31B11</t>
  </si>
  <si>
    <t>31B10</t>
  </si>
  <si>
    <t>31A9</t>
  </si>
  <si>
    <t>31A11</t>
  </si>
  <si>
    <t>31A10</t>
  </si>
  <si>
    <t>30C9</t>
  </si>
  <si>
    <t>44C1</t>
  </si>
  <si>
    <t>30C10</t>
  </si>
  <si>
    <t>30B9</t>
  </si>
  <si>
    <t>44D1</t>
  </si>
  <si>
    <t>44D10</t>
  </si>
  <si>
    <t>44D11</t>
  </si>
  <si>
    <t>44D2</t>
  </si>
  <si>
    <t>44D3</t>
  </si>
  <si>
    <t>44D4</t>
  </si>
  <si>
    <t>30B10</t>
  </si>
  <si>
    <t>44D5</t>
  </si>
  <si>
    <t>44D6</t>
  </si>
  <si>
    <t>30A9</t>
  </si>
  <si>
    <t>44D7</t>
  </si>
  <si>
    <t>44D8</t>
  </si>
  <si>
    <t>44D9</t>
  </si>
  <si>
    <t>30A10</t>
  </si>
  <si>
    <t>29C9</t>
  </si>
  <si>
    <t>29C10</t>
  </si>
  <si>
    <t>29B9</t>
  </si>
  <si>
    <t>29B10</t>
  </si>
  <si>
    <t>29A9</t>
  </si>
  <si>
    <t>29A10</t>
  </si>
  <si>
    <t>45D10</t>
  </si>
  <si>
    <t>45D11</t>
  </si>
  <si>
    <t>28C9</t>
  </si>
  <si>
    <t>45D12</t>
  </si>
  <si>
    <t>28C8</t>
  </si>
  <si>
    <t>45D4</t>
  </si>
  <si>
    <t>45D5</t>
  </si>
  <si>
    <t>45D6</t>
  </si>
  <si>
    <t>45D7</t>
  </si>
  <si>
    <t>45D8</t>
  </si>
  <si>
    <t>45D9</t>
  </si>
  <si>
    <t>28C10</t>
  </si>
  <si>
    <t>28B9</t>
  </si>
  <si>
    <t>28B8</t>
  </si>
  <si>
    <t>28B10</t>
  </si>
  <si>
    <t>28A9</t>
  </si>
  <si>
    <t>28A8</t>
  </si>
  <si>
    <t>28A10</t>
  </si>
  <si>
    <t>27C9</t>
  </si>
  <si>
    <t>27C8</t>
  </si>
  <si>
    <t>46C1</t>
  </si>
  <si>
    <t>46C2</t>
  </si>
  <si>
    <t>27B9</t>
  </si>
  <si>
    <t>27B8</t>
  </si>
  <si>
    <t>46D10</t>
  </si>
  <si>
    <t>46D11</t>
  </si>
  <si>
    <t>46D12</t>
  </si>
  <si>
    <t>27A9</t>
  </si>
  <si>
    <t>46D3</t>
  </si>
  <si>
    <t>27A8</t>
  </si>
  <si>
    <t>46D4</t>
  </si>
  <si>
    <t>46D5</t>
  </si>
  <si>
    <t>46D6</t>
  </si>
  <si>
    <t>46D7</t>
  </si>
  <si>
    <t>46D8</t>
  </si>
  <si>
    <t>46D9</t>
  </si>
  <si>
    <t>26C9</t>
  </si>
  <si>
    <t>26C8</t>
  </si>
  <si>
    <t>26B9</t>
  </si>
  <si>
    <t>26B8</t>
  </si>
  <si>
    <t>26A9</t>
  </si>
  <si>
    <t>26A8</t>
  </si>
  <si>
    <t>47C1</t>
  </si>
  <si>
    <t>25C9</t>
  </si>
  <si>
    <t>25C8</t>
  </si>
  <si>
    <t>25B9</t>
  </si>
  <si>
    <t>25B8</t>
  </si>
  <si>
    <t>47D10</t>
  </si>
  <si>
    <t>47D11</t>
  </si>
  <si>
    <t>47D12</t>
  </si>
  <si>
    <t>47D2</t>
  </si>
  <si>
    <t>47D3</t>
  </si>
  <si>
    <t>47D4</t>
  </si>
  <si>
    <t>47D5</t>
  </si>
  <si>
    <t>47D6</t>
  </si>
  <si>
    <t>25A9</t>
  </si>
  <si>
    <t>47D7</t>
  </si>
  <si>
    <t>25A8</t>
  </si>
  <si>
    <t>47D8</t>
  </si>
  <si>
    <t>47D9</t>
  </si>
  <si>
    <t>24C8</t>
  </si>
  <si>
    <t>24C7</t>
  </si>
  <si>
    <t>24B8</t>
  </si>
  <si>
    <t>24B7</t>
  </si>
  <si>
    <t>24A8</t>
  </si>
  <si>
    <t>24A7</t>
  </si>
  <si>
    <t>23C8</t>
  </si>
  <si>
    <t>23C7</t>
  </si>
  <si>
    <t>48D1</t>
  </si>
  <si>
    <t>23B8</t>
  </si>
  <si>
    <t>48D10</t>
  </si>
  <si>
    <t>23B7</t>
  </si>
  <si>
    <t>48D11</t>
  </si>
  <si>
    <t>48D12</t>
  </si>
  <si>
    <t>48D2</t>
  </si>
  <si>
    <t>48D3</t>
  </si>
  <si>
    <t>48D4</t>
  </si>
  <si>
    <t>48D5</t>
  </si>
  <si>
    <t>48D6</t>
  </si>
  <si>
    <t>23A8</t>
  </si>
  <si>
    <t>48D7</t>
  </si>
  <si>
    <t>23A7</t>
  </si>
  <si>
    <t>48D8</t>
  </si>
  <si>
    <t>48D9</t>
  </si>
  <si>
    <t>22C8</t>
  </si>
  <si>
    <t>22C7</t>
  </si>
  <si>
    <t>22B8</t>
  </si>
  <si>
    <t>22B7</t>
  </si>
  <si>
    <t>22A8</t>
  </si>
  <si>
    <t>22A7</t>
  </si>
  <si>
    <t>49C1</t>
  </si>
  <si>
    <t>21C7</t>
  </si>
  <si>
    <t>49C2</t>
  </si>
  <si>
    <t>21B7</t>
  </si>
  <si>
    <t>49D10</t>
  </si>
  <si>
    <t>49D11</t>
  </si>
  <si>
    <t>21A7</t>
  </si>
  <si>
    <t>49D12</t>
  </si>
  <si>
    <t>49D13</t>
  </si>
  <si>
    <t>49D4</t>
  </si>
  <si>
    <t>49D5</t>
  </si>
  <si>
    <t>49D6</t>
  </si>
  <si>
    <t>49D7</t>
  </si>
  <si>
    <t>49D8</t>
  </si>
  <si>
    <t>20C7</t>
  </si>
  <si>
    <t>49D9</t>
  </si>
  <si>
    <t>20C6</t>
  </si>
  <si>
    <t>4C1</t>
  </si>
  <si>
    <t>4D1</t>
  </si>
  <si>
    <t>20B7</t>
  </si>
  <si>
    <t>20B6</t>
  </si>
  <si>
    <t>20A7</t>
  </si>
  <si>
    <t>20A6</t>
  </si>
  <si>
    <t>19C7</t>
  </si>
  <si>
    <t>19C6</t>
  </si>
  <si>
    <t>19B7</t>
  </si>
  <si>
    <t>19B6</t>
  </si>
  <si>
    <t>50C1</t>
  </si>
  <si>
    <t>19A7</t>
  </si>
  <si>
    <t>19A6</t>
  </si>
  <si>
    <t>18C6</t>
  </si>
  <si>
    <t>50D10</t>
  </si>
  <si>
    <t>18B6</t>
  </si>
  <si>
    <t>50D11</t>
  </si>
  <si>
    <t>50D12</t>
  </si>
  <si>
    <t>50D13</t>
  </si>
  <si>
    <t>50D3</t>
  </si>
  <si>
    <t>50D4</t>
  </si>
  <si>
    <t>50D5</t>
  </si>
  <si>
    <t>18A6</t>
  </si>
  <si>
    <t>50D6</t>
  </si>
  <si>
    <t>50D7</t>
  </si>
  <si>
    <t>50D8</t>
  </si>
  <si>
    <t>50D9</t>
  </si>
  <si>
    <t>17C6</t>
  </si>
  <si>
    <t>17B6</t>
  </si>
  <si>
    <t>17A6</t>
  </si>
  <si>
    <t>16C6</t>
  </si>
  <si>
    <t>16C5</t>
  </si>
  <si>
    <t>16B6</t>
  </si>
  <si>
    <t>16B5</t>
  </si>
  <si>
    <t>16A6</t>
  </si>
  <si>
    <t>16A5</t>
  </si>
  <si>
    <t>15C5</t>
  </si>
  <si>
    <t>51D10</t>
  </si>
  <si>
    <t>15B5</t>
  </si>
  <si>
    <t>51D11</t>
  </si>
  <si>
    <t>51D12</t>
  </si>
  <si>
    <t>51D13</t>
  </si>
  <si>
    <t>51D2</t>
  </si>
  <si>
    <t>51D3</t>
  </si>
  <si>
    <t>15A5</t>
  </si>
  <si>
    <t>51D4</t>
  </si>
  <si>
    <t>51D5</t>
  </si>
  <si>
    <t>51D6</t>
  </si>
  <si>
    <t>51D7</t>
  </si>
  <si>
    <t>51D8</t>
  </si>
  <si>
    <t>14C5</t>
  </si>
  <si>
    <t>51D9</t>
  </si>
  <si>
    <t>14B5</t>
  </si>
  <si>
    <t>14A5</t>
  </si>
  <si>
    <t>13C5</t>
  </si>
  <si>
    <t>13B5</t>
  </si>
  <si>
    <t>13A5</t>
  </si>
  <si>
    <t>12C4</t>
  </si>
  <si>
    <t>52C1</t>
  </si>
  <si>
    <t>12B4</t>
  </si>
  <si>
    <t>52C2</t>
  </si>
  <si>
    <t>12A4</t>
  </si>
  <si>
    <t>11C4</t>
  </si>
  <si>
    <t>52D1</t>
  </si>
  <si>
    <t>52D10</t>
  </si>
  <si>
    <t>11B4</t>
  </si>
  <si>
    <t>52D11</t>
  </si>
  <si>
    <t>52D12</t>
  </si>
  <si>
    <t>52D13</t>
  </si>
  <si>
    <t>52D2</t>
  </si>
  <si>
    <t>11A4</t>
  </si>
  <si>
    <t>52D3</t>
  </si>
  <si>
    <t>52D4</t>
  </si>
  <si>
    <t>52D5</t>
  </si>
  <si>
    <t>52D6</t>
  </si>
  <si>
    <t>10C4</t>
  </si>
  <si>
    <t>52D7</t>
  </si>
  <si>
    <t>52D8</t>
  </si>
  <si>
    <t>10B4</t>
  </si>
  <si>
    <t>52D9</t>
  </si>
  <si>
    <t>10A4</t>
  </si>
  <si>
    <t>53C1</t>
  </si>
  <si>
    <t>53D10</t>
  </si>
  <si>
    <t>53D11</t>
  </si>
  <si>
    <t>53D12</t>
  </si>
  <si>
    <t>53D13</t>
  </si>
  <si>
    <t>53D14</t>
  </si>
  <si>
    <t>53D4</t>
  </si>
  <si>
    <t>53D5</t>
  </si>
  <si>
    <t>53D6</t>
  </si>
  <si>
    <t>53D7</t>
  </si>
  <si>
    <t>53D8</t>
  </si>
  <si>
    <t>53D9</t>
  </si>
  <si>
    <t>54D10</t>
  </si>
  <si>
    <t>54D11</t>
  </si>
  <si>
    <t>54D12</t>
  </si>
  <si>
    <t>54D13</t>
  </si>
  <si>
    <t>54D14</t>
  </si>
  <si>
    <t>54D3</t>
  </si>
  <si>
    <t>54D4</t>
  </si>
  <si>
    <t>54D5</t>
  </si>
  <si>
    <t>54D6</t>
  </si>
  <si>
    <t>54D7</t>
  </si>
  <si>
    <t>54D8</t>
  </si>
  <si>
    <t>54D9</t>
  </si>
  <si>
    <t>55C1</t>
  </si>
  <si>
    <t>55C2</t>
  </si>
  <si>
    <t>55D10</t>
  </si>
  <si>
    <t>55D11</t>
  </si>
  <si>
    <t>55D12</t>
  </si>
  <si>
    <t>55D13</t>
  </si>
  <si>
    <t>55D14</t>
  </si>
  <si>
    <t>55D2</t>
  </si>
  <si>
    <t>55D3</t>
  </si>
  <si>
    <t>55D4</t>
  </si>
  <si>
    <t>55D5</t>
  </si>
  <si>
    <t>55D6</t>
  </si>
  <si>
    <t>55D7</t>
  </si>
  <si>
    <t>55D8</t>
  </si>
  <si>
    <t>55D9</t>
  </si>
  <si>
    <t>56C1</t>
  </si>
  <si>
    <t>56D1</t>
  </si>
  <si>
    <t>56D10</t>
  </si>
  <si>
    <t>56D11</t>
  </si>
  <si>
    <t>56D12</t>
  </si>
  <si>
    <t>56D13</t>
  </si>
  <si>
    <t>56D14</t>
  </si>
  <si>
    <t>56D2</t>
  </si>
  <si>
    <t>56D3</t>
  </si>
  <si>
    <t>56D4</t>
  </si>
  <si>
    <t>56D5</t>
  </si>
  <si>
    <t>56D6</t>
  </si>
  <si>
    <t>56D7</t>
  </si>
  <si>
    <t>56D8</t>
  </si>
  <si>
    <t>56D9</t>
  </si>
  <si>
    <t>57D10</t>
  </si>
  <si>
    <t>57D11</t>
  </si>
  <si>
    <t>57D12</t>
  </si>
  <si>
    <t>57D13</t>
  </si>
  <si>
    <t>57D14</t>
  </si>
  <si>
    <t>57D15</t>
  </si>
  <si>
    <t>57D4</t>
  </si>
  <si>
    <t>57D5</t>
  </si>
  <si>
    <t>57D6</t>
  </si>
  <si>
    <t>57D7</t>
  </si>
  <si>
    <t>57D8</t>
  </si>
  <si>
    <t>57D9</t>
  </si>
  <si>
    <t>58C1</t>
  </si>
  <si>
    <t>58C2</t>
  </si>
  <si>
    <t>58D10</t>
  </si>
  <si>
    <t>58D11</t>
  </si>
  <si>
    <t>58D12</t>
  </si>
  <si>
    <t>58D13</t>
  </si>
  <si>
    <t>58D14</t>
  </si>
  <si>
    <t>58D15</t>
  </si>
  <si>
    <t>58D3</t>
  </si>
  <si>
    <t>58D4</t>
  </si>
  <si>
    <t>58D5</t>
  </si>
  <si>
    <t>58D6</t>
  </si>
  <si>
    <t>58D7</t>
  </si>
  <si>
    <t>58D8</t>
  </si>
  <si>
    <t>58D9</t>
  </si>
  <si>
    <t>59C1</t>
  </si>
  <si>
    <t>59D10</t>
  </si>
  <si>
    <t>59D11</t>
  </si>
  <si>
    <t>59D12</t>
  </si>
  <si>
    <t>59D13</t>
  </si>
  <si>
    <t>59D14</t>
  </si>
  <si>
    <t>59D15</t>
  </si>
  <si>
    <t>59D2</t>
  </si>
  <si>
    <t>59D3</t>
  </si>
  <si>
    <t>59D4</t>
  </si>
  <si>
    <t>59D5</t>
  </si>
  <si>
    <t>59D6</t>
  </si>
  <si>
    <t>59D7</t>
  </si>
  <si>
    <t>59D8</t>
  </si>
  <si>
    <t>59D9</t>
  </si>
  <si>
    <t>60D1</t>
  </si>
  <si>
    <t>60D10</t>
  </si>
  <si>
    <t>60D11</t>
  </si>
  <si>
    <t>60D12</t>
  </si>
  <si>
    <t>60D13</t>
  </si>
  <si>
    <t>60D14</t>
  </si>
  <si>
    <t>60D15</t>
  </si>
  <si>
    <t>60D2</t>
  </si>
  <si>
    <t>60D3</t>
  </si>
  <si>
    <t>60D4</t>
  </si>
  <si>
    <t>60D5</t>
  </si>
  <si>
    <t>60D6</t>
  </si>
  <si>
    <t>60D7</t>
  </si>
  <si>
    <t>60D8</t>
  </si>
  <si>
    <t>60D9</t>
  </si>
  <si>
    <t>61C1</t>
  </si>
  <si>
    <t>61C2</t>
  </si>
  <si>
    <t>61D10</t>
  </si>
  <si>
    <t>61D11</t>
  </si>
  <si>
    <t>61D12</t>
  </si>
  <si>
    <t>61D13</t>
  </si>
  <si>
    <t>61D14</t>
  </si>
  <si>
    <t>61D15</t>
  </si>
  <si>
    <t>61D16</t>
  </si>
  <si>
    <t>61D4</t>
  </si>
  <si>
    <t>61D5</t>
  </si>
  <si>
    <t>61D6</t>
  </si>
  <si>
    <t>61D7</t>
  </si>
  <si>
    <t>61D8</t>
  </si>
  <si>
    <t>61D9</t>
  </si>
  <si>
    <t>62C1</t>
  </si>
  <si>
    <t>62D10</t>
  </si>
  <si>
    <t>62D11</t>
  </si>
  <si>
    <t>62D12</t>
  </si>
  <si>
    <t>62D13</t>
  </si>
  <si>
    <t>62D14</t>
  </si>
  <si>
    <t>62D15</t>
  </si>
  <si>
    <t>62D16</t>
  </si>
  <si>
    <t>62D3</t>
  </si>
  <si>
    <t>62D4</t>
  </si>
  <si>
    <t>62D5</t>
  </si>
  <si>
    <t>62D6</t>
  </si>
  <si>
    <t>62D7</t>
  </si>
  <si>
    <t>62D8</t>
  </si>
  <si>
    <t>62D9</t>
  </si>
  <si>
    <t>63D10</t>
  </si>
  <si>
    <t>63D11</t>
  </si>
  <si>
    <t>63D12</t>
  </si>
  <si>
    <t>63D13</t>
  </si>
  <si>
    <t>63D14</t>
  </si>
  <si>
    <t>63D15</t>
  </si>
  <si>
    <t>63D16</t>
  </si>
  <si>
    <t>63D2</t>
  </si>
  <si>
    <t>63D3</t>
  </si>
  <si>
    <t>63D4</t>
  </si>
  <si>
    <t>63D5</t>
  </si>
  <si>
    <t>63D6</t>
  </si>
  <si>
    <t>63D7</t>
  </si>
  <si>
    <t>63D8</t>
  </si>
  <si>
    <t>63D9</t>
  </si>
  <si>
    <t>64C1</t>
  </si>
  <si>
    <t>64C2</t>
  </si>
  <si>
    <t>64D1</t>
  </si>
  <si>
    <t>64D10</t>
  </si>
  <si>
    <t>64D11</t>
  </si>
  <si>
    <t>64D12</t>
  </si>
  <si>
    <t>64D13</t>
  </si>
  <si>
    <t>64D14</t>
  </si>
  <si>
    <t>64D15</t>
  </si>
  <si>
    <t>64D16</t>
  </si>
  <si>
    <t>64D2</t>
  </si>
  <si>
    <t>64D3</t>
  </si>
  <si>
    <t>64D4</t>
  </si>
  <si>
    <t>64D5</t>
  </si>
  <si>
    <t>64D6</t>
  </si>
  <si>
    <t>64D7</t>
  </si>
  <si>
    <t>64D8</t>
  </si>
  <si>
    <t>64D9</t>
  </si>
  <si>
    <t>65C1</t>
  </si>
  <si>
    <t>65D10</t>
  </si>
  <si>
    <t>65D11</t>
  </si>
  <si>
    <t>65D12</t>
  </si>
  <si>
    <t>65D13</t>
  </si>
  <si>
    <t>65D14</t>
  </si>
  <si>
    <t>65D15</t>
  </si>
  <si>
    <t>65D16</t>
  </si>
  <si>
    <t>65D17</t>
  </si>
  <si>
    <t>65D4</t>
  </si>
  <si>
    <t>65D5</t>
  </si>
  <si>
    <t>65D6</t>
  </si>
  <si>
    <t>65D7</t>
  </si>
  <si>
    <t>65D8</t>
  </si>
  <si>
    <t>65D9</t>
  </si>
  <si>
    <t>66D10</t>
  </si>
  <si>
    <t>66D11</t>
  </si>
  <si>
    <t>66D12</t>
  </si>
  <si>
    <t>66D13</t>
  </si>
  <si>
    <t>66D14</t>
  </si>
  <si>
    <t>66D15</t>
  </si>
  <si>
    <t>66D16</t>
  </si>
  <si>
    <t>66D17</t>
  </si>
  <si>
    <t>66D3</t>
  </si>
  <si>
    <t>66D4</t>
  </si>
  <si>
    <t>66D5</t>
  </si>
  <si>
    <t>66D6</t>
  </si>
  <si>
    <t>66D7</t>
  </si>
  <si>
    <t>66D8</t>
  </si>
  <si>
    <t>66D9</t>
  </si>
  <si>
    <t>67C1</t>
  </si>
  <si>
    <t>67C2</t>
  </si>
  <si>
    <t>67D10</t>
  </si>
  <si>
    <t>67D11</t>
  </si>
  <si>
    <t>67D12</t>
  </si>
  <si>
    <t>67D13</t>
  </si>
  <si>
    <t>67D14</t>
  </si>
  <si>
    <t>67D15</t>
  </si>
  <si>
    <t>67D16</t>
  </si>
  <si>
    <t>67D17</t>
  </si>
  <si>
    <t>67D2</t>
  </si>
  <si>
    <t>67D3</t>
  </si>
  <si>
    <t>67D4</t>
  </si>
  <si>
    <t>67D5</t>
  </si>
  <si>
    <t>67D6</t>
  </si>
  <si>
    <t>67D7</t>
  </si>
  <si>
    <t>67D8</t>
  </si>
  <si>
    <t>67D9</t>
  </si>
  <si>
    <t>68C1</t>
  </si>
  <si>
    <t>68D1</t>
  </si>
  <si>
    <t>68D10</t>
  </si>
  <si>
    <t>68D11</t>
  </si>
  <si>
    <t>68D12</t>
  </si>
  <si>
    <t>68D13</t>
  </si>
  <si>
    <t>68D14</t>
  </si>
  <si>
    <t>68D15</t>
  </si>
  <si>
    <t>68D16</t>
  </si>
  <si>
    <t>68D17</t>
  </si>
  <si>
    <t>68D2</t>
  </si>
  <si>
    <t>68D3</t>
  </si>
  <si>
    <t>68D4</t>
  </si>
  <si>
    <t>68D5</t>
  </si>
  <si>
    <t>68D6</t>
  </si>
  <si>
    <t>68D7</t>
  </si>
  <si>
    <t>68D8</t>
  </si>
  <si>
    <t>68D9</t>
  </si>
  <si>
    <t>69D10</t>
  </si>
  <si>
    <t>69D11</t>
  </si>
  <si>
    <t>69D12</t>
  </si>
  <si>
    <t>69D13</t>
  </si>
  <si>
    <t>69D14</t>
  </si>
  <si>
    <t>69D15</t>
  </si>
  <si>
    <t>69D16</t>
  </si>
  <si>
    <t>69D17</t>
  </si>
  <si>
    <t>69D18</t>
  </si>
  <si>
    <t>69D4</t>
  </si>
  <si>
    <t>69D5</t>
  </si>
  <si>
    <t>69D6</t>
  </si>
  <si>
    <t>69D7</t>
  </si>
  <si>
    <t>69D8</t>
  </si>
  <si>
    <t>69D9</t>
  </si>
  <si>
    <t>70C1</t>
  </si>
  <si>
    <t>70C2</t>
  </si>
  <si>
    <t>70D10</t>
  </si>
  <si>
    <t>70D11</t>
  </si>
  <si>
    <t>70D12</t>
  </si>
  <si>
    <t>70D13</t>
  </si>
  <si>
    <t>70D14</t>
  </si>
  <si>
    <t>70D15</t>
  </si>
  <si>
    <t>70D16</t>
  </si>
  <si>
    <t>70D17</t>
  </si>
  <si>
    <t>70D18</t>
  </si>
  <si>
    <t>70D3</t>
  </si>
  <si>
    <t>70D4</t>
  </si>
  <si>
    <t>70D5</t>
  </si>
  <si>
    <t>70D6</t>
  </si>
  <si>
    <t>70D7</t>
  </si>
  <si>
    <t>70D8</t>
  </si>
  <si>
    <t>70D9</t>
  </si>
  <si>
    <t>71C1</t>
  </si>
  <si>
    <t>71D10</t>
  </si>
  <si>
    <t>71D11</t>
  </si>
  <si>
    <t>71D12</t>
  </si>
  <si>
    <t>71D13</t>
  </si>
  <si>
    <t>71D14</t>
  </si>
  <si>
    <t>71D15</t>
  </si>
  <si>
    <t>71D16</t>
  </si>
  <si>
    <t>71D17</t>
  </si>
  <si>
    <t>71D18</t>
  </si>
  <si>
    <t>71D2</t>
  </si>
  <si>
    <t>71D3</t>
  </si>
  <si>
    <t>71D4</t>
  </si>
  <si>
    <t>71D5</t>
  </si>
  <si>
    <t>71D6</t>
  </si>
  <si>
    <t>71D7</t>
  </si>
  <si>
    <t>71D8</t>
  </si>
  <si>
    <t>71D9</t>
  </si>
  <si>
    <t>72D1</t>
  </si>
  <si>
    <t>72D10</t>
  </si>
  <si>
    <t>72D11</t>
  </si>
  <si>
    <t>72D12</t>
  </si>
  <si>
    <t>72D13</t>
  </si>
  <si>
    <t>72D14</t>
  </si>
  <si>
    <t>72D15</t>
  </si>
  <si>
    <t>72D16</t>
  </si>
  <si>
    <t>72D17</t>
  </si>
  <si>
    <t>72D18</t>
  </si>
  <si>
    <t>72D2</t>
  </si>
  <si>
    <t>72D3</t>
  </si>
  <si>
    <t>72D4</t>
  </si>
  <si>
    <t>72D5</t>
  </si>
  <si>
    <t>72D6</t>
  </si>
  <si>
    <t>72D7</t>
  </si>
  <si>
    <t>72D8</t>
  </si>
  <si>
    <t>72D9</t>
  </si>
  <si>
    <t>73C1</t>
  </si>
  <si>
    <t>73C2</t>
  </si>
  <si>
    <t>73D10</t>
  </si>
  <si>
    <t>73D11</t>
  </si>
  <si>
    <t>73D12</t>
  </si>
  <si>
    <t>73D13</t>
  </si>
  <si>
    <t>73D14</t>
  </si>
  <si>
    <t>73D15</t>
  </si>
  <si>
    <t>73D16</t>
  </si>
  <si>
    <t>73D17</t>
  </si>
  <si>
    <t>73D18</t>
  </si>
  <si>
    <t>73D19</t>
  </si>
  <si>
    <t>73D4</t>
  </si>
  <si>
    <t>73D5</t>
  </si>
  <si>
    <t>73D6</t>
  </si>
  <si>
    <t>73D7</t>
  </si>
  <si>
    <t>73D8</t>
  </si>
  <si>
    <t>73D9</t>
  </si>
  <si>
    <t>74C1</t>
  </si>
  <si>
    <t>74D10</t>
  </si>
  <si>
    <t>74D11</t>
  </si>
  <si>
    <t>74D12</t>
  </si>
  <si>
    <t>74D13</t>
  </si>
  <si>
    <t>74D14</t>
  </si>
  <si>
    <t>74D15</t>
  </si>
  <si>
    <t>74D16</t>
  </si>
  <si>
    <t>74D17</t>
  </si>
  <si>
    <t>74D18</t>
  </si>
  <si>
    <t>74D19</t>
  </si>
  <si>
    <t>74D3</t>
  </si>
  <si>
    <t>74D4</t>
  </si>
  <si>
    <t>74D5</t>
  </si>
  <si>
    <t>74D6</t>
  </si>
  <si>
    <t>74D7</t>
  </si>
  <si>
    <t>74D8</t>
  </si>
  <si>
    <t>74D9</t>
  </si>
  <si>
    <t>75D10</t>
  </si>
  <si>
    <t>75D11</t>
  </si>
  <si>
    <t>75D12</t>
  </si>
  <si>
    <t>75D13</t>
  </si>
  <si>
    <t>75D14</t>
  </si>
  <si>
    <t>75D15</t>
  </si>
  <si>
    <t>75D16</t>
  </si>
  <si>
    <t>75D17</t>
  </si>
  <si>
    <t>75D18</t>
  </si>
  <si>
    <t>75D19</t>
  </si>
  <si>
    <t>75D2</t>
  </si>
  <si>
    <t>75D3</t>
  </si>
  <si>
    <t>75D4</t>
  </si>
  <si>
    <t>75D5</t>
  </si>
  <si>
    <t>75D6</t>
  </si>
  <si>
    <t>75D7</t>
  </si>
  <si>
    <t>75D8</t>
  </si>
  <si>
    <t>75D9</t>
  </si>
  <si>
    <t>76C1</t>
  </si>
  <si>
    <t>76C2</t>
  </si>
  <si>
    <t>76D1</t>
  </si>
  <si>
    <t>76D10</t>
  </si>
  <si>
    <t>76D11</t>
  </si>
  <si>
    <t>76D12</t>
  </si>
  <si>
    <t>76D13</t>
  </si>
  <si>
    <t>76D14</t>
  </si>
  <si>
    <t>76D15</t>
  </si>
  <si>
    <t>76D16</t>
  </si>
  <si>
    <t>76D17</t>
  </si>
  <si>
    <t>76D18</t>
  </si>
  <si>
    <t>76D19</t>
  </si>
  <si>
    <t>76D2</t>
  </si>
  <si>
    <t>76D3</t>
  </si>
  <si>
    <t>76D4</t>
  </si>
  <si>
    <t>76D5</t>
  </si>
  <si>
    <t>76D6</t>
  </si>
  <si>
    <t>76D7</t>
  </si>
  <si>
    <t>76D8</t>
  </si>
  <si>
    <t>76D9</t>
  </si>
  <si>
    <t>77C1</t>
  </si>
  <si>
    <t>77D10</t>
  </si>
  <si>
    <t>77D11</t>
  </si>
  <si>
    <t>77D12</t>
  </si>
  <si>
    <t>77D13</t>
  </si>
  <si>
    <t>77D14</t>
  </si>
  <si>
    <t>77D15</t>
  </si>
  <si>
    <t>77D16</t>
  </si>
  <si>
    <t>77D17</t>
  </si>
  <si>
    <t>77D18</t>
  </si>
  <si>
    <t>77D19</t>
  </si>
  <si>
    <t>77D20</t>
  </si>
  <si>
    <t>77D4</t>
  </si>
  <si>
    <t>77D5</t>
  </si>
  <si>
    <t>77D6</t>
  </si>
  <si>
    <t>77D7</t>
  </si>
  <si>
    <t>77D8</t>
  </si>
  <si>
    <t>77D9</t>
  </si>
  <si>
    <t>78D10</t>
  </si>
  <si>
    <t>78D11</t>
  </si>
  <si>
    <t>78D12</t>
  </si>
  <si>
    <t>78D13</t>
  </si>
  <si>
    <t>78D14</t>
  </si>
  <si>
    <t>78D15</t>
  </si>
  <si>
    <t>78D16</t>
  </si>
  <si>
    <t>78D17</t>
  </si>
  <si>
    <t>78D18</t>
  </si>
  <si>
    <t>78D19</t>
  </si>
  <si>
    <t>78D20</t>
  </si>
  <si>
    <t>78D3</t>
  </si>
  <si>
    <t>78D4</t>
  </si>
  <si>
    <t>78D5</t>
  </si>
  <si>
    <t>78D6</t>
  </si>
  <si>
    <t>78D7</t>
  </si>
  <si>
    <t>78D8</t>
  </si>
  <si>
    <t>78D9</t>
  </si>
  <si>
    <t>79C1</t>
  </si>
  <si>
    <t>79C2</t>
  </si>
  <si>
    <t>79D10</t>
  </si>
  <si>
    <t>79D11</t>
  </si>
  <si>
    <t>79D12</t>
  </si>
  <si>
    <t>79D13</t>
  </si>
  <si>
    <t>79D14</t>
  </si>
  <si>
    <t>79D15</t>
  </si>
  <si>
    <t>79D16</t>
  </si>
  <si>
    <t>79D17</t>
  </si>
  <si>
    <t>79D18</t>
  </si>
  <si>
    <t>79D19</t>
  </si>
  <si>
    <t>79D2</t>
  </si>
  <si>
    <t>79D20</t>
  </si>
  <si>
    <t>79D3</t>
  </si>
  <si>
    <t>79D4</t>
  </si>
  <si>
    <t>79D5</t>
  </si>
  <si>
    <t>79D6</t>
  </si>
  <si>
    <t>79D7</t>
  </si>
  <si>
    <t>79D8</t>
  </si>
  <si>
    <t>79D9</t>
  </si>
  <si>
    <t>7C1</t>
  </si>
  <si>
    <t>7C2</t>
  </si>
  <si>
    <t>7D2</t>
  </si>
  <si>
    <t>80C1</t>
  </si>
  <si>
    <t>80D1</t>
  </si>
  <si>
    <t>80D10</t>
  </si>
  <si>
    <t>80D11</t>
  </si>
  <si>
    <t>80D12</t>
  </si>
  <si>
    <t>80D13</t>
  </si>
  <si>
    <t>80D14</t>
  </si>
  <si>
    <t>80D15</t>
  </si>
  <si>
    <t>80D16</t>
  </si>
  <si>
    <t>80D17</t>
  </si>
  <si>
    <t>80D18</t>
  </si>
  <si>
    <t>80D19</t>
  </si>
  <si>
    <t>80D2</t>
  </si>
  <si>
    <t>80D20</t>
  </si>
  <si>
    <t>80D3</t>
  </si>
  <si>
    <t>80D4</t>
  </si>
  <si>
    <t>80D5</t>
  </si>
  <si>
    <t>80D6</t>
  </si>
  <si>
    <t>80D7</t>
  </si>
  <si>
    <t>80D8</t>
  </si>
  <si>
    <t>80D9</t>
  </si>
  <si>
    <t>81D10</t>
  </si>
  <si>
    <t>81D11</t>
  </si>
  <si>
    <t>81D12</t>
  </si>
  <si>
    <t>81D13</t>
  </si>
  <si>
    <t>81D14</t>
  </si>
  <si>
    <t>81D15</t>
  </si>
  <si>
    <t>81D16</t>
  </si>
  <si>
    <t>81D17</t>
  </si>
  <si>
    <t>81D18</t>
  </si>
  <si>
    <t>81D19</t>
  </si>
  <si>
    <t>81D20</t>
  </si>
  <si>
    <t>81D21</t>
  </si>
  <si>
    <t>81D4</t>
  </si>
  <si>
    <t>81D5</t>
  </si>
  <si>
    <t>81D6</t>
  </si>
  <si>
    <t>81D7</t>
  </si>
  <si>
    <t>81D8</t>
  </si>
  <si>
    <t>81D9</t>
  </si>
  <si>
    <t>82C1</t>
  </si>
  <si>
    <t>82C2</t>
  </si>
  <si>
    <t>82D10</t>
  </si>
  <si>
    <t>82D11</t>
  </si>
  <si>
    <t>82D12</t>
  </si>
  <si>
    <t>82D13</t>
  </si>
  <si>
    <t>82D14</t>
  </si>
  <si>
    <t>82D15</t>
  </si>
  <si>
    <t>82D16</t>
  </si>
  <si>
    <t>82D17</t>
  </si>
  <si>
    <t>82D18</t>
  </si>
  <si>
    <t>82D19</t>
  </si>
  <si>
    <t>82D20</t>
  </si>
  <si>
    <t>82D21</t>
  </si>
  <si>
    <t>82D3</t>
  </si>
  <si>
    <t>82D4</t>
  </si>
  <si>
    <t>82D5</t>
  </si>
  <si>
    <t>82D6</t>
  </si>
  <si>
    <t>82D7</t>
  </si>
  <si>
    <t>82D8</t>
  </si>
  <si>
    <t>82D9</t>
  </si>
  <si>
    <t>83C1</t>
  </si>
  <si>
    <t>83D10</t>
  </si>
  <si>
    <t>83D11</t>
  </si>
  <si>
    <t>83D12</t>
  </si>
  <si>
    <t>83D13</t>
  </si>
  <si>
    <t>83D14</t>
  </si>
  <si>
    <t>83D15</t>
  </si>
  <si>
    <t>83D16</t>
  </si>
  <si>
    <t>83D17</t>
  </si>
  <si>
    <t>83D18</t>
  </si>
  <si>
    <t>83D19</t>
  </si>
  <si>
    <t>83D2</t>
  </si>
  <si>
    <t>83D20</t>
  </si>
  <si>
    <t>83D21</t>
  </si>
  <si>
    <t>83D3</t>
  </si>
  <si>
    <t>83D4</t>
  </si>
  <si>
    <t>83D5</t>
  </si>
  <si>
    <t>83D6</t>
  </si>
  <si>
    <t>83D7</t>
  </si>
  <si>
    <t>83D8</t>
  </si>
  <si>
    <t>83D9</t>
  </si>
  <si>
    <t>84D1</t>
  </si>
  <si>
    <t>84D10</t>
  </si>
  <si>
    <t>84D11</t>
  </si>
  <si>
    <t>84D12</t>
  </si>
  <si>
    <t>84D13</t>
  </si>
  <si>
    <t>84D14</t>
  </si>
  <si>
    <t>84D15</t>
  </si>
  <si>
    <t>84D16</t>
  </si>
  <si>
    <t>84D17</t>
  </si>
  <si>
    <t>84D18</t>
  </si>
  <si>
    <t>84D19</t>
  </si>
  <si>
    <t>84D2</t>
  </si>
  <si>
    <t>84D20</t>
  </si>
  <si>
    <t>84D21</t>
  </si>
  <si>
    <t>84D3</t>
  </si>
  <si>
    <t>84D4</t>
  </si>
  <si>
    <t>84D5</t>
  </si>
  <si>
    <t>84D6</t>
  </si>
  <si>
    <t>84D7</t>
  </si>
  <si>
    <t>84D8</t>
  </si>
  <si>
    <t>84D9</t>
  </si>
  <si>
    <t>85C1</t>
  </si>
  <si>
    <t>85C2</t>
  </si>
  <si>
    <t>85D10</t>
  </si>
  <si>
    <t>85D11</t>
  </si>
  <si>
    <t>85D12</t>
  </si>
  <si>
    <t>85D13</t>
  </si>
  <si>
    <t>85D14</t>
  </si>
  <si>
    <t>85D15</t>
  </si>
  <si>
    <t>85D16</t>
  </si>
  <si>
    <t>85D17</t>
  </si>
  <si>
    <t>85D18</t>
  </si>
  <si>
    <t>85D19</t>
  </si>
  <si>
    <t>85D20</t>
  </si>
  <si>
    <t>85D21</t>
  </si>
  <si>
    <t>85D22</t>
  </si>
  <si>
    <t>85D4</t>
  </si>
  <si>
    <t>85D5</t>
  </si>
  <si>
    <t>85D6</t>
  </si>
  <si>
    <t>85D7</t>
  </si>
  <si>
    <t>85D8</t>
  </si>
  <si>
    <t>85D9</t>
  </si>
  <si>
    <t>86C1</t>
  </si>
  <si>
    <t>86D10</t>
  </si>
  <si>
    <t>86D11</t>
  </si>
  <si>
    <t>86D12</t>
  </si>
  <si>
    <t>86D13</t>
  </si>
  <si>
    <t>86D14</t>
  </si>
  <si>
    <t>86D15</t>
  </si>
  <si>
    <t>86D16</t>
  </si>
  <si>
    <t>86D17</t>
  </si>
  <si>
    <t>86D18</t>
  </si>
  <si>
    <t>86D19</t>
  </si>
  <si>
    <t>86D20</t>
  </si>
  <si>
    <t>86D21</t>
  </si>
  <si>
    <t>86D22</t>
  </si>
  <si>
    <t>86D3</t>
  </si>
  <si>
    <t>86D4</t>
  </si>
  <si>
    <t>86D5</t>
  </si>
  <si>
    <t>86D6</t>
  </si>
  <si>
    <t>86D7</t>
  </si>
  <si>
    <t>86D8</t>
  </si>
  <si>
    <t>86D9</t>
  </si>
  <si>
    <t>87D10</t>
  </si>
  <si>
    <t>87D11</t>
  </si>
  <si>
    <t>87D12</t>
  </si>
  <si>
    <t>87D13</t>
  </si>
  <si>
    <t>87D14</t>
  </si>
  <si>
    <t>87D15</t>
  </si>
  <si>
    <t>87D16</t>
  </si>
  <si>
    <t>87D17</t>
  </si>
  <si>
    <t>87D18</t>
  </si>
  <si>
    <t>87D19</t>
  </si>
  <si>
    <t>87D2</t>
  </si>
  <si>
    <t>87D20</t>
  </si>
  <si>
    <t>87D21</t>
  </si>
  <si>
    <t>87D22</t>
  </si>
  <si>
    <t>87D3</t>
  </si>
  <si>
    <t>87D4</t>
  </si>
  <si>
    <t>87D5</t>
  </si>
  <si>
    <t>87D6</t>
  </si>
  <si>
    <t>87D7</t>
  </si>
  <si>
    <t>87D8</t>
  </si>
  <si>
    <t>87D9</t>
  </si>
  <si>
    <t>88C1</t>
  </si>
  <si>
    <t>88C2</t>
  </si>
  <si>
    <t>88D1</t>
  </si>
  <si>
    <t>88D10</t>
  </si>
  <si>
    <t>88D11</t>
  </si>
  <si>
    <t>88D12</t>
  </si>
  <si>
    <t>88D13</t>
  </si>
  <si>
    <t>88D14</t>
  </si>
  <si>
    <t>88D15</t>
  </si>
  <si>
    <t>88D16</t>
  </si>
  <si>
    <t>88D17</t>
  </si>
  <si>
    <t>88D18</t>
  </si>
  <si>
    <t>88D19</t>
  </si>
  <si>
    <t>88D2</t>
  </si>
  <si>
    <t>88D20</t>
  </si>
  <si>
    <t>88D21</t>
  </si>
  <si>
    <t>88D22</t>
  </si>
  <si>
    <t>88D3</t>
  </si>
  <si>
    <t>88D4</t>
  </si>
  <si>
    <t>88D5</t>
  </si>
  <si>
    <t>88D6</t>
  </si>
  <si>
    <t>88D7</t>
  </si>
  <si>
    <t>88D8</t>
  </si>
  <si>
    <t>88D9</t>
  </si>
  <si>
    <t>89C1</t>
  </si>
  <si>
    <t>89D10</t>
  </si>
  <si>
    <t>89D11</t>
  </si>
  <si>
    <t>89D12</t>
  </si>
  <si>
    <t>89D13</t>
  </si>
  <si>
    <t>89D14</t>
  </si>
  <si>
    <t>89D15</t>
  </si>
  <si>
    <t>89D16</t>
  </si>
  <si>
    <t>89D17</t>
  </si>
  <si>
    <t>89D18</t>
  </si>
  <si>
    <t>89D19</t>
  </si>
  <si>
    <t>89D20</t>
  </si>
  <si>
    <t>89D21</t>
  </si>
  <si>
    <t>89D22</t>
  </si>
  <si>
    <t>89D23</t>
  </si>
  <si>
    <t>89D4</t>
  </si>
  <si>
    <t>89D5</t>
  </si>
  <si>
    <t>89D6</t>
  </si>
  <si>
    <t>89D7</t>
  </si>
  <si>
    <t>89D8</t>
  </si>
  <si>
    <t>89D9</t>
  </si>
  <si>
    <t>8C1</t>
  </si>
  <si>
    <t>8D1</t>
  </si>
  <si>
    <t>8D2</t>
  </si>
  <si>
    <t>90D10</t>
  </si>
  <si>
    <t>90D11</t>
  </si>
  <si>
    <t>90D12</t>
  </si>
  <si>
    <t>90D13</t>
  </si>
  <si>
    <t>90D14</t>
  </si>
  <si>
    <t>90D15</t>
  </si>
  <si>
    <t>90D16</t>
  </si>
  <si>
    <t>90D17</t>
  </si>
  <si>
    <t>90D18</t>
  </si>
  <si>
    <t>90D19</t>
  </si>
  <si>
    <t>90D20</t>
  </si>
  <si>
    <t>90D21</t>
  </si>
  <si>
    <t>90D22</t>
  </si>
  <si>
    <t>90D23</t>
  </si>
  <si>
    <t>90D3</t>
  </si>
  <si>
    <t>90D4</t>
  </si>
  <si>
    <t>90D5</t>
  </si>
  <si>
    <t>90D6</t>
  </si>
  <si>
    <t>90D7</t>
  </si>
  <si>
    <t>90D8</t>
  </si>
  <si>
    <t>90D9</t>
  </si>
  <si>
    <t>91C1</t>
  </si>
  <si>
    <t>91C2</t>
  </si>
  <si>
    <t>91D10</t>
  </si>
  <si>
    <t>91D11</t>
  </si>
  <si>
    <t>91D12</t>
  </si>
  <si>
    <t>91D13</t>
  </si>
  <si>
    <t>91D14</t>
  </si>
  <si>
    <t>91D15</t>
  </si>
  <si>
    <t>91D16</t>
  </si>
  <si>
    <t>91D17</t>
  </si>
  <si>
    <t>91D18</t>
  </si>
  <si>
    <t>91D19</t>
  </si>
  <si>
    <t>91D2</t>
  </si>
  <si>
    <t>91D20</t>
  </si>
  <si>
    <t>91D21</t>
  </si>
  <si>
    <t>91D22</t>
  </si>
  <si>
    <t>91D23</t>
  </si>
  <si>
    <t>91D3</t>
  </si>
  <si>
    <t>91D4</t>
  </si>
  <si>
    <t>91D5</t>
  </si>
  <si>
    <t>91D6</t>
  </si>
  <si>
    <t>91D7</t>
  </si>
  <si>
    <t>91D8</t>
  </si>
  <si>
    <t>91D9</t>
  </si>
  <si>
    <t>92C1</t>
  </si>
  <si>
    <t>92D1</t>
  </si>
  <si>
    <t>92D10</t>
  </si>
  <si>
    <t>92D11</t>
  </si>
  <si>
    <t>92D12</t>
  </si>
  <si>
    <t>92D13</t>
  </si>
  <si>
    <t>92D14</t>
  </si>
  <si>
    <t>92D15</t>
  </si>
  <si>
    <t>92D16</t>
  </si>
  <si>
    <t>92D17</t>
  </si>
  <si>
    <t>92D18</t>
  </si>
  <si>
    <t>92D19</t>
  </si>
  <si>
    <t>92D2</t>
  </si>
  <si>
    <t>92D20</t>
  </si>
  <si>
    <t>92D21</t>
  </si>
  <si>
    <t>92D22</t>
  </si>
  <si>
    <t>92D23</t>
  </si>
  <si>
    <t>92D3</t>
  </si>
  <si>
    <t>92D4</t>
  </si>
  <si>
    <t>92D5</t>
  </si>
  <si>
    <t>92D6</t>
  </si>
  <si>
    <t>92D7</t>
  </si>
  <si>
    <t>92D8</t>
  </si>
  <si>
    <t>92D9</t>
  </si>
  <si>
    <t>93D10</t>
  </si>
  <si>
    <t>93D11</t>
  </si>
  <si>
    <t>93D12</t>
  </si>
  <si>
    <t>93D13</t>
  </si>
  <si>
    <t>93D14</t>
  </si>
  <si>
    <t>93D15</t>
  </si>
  <si>
    <t>93D16</t>
  </si>
  <si>
    <t>93D17</t>
  </si>
  <si>
    <t>93D18</t>
  </si>
  <si>
    <t>93D19</t>
  </si>
  <si>
    <t>93D20</t>
  </si>
  <si>
    <t>93D21</t>
  </si>
  <si>
    <t>93D22</t>
  </si>
  <si>
    <t>93D23</t>
  </si>
  <si>
    <t>93D24</t>
  </si>
  <si>
    <t>93D4</t>
  </si>
  <si>
    <t>93D5</t>
  </si>
  <si>
    <t>93D6</t>
  </si>
  <si>
    <t>93D7</t>
  </si>
  <si>
    <t>93D8</t>
  </si>
  <si>
    <t>93D9</t>
  </si>
  <si>
    <t>94C1</t>
  </si>
  <si>
    <t>94C2</t>
  </si>
  <si>
    <t>94D10</t>
  </si>
  <si>
    <t>94D11</t>
  </si>
  <si>
    <t>94D12</t>
  </si>
  <si>
    <t>94D13</t>
  </si>
  <si>
    <t>94D14</t>
  </si>
  <si>
    <t>94D15</t>
  </si>
  <si>
    <t>94D16</t>
  </si>
  <si>
    <t>94D17</t>
  </si>
  <si>
    <t>94D18</t>
  </si>
  <si>
    <t>94D19</t>
  </si>
  <si>
    <t>94D20</t>
  </si>
  <si>
    <t>94D21</t>
  </si>
  <si>
    <t>94D22</t>
  </si>
  <si>
    <t>94D23</t>
  </si>
  <si>
    <t>94D24</t>
  </si>
  <si>
    <t>94D3</t>
  </si>
  <si>
    <t>94D4</t>
  </si>
  <si>
    <t>94D5</t>
  </si>
  <si>
    <t>94D6</t>
  </si>
  <si>
    <t>94D7</t>
  </si>
  <si>
    <t>94D8</t>
  </si>
  <si>
    <t>94D9</t>
  </si>
  <si>
    <t>95C1</t>
  </si>
  <si>
    <t>95D10</t>
  </si>
  <si>
    <t>95D11</t>
  </si>
  <si>
    <t>95D12</t>
  </si>
  <si>
    <t>95D13</t>
  </si>
  <si>
    <t>95D14</t>
  </si>
  <si>
    <t>95D15</t>
  </si>
  <si>
    <t>95D16</t>
  </si>
  <si>
    <t>95D17</t>
  </si>
  <si>
    <t>95D18</t>
  </si>
  <si>
    <t>95D19</t>
  </si>
  <si>
    <t>95D2</t>
  </si>
  <si>
    <t>95D20</t>
  </si>
  <si>
    <t>95D21</t>
  </si>
  <si>
    <t>95D22</t>
  </si>
  <si>
    <t>95D23</t>
  </si>
  <si>
    <t>95D24</t>
  </si>
  <si>
    <t>95D3</t>
  </si>
  <si>
    <t>95D4</t>
  </si>
  <si>
    <t>95D5</t>
  </si>
  <si>
    <t>95D6</t>
  </si>
  <si>
    <t>95D7</t>
  </si>
  <si>
    <t>95D8</t>
  </si>
  <si>
    <t>95D9</t>
  </si>
  <si>
    <t>96D1</t>
  </si>
  <si>
    <t>96D10</t>
  </si>
  <si>
    <t>96D11</t>
  </si>
  <si>
    <t>96D12</t>
  </si>
  <si>
    <t>96D13</t>
  </si>
  <si>
    <t>96D14</t>
  </si>
  <si>
    <t>96D15</t>
  </si>
  <si>
    <t>96D16</t>
  </si>
  <si>
    <t>96D17</t>
  </si>
  <si>
    <t>96D18</t>
  </si>
  <si>
    <t>96D19</t>
  </si>
  <si>
    <t>96D2</t>
  </si>
  <si>
    <t>96D20</t>
  </si>
  <si>
    <t>96D21</t>
  </si>
  <si>
    <t>96D22</t>
  </si>
  <si>
    <t>96D23</t>
  </si>
  <si>
    <t>96D24</t>
  </si>
  <si>
    <t>96D3</t>
  </si>
  <si>
    <t>96D4</t>
  </si>
  <si>
    <t>96D5</t>
  </si>
  <si>
    <t>96D6</t>
  </si>
  <si>
    <t>96D7</t>
  </si>
  <si>
    <t>96D8</t>
  </si>
  <si>
    <t>96D9</t>
  </si>
  <si>
    <t>97A1</t>
  </si>
  <si>
    <t>97A10</t>
  </si>
  <si>
    <t>97A11</t>
  </si>
  <si>
    <t>97A12</t>
  </si>
  <si>
    <t>97A13</t>
  </si>
  <si>
    <t>97A14</t>
  </si>
  <si>
    <t>97A15</t>
  </si>
  <si>
    <t>97A16</t>
  </si>
  <si>
    <t>97A17</t>
  </si>
  <si>
    <t>97A18</t>
  </si>
  <si>
    <t>97A19</t>
  </si>
  <si>
    <t>97A2</t>
  </si>
  <si>
    <t>97A20</t>
  </si>
  <si>
    <t>97A21</t>
  </si>
  <si>
    <t>97A22</t>
  </si>
  <si>
    <t>97A23</t>
  </si>
  <si>
    <t>97A24</t>
  </si>
  <si>
    <t>97A25</t>
  </si>
  <si>
    <t>97A3</t>
  </si>
  <si>
    <t>97A4</t>
  </si>
  <si>
    <t>97A5</t>
  </si>
  <si>
    <t>97A6</t>
  </si>
  <si>
    <t>97A7</t>
  </si>
  <si>
    <t>97A8</t>
  </si>
  <si>
    <t>97A9</t>
  </si>
  <si>
    <t>97B1</t>
  </si>
  <si>
    <t>97B10</t>
  </si>
  <si>
    <t>97B11</t>
  </si>
  <si>
    <t>97B12</t>
  </si>
  <si>
    <t>97B13</t>
  </si>
  <si>
    <t>97B14</t>
  </si>
  <si>
    <t>97B15</t>
  </si>
  <si>
    <t>97B16</t>
  </si>
  <si>
    <t>97B17</t>
  </si>
  <si>
    <t>97B18</t>
  </si>
  <si>
    <t>97B19</t>
  </si>
  <si>
    <t>97B2</t>
  </si>
  <si>
    <t>97B20</t>
  </si>
  <si>
    <t>97B21</t>
  </si>
  <si>
    <t>97B22</t>
  </si>
  <si>
    <t>97B23</t>
  </si>
  <si>
    <t>97B24</t>
  </si>
  <si>
    <t>97B25</t>
  </si>
  <si>
    <t>97B3</t>
  </si>
  <si>
    <t>97B4</t>
  </si>
  <si>
    <t>97B5</t>
  </si>
  <si>
    <t>97B6</t>
  </si>
  <si>
    <t>97B7</t>
  </si>
  <si>
    <t>97B8</t>
  </si>
  <si>
    <t>97B9</t>
  </si>
  <si>
    <t>97C1</t>
  </si>
  <si>
    <t>97C10</t>
  </si>
  <si>
    <t>97C11</t>
  </si>
  <si>
    <t>97C12</t>
  </si>
  <si>
    <t>97C13</t>
  </si>
  <si>
    <t>97C14</t>
  </si>
  <si>
    <t>97C15</t>
  </si>
  <si>
    <t>97C16</t>
  </si>
  <si>
    <t>97C17</t>
  </si>
  <si>
    <t>97C18</t>
  </si>
  <si>
    <t>97C19</t>
  </si>
  <si>
    <t>97C2</t>
  </si>
  <si>
    <t>97C20</t>
  </si>
  <si>
    <t>97C21</t>
  </si>
  <si>
    <t>97C22</t>
  </si>
  <si>
    <t>97C23</t>
  </si>
  <si>
    <t>97C24</t>
  </si>
  <si>
    <t>97C25</t>
  </si>
  <si>
    <t>97C3</t>
  </si>
  <si>
    <t>97C4</t>
  </si>
  <si>
    <t>97C5</t>
  </si>
  <si>
    <t>97C6</t>
  </si>
  <si>
    <t>97C7</t>
  </si>
  <si>
    <t>97C8</t>
  </si>
  <si>
    <t>97C9</t>
  </si>
  <si>
    <t>97D10</t>
  </si>
  <si>
    <t>97D11</t>
  </si>
  <si>
    <t>97D12</t>
  </si>
  <si>
    <t>97D13</t>
  </si>
  <si>
    <t>97D14</t>
  </si>
  <si>
    <t>97D15</t>
  </si>
  <si>
    <t>97D16</t>
  </si>
  <si>
    <t>97D17</t>
  </si>
  <si>
    <t>97D18</t>
  </si>
  <si>
    <t>97D19</t>
  </si>
  <si>
    <t>97D20</t>
  </si>
  <si>
    <t>97D21</t>
  </si>
  <si>
    <t>97D22</t>
  </si>
  <si>
    <t>97D23</t>
  </si>
  <si>
    <t>97D24</t>
  </si>
  <si>
    <t>97D25</t>
  </si>
  <si>
    <t>97D4</t>
  </si>
  <si>
    <t>97D5</t>
  </si>
  <si>
    <t>97D6</t>
  </si>
  <si>
    <t>97D7</t>
  </si>
  <si>
    <t>97D8</t>
  </si>
  <si>
    <t>97D9</t>
  </si>
  <si>
    <t>98A1</t>
  </si>
  <si>
    <t>98A10</t>
  </si>
  <si>
    <t>98A11</t>
  </si>
  <si>
    <t>98A12</t>
  </si>
  <si>
    <t>98A13</t>
  </si>
  <si>
    <t>98A14</t>
  </si>
  <si>
    <t>98A15</t>
  </si>
  <si>
    <t>98A16</t>
  </si>
  <si>
    <t>98A17</t>
  </si>
  <si>
    <t>98A18</t>
  </si>
  <si>
    <t>98A19</t>
  </si>
  <si>
    <t>98A2</t>
  </si>
  <si>
    <t>98A20</t>
  </si>
  <si>
    <t>98A21</t>
  </si>
  <si>
    <t>98A22</t>
  </si>
  <si>
    <t>98A23</t>
  </si>
  <si>
    <t>98A24</t>
  </si>
  <si>
    <t>98A25</t>
  </si>
  <si>
    <t>98A3</t>
  </si>
  <si>
    <t>98A4</t>
  </si>
  <si>
    <t>98A5</t>
  </si>
  <si>
    <t>98A6</t>
  </si>
  <si>
    <t>98A7</t>
  </si>
  <si>
    <t>98A8</t>
  </si>
  <si>
    <t>98A9</t>
  </si>
  <si>
    <t>98B1</t>
  </si>
  <si>
    <t>98B10</t>
  </si>
  <si>
    <t>98B11</t>
  </si>
  <si>
    <t>98B12</t>
  </si>
  <si>
    <t>98B13</t>
  </si>
  <si>
    <t>98B14</t>
  </si>
  <si>
    <t>98B15</t>
  </si>
  <si>
    <t>98B16</t>
  </si>
  <si>
    <t>98B17</t>
  </si>
  <si>
    <t>98B18</t>
  </si>
  <si>
    <t>98B19</t>
  </si>
  <si>
    <t>98B2</t>
  </si>
  <si>
    <t>98B20</t>
  </si>
  <si>
    <t>98B21</t>
  </si>
  <si>
    <t>98B22</t>
  </si>
  <si>
    <t>98B23</t>
  </si>
  <si>
    <t>98B24</t>
  </si>
  <si>
    <t>98B25</t>
  </si>
  <si>
    <t>98B3</t>
  </si>
  <si>
    <t>98B4</t>
  </si>
  <si>
    <t>98B5</t>
  </si>
  <si>
    <t>98B6</t>
  </si>
  <si>
    <t>98B7</t>
  </si>
  <si>
    <t>98B8</t>
  </si>
  <si>
    <t>98B9</t>
  </si>
  <si>
    <t>98C1</t>
  </si>
  <si>
    <t>98C10</t>
  </si>
  <si>
    <t>98C11</t>
  </si>
  <si>
    <t>98C12</t>
  </si>
  <si>
    <t>98C13</t>
  </si>
  <si>
    <t>98C14</t>
  </si>
  <si>
    <t>98C15</t>
  </si>
  <si>
    <t>98C16</t>
  </si>
  <si>
    <t>98C17</t>
  </si>
  <si>
    <t>98C18</t>
  </si>
  <si>
    <t>98C19</t>
  </si>
  <si>
    <t>98C2</t>
  </si>
  <si>
    <t>98C20</t>
  </si>
  <si>
    <t>98C21</t>
  </si>
  <si>
    <t>98C22</t>
  </si>
  <si>
    <t>98C23</t>
  </si>
  <si>
    <t>98C24</t>
  </si>
  <si>
    <t>98C25</t>
  </si>
  <si>
    <t>98C3</t>
  </si>
  <si>
    <t>98C4</t>
  </si>
  <si>
    <t>98C5</t>
  </si>
  <si>
    <t>98C6</t>
  </si>
  <si>
    <t>98C7</t>
  </si>
  <si>
    <t>98C8</t>
  </si>
  <si>
    <t>98C9</t>
  </si>
  <si>
    <t>98D10</t>
  </si>
  <si>
    <t>98D11</t>
  </si>
  <si>
    <t>98D12</t>
  </si>
  <si>
    <t>98D13</t>
  </si>
  <si>
    <t>98D14</t>
  </si>
  <si>
    <t>98D15</t>
  </si>
  <si>
    <t>98D16</t>
  </si>
  <si>
    <t>98D17</t>
  </si>
  <si>
    <t>98D18</t>
  </si>
  <si>
    <t>98D19</t>
  </si>
  <si>
    <t>98D20</t>
  </si>
  <si>
    <t>98D21</t>
  </si>
  <si>
    <t>98D22</t>
  </si>
  <si>
    <t>98D23</t>
  </si>
  <si>
    <t>98D24</t>
  </si>
  <si>
    <t>98D25</t>
  </si>
  <si>
    <t>98D3</t>
  </si>
  <si>
    <t>98D4</t>
  </si>
  <si>
    <t>98D5</t>
  </si>
  <si>
    <t>98D6</t>
  </si>
  <si>
    <t>98D7</t>
  </si>
  <si>
    <t>98D8</t>
  </si>
  <si>
    <t>98D9</t>
  </si>
  <si>
    <t>99A1</t>
  </si>
  <si>
    <t>99A10</t>
  </si>
  <si>
    <t>99A11</t>
  </si>
  <si>
    <t>99A12</t>
  </si>
  <si>
    <t>99A13</t>
  </si>
  <si>
    <t>99A14</t>
  </si>
  <si>
    <t>99A15</t>
  </si>
  <si>
    <t>99A16</t>
  </si>
  <si>
    <t>99A17</t>
  </si>
  <si>
    <t>99A18</t>
  </si>
  <si>
    <t>99A19</t>
  </si>
  <si>
    <t>99A2</t>
  </si>
  <si>
    <t>99A20</t>
  </si>
  <si>
    <t>99A21</t>
  </si>
  <si>
    <t>99A22</t>
  </si>
  <si>
    <t>99A23</t>
  </si>
  <si>
    <t>99A24</t>
  </si>
  <si>
    <t>99A25</t>
  </si>
  <si>
    <t>99A3</t>
  </si>
  <si>
    <t>99A4</t>
  </si>
  <si>
    <t>99A5</t>
  </si>
  <si>
    <t>99A6</t>
  </si>
  <si>
    <t>99A7</t>
  </si>
  <si>
    <t>99A8</t>
  </si>
  <si>
    <t>99A9</t>
  </si>
  <si>
    <t>99B1</t>
  </si>
  <si>
    <t>99B10</t>
  </si>
  <si>
    <t>99B11</t>
  </si>
  <si>
    <t>99B12</t>
  </si>
  <si>
    <t>99B13</t>
  </si>
  <si>
    <t>99B14</t>
  </si>
  <si>
    <t>99B15</t>
  </si>
  <si>
    <t>99B16</t>
  </si>
  <si>
    <t>99B17</t>
  </si>
  <si>
    <t>99B18</t>
  </si>
  <si>
    <t>99B19</t>
  </si>
  <si>
    <t>99B2</t>
  </si>
  <si>
    <t>99B20</t>
  </si>
  <si>
    <t>99B21</t>
  </si>
  <si>
    <t>99B22</t>
  </si>
  <si>
    <t>99B23</t>
  </si>
  <si>
    <t>99B24</t>
  </si>
  <si>
    <t>99B25</t>
  </si>
  <si>
    <t>99B3</t>
  </si>
  <si>
    <t>99B4</t>
  </si>
  <si>
    <t>99B5</t>
  </si>
  <si>
    <t>99B6</t>
  </si>
  <si>
    <t>99B7</t>
  </si>
  <si>
    <t>99B8</t>
  </si>
  <si>
    <t>99B9</t>
  </si>
  <si>
    <t>99C1</t>
  </si>
  <si>
    <t>99C10</t>
  </si>
  <si>
    <t>99C11</t>
  </si>
  <si>
    <t>99C12</t>
  </si>
  <si>
    <t>99C13</t>
  </si>
  <si>
    <t>99C14</t>
  </si>
  <si>
    <t>99C15</t>
  </si>
  <si>
    <t>99C16</t>
  </si>
  <si>
    <t>99C17</t>
  </si>
  <si>
    <t>99C18</t>
  </si>
  <si>
    <t>99C19</t>
  </si>
  <si>
    <t>99C2</t>
  </si>
  <si>
    <t>99C20</t>
  </si>
  <si>
    <t>99C21</t>
  </si>
  <si>
    <t>99C22</t>
  </si>
  <si>
    <t>99C23</t>
  </si>
  <si>
    <t>99C24</t>
  </si>
  <si>
    <t>99C25</t>
  </si>
  <si>
    <t>99C3</t>
  </si>
  <si>
    <t>99C4</t>
  </si>
  <si>
    <t>99C5</t>
  </si>
  <si>
    <t>99C6</t>
  </si>
  <si>
    <t>99C7</t>
  </si>
  <si>
    <t>99C8</t>
  </si>
  <si>
    <t>99C9</t>
  </si>
  <si>
    <t>99D10</t>
  </si>
  <si>
    <t>99D11</t>
  </si>
  <si>
    <t>99D12</t>
  </si>
  <si>
    <t>99D13</t>
  </si>
  <si>
    <t>99D14</t>
  </si>
  <si>
    <t>99D15</t>
  </si>
  <si>
    <t>99D16</t>
  </si>
  <si>
    <t>99D17</t>
  </si>
  <si>
    <t>99D18</t>
  </si>
  <si>
    <t>99D19</t>
  </si>
  <si>
    <t>99D2</t>
  </si>
  <si>
    <t>99D20</t>
  </si>
  <si>
    <t>99D21</t>
  </si>
  <si>
    <t>99D22</t>
  </si>
  <si>
    <t>99D23</t>
  </si>
  <si>
    <t>99D24</t>
  </si>
  <si>
    <t>99D25</t>
  </si>
  <si>
    <t>99D3</t>
  </si>
  <si>
    <t>99D4</t>
  </si>
  <si>
    <t>99D5</t>
  </si>
  <si>
    <t>99D6</t>
  </si>
  <si>
    <t>99D7</t>
  </si>
  <si>
    <t>99D8</t>
  </si>
  <si>
    <t>99D9</t>
  </si>
  <si>
    <t>9C1</t>
  </si>
  <si>
    <t>Grupo 1</t>
  </si>
  <si>
    <t>Mesa:</t>
  </si>
  <si>
    <t>Grupo 2</t>
  </si>
  <si>
    <t>Grupo 3</t>
  </si>
  <si>
    <t>Grupo 4</t>
  </si>
  <si>
    <t>Grupo 5</t>
  </si>
  <si>
    <t>Grupo 6</t>
  </si>
  <si>
    <t>Grupo 7</t>
  </si>
  <si>
    <t>Grupo 8</t>
  </si>
  <si>
    <t>Grupo 9</t>
  </si>
  <si>
    <t>Grupo 10</t>
  </si>
  <si>
    <t>Grupo 11</t>
  </si>
  <si>
    <t>Grupo 12</t>
  </si>
  <si>
    <t>Grupo 13</t>
  </si>
  <si>
    <t>Grupo 14</t>
  </si>
  <si>
    <t>Grupo 15</t>
  </si>
  <si>
    <t>Grupo 16</t>
  </si>
  <si>
    <t>Grupo 17</t>
  </si>
  <si>
    <t>Grupo 18</t>
  </si>
  <si>
    <t>Grupo 19</t>
  </si>
  <si>
    <t>Grupo 20</t>
  </si>
  <si>
    <t>Grupo 21</t>
  </si>
  <si>
    <t>Grupo 22</t>
  </si>
  <si>
    <t>Grupo 23</t>
  </si>
  <si>
    <t>Grupo 24</t>
  </si>
  <si>
    <t>Grupo 25</t>
  </si>
  <si>
    <t>Grupo 26</t>
  </si>
  <si>
    <t>Grupo 27</t>
  </si>
  <si>
    <t>Grupo 28</t>
  </si>
  <si>
    <t>Grupo 29</t>
  </si>
  <si>
    <t>Grupo 30</t>
  </si>
  <si>
    <t>Grupo 31</t>
  </si>
  <si>
    <t>Grupo 32</t>
  </si>
  <si>
    <t>Grupo 33</t>
  </si>
  <si>
    <t>Grupo 34</t>
  </si>
  <si>
    <t>Grupo 35</t>
  </si>
  <si>
    <t>Grupo 36</t>
  </si>
  <si>
    <t>Grupo 37</t>
  </si>
  <si>
    <t>Grupo 38</t>
  </si>
  <si>
    <t>Grupo 39</t>
  </si>
  <si>
    <t>Grupo 40</t>
  </si>
  <si>
    <t>Grupo 41</t>
  </si>
  <si>
    <t>Grupo 42</t>
  </si>
  <si>
    <t>Grupo 43</t>
  </si>
  <si>
    <t>3ros 6</t>
  </si>
  <si>
    <t>GP_1</t>
  </si>
  <si>
    <t>GP_2</t>
  </si>
  <si>
    <t>GP_3</t>
  </si>
  <si>
    <t>GP_4</t>
  </si>
  <si>
    <t>GP_5</t>
  </si>
  <si>
    <t>GP_6</t>
  </si>
  <si>
    <t>GP_7</t>
  </si>
  <si>
    <t>GP_8</t>
  </si>
  <si>
    <t>GP_9</t>
  </si>
  <si>
    <t>GP_10</t>
  </si>
  <si>
    <t>GP_11</t>
  </si>
  <si>
    <t>GP_12</t>
  </si>
  <si>
    <t>GP_13</t>
  </si>
  <si>
    <t>GP_14</t>
  </si>
  <si>
    <t>GP_15</t>
  </si>
  <si>
    <t>GP_16</t>
  </si>
  <si>
    <t>GP_17</t>
  </si>
  <si>
    <t>GP_18</t>
  </si>
  <si>
    <t>GP_19</t>
  </si>
  <si>
    <t>GP_20</t>
  </si>
  <si>
    <t>GP_21</t>
  </si>
  <si>
    <t>GP_22</t>
  </si>
  <si>
    <t>GP_23</t>
  </si>
  <si>
    <t>GP_24</t>
  </si>
  <si>
    <t>GP_25</t>
  </si>
  <si>
    <t>GP_26</t>
  </si>
  <si>
    <t>GP_27</t>
  </si>
  <si>
    <t>GP_28</t>
  </si>
  <si>
    <t>GP_29</t>
  </si>
  <si>
    <t>GP_30</t>
  </si>
  <si>
    <t>GP_31</t>
  </si>
  <si>
    <t>GP_32</t>
  </si>
  <si>
    <t>GP_33</t>
  </si>
  <si>
    <t>GP_34</t>
  </si>
  <si>
    <t>GP_35</t>
  </si>
  <si>
    <t>GP_36</t>
  </si>
  <si>
    <t>GP_37</t>
  </si>
  <si>
    <t>GP_38</t>
  </si>
  <si>
    <t>GP_39</t>
  </si>
  <si>
    <t>GP_40</t>
  </si>
  <si>
    <t>GP_41</t>
  </si>
  <si>
    <t>GP_42</t>
  </si>
  <si>
    <t>GP_43</t>
  </si>
  <si>
    <t>if range name Llave =4 set print range to =Qadro!$B$1:$P$11</t>
  </si>
  <si>
    <t>if range name Llave =8 set print range to =Qadro!$B$1:$T$23</t>
  </si>
  <si>
    <t>if range name Llave =16 set print range to =Qadro!$B$1:$X$47</t>
  </si>
  <si>
    <t>Print Active sheet Landscape Orientation</t>
  </si>
  <si>
    <t>Print Active sheet Portrait Orientation</t>
  </si>
  <si>
    <t>if range name Llave =32 set print range to =Qadro!$B$1:$AB$95</t>
  </si>
  <si>
    <t>if range name Llave =64</t>
  </si>
  <si>
    <t>if range name Llave =128</t>
  </si>
  <si>
    <t>set Print Area to = Qadro!$B$1:$X$95</t>
  </si>
  <si>
    <t>Add Print Area = Qadro!$B$97:$X$191</t>
  </si>
  <si>
    <t>Add Print Area = Qadro!$Y$47:$AF$145</t>
  </si>
  <si>
    <t>Add Print Area = Qadro!$BO$97:$AB$191</t>
  </si>
  <si>
    <t>Add Print Area = Qadro!$BO$1:$AS$191</t>
  </si>
  <si>
    <t>Add Print Area = Qadro!$Y$47:$AO$145</t>
  </si>
  <si>
    <t>Orientation portrait</t>
  </si>
  <si>
    <t>If range name Llave = "" set error message "No hay Llave"</t>
  </si>
  <si>
    <t>IF(Llave&lt;128,"",IF(Llave=128,IF(OR(BK188="Bye",BK191="Bye"),"Bye",IF(BI188="P",BK188,IF(BI191="P",BK191,"")))))</t>
  </si>
  <si>
    <t>Jugador</t>
  </si>
  <si>
    <t>Ranking Inicial</t>
  </si>
  <si>
    <t>Derechos de Autor © 2024 Francisco E. Font. Todos los derechos reservados.
Ninguna parte de esta publicación puede ser reproducida, distribuida o transmitida en cualquier forma o por cualquier medio, incluyendo fotocopiado, grabación u otros métodos electrónicos o mecánicos, sin el permiso previo por escrito del autor, excepto en el caso de citas breves en reseñas críticas y ciertos otros usos no comerciales permitidos por la ley de derechos de autor.
Para permisos de uso, escribir al correo electrónico: Pacof29@hotmail.com</t>
  </si>
  <si>
    <t>FPRTM Acenteno</t>
  </si>
  <si>
    <t>Federación Puertorriqueña de Tenis de Mesa</t>
  </si>
  <si>
    <t>Federativo</t>
  </si>
  <si>
    <t>Nacionales 2025</t>
  </si>
  <si>
    <t>Coliseo Rubén Zayas Montañez - Trujillo Alto</t>
  </si>
  <si>
    <t>Dobles</t>
  </si>
  <si>
    <t>Rating</t>
  </si>
  <si>
    <t>Dobles Mixtos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</si>
</sst>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_(* \(#,##0\);_(* &quot;-&quot;_);_(@_)"/>
    <numFmt numFmtId="44" formatCode="_(&quot;$&quot;* #,##0.00_);_(&quot;$&quot;* \(#,##0.00\);_(&quot;$&quot;* &quot;-&quot;??_);_(@_)"/>
    <numFmt numFmtId="43" formatCode="_(* #,##0.00_);_(* \(#,##0.00\);_(* &quot;-&quot;??_);_(@_)"/>
    <numFmt numFmtId="164" formatCode="[$-409]dd\-mmm\-yy;@"/>
    <numFmt numFmtId="165" formatCode="_(&quot;kr&quot;\ * #,##0_);_(&quot;kr&quot;\ * \(#,##0\);_(&quot;kr&quot;\ * &quot;-&quot;_);_(@_)"/>
    <numFmt numFmtId="166" formatCode="_(&quot;kr&quot;\ * #,##0.00_);_(&quot;kr&quot;\ * \(#,##0.00\);_(&quot;kr&quot;\ * &quot;-&quot;??_);_(@_)"/>
    <numFmt numFmtId="167" formatCode="[$-409]h:mm\ AM/PM;@"/>
    <numFmt numFmtId="168" formatCode="[$-500A]dddd\,\ dd&quot; de &quot;mmmm&quot; de &quot;yyyy;@"/>
    <numFmt numFmtId="169" formatCode="_(* #,##0_);_(* \(#,##0\);_(* &quot;-&quot;??_);_(@_)"/>
    <numFmt numFmtId="170" formatCode="0.000"/>
  </numFmts>
  <fonts count="55" x14ac:knownFonts="1">
    <font>
      <sz val="11"/>
      <color theme="1"/>
      <name val="Calibri"/>
      <family val="2"/>
      <scheme val="minor"/>
    </font>
    <font>
      <sz val="11"/>
      <color theme="1"/>
      <name val="Calibri"/>
      <family val="2"/>
      <scheme val="minor"/>
    </font>
    <font>
      <sz val="10"/>
      <name val="Arial"/>
      <family val="2"/>
    </font>
    <font>
      <b/>
      <sz val="10"/>
      <name val="Arial"/>
      <family val="2"/>
    </font>
    <font>
      <u/>
      <sz val="14"/>
      <color indexed="12"/>
      <name val="新細明體"/>
      <charset val="136"/>
    </font>
    <font>
      <b/>
      <sz val="12"/>
      <color theme="1"/>
      <name val="Calibri"/>
      <family val="2"/>
      <scheme val="minor"/>
    </font>
    <font>
      <b/>
      <sz val="11"/>
      <color theme="1"/>
      <name val="Calibri"/>
      <family val="2"/>
      <scheme val="minor"/>
    </font>
    <font>
      <sz val="8"/>
      <color theme="1"/>
      <name val="Calibri"/>
      <family val="2"/>
      <scheme val="minor"/>
    </font>
    <font>
      <b/>
      <sz val="14"/>
      <color theme="1"/>
      <name val="Calibri"/>
      <family val="2"/>
      <scheme val="minor"/>
    </font>
    <font>
      <sz val="14"/>
      <color theme="1"/>
      <name val="Calibri"/>
      <family val="2"/>
      <scheme val="minor"/>
    </font>
    <font>
      <sz val="10"/>
      <name val="Arial"/>
      <family val="2"/>
    </font>
    <font>
      <sz val="10"/>
      <name val="Arial"/>
      <family val="2"/>
    </font>
    <font>
      <b/>
      <sz val="22"/>
      <color theme="1"/>
      <name val="Calibri"/>
      <family val="2"/>
      <scheme val="minor"/>
    </font>
    <font>
      <sz val="10"/>
      <name val="Arial"/>
      <family val="2"/>
    </font>
    <font>
      <b/>
      <sz val="8"/>
      <color theme="1"/>
      <name val="Calibri"/>
      <family val="2"/>
      <scheme val="minor"/>
    </font>
    <font>
      <b/>
      <u/>
      <sz val="18"/>
      <color theme="1"/>
      <name val="Calibri"/>
      <family val="2"/>
      <scheme val="minor"/>
    </font>
    <font>
      <sz val="14"/>
      <name val="Arial"/>
      <family val="2"/>
    </font>
    <font>
      <sz val="11"/>
      <color theme="1"/>
      <name val="Calibri"/>
      <family val="2"/>
      <scheme val="minor"/>
    </font>
    <font>
      <sz val="12"/>
      <name val="Arial"/>
      <family val="2"/>
    </font>
    <font>
      <sz val="12"/>
      <color theme="1"/>
      <name val="Calibri"/>
      <family val="2"/>
      <scheme val="minor"/>
    </font>
    <font>
      <sz val="10"/>
      <name val="Arial"/>
      <family val="2"/>
    </font>
    <font>
      <sz val="16"/>
      <name val="Arial"/>
      <family val="2"/>
    </font>
    <font>
      <b/>
      <sz val="16"/>
      <name val="Arial"/>
      <family val="2"/>
    </font>
    <font>
      <b/>
      <sz val="12"/>
      <name val="Arial"/>
      <family val="2"/>
    </font>
    <font>
      <b/>
      <sz val="11"/>
      <color rgb="FFFF0000"/>
      <name val="Calibri"/>
      <family val="2"/>
      <scheme val="minor"/>
    </font>
    <font>
      <sz val="8"/>
      <name val="Arial"/>
      <family val="2"/>
    </font>
    <font>
      <b/>
      <sz val="18"/>
      <color theme="1"/>
      <name val="Calibri"/>
      <family val="2"/>
      <scheme val="minor"/>
    </font>
    <font>
      <sz val="16"/>
      <color theme="1"/>
      <name val="Calibri"/>
      <family val="2"/>
      <scheme val="minor"/>
    </font>
    <font>
      <b/>
      <sz val="16"/>
      <color theme="1"/>
      <name val="Calibri"/>
      <family val="2"/>
      <scheme val="minor"/>
    </font>
    <font>
      <sz val="11"/>
      <name val="Arial"/>
      <family val="2"/>
    </font>
    <font>
      <sz val="12"/>
      <color theme="0"/>
      <name val="Arial"/>
      <family val="2"/>
    </font>
    <font>
      <b/>
      <sz val="11"/>
      <name val="Arial"/>
      <family val="2"/>
    </font>
    <font>
      <b/>
      <sz val="12"/>
      <color theme="1"/>
      <name val="Arial"/>
      <family val="2"/>
    </font>
    <font>
      <b/>
      <sz val="10"/>
      <color rgb="FFFF0000"/>
      <name val="Arial"/>
      <family val="2"/>
    </font>
    <font>
      <b/>
      <sz val="12"/>
      <color rgb="FFFF0000"/>
      <name val="Calibri"/>
      <family val="2"/>
      <scheme val="minor"/>
    </font>
    <font>
      <sz val="8"/>
      <color theme="0"/>
      <name val="Arial"/>
      <family val="2"/>
    </font>
    <font>
      <sz val="10"/>
      <color rgb="FFFF0000"/>
      <name val="Arial"/>
      <family val="2"/>
    </font>
    <font>
      <sz val="11"/>
      <color theme="1"/>
      <name val="Calibri"/>
      <family val="2"/>
      <scheme val="minor"/>
    </font>
    <font>
      <u/>
      <sz val="11"/>
      <color theme="1"/>
      <name val="Calibri"/>
      <family val="2"/>
      <scheme val="minor"/>
    </font>
    <font>
      <sz val="11"/>
      <color theme="0"/>
      <name val="Calibri"/>
      <family val="2"/>
      <scheme val="minor"/>
    </font>
    <font>
      <sz val="11"/>
      <color theme="1"/>
      <name val="Calibri"/>
      <family val="2"/>
      <scheme val="minor"/>
    </font>
    <font>
      <i/>
      <sz val="11"/>
      <color theme="1"/>
      <name val="Calibri"/>
      <family val="2"/>
      <scheme val="minor"/>
    </font>
    <font>
      <sz val="16"/>
      <color theme="0"/>
      <name val="Arial"/>
      <family val="2"/>
    </font>
    <font>
      <b/>
      <sz val="8"/>
      <name val="Arial"/>
      <family val="2"/>
    </font>
    <font>
      <sz val="10"/>
      <color theme="1"/>
      <name val="Calibri"/>
      <family val="2"/>
      <scheme val="minor"/>
    </font>
    <font>
      <b/>
      <sz val="14"/>
      <name val="Arial"/>
      <family val="2"/>
    </font>
    <font>
      <b/>
      <sz val="16"/>
      <color rgb="FFFF0000"/>
      <name val="Calibri"/>
      <family val="2"/>
      <scheme val="minor"/>
    </font>
    <font>
      <strike/>
      <sz val="11"/>
      <color rgb="FFFF0000"/>
      <name val="Calibri"/>
      <family val="2"/>
      <scheme val="minor"/>
    </font>
    <font>
      <sz val="11"/>
      <name val="Calibri"/>
      <family val="2"/>
      <scheme val="minor"/>
    </font>
    <font>
      <b/>
      <sz val="72"/>
      <color theme="1"/>
      <name val="Calibri"/>
      <family val="2"/>
      <scheme val="minor"/>
    </font>
    <font>
      <b/>
      <sz val="14"/>
      <color rgb="FF000000"/>
      <name val="Calibri"/>
      <family val="2"/>
    </font>
    <font>
      <sz val="11"/>
      <color rgb="FF000000"/>
      <name val="Calibri"/>
      <family val="2"/>
    </font>
    <font>
      <sz val="10"/>
      <color theme="0"/>
      <name val="Arial"/>
      <family val="2"/>
    </font>
    <font>
      <b/>
      <sz val="14"/>
      <color rgb="FFFF0000"/>
      <name val="Calibri"/>
      <family val="2"/>
    </font>
    <font>
      <b/>
      <sz val="7"/>
      <name val="Arial"/>
      <family val="2"/>
    </font>
  </fonts>
  <fills count="13">
    <fill>
      <patternFill patternType="none"/>
    </fill>
    <fill>
      <patternFill patternType="gray125"/>
    </fill>
    <fill>
      <patternFill patternType="solid">
        <fgColor rgb="FF0070C0"/>
        <bgColor indexed="64"/>
      </patternFill>
    </fill>
    <fill>
      <patternFill patternType="solid">
        <fgColor theme="2" tint="-9.9948118533890809E-2"/>
        <bgColor indexed="64"/>
      </patternFill>
    </fill>
    <fill>
      <patternFill patternType="solid">
        <fgColor theme="2" tint="-0.24994659260841701"/>
        <bgColor indexed="64"/>
      </patternFill>
    </fill>
    <fill>
      <patternFill patternType="solid">
        <fgColor theme="0" tint="-0.24994659260841701"/>
        <bgColor indexed="64"/>
      </patternFill>
    </fill>
    <fill>
      <patternFill patternType="solid">
        <fgColor theme="9" tint="0.39994506668294322"/>
        <bgColor indexed="64"/>
      </patternFill>
    </fill>
    <fill>
      <patternFill patternType="solid">
        <fgColor theme="0" tint="-0.14996795556505021"/>
        <bgColor indexed="64"/>
      </patternFill>
    </fill>
    <fill>
      <patternFill patternType="solid">
        <fgColor theme="6" tint="0.59996337778862885"/>
        <bgColor indexed="64"/>
      </patternFill>
    </fill>
    <fill>
      <patternFill patternType="solid">
        <fgColor theme="3" tint="0.59996337778862885"/>
        <bgColor indexed="64"/>
      </patternFill>
    </fill>
    <fill>
      <patternFill patternType="solid">
        <fgColor theme="1" tint="0.499984740745262"/>
        <bgColor indexed="64"/>
      </patternFill>
    </fill>
    <fill>
      <patternFill patternType="solid">
        <fgColor theme="9"/>
        <bgColor indexed="64"/>
      </patternFill>
    </fill>
    <fill>
      <patternFill patternType="solid">
        <fgColor theme="1"/>
        <bgColor indexed="64"/>
      </patternFill>
    </fill>
  </fills>
  <borders count="116">
    <border>
      <left/>
      <right/>
      <top/>
      <bottom/>
      <diagonal/>
    </border>
    <border>
      <left/>
      <right/>
      <top/>
      <bottom style="thin">
        <color indexed="64"/>
      </bottom>
      <diagonal/>
    </border>
    <border>
      <left/>
      <right/>
      <top/>
      <bottom style="thick">
        <color indexed="64"/>
      </bottom>
      <diagonal/>
    </border>
    <border>
      <left/>
      <right/>
      <top style="thick">
        <color indexed="64"/>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indexed="64"/>
      </left>
      <right style="double">
        <color indexed="64"/>
      </right>
      <top style="thick">
        <color indexed="64"/>
      </top>
      <bottom/>
      <diagonal/>
    </border>
    <border>
      <left style="thick">
        <color indexed="64"/>
      </left>
      <right/>
      <top/>
      <bottom/>
      <diagonal/>
    </border>
    <border>
      <left style="double">
        <color indexed="64"/>
      </left>
      <right style="double">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ck">
        <color indexed="64"/>
      </bottom>
      <diagonal/>
    </border>
    <border>
      <left/>
      <right/>
      <top style="thin">
        <color auto="1"/>
      </top>
      <bottom/>
      <diagonal/>
    </border>
    <border>
      <left/>
      <right/>
      <top/>
      <bottom style="double">
        <color indexed="64"/>
      </bottom>
      <diagonal/>
    </border>
    <border>
      <left style="thick">
        <color indexed="64"/>
      </left>
      <right style="thick">
        <color indexed="64"/>
      </right>
      <top style="thin">
        <color indexed="64"/>
      </top>
      <bottom style="thick">
        <color indexed="64"/>
      </bottom>
      <diagonal/>
    </border>
    <border>
      <left/>
      <right style="thick">
        <color indexed="64"/>
      </right>
      <top/>
      <bottom/>
      <diagonal/>
    </border>
    <border>
      <left/>
      <right style="thin">
        <color indexed="64"/>
      </right>
      <top style="thick">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right style="thin">
        <color indexed="64"/>
      </right>
      <top/>
      <bottom/>
      <diagonal/>
    </border>
    <border>
      <left/>
      <right style="double">
        <color auto="1"/>
      </right>
      <top/>
      <bottom style="double">
        <color auto="1"/>
      </bottom>
      <diagonal/>
    </border>
    <border>
      <left style="mediumDashed">
        <color auto="1"/>
      </left>
      <right/>
      <top/>
      <bottom/>
      <diagonal/>
    </border>
    <border>
      <left style="double">
        <color auto="1"/>
      </left>
      <right style="thin">
        <color auto="1"/>
      </right>
      <top style="double">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indexed="64"/>
      </left>
      <right style="thick">
        <color indexed="64"/>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double">
        <color indexed="64"/>
      </right>
      <top style="thick">
        <color indexed="64"/>
      </top>
      <bottom style="thin">
        <color indexed="64"/>
      </bottom>
      <diagonal/>
    </border>
    <border>
      <left style="thick">
        <color indexed="64"/>
      </left>
      <right style="double">
        <color indexed="64"/>
      </right>
      <top style="thin">
        <color indexed="64"/>
      </top>
      <bottom style="double">
        <color indexed="64"/>
      </bottom>
      <diagonal/>
    </border>
    <border>
      <left style="double">
        <color indexed="64"/>
      </left>
      <right style="double">
        <color indexed="64"/>
      </right>
      <top/>
      <bottom style="double">
        <color indexed="64"/>
      </bottom>
      <diagonal/>
    </border>
    <border>
      <left/>
      <right style="thin">
        <color indexed="64"/>
      </right>
      <top style="thin">
        <color indexed="64"/>
      </top>
      <bottom style="double">
        <color indexed="64"/>
      </bottom>
      <diagonal/>
    </border>
    <border>
      <left style="thin">
        <color indexed="64"/>
      </left>
      <right style="thick">
        <color indexed="64"/>
      </right>
      <top style="thin">
        <color indexed="64"/>
      </top>
      <bottom style="double">
        <color indexed="64"/>
      </bottom>
      <diagonal/>
    </border>
    <border>
      <left style="thick">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thick">
        <color indexed="64"/>
      </bottom>
      <diagonal/>
    </border>
    <border>
      <left style="double">
        <color indexed="64"/>
      </left>
      <right style="double">
        <color indexed="64"/>
      </right>
      <top style="thin">
        <color indexed="64"/>
      </top>
      <bottom style="thick">
        <color indexed="64"/>
      </bottom>
      <diagonal/>
    </border>
    <border>
      <left style="thick">
        <color auto="1"/>
      </left>
      <right style="thick">
        <color auto="1"/>
      </right>
      <top style="thick">
        <color auto="1"/>
      </top>
      <bottom/>
      <diagonal/>
    </border>
    <border>
      <left style="thick">
        <color auto="1"/>
      </left>
      <right style="thick">
        <color indexed="64"/>
      </right>
      <top/>
      <bottom style="double">
        <color auto="1"/>
      </bottom>
      <diagonal/>
    </border>
    <border>
      <left style="thick">
        <color auto="1"/>
      </left>
      <right style="thick">
        <color auto="1"/>
      </right>
      <top/>
      <bottom style="thin">
        <color auto="1"/>
      </bottom>
      <diagonal/>
    </border>
    <border>
      <left style="thick">
        <color auto="1"/>
      </left>
      <right style="thick">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top style="thin">
        <color indexed="64"/>
      </top>
      <bottom style="double">
        <color indexed="64"/>
      </bottom>
      <diagonal/>
    </border>
    <border>
      <left style="thick">
        <color indexed="64"/>
      </left>
      <right style="thick">
        <color indexed="64"/>
      </right>
      <top style="thick">
        <color indexed="64"/>
      </top>
      <bottom style="thin">
        <color indexed="64"/>
      </bottom>
      <diagonal/>
    </border>
    <border>
      <left/>
      <right style="double">
        <color indexed="64"/>
      </right>
      <top style="thick">
        <color indexed="64"/>
      </top>
      <bottom/>
      <diagonal/>
    </border>
    <border>
      <left/>
      <right style="double">
        <color indexed="64"/>
      </right>
      <top/>
      <bottom style="thin">
        <color indexed="64"/>
      </bottom>
      <diagonal/>
    </border>
    <border>
      <left/>
      <right style="double">
        <color indexed="64"/>
      </right>
      <top style="thin">
        <color indexed="64"/>
      </top>
      <bottom style="thick">
        <color indexed="64"/>
      </bottom>
      <diagonal/>
    </border>
    <border>
      <left style="thick">
        <color auto="1"/>
      </left>
      <right style="thick">
        <color auto="1"/>
      </right>
      <top/>
      <bottom style="thick">
        <color auto="1"/>
      </bottom>
      <diagonal/>
    </border>
    <border>
      <left style="thin">
        <color indexed="64"/>
      </left>
      <right style="thick">
        <color indexed="64"/>
      </right>
      <top style="thick">
        <color indexed="64"/>
      </top>
      <bottom/>
      <diagonal/>
    </border>
    <border>
      <left style="thin">
        <color indexed="64"/>
      </left>
      <right style="thick">
        <color indexed="64"/>
      </right>
      <top/>
      <bottom style="double">
        <color indexed="64"/>
      </bottom>
      <diagonal/>
    </border>
    <border>
      <left style="thin">
        <color indexed="64"/>
      </left>
      <right style="thin">
        <color auto="1"/>
      </right>
      <top style="thick">
        <color indexed="64"/>
      </top>
      <bottom/>
      <diagonal/>
    </border>
    <border>
      <left style="thin">
        <color indexed="64"/>
      </left>
      <right style="thin">
        <color auto="1"/>
      </right>
      <top/>
      <bottom style="double">
        <color auto="1"/>
      </bottom>
      <diagonal/>
    </border>
    <border>
      <left style="double">
        <color indexed="64"/>
      </left>
      <right style="thin">
        <color indexed="64"/>
      </right>
      <top style="thick">
        <color indexed="64"/>
      </top>
      <bottom/>
      <diagonal/>
    </border>
    <border>
      <left style="double">
        <color indexed="64"/>
      </left>
      <right style="thin">
        <color indexed="64"/>
      </right>
      <top/>
      <bottom style="double">
        <color indexed="64"/>
      </bottom>
      <diagonal/>
    </border>
    <border>
      <left style="thick">
        <color indexed="64"/>
      </left>
      <right style="double">
        <color indexed="64"/>
      </right>
      <top style="thick">
        <color indexed="64"/>
      </top>
      <bottom/>
      <diagonal/>
    </border>
    <border>
      <left style="thick">
        <color indexed="64"/>
      </left>
      <right style="double">
        <color indexed="64"/>
      </right>
      <top/>
      <bottom style="double">
        <color indexed="64"/>
      </bottom>
      <diagonal/>
    </border>
    <border>
      <left style="dashDotDot">
        <color indexed="64"/>
      </left>
      <right/>
      <top style="dashDotDot">
        <color indexed="64"/>
      </top>
      <bottom/>
      <diagonal/>
    </border>
    <border>
      <left/>
      <right/>
      <top style="dashDotDot">
        <color indexed="64"/>
      </top>
      <bottom/>
      <diagonal/>
    </border>
    <border>
      <left/>
      <right style="dashDotDot">
        <color indexed="64"/>
      </right>
      <top style="dashDotDot">
        <color indexed="64"/>
      </top>
      <bottom/>
      <diagonal/>
    </border>
    <border>
      <left style="dashDotDot">
        <color indexed="64"/>
      </left>
      <right/>
      <top/>
      <bottom style="dashDotDot">
        <color indexed="64"/>
      </bottom>
      <diagonal/>
    </border>
    <border>
      <left/>
      <right/>
      <top/>
      <bottom style="dashDotDot">
        <color indexed="64"/>
      </bottom>
      <diagonal/>
    </border>
    <border>
      <left/>
      <right style="dashDotDot">
        <color indexed="64"/>
      </right>
      <top/>
      <bottom style="dashDotDot">
        <color indexed="64"/>
      </bottom>
      <diagonal/>
    </border>
    <border>
      <left style="thick">
        <color auto="1"/>
      </left>
      <right/>
      <top style="dashDotDot">
        <color indexed="64"/>
      </top>
      <bottom/>
      <diagonal/>
    </border>
    <border>
      <left/>
      <right style="thick">
        <color auto="1"/>
      </right>
      <top style="dashDotDot">
        <color indexed="64"/>
      </top>
      <bottom/>
      <diagonal/>
    </border>
    <border>
      <left style="thick">
        <color auto="1"/>
      </left>
      <right/>
      <top/>
      <bottom style="dashDotDot">
        <color indexed="64"/>
      </bottom>
      <diagonal/>
    </border>
    <border>
      <left/>
      <right style="thick">
        <color auto="1"/>
      </right>
      <top/>
      <bottom style="dashDotDot">
        <color indexed="64"/>
      </bottom>
      <diagonal/>
    </border>
    <border>
      <left style="thick">
        <color indexed="64"/>
      </left>
      <right style="thick">
        <color indexed="64"/>
      </right>
      <top style="dashDotDot">
        <color indexed="64"/>
      </top>
      <bottom/>
      <diagonal/>
    </border>
    <border>
      <left style="mediumDashed">
        <color auto="1"/>
      </left>
      <right/>
      <top/>
      <bottom style="thin">
        <color auto="1"/>
      </bottom>
      <diagonal/>
    </border>
    <border>
      <left style="thick">
        <color indexed="64"/>
      </left>
      <right/>
      <top style="thin">
        <color indexed="64"/>
      </top>
      <bottom style="thin">
        <color indexed="64"/>
      </bottom>
      <diagonal/>
    </border>
    <border>
      <left style="thin">
        <color auto="1"/>
      </left>
      <right/>
      <top/>
      <bottom/>
      <diagonal/>
    </border>
    <border>
      <left style="thick">
        <color indexed="64"/>
      </left>
      <right style="thin">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style="thick">
        <color auto="1"/>
      </left>
      <right style="thin">
        <color auto="1"/>
      </right>
      <top style="double">
        <color auto="1"/>
      </top>
      <bottom style="thin">
        <color auto="1"/>
      </bottom>
      <diagonal/>
    </border>
    <border>
      <left style="thin">
        <color indexed="64"/>
      </left>
      <right style="thick">
        <color auto="1"/>
      </right>
      <top style="double">
        <color auto="1"/>
      </top>
      <bottom style="thin">
        <color indexed="64"/>
      </bottom>
      <diagonal/>
    </border>
    <border>
      <left style="thick">
        <color indexed="64"/>
      </left>
      <right style="thin">
        <color indexed="64"/>
      </right>
      <top style="thick">
        <color indexed="64"/>
      </top>
      <bottom/>
      <diagonal/>
    </border>
    <border>
      <left style="thick">
        <color indexed="64"/>
      </left>
      <right/>
      <top style="thick">
        <color indexed="64"/>
      </top>
      <bottom style="double">
        <color indexed="64"/>
      </bottom>
      <diagonal/>
    </border>
    <border>
      <left/>
      <right style="thick">
        <color indexed="64"/>
      </right>
      <top style="thick">
        <color indexed="64"/>
      </top>
      <bottom style="double">
        <color indexed="64"/>
      </bottom>
      <diagonal/>
    </border>
    <border>
      <left style="thick">
        <color indexed="64"/>
      </left>
      <right/>
      <top style="double">
        <color indexed="64"/>
      </top>
      <bottom/>
      <diagonal/>
    </border>
    <border>
      <left/>
      <right style="thick">
        <color indexed="64"/>
      </right>
      <top style="double">
        <color indexed="64"/>
      </top>
      <bottom/>
      <diagonal/>
    </border>
    <border>
      <left style="thick">
        <color indexed="64"/>
      </left>
      <right/>
      <top/>
      <bottom style="double">
        <color indexed="64"/>
      </bottom>
      <diagonal/>
    </border>
    <border>
      <left/>
      <right style="thick">
        <color indexed="64"/>
      </right>
      <top/>
      <bottom style="double">
        <color indexed="64"/>
      </bottom>
      <diagonal/>
    </border>
    <border>
      <left style="thin">
        <color indexed="64"/>
      </left>
      <right/>
      <top style="thin">
        <color indexed="64"/>
      </top>
      <bottom style="thick">
        <color indexed="64"/>
      </bottom>
      <diagonal/>
    </border>
    <border>
      <left style="double">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right/>
      <top style="mediumDashDotDot">
        <color auto="1"/>
      </top>
      <bottom/>
      <diagonal/>
    </border>
  </borders>
  <cellStyleXfs count="50">
    <xf numFmtId="0" fontId="0" fillId="0" borderId="0"/>
    <xf numFmtId="0" fontId="2" fillId="0" borderId="0"/>
    <xf numFmtId="0" fontId="2" fillId="0" borderId="0"/>
    <xf numFmtId="0" fontId="2" fillId="0" borderId="0"/>
    <xf numFmtId="0" fontId="2" fillId="0" borderId="0"/>
    <xf numFmtId="164"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1" fontId="2" fillId="0" borderId="0" applyFont="0" applyFill="0" applyBorder="0" applyAlignment="0" applyProtection="0"/>
    <xf numFmtId="43"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0" fontId="4" fillId="0" borderId="0" applyNumberFormat="0" applyFill="0" applyBorder="0" applyAlignment="0" applyProtection="0">
      <alignment vertical="top"/>
      <protection locked="0"/>
    </xf>
    <xf numFmtId="44" fontId="1" fillId="0" borderId="0" applyFont="0" applyFill="0" applyBorder="0" applyAlignment="0" applyProtection="0"/>
    <xf numFmtId="0" fontId="10" fillId="0" borderId="0"/>
    <xf numFmtId="0" fontId="2" fillId="0" borderId="0"/>
    <xf numFmtId="0" fontId="2" fillId="0" borderId="0"/>
    <xf numFmtId="0" fontId="2" fillId="0" borderId="0"/>
    <xf numFmtId="0" fontId="2" fillId="0" borderId="0"/>
    <xf numFmtId="0" fontId="1" fillId="0" borderId="0"/>
    <xf numFmtId="0" fontId="2" fillId="0" borderId="0"/>
    <xf numFmtId="43" fontId="1" fillId="0" borderId="0" applyFont="0" applyFill="0" applyBorder="0" applyAlignment="0" applyProtection="0"/>
    <xf numFmtId="0" fontId="11"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0" fontId="2" fillId="0" borderId="0"/>
    <xf numFmtId="0" fontId="1" fillId="0" borderId="0"/>
    <xf numFmtId="0" fontId="1" fillId="0" borderId="0"/>
    <xf numFmtId="0" fontId="13" fillId="0" borderId="0"/>
    <xf numFmtId="9" fontId="1" fillId="0" borderId="0" applyFont="0" applyFill="0" applyBorder="0" applyAlignment="0" applyProtection="0"/>
  </cellStyleXfs>
  <cellXfs count="452">
    <xf numFmtId="0" fontId="0" fillId="0" borderId="0" xfId="0"/>
    <xf numFmtId="0" fontId="0" fillId="0" borderId="4" xfId="0" applyBorder="1"/>
    <xf numFmtId="0" fontId="0" fillId="0" borderId="7" xfId="0" applyBorder="1"/>
    <xf numFmtId="0" fontId="0" fillId="0" borderId="10" xfId="0" applyBorder="1"/>
    <xf numFmtId="0" fontId="0" fillId="0" borderId="0" xfId="0" applyAlignment="1">
      <alignment horizontal="right"/>
    </xf>
    <xf numFmtId="0" fontId="0" fillId="0" borderId="8" xfId="0" applyBorder="1"/>
    <xf numFmtId="0" fontId="5" fillId="0" borderId="0" xfId="0" applyFont="1"/>
    <xf numFmtId="49" fontId="0" fillId="0" borderId="0" xfId="0" applyNumberFormat="1"/>
    <xf numFmtId="0" fontId="0" fillId="0" borderId="0" xfId="0" quotePrefix="1"/>
    <xf numFmtId="0" fontId="6" fillId="0" borderId="0" xfId="0" applyFont="1"/>
    <xf numFmtId="0" fontId="0" fillId="0" borderId="0" xfId="0" applyAlignment="1">
      <alignment wrapText="1"/>
    </xf>
    <xf numFmtId="0" fontId="0" fillId="0" borderId="5" xfId="0" applyBorder="1"/>
    <xf numFmtId="0" fontId="0" fillId="0" borderId="6" xfId="0" applyBorder="1"/>
    <xf numFmtId="0" fontId="0" fillId="0" borderId="9" xfId="0" applyBorder="1"/>
    <xf numFmtId="0" fontId="0" fillId="0" borderId="11" xfId="0" applyBorder="1"/>
    <xf numFmtId="0" fontId="0" fillId="0" borderId="12" xfId="0" applyBorder="1"/>
    <xf numFmtId="0" fontId="7" fillId="0" borderId="0" xfId="0" applyFont="1" applyAlignment="1">
      <alignment horizontal="center"/>
    </xf>
    <xf numFmtId="0" fontId="0" fillId="0" borderId="4"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32" xfId="0" applyBorder="1" applyAlignment="1">
      <alignment horizontal="right"/>
    </xf>
    <xf numFmtId="0" fontId="0" fillId="0" borderId="18" xfId="0" applyBorder="1" applyAlignment="1">
      <alignment horizontal="right"/>
    </xf>
    <xf numFmtId="0" fontId="0" fillId="0" borderId="27" xfId="0" applyBorder="1" applyAlignment="1">
      <alignment horizontal="right"/>
    </xf>
    <xf numFmtId="0" fontId="0" fillId="0" borderId="6" xfId="0" applyBorder="1" applyAlignment="1">
      <alignment horizontal="right"/>
    </xf>
    <xf numFmtId="0" fontId="0" fillId="0" borderId="9" xfId="0" applyBorder="1" applyAlignment="1">
      <alignment horizontal="right"/>
    </xf>
    <xf numFmtId="0" fontId="0" fillId="0" borderId="12" xfId="0" applyBorder="1" applyAlignment="1">
      <alignment horizontal="right"/>
    </xf>
    <xf numFmtId="0" fontId="0" fillId="0" borderId="0" xfId="0" applyAlignment="1">
      <alignment horizontal="center"/>
    </xf>
    <xf numFmtId="0" fontId="3" fillId="0" borderId="29" xfId="0" applyFont="1" applyBorder="1" applyAlignment="1">
      <alignment horizontal="center"/>
    </xf>
    <xf numFmtId="0" fontId="0" fillId="5" borderId="0" xfId="0" applyFill="1" applyAlignment="1">
      <alignment horizontal="center"/>
    </xf>
    <xf numFmtId="0" fontId="0" fillId="6" borderId="0" xfId="0" applyFill="1" applyAlignment="1">
      <alignment horizontal="center"/>
    </xf>
    <xf numFmtId="0" fontId="3" fillId="0" borderId="0" xfId="0" applyFont="1" applyAlignment="1">
      <alignment horizontal="center"/>
    </xf>
    <xf numFmtId="0" fontId="12" fillId="0" borderId="0" xfId="0" applyFont="1" applyAlignment="1">
      <alignment horizontal="center" vertical="center"/>
    </xf>
    <xf numFmtId="0" fontId="0" fillId="0" borderId="0" xfId="0" applyAlignment="1">
      <alignment horizontal="center" vertical="center" wrapText="1"/>
    </xf>
    <xf numFmtId="0" fontId="0" fillId="7" borderId="0" xfId="0" applyFill="1" applyAlignment="1">
      <alignment horizontal="center"/>
    </xf>
    <xf numFmtId="0" fontId="0" fillId="7" borderId="76" xfId="0" applyFill="1" applyBorder="1" applyAlignment="1">
      <alignment horizontal="center"/>
    </xf>
    <xf numFmtId="0" fontId="0" fillId="7" borderId="79" xfId="0" applyFill="1" applyBorder="1" applyAlignment="1">
      <alignment horizontal="center"/>
    </xf>
    <xf numFmtId="0" fontId="0" fillId="0" borderId="75" xfId="0" applyBorder="1" applyAlignment="1">
      <alignment horizontal="center"/>
    </xf>
    <xf numFmtId="0" fontId="0" fillId="0" borderId="78" xfId="0" applyBorder="1" applyAlignment="1">
      <alignment horizontal="center"/>
    </xf>
    <xf numFmtId="0" fontId="6" fillId="0" borderId="74" xfId="0" applyFont="1" applyBorder="1" applyAlignment="1">
      <alignment horizontal="center"/>
    </xf>
    <xf numFmtId="0" fontId="6" fillId="0" borderId="75" xfId="0" applyFont="1" applyBorder="1" applyAlignment="1">
      <alignment horizontal="center"/>
    </xf>
    <xf numFmtId="0" fontId="6" fillId="0" borderId="77" xfId="0" applyFont="1" applyBorder="1" applyAlignment="1">
      <alignment horizontal="center"/>
    </xf>
    <xf numFmtId="0" fontId="6" fillId="0" borderId="78" xfId="0" applyFont="1" applyBorder="1" applyAlignment="1">
      <alignment horizontal="center"/>
    </xf>
    <xf numFmtId="0" fontId="6" fillId="0" borderId="0" xfId="0" applyFont="1" applyAlignment="1">
      <alignment horizontal="center"/>
    </xf>
    <xf numFmtId="0" fontId="6" fillId="7" borderId="74" xfId="0" applyFont="1" applyFill="1" applyBorder="1" applyAlignment="1">
      <alignment horizontal="center"/>
    </xf>
    <xf numFmtId="0" fontId="6" fillId="7" borderId="75" xfId="0" applyFont="1" applyFill="1" applyBorder="1" applyAlignment="1">
      <alignment horizontal="center"/>
    </xf>
    <xf numFmtId="0" fontId="6" fillId="7" borderId="77" xfId="0" applyFont="1" applyFill="1" applyBorder="1" applyAlignment="1">
      <alignment horizontal="center"/>
    </xf>
    <xf numFmtId="0" fontId="6" fillId="7" borderId="78" xfId="0" applyFont="1" applyFill="1" applyBorder="1" applyAlignment="1">
      <alignment horizontal="center"/>
    </xf>
    <xf numFmtId="0" fontId="6" fillId="7" borderId="0" xfId="0" applyFont="1" applyFill="1" applyAlignment="1">
      <alignment horizontal="center"/>
    </xf>
    <xf numFmtId="0" fontId="0" fillId="7" borderId="75" xfId="0" applyFill="1" applyBorder="1" applyAlignment="1">
      <alignment horizontal="center"/>
    </xf>
    <xf numFmtId="0" fontId="0" fillId="7" borderId="78" xfId="0" applyFill="1" applyBorder="1" applyAlignment="1">
      <alignment horizontal="center"/>
    </xf>
    <xf numFmtId="0" fontId="0" fillId="6" borderId="75" xfId="0" applyFill="1" applyBorder="1" applyAlignment="1">
      <alignment horizontal="center"/>
    </xf>
    <xf numFmtId="0" fontId="0" fillId="6" borderId="76" xfId="0" applyFill="1" applyBorder="1" applyAlignment="1">
      <alignment horizontal="center"/>
    </xf>
    <xf numFmtId="0" fontId="0" fillId="6" borderId="78" xfId="0" applyFill="1" applyBorder="1" applyAlignment="1">
      <alignment horizontal="center"/>
    </xf>
    <xf numFmtId="0" fontId="0" fillId="6" borderId="79" xfId="0" applyFill="1" applyBorder="1" applyAlignment="1">
      <alignment horizontal="center"/>
    </xf>
    <xf numFmtId="0" fontId="0" fillId="8" borderId="75" xfId="0" applyFill="1" applyBorder="1" applyAlignment="1">
      <alignment horizontal="center"/>
    </xf>
    <xf numFmtId="0" fontId="0" fillId="8" borderId="78" xfId="0" applyFill="1" applyBorder="1" applyAlignment="1">
      <alignment horizontal="center"/>
    </xf>
    <xf numFmtId="0" fontId="0" fillId="8" borderId="0" xfId="0" applyFill="1" applyAlignment="1">
      <alignment horizontal="center"/>
    </xf>
    <xf numFmtId="0" fontId="0" fillId="9" borderId="75" xfId="0" applyFill="1" applyBorder="1" applyAlignment="1">
      <alignment horizontal="center"/>
    </xf>
    <xf numFmtId="0" fontId="0" fillId="9" borderId="78" xfId="0" applyFill="1" applyBorder="1" applyAlignment="1">
      <alignment horizontal="center"/>
    </xf>
    <xf numFmtId="0" fontId="0" fillId="10" borderId="75" xfId="0" applyFill="1" applyBorder="1" applyAlignment="1">
      <alignment horizontal="center"/>
    </xf>
    <xf numFmtId="0" fontId="0" fillId="10" borderId="78" xfId="0" applyFill="1" applyBorder="1" applyAlignment="1">
      <alignment horizontal="center"/>
    </xf>
    <xf numFmtId="0" fontId="0" fillId="0" borderId="1" xfId="0" applyBorder="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0" borderId="14" xfId="0" applyBorder="1" applyAlignment="1">
      <alignment horizontal="center"/>
    </xf>
    <xf numFmtId="0" fontId="0" fillId="0" borderId="22" xfId="0" applyBorder="1" applyAlignment="1">
      <alignment horizontal="center"/>
    </xf>
    <xf numFmtId="0" fontId="0" fillId="0" borderId="31" xfId="0" applyBorder="1" applyAlignment="1">
      <alignment horizontal="center"/>
    </xf>
    <xf numFmtId="0" fontId="0" fillId="5" borderId="22" xfId="0" applyFill="1" applyBorder="1" applyAlignment="1">
      <alignment horizontal="center"/>
    </xf>
    <xf numFmtId="0" fontId="0" fillId="5" borderId="31" xfId="0" applyFill="1" applyBorder="1" applyAlignment="1">
      <alignment horizontal="center"/>
    </xf>
    <xf numFmtId="0" fontId="0" fillId="0" borderId="80"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0" fontId="0" fillId="0" borderId="83" xfId="0" applyBorder="1" applyAlignment="1">
      <alignment horizontal="center"/>
    </xf>
    <xf numFmtId="0" fontId="0" fillId="8" borderId="80" xfId="0" applyFill="1" applyBorder="1" applyAlignment="1">
      <alignment horizontal="center"/>
    </xf>
    <xf numFmtId="0" fontId="0" fillId="8" borderId="81" xfId="0" applyFill="1" applyBorder="1" applyAlignment="1">
      <alignment horizontal="center"/>
    </xf>
    <xf numFmtId="0" fontId="0" fillId="8" borderId="82" xfId="0" applyFill="1" applyBorder="1" applyAlignment="1">
      <alignment horizontal="center"/>
    </xf>
    <xf numFmtId="0" fontId="0" fillId="8" borderId="83" xfId="0" applyFill="1" applyBorder="1" applyAlignment="1">
      <alignment horizontal="center"/>
    </xf>
    <xf numFmtId="0" fontId="0" fillId="8" borderId="22" xfId="0" applyFill="1" applyBorder="1" applyAlignment="1">
      <alignment horizontal="center"/>
    </xf>
    <xf numFmtId="0" fontId="0" fillId="8" borderId="31" xfId="0" applyFill="1" applyBorder="1" applyAlignment="1">
      <alignment horizontal="center"/>
    </xf>
    <xf numFmtId="0" fontId="0" fillId="8" borderId="15" xfId="0" applyFill="1" applyBorder="1" applyAlignment="1">
      <alignment horizontal="center"/>
    </xf>
    <xf numFmtId="0" fontId="0" fillId="8" borderId="2" xfId="0" applyFill="1" applyBorder="1" applyAlignment="1">
      <alignment horizontal="center"/>
    </xf>
    <xf numFmtId="0" fontId="0" fillId="8" borderId="16" xfId="0" applyFill="1" applyBorder="1" applyAlignment="1">
      <alignment horizontal="center"/>
    </xf>
    <xf numFmtId="0" fontId="0" fillId="9" borderId="80" xfId="0" applyFill="1" applyBorder="1" applyAlignment="1">
      <alignment horizontal="center"/>
    </xf>
    <xf numFmtId="0" fontId="0" fillId="9" borderId="81" xfId="0" applyFill="1" applyBorder="1" applyAlignment="1">
      <alignment horizontal="center"/>
    </xf>
    <xf numFmtId="0" fontId="0" fillId="9" borderId="82" xfId="0" applyFill="1" applyBorder="1" applyAlignment="1">
      <alignment horizontal="center"/>
    </xf>
    <xf numFmtId="0" fontId="0" fillId="9" borderId="83" xfId="0" applyFill="1" applyBorder="1" applyAlignment="1">
      <alignment horizontal="center"/>
    </xf>
    <xf numFmtId="0" fontId="0" fillId="9" borderId="22" xfId="0" applyFill="1" applyBorder="1" applyAlignment="1">
      <alignment horizontal="center"/>
    </xf>
    <xf numFmtId="0" fontId="0" fillId="9" borderId="0" xfId="0" applyFill="1" applyAlignment="1">
      <alignment horizontal="center"/>
    </xf>
    <xf numFmtId="0" fontId="0" fillId="9" borderId="31" xfId="0" applyFill="1" applyBorder="1" applyAlignment="1">
      <alignment horizontal="center"/>
    </xf>
    <xf numFmtId="0" fontId="0" fillId="9" borderId="15" xfId="0" applyFill="1" applyBorder="1" applyAlignment="1">
      <alignment horizontal="center"/>
    </xf>
    <xf numFmtId="0" fontId="0" fillId="9" borderId="2" xfId="0" applyFill="1" applyBorder="1" applyAlignment="1">
      <alignment horizontal="center"/>
    </xf>
    <xf numFmtId="0" fontId="0" fillId="9" borderId="16" xfId="0" applyFill="1" applyBorder="1" applyAlignment="1">
      <alignment horizontal="center"/>
    </xf>
    <xf numFmtId="0" fontId="0" fillId="10" borderId="80" xfId="0" applyFill="1" applyBorder="1" applyAlignment="1">
      <alignment horizontal="center"/>
    </xf>
    <xf numFmtId="0" fontId="0" fillId="10" borderId="81" xfId="0" applyFill="1" applyBorder="1" applyAlignment="1">
      <alignment horizontal="center"/>
    </xf>
    <xf numFmtId="0" fontId="0" fillId="10" borderId="82" xfId="0" applyFill="1" applyBorder="1" applyAlignment="1">
      <alignment horizontal="center"/>
    </xf>
    <xf numFmtId="0" fontId="0" fillId="10" borderId="83" xfId="0" applyFill="1" applyBorder="1" applyAlignment="1">
      <alignment horizontal="center"/>
    </xf>
    <xf numFmtId="0" fontId="0" fillId="10" borderId="22" xfId="0" applyFill="1" applyBorder="1" applyAlignment="1">
      <alignment horizontal="center"/>
    </xf>
    <xf numFmtId="0" fontId="0" fillId="10" borderId="0" xfId="0" applyFill="1" applyAlignment="1">
      <alignment horizontal="center"/>
    </xf>
    <xf numFmtId="0" fontId="0" fillId="10" borderId="31" xfId="0" applyFill="1" applyBorder="1" applyAlignment="1">
      <alignment horizontal="center"/>
    </xf>
    <xf numFmtId="0" fontId="0" fillId="10" borderId="15" xfId="0" applyFill="1" applyBorder="1" applyAlignment="1">
      <alignment horizontal="center"/>
    </xf>
    <xf numFmtId="0" fontId="0" fillId="10" borderId="2" xfId="0" applyFill="1" applyBorder="1" applyAlignment="1">
      <alignment horizontal="center"/>
    </xf>
    <xf numFmtId="0" fontId="0" fillId="10" borderId="16" xfId="0" applyFill="1" applyBorder="1" applyAlignment="1">
      <alignment horizontal="center"/>
    </xf>
    <xf numFmtId="0" fontId="0" fillId="11" borderId="22" xfId="0" applyFill="1" applyBorder="1" applyAlignment="1">
      <alignment horizontal="center"/>
    </xf>
    <xf numFmtId="0" fontId="0" fillId="11" borderId="31"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0" borderId="54" xfId="0" applyBorder="1" applyAlignment="1">
      <alignment horizontal="center"/>
    </xf>
    <xf numFmtId="0" fontId="0" fillId="0" borderId="57" xfId="0" applyBorder="1" applyAlignment="1">
      <alignment horizontal="center"/>
    </xf>
    <xf numFmtId="0" fontId="0" fillId="5" borderId="57" xfId="0" applyFill="1" applyBorder="1" applyAlignment="1">
      <alignment horizontal="center"/>
    </xf>
    <xf numFmtId="0" fontId="0" fillId="0" borderId="84" xfId="0" applyBorder="1" applyAlignment="1">
      <alignment horizontal="center"/>
    </xf>
    <xf numFmtId="0" fontId="0" fillId="0" borderId="65" xfId="0" applyBorder="1" applyAlignment="1">
      <alignment horizontal="center"/>
    </xf>
    <xf numFmtId="0" fontId="14" fillId="0" borderId="0" xfId="0" applyFont="1"/>
    <xf numFmtId="0" fontId="15" fillId="0" borderId="0" xfId="0" applyFont="1"/>
    <xf numFmtId="49" fontId="0" fillId="0" borderId="0" xfId="0" applyNumberFormat="1" applyAlignment="1">
      <alignment horizontal="center"/>
    </xf>
    <xf numFmtId="0" fontId="8" fillId="0" borderId="0" xfId="0" applyFont="1"/>
    <xf numFmtId="0" fontId="9" fillId="0" borderId="0" xfId="0" applyFont="1"/>
    <xf numFmtId="0" fontId="17" fillId="0" borderId="0" xfId="0" applyFont="1"/>
    <xf numFmtId="0" fontId="21" fillId="0" borderId="0" xfId="0" applyFont="1" applyAlignment="1" applyProtection="1">
      <alignment horizontal="center" vertical="center" wrapText="1"/>
      <protection hidden="1"/>
    </xf>
    <xf numFmtId="167" fontId="26" fillId="0" borderId="0" xfId="0" applyNumberFormat="1" applyFont="1" applyAlignment="1">
      <alignment horizontal="center" vertical="center"/>
    </xf>
    <xf numFmtId="0" fontId="30" fillId="2" borderId="62" xfId="0" applyFont="1" applyFill="1" applyBorder="1" applyAlignment="1" applyProtection="1">
      <alignment horizontal="center" vertical="center" wrapText="1"/>
      <protection hidden="1"/>
    </xf>
    <xf numFmtId="0" fontId="25" fillId="0" borderId="0" xfId="0" applyFont="1" applyAlignment="1" applyProtection="1">
      <alignment horizontal="center" wrapText="1"/>
      <protection hidden="1"/>
    </xf>
    <xf numFmtId="0" fontId="25" fillId="0" borderId="42" xfId="0" applyFont="1" applyBorder="1" applyAlignment="1" applyProtection="1">
      <alignment horizontal="center"/>
      <protection hidden="1"/>
    </xf>
    <xf numFmtId="0" fontId="25" fillId="0" borderId="43" xfId="0" applyFont="1" applyBorder="1" applyAlignment="1" applyProtection="1">
      <alignment horizontal="center"/>
      <protection hidden="1"/>
    </xf>
    <xf numFmtId="0" fontId="25" fillId="0" borderId="44" xfId="0" applyFont="1" applyBorder="1" applyAlignment="1" applyProtection="1">
      <alignment horizontal="center"/>
      <protection hidden="1"/>
    </xf>
    <xf numFmtId="0" fontId="30" fillId="2" borderId="36" xfId="0" applyFont="1" applyFill="1" applyBorder="1" applyAlignment="1" applyProtection="1">
      <alignment horizontal="center" vertical="center" wrapText="1"/>
      <protection hidden="1"/>
    </xf>
    <xf numFmtId="170" fontId="24" fillId="0" borderId="90" xfId="0" applyNumberFormat="1" applyFont="1" applyBorder="1" applyAlignment="1" applyProtection="1">
      <alignment horizontal="center"/>
      <protection hidden="1"/>
    </xf>
    <xf numFmtId="0" fontId="31" fillId="0" borderId="104" xfId="0" applyFont="1" applyBorder="1" applyAlignment="1" applyProtection="1">
      <alignment horizontal="center"/>
      <protection hidden="1"/>
    </xf>
    <xf numFmtId="0" fontId="25" fillId="0" borderId="0" xfId="0" applyFont="1" applyAlignment="1" applyProtection="1">
      <alignment horizontal="center"/>
      <protection hidden="1"/>
    </xf>
    <xf numFmtId="0" fontId="18" fillId="0" borderId="50" xfId="0" applyFont="1" applyBorder="1" applyProtection="1">
      <protection hidden="1"/>
    </xf>
    <xf numFmtId="0" fontId="18" fillId="0" borderId="63" xfId="0" applyFont="1" applyBorder="1" applyProtection="1">
      <protection hidden="1"/>
    </xf>
    <xf numFmtId="0" fontId="18" fillId="0" borderId="23" xfId="0" applyFont="1" applyBorder="1" applyAlignment="1" applyProtection="1">
      <alignment horizontal="center"/>
      <protection hidden="1"/>
    </xf>
    <xf numFmtId="0" fontId="19" fillId="0" borderId="19" xfId="0" applyFont="1" applyBorder="1" applyAlignment="1" applyProtection="1">
      <alignment horizontal="center"/>
      <protection hidden="1"/>
    </xf>
    <xf numFmtId="0" fontId="19" fillId="0" borderId="20" xfId="0" applyFont="1" applyBorder="1" applyAlignment="1" applyProtection="1">
      <alignment horizontal="center"/>
      <protection hidden="1"/>
    </xf>
    <xf numFmtId="170" fontId="23" fillId="0" borderId="20" xfId="0" applyNumberFormat="1" applyFont="1" applyBorder="1" applyAlignment="1" applyProtection="1">
      <alignment horizontal="center"/>
      <protection hidden="1"/>
    </xf>
    <xf numFmtId="0" fontId="19" fillId="0" borderId="41" xfId="0" applyFont="1" applyBorder="1" applyAlignment="1" applyProtection="1">
      <alignment horizontal="center"/>
      <protection hidden="1"/>
    </xf>
    <xf numFmtId="170" fontId="24" fillId="12" borderId="91" xfId="0" applyNumberFormat="1" applyFont="1" applyFill="1" applyBorder="1" applyAlignment="1" applyProtection="1">
      <alignment horizontal="center"/>
      <protection hidden="1"/>
    </xf>
    <xf numFmtId="0" fontId="18" fillId="0" borderId="51" xfId="0" applyFont="1" applyBorder="1" applyAlignment="1" applyProtection="1">
      <alignment horizontal="center"/>
      <protection hidden="1"/>
    </xf>
    <xf numFmtId="0" fontId="19" fillId="0" borderId="18" xfId="0" applyFont="1" applyBorder="1" applyAlignment="1" applyProtection="1">
      <alignment horizontal="center"/>
      <protection hidden="1"/>
    </xf>
    <xf numFmtId="0" fontId="19" fillId="0" borderId="8" xfId="0" applyFont="1" applyBorder="1" applyAlignment="1" applyProtection="1">
      <alignment horizontal="center"/>
      <protection hidden="1"/>
    </xf>
    <xf numFmtId="0" fontId="19" fillId="0" borderId="9" xfId="0" applyFont="1" applyBorder="1" applyAlignment="1" applyProtection="1">
      <alignment horizontal="center"/>
      <protection hidden="1"/>
    </xf>
    <xf numFmtId="170" fontId="24" fillId="0" borderId="93" xfId="0" applyNumberFormat="1" applyFont="1" applyBorder="1" applyAlignment="1" applyProtection="1">
      <alignment horizontal="center"/>
      <protection hidden="1"/>
    </xf>
    <xf numFmtId="0" fontId="18" fillId="0" borderId="52" xfId="0" applyFont="1" applyBorder="1" applyProtection="1">
      <protection hidden="1"/>
    </xf>
    <xf numFmtId="0" fontId="18" fillId="0" borderId="64" xfId="0" applyFont="1" applyBorder="1" applyProtection="1">
      <protection hidden="1"/>
    </xf>
    <xf numFmtId="0" fontId="18" fillId="0" borderId="53" xfId="0" applyFont="1" applyBorder="1" applyAlignment="1" applyProtection="1">
      <alignment horizontal="center"/>
      <protection hidden="1"/>
    </xf>
    <xf numFmtId="0" fontId="19" fillId="0" borderId="27" xfId="0" applyFont="1" applyBorder="1" applyAlignment="1" applyProtection="1">
      <alignment horizontal="center"/>
      <protection hidden="1"/>
    </xf>
    <xf numFmtId="0" fontId="19" fillId="0" borderId="11" xfId="0" applyFont="1" applyBorder="1" applyAlignment="1" applyProtection="1">
      <alignment horizontal="center"/>
      <protection hidden="1"/>
    </xf>
    <xf numFmtId="170" fontId="32" fillId="0" borderId="11" xfId="0" applyNumberFormat="1" applyFont="1" applyBorder="1" applyAlignment="1" applyProtection="1">
      <alignment horizontal="center"/>
      <protection hidden="1"/>
    </xf>
    <xf numFmtId="0" fontId="19" fillId="0" borderId="12" xfId="0" applyFont="1" applyBorder="1" applyAlignment="1" applyProtection="1">
      <alignment horizontal="center"/>
      <protection hidden="1"/>
    </xf>
    <xf numFmtId="9" fontId="29" fillId="0" borderId="0" xfId="49" applyFont="1" applyAlignment="1" applyProtection="1">
      <alignment horizontal="right" wrapText="1"/>
      <protection hidden="1"/>
    </xf>
    <xf numFmtId="0" fontId="33" fillId="0" borderId="0" xfId="0" applyFont="1" applyProtection="1">
      <protection hidden="1"/>
    </xf>
    <xf numFmtId="0" fontId="24" fillId="0" borderId="0" xfId="0" applyFont="1" applyProtection="1">
      <protection hidden="1"/>
    </xf>
    <xf numFmtId="0" fontId="29" fillId="0" borderId="108" xfId="0" applyFont="1" applyBorder="1" applyAlignment="1" applyProtection="1">
      <alignment horizontal="center"/>
      <protection hidden="1"/>
    </xf>
    <xf numFmtId="0" fontId="31" fillId="0" borderId="58" xfId="0" applyFont="1" applyBorder="1" applyAlignment="1" applyProtection="1">
      <alignment horizontal="center"/>
      <protection locked="0" hidden="1"/>
    </xf>
    <xf numFmtId="0" fontId="31" fillId="0" borderId="59" xfId="0" applyFont="1" applyBorder="1" applyAlignment="1" applyProtection="1">
      <alignment horizontal="center"/>
      <protection locked="0" hidden="1"/>
    </xf>
    <xf numFmtId="0" fontId="29" fillId="0" borderId="31" xfId="0" applyFont="1" applyBorder="1" applyAlignment="1" applyProtection="1">
      <alignment horizontal="center"/>
      <protection hidden="1"/>
    </xf>
    <xf numFmtId="0" fontId="29" fillId="0" borderId="39" xfId="0" applyFont="1" applyBorder="1" applyAlignment="1" applyProtection="1">
      <alignment horizontal="center"/>
      <protection locked="0" hidden="1"/>
    </xf>
    <xf numFmtId="0" fontId="31" fillId="0" borderId="40" xfId="0" applyFont="1" applyBorder="1" applyAlignment="1" applyProtection="1">
      <alignment horizontal="center"/>
      <protection locked="0" hidden="1"/>
    </xf>
    <xf numFmtId="0" fontId="31" fillId="0" borderId="60" xfId="0" applyFont="1" applyBorder="1" applyAlignment="1" applyProtection="1">
      <alignment horizontal="center"/>
      <protection locked="0" hidden="1"/>
    </xf>
    <xf numFmtId="0" fontId="29" fillId="0" borderId="110" xfId="0" applyFont="1" applyBorder="1" applyAlignment="1" applyProtection="1">
      <alignment horizontal="center"/>
      <protection hidden="1"/>
    </xf>
    <xf numFmtId="49" fontId="34" fillId="0" borderId="0" xfId="32" applyNumberFormat="1" applyFont="1" applyProtection="1">
      <protection hidden="1"/>
    </xf>
    <xf numFmtId="0" fontId="35" fillId="2" borderId="62" xfId="0" applyFont="1" applyFill="1" applyBorder="1" applyAlignment="1" applyProtection="1">
      <alignment horizontal="center" vertical="center" wrapText="1"/>
      <protection hidden="1"/>
    </xf>
    <xf numFmtId="0" fontId="35" fillId="2" borderId="36" xfId="0" applyFont="1" applyFill="1" applyBorder="1" applyAlignment="1" applyProtection="1">
      <alignment horizontal="center" vertical="center" wrapText="1"/>
      <protection hidden="1"/>
    </xf>
    <xf numFmtId="0" fontId="29" fillId="0" borderId="40" xfId="0" applyFont="1" applyBorder="1" applyAlignment="1" applyProtection="1">
      <alignment horizontal="center"/>
      <protection locked="0" hidden="1"/>
    </xf>
    <xf numFmtId="0" fontId="36" fillId="0" borderId="0" xfId="0" applyFont="1" applyProtection="1">
      <protection hidden="1"/>
    </xf>
    <xf numFmtId="0" fontId="39" fillId="0" borderId="0" xfId="0" applyFont="1" applyProtection="1">
      <protection hidden="1"/>
    </xf>
    <xf numFmtId="0" fontId="40" fillId="0" borderId="0" xfId="0" applyFont="1"/>
    <xf numFmtId="0" fontId="0" fillId="0" borderId="8" xfId="0" applyBorder="1" applyProtection="1">
      <protection locked="0" hidden="1"/>
    </xf>
    <xf numFmtId="0" fontId="0" fillId="0" borderId="8" xfId="0" applyBorder="1" applyAlignment="1" applyProtection="1">
      <alignment horizontal="center"/>
      <protection locked="0" hidden="1"/>
    </xf>
    <xf numFmtId="0" fontId="42" fillId="0" borderId="0" xfId="0" applyFont="1" applyAlignment="1" applyProtection="1">
      <alignment horizontal="center" vertical="center" wrapText="1"/>
      <protection hidden="1"/>
    </xf>
    <xf numFmtId="0" fontId="25" fillId="0" borderId="104" xfId="0" applyFont="1" applyBorder="1" applyAlignment="1" applyProtection="1">
      <alignment horizontal="center"/>
      <protection hidden="1"/>
    </xf>
    <xf numFmtId="0" fontId="25" fillId="0" borderId="66" xfId="0" applyFont="1" applyBorder="1" applyAlignment="1" applyProtection="1">
      <alignment horizontal="center"/>
      <protection hidden="1"/>
    </xf>
    <xf numFmtId="0" fontId="0" fillId="0" borderId="0" xfId="0" applyProtection="1">
      <protection hidden="1"/>
    </xf>
    <xf numFmtId="0" fontId="0" fillId="0" borderId="28" xfId="0" applyBorder="1" applyProtection="1">
      <protection hidden="1"/>
    </xf>
    <xf numFmtId="0" fontId="0" fillId="0" borderId="1" xfId="0" applyBorder="1" applyAlignment="1" applyProtection="1">
      <alignment horizontal="center"/>
      <protection hidden="1"/>
    </xf>
    <xf numFmtId="0" fontId="2" fillId="0" borderId="1" xfId="0" applyFont="1" applyBorder="1" applyAlignment="1" applyProtection="1">
      <alignment horizontal="right"/>
      <protection hidden="1"/>
    </xf>
    <xf numFmtId="0" fontId="24" fillId="0" borderId="0" xfId="0" applyFont="1" applyAlignment="1" applyProtection="1">
      <alignment horizontal="center"/>
      <protection hidden="1"/>
    </xf>
    <xf numFmtId="0" fontId="25" fillId="0" borderId="0" xfId="2" applyFont="1" applyProtection="1">
      <protection hidden="1"/>
    </xf>
    <xf numFmtId="164" fontId="43" fillId="0" borderId="17" xfId="2" applyNumberFormat="1" applyFont="1" applyBorder="1" applyAlignment="1" applyProtection="1">
      <alignment horizontal="center" wrapText="1"/>
      <protection hidden="1"/>
    </xf>
    <xf numFmtId="0" fontId="25" fillId="0" borderId="35" xfId="2" applyFont="1" applyBorder="1" applyAlignment="1" applyProtection="1">
      <alignment horizontal="center"/>
      <protection hidden="1"/>
    </xf>
    <xf numFmtId="0" fontId="25" fillId="0" borderId="112" xfId="2" applyFont="1" applyBorder="1" applyAlignment="1" applyProtection="1">
      <alignment horizontal="center"/>
      <protection hidden="1"/>
    </xf>
    <xf numFmtId="0" fontId="25" fillId="0" borderId="8" xfId="2" applyFont="1" applyBorder="1" applyAlignment="1" applyProtection="1">
      <alignment horizontal="left"/>
      <protection locked="0" hidden="1"/>
    </xf>
    <xf numFmtId="0" fontId="1" fillId="0" borderId="0" xfId="0" applyFont="1"/>
    <xf numFmtId="0" fontId="27" fillId="0" borderId="0" xfId="0" applyFont="1" applyProtection="1">
      <protection hidden="1"/>
    </xf>
    <xf numFmtId="0" fontId="46" fillId="0" borderId="0" xfId="0" applyFont="1" applyAlignment="1" applyProtection="1">
      <alignment horizontal="center"/>
      <protection hidden="1"/>
    </xf>
    <xf numFmtId="0" fontId="27" fillId="0" borderId="0" xfId="0" applyFont="1" applyProtection="1">
      <protection locked="0" hidden="1"/>
    </xf>
    <xf numFmtId="43" fontId="27" fillId="0" borderId="19" xfId="32" applyFont="1" applyBorder="1" applyAlignment="1" applyProtection="1">
      <alignment horizontal="center"/>
      <protection hidden="1"/>
    </xf>
    <xf numFmtId="43" fontId="28" fillId="0" borderId="24" xfId="32" applyFont="1" applyBorder="1" applyAlignment="1" applyProtection="1">
      <alignment horizontal="center"/>
      <protection hidden="1"/>
    </xf>
    <xf numFmtId="0" fontId="27" fillId="0" borderId="0" xfId="0" applyFont="1" applyAlignment="1" applyProtection="1">
      <alignment horizontal="center"/>
      <protection hidden="1"/>
    </xf>
    <xf numFmtId="0" fontId="28" fillId="0" borderId="0" xfId="0" applyFont="1"/>
    <xf numFmtId="0" fontId="16" fillId="0" borderId="113" xfId="2" applyFont="1" applyBorder="1" applyAlignment="1" applyProtection="1">
      <alignment horizontal="left"/>
      <protection hidden="1"/>
    </xf>
    <xf numFmtId="164" fontId="43" fillId="0" borderId="114" xfId="2" applyNumberFormat="1" applyFont="1" applyBorder="1" applyAlignment="1" applyProtection="1">
      <alignment horizontal="center" wrapText="1"/>
      <protection hidden="1"/>
    </xf>
    <xf numFmtId="0" fontId="6" fillId="0" borderId="0" xfId="0" applyFont="1" applyAlignment="1" applyProtection="1">
      <alignment horizontal="center"/>
      <protection hidden="1"/>
    </xf>
    <xf numFmtId="0" fontId="1" fillId="0" borderId="0" xfId="0" applyFont="1" applyProtection="1">
      <protection hidden="1"/>
    </xf>
    <xf numFmtId="0" fontId="1" fillId="0" borderId="25" xfId="0" applyFont="1" applyBorder="1" applyProtection="1">
      <protection hidden="1"/>
    </xf>
    <xf numFmtId="0" fontId="1" fillId="0" borderId="28" xfId="0" applyFont="1" applyBorder="1" applyProtection="1">
      <protection hidden="1"/>
    </xf>
    <xf numFmtId="0" fontId="2" fillId="0" borderId="24" xfId="0" applyFont="1" applyBorder="1" applyProtection="1">
      <protection hidden="1"/>
    </xf>
    <xf numFmtId="0" fontId="2" fillId="0" borderId="1" xfId="0" applyFont="1" applyBorder="1" applyProtection="1">
      <protection hidden="1"/>
    </xf>
    <xf numFmtId="0" fontId="1" fillId="0" borderId="1" xfId="0" applyFont="1" applyBorder="1" applyProtection="1">
      <protection hidden="1"/>
    </xf>
    <xf numFmtId="0" fontId="1" fillId="0" borderId="1" xfId="0" applyFont="1" applyBorder="1" applyAlignment="1" applyProtection="1">
      <alignment horizontal="right"/>
      <protection hidden="1"/>
    </xf>
    <xf numFmtId="0" fontId="3" fillId="3" borderId="96" xfId="0" applyFont="1" applyFill="1" applyBorder="1" applyAlignment="1" applyProtection="1">
      <alignment horizontal="center"/>
      <protection hidden="1"/>
    </xf>
    <xf numFmtId="0" fontId="3" fillId="3" borderId="88" xfId="0" applyFont="1" applyFill="1" applyBorder="1" applyAlignment="1" applyProtection="1">
      <alignment horizontal="center"/>
      <protection hidden="1"/>
    </xf>
    <xf numFmtId="43" fontId="23" fillId="0" borderId="0" xfId="0" applyNumberFormat="1" applyFont="1" applyAlignment="1" applyProtection="1">
      <alignment horizontal="center" vertical="center" wrapText="1"/>
      <protection hidden="1"/>
    </xf>
    <xf numFmtId="0" fontId="19" fillId="0" borderId="0" xfId="0" applyFont="1" applyProtection="1">
      <protection hidden="1"/>
    </xf>
    <xf numFmtId="0" fontId="1" fillId="0" borderId="0" xfId="0" applyFont="1" applyAlignment="1" applyProtection="1">
      <alignment horizontal="center"/>
      <protection hidden="1"/>
    </xf>
    <xf numFmtId="0" fontId="7" fillId="0" borderId="0" xfId="0" applyFont="1" applyAlignment="1" applyProtection="1">
      <alignment horizontal="center"/>
      <protection hidden="1"/>
    </xf>
    <xf numFmtId="0" fontId="1" fillId="0" borderId="0" xfId="0" applyFont="1" applyProtection="1">
      <protection locked="0" hidden="1"/>
    </xf>
    <xf numFmtId="49" fontId="1" fillId="0" borderId="0" xfId="0" applyNumberFormat="1" applyFont="1" applyAlignment="1" applyProtection="1">
      <alignment horizontal="center"/>
      <protection hidden="1"/>
    </xf>
    <xf numFmtId="167" fontId="9" fillId="0" borderId="0" xfId="0" applyNumberFormat="1" applyFont="1" applyAlignment="1">
      <alignment horizontal="right"/>
    </xf>
    <xf numFmtId="0" fontId="6" fillId="0" borderId="0" xfId="0" applyFont="1" applyProtection="1">
      <protection hidden="1"/>
    </xf>
    <xf numFmtId="170" fontId="1" fillId="0" borderId="89" xfId="0" applyNumberFormat="1" applyFont="1" applyBorder="1" applyAlignment="1" applyProtection="1">
      <alignment horizontal="center"/>
      <protection hidden="1"/>
    </xf>
    <xf numFmtId="170" fontId="1" fillId="0" borderId="90" xfId="0" applyNumberFormat="1" applyFont="1" applyBorder="1" applyAlignment="1" applyProtection="1">
      <alignment horizontal="center"/>
      <protection hidden="1"/>
    </xf>
    <xf numFmtId="170" fontId="1" fillId="12" borderId="99" xfId="0" applyNumberFormat="1" applyFont="1" applyFill="1" applyBorder="1" applyAlignment="1" applyProtection="1">
      <alignment horizontal="center"/>
      <protection hidden="1"/>
    </xf>
    <xf numFmtId="170" fontId="1" fillId="0" borderId="91" xfId="0" applyNumberFormat="1" applyFont="1" applyBorder="1" applyAlignment="1" applyProtection="1">
      <alignment horizontal="center"/>
      <protection hidden="1"/>
    </xf>
    <xf numFmtId="170" fontId="1" fillId="0" borderId="94" xfId="0" applyNumberFormat="1" applyFont="1" applyBorder="1" applyAlignment="1" applyProtection="1">
      <alignment horizontal="center"/>
      <protection hidden="1"/>
    </xf>
    <xf numFmtId="0" fontId="6" fillId="0" borderId="102" xfId="0" applyFont="1" applyBorder="1" applyProtection="1">
      <protection hidden="1"/>
    </xf>
    <xf numFmtId="0" fontId="1" fillId="0" borderId="103" xfId="0" applyFont="1" applyBorder="1" applyAlignment="1" applyProtection="1">
      <alignment horizontal="center"/>
      <protection hidden="1"/>
    </xf>
    <xf numFmtId="0" fontId="1" fillId="0" borderId="13" xfId="0" applyFont="1" applyBorder="1" applyProtection="1">
      <protection hidden="1"/>
    </xf>
    <xf numFmtId="0" fontId="1" fillId="0" borderId="14" xfId="0" applyFont="1" applyBorder="1" applyAlignment="1" applyProtection="1">
      <alignment horizontal="center"/>
      <protection hidden="1"/>
    </xf>
    <xf numFmtId="170" fontId="1" fillId="12" borderId="91" xfId="0" applyNumberFormat="1" applyFont="1" applyFill="1" applyBorder="1" applyAlignment="1" applyProtection="1">
      <alignment horizontal="center"/>
      <protection hidden="1"/>
    </xf>
    <xf numFmtId="0" fontId="6" fillId="0" borderId="86" xfId="0" applyFont="1" applyBorder="1" applyProtection="1">
      <protection hidden="1"/>
    </xf>
    <xf numFmtId="0" fontId="1" fillId="0" borderId="9" xfId="0" applyFont="1" applyBorder="1" applyAlignment="1" applyProtection="1">
      <alignment horizontal="center"/>
      <protection hidden="1"/>
    </xf>
    <xf numFmtId="0" fontId="1" fillId="0" borderId="22" xfId="0" applyFont="1" applyBorder="1" applyProtection="1">
      <protection hidden="1"/>
    </xf>
    <xf numFmtId="0" fontId="1" fillId="0" borderId="31" xfId="0" applyFont="1" applyBorder="1" applyAlignment="1" applyProtection="1">
      <alignment horizontal="center"/>
      <protection hidden="1"/>
    </xf>
    <xf numFmtId="170" fontId="2" fillId="12" borderId="92" xfId="0" applyNumberFormat="1" applyFont="1" applyFill="1" applyBorder="1" applyAlignment="1" applyProtection="1">
      <alignment horizontal="center"/>
      <protection hidden="1"/>
    </xf>
    <xf numFmtId="170" fontId="1" fillId="0" borderId="93" xfId="0" applyNumberFormat="1" applyFont="1" applyBorder="1" applyAlignment="1" applyProtection="1">
      <alignment horizontal="center"/>
      <protection hidden="1"/>
    </xf>
    <xf numFmtId="170" fontId="1" fillId="0" borderId="95" xfId="0" applyNumberFormat="1" applyFont="1" applyBorder="1" applyAlignment="1" applyProtection="1">
      <alignment horizontal="center"/>
      <protection hidden="1"/>
    </xf>
    <xf numFmtId="0" fontId="6" fillId="0" borderId="97" xfId="0" applyFont="1" applyBorder="1" applyProtection="1">
      <protection hidden="1"/>
    </xf>
    <xf numFmtId="0" fontId="1" fillId="0" borderId="98" xfId="0" applyFont="1" applyBorder="1" applyAlignment="1" applyProtection="1">
      <alignment horizontal="center"/>
      <protection hidden="1"/>
    </xf>
    <xf numFmtId="1" fontId="1" fillId="0" borderId="0" xfId="0" applyNumberFormat="1" applyFont="1" applyAlignment="1" applyProtection="1">
      <alignment horizontal="center"/>
      <protection hidden="1"/>
    </xf>
    <xf numFmtId="0" fontId="1" fillId="0" borderId="0" xfId="0" applyFont="1" applyAlignment="1" applyProtection="1">
      <alignment horizontal="left"/>
      <protection hidden="1"/>
    </xf>
    <xf numFmtId="0" fontId="6" fillId="0" borderId="105" xfId="0" applyFont="1" applyBorder="1" applyProtection="1">
      <protection hidden="1"/>
    </xf>
    <xf numFmtId="0" fontId="6" fillId="0" borderId="106" xfId="0" applyFont="1" applyBorder="1" applyProtection="1">
      <protection hidden="1"/>
    </xf>
    <xf numFmtId="0" fontId="1" fillId="0" borderId="15" xfId="0" applyFont="1" applyBorder="1" applyProtection="1">
      <protection hidden="1"/>
    </xf>
    <xf numFmtId="0" fontId="1" fillId="0" borderId="16" xfId="0" applyFont="1" applyBorder="1" applyAlignment="1" applyProtection="1">
      <alignment horizontal="center"/>
      <protection hidden="1"/>
    </xf>
    <xf numFmtId="9" fontId="1" fillId="0" borderId="0" xfId="49" applyFont="1" applyAlignment="1" applyProtection="1">
      <alignment horizontal="right"/>
      <protection hidden="1"/>
    </xf>
    <xf numFmtId="49" fontId="5" fillId="0" borderId="0" xfId="32" applyNumberFormat="1" applyFont="1" applyAlignment="1" applyProtection="1">
      <alignment horizontal="center"/>
      <protection hidden="1"/>
    </xf>
    <xf numFmtId="0" fontId="6" fillId="0" borderId="7" xfId="0" applyFont="1" applyBorder="1" applyProtection="1">
      <protection hidden="1"/>
    </xf>
    <xf numFmtId="170" fontId="1" fillId="0" borderId="0" xfId="0" applyNumberFormat="1" applyFont="1" applyProtection="1">
      <protection hidden="1"/>
    </xf>
    <xf numFmtId="0" fontId="6" fillId="0" borderId="10" xfId="0" applyFont="1" applyBorder="1" applyProtection="1">
      <protection hidden="1"/>
    </xf>
    <xf numFmtId="0" fontId="1" fillId="0" borderId="12" xfId="0" applyFont="1" applyBorder="1" applyAlignment="1" applyProtection="1">
      <alignment horizontal="center"/>
      <protection hidden="1"/>
    </xf>
    <xf numFmtId="0" fontId="6" fillId="0" borderId="109" xfId="0" applyFont="1" applyBorder="1" applyProtection="1">
      <protection hidden="1"/>
    </xf>
    <xf numFmtId="0" fontId="1" fillId="0" borderId="110" xfId="0" applyFont="1" applyBorder="1" applyAlignment="1" applyProtection="1">
      <alignment horizontal="center"/>
      <protection hidden="1"/>
    </xf>
    <xf numFmtId="43" fontId="1" fillId="0" borderId="0" xfId="32" applyFont="1" applyProtection="1">
      <protection hidden="1"/>
    </xf>
    <xf numFmtId="0" fontId="6" fillId="0" borderId="107" xfId="0" applyFont="1" applyBorder="1" applyProtection="1">
      <protection hidden="1"/>
    </xf>
    <xf numFmtId="0" fontId="1" fillId="0" borderId="108" xfId="0" applyFont="1" applyBorder="1" applyAlignment="1" applyProtection="1">
      <alignment horizontal="center"/>
      <protection hidden="1"/>
    </xf>
    <xf numFmtId="170" fontId="1" fillId="0" borderId="100" xfId="0" applyNumberFormat="1" applyFont="1" applyBorder="1" applyAlignment="1" applyProtection="1">
      <alignment horizontal="center"/>
      <protection hidden="1"/>
    </xf>
    <xf numFmtId="0" fontId="6" fillId="0" borderId="22" xfId="0" applyFont="1" applyBorder="1" applyProtection="1">
      <protection hidden="1"/>
    </xf>
    <xf numFmtId="0" fontId="3" fillId="0" borderId="0" xfId="0" applyFont="1" applyAlignment="1" applyProtection="1">
      <alignment horizontal="center"/>
      <protection hidden="1"/>
    </xf>
    <xf numFmtId="16" fontId="1" fillId="0" borderId="0" xfId="0" quotePrefix="1" applyNumberFormat="1" applyFont="1" applyAlignment="1" applyProtection="1">
      <alignment horizontal="center"/>
      <protection hidden="1"/>
    </xf>
    <xf numFmtId="0" fontId="3" fillId="4" borderId="0" xfId="0" applyFont="1" applyFill="1" applyProtection="1">
      <protection hidden="1"/>
    </xf>
    <xf numFmtId="0" fontId="3" fillId="4" borderId="0" xfId="0" applyFont="1" applyFill="1" applyAlignment="1" applyProtection="1">
      <alignment horizontal="center"/>
      <protection hidden="1"/>
    </xf>
    <xf numFmtId="0" fontId="1" fillId="4" borderId="57" xfId="0" applyFont="1" applyFill="1" applyBorder="1" applyProtection="1">
      <protection hidden="1"/>
    </xf>
    <xf numFmtId="170" fontId="1" fillId="0" borderId="101" xfId="0" applyNumberFormat="1" applyFont="1" applyBorder="1" applyAlignment="1" applyProtection="1">
      <alignment horizontal="center"/>
      <protection hidden="1"/>
    </xf>
    <xf numFmtId="0" fontId="1" fillId="0" borderId="38" xfId="0" applyFont="1" applyBorder="1" applyAlignment="1" applyProtection="1">
      <alignment horizontal="center"/>
      <protection locked="0" hidden="1"/>
    </xf>
    <xf numFmtId="0" fontId="1" fillId="0" borderId="58" xfId="0" applyFont="1" applyBorder="1" applyAlignment="1" applyProtection="1">
      <alignment horizontal="center"/>
      <protection locked="0" hidden="1"/>
    </xf>
    <xf numFmtId="0" fontId="1" fillId="0" borderId="61" xfId="0" applyFont="1" applyBorder="1" applyAlignment="1" applyProtection="1">
      <alignment horizontal="center"/>
      <protection hidden="1"/>
    </xf>
    <xf numFmtId="0" fontId="1" fillId="0" borderId="56" xfId="0" applyFont="1" applyBorder="1" applyAlignment="1" applyProtection="1">
      <alignment horizontal="center"/>
      <protection hidden="1"/>
    </xf>
    <xf numFmtId="169" fontId="3" fillId="0" borderId="0" xfId="0" applyNumberFormat="1" applyFont="1" applyAlignment="1" applyProtection="1">
      <alignment horizontal="center"/>
      <protection hidden="1"/>
    </xf>
    <xf numFmtId="9" fontId="1" fillId="0" borderId="0" xfId="49" applyFont="1" applyProtection="1">
      <protection hidden="1"/>
    </xf>
    <xf numFmtId="0" fontId="1" fillId="0" borderId="40" xfId="0" applyFont="1" applyBorder="1" applyAlignment="1" applyProtection="1">
      <alignment horizontal="center"/>
      <protection locked="0" hidden="1"/>
    </xf>
    <xf numFmtId="0" fontId="1" fillId="0" borderId="30" xfId="0" applyFont="1" applyBorder="1" applyAlignment="1" applyProtection="1">
      <alignment horizontal="center"/>
      <protection hidden="1"/>
    </xf>
    <xf numFmtId="0" fontId="6" fillId="0" borderId="15" xfId="0" applyFont="1" applyBorder="1" applyProtection="1">
      <protection hidden="1"/>
    </xf>
    <xf numFmtId="17" fontId="1" fillId="0" borderId="0" xfId="0" quotePrefix="1" applyNumberFormat="1" applyFont="1" applyAlignment="1" applyProtection="1">
      <alignment horizontal="center"/>
      <protection hidden="1"/>
    </xf>
    <xf numFmtId="0" fontId="2" fillId="0" borderId="0" xfId="0" quotePrefix="1" applyFont="1" applyAlignment="1" applyProtection="1">
      <alignment horizontal="center"/>
      <protection hidden="1"/>
    </xf>
    <xf numFmtId="169" fontId="1" fillId="0" borderId="0" xfId="32" applyNumberFormat="1" applyFont="1" applyProtection="1">
      <protection hidden="1"/>
    </xf>
    <xf numFmtId="0" fontId="6" fillId="0" borderId="106" xfId="0" applyFont="1" applyBorder="1" applyAlignment="1" applyProtection="1">
      <alignment horizontal="center"/>
      <protection hidden="1"/>
    </xf>
    <xf numFmtId="49" fontId="1" fillId="0" borderId="0" xfId="32" applyNumberFormat="1" applyFont="1" applyProtection="1">
      <protection hidden="1"/>
    </xf>
    <xf numFmtId="0" fontId="3" fillId="0" borderId="60" xfId="0" applyFont="1" applyBorder="1" applyAlignment="1" applyProtection="1">
      <alignment horizontal="center"/>
      <protection locked="0" hidden="1"/>
    </xf>
    <xf numFmtId="0" fontId="2" fillId="0" borderId="0" xfId="0" quotePrefix="1" applyFont="1" applyProtection="1">
      <protection hidden="1"/>
    </xf>
    <xf numFmtId="0" fontId="2" fillId="0" borderId="0" xfId="0" applyFont="1" applyProtection="1">
      <protection hidden="1"/>
    </xf>
    <xf numFmtId="0" fontId="1" fillId="0" borderId="0" xfId="0" applyFont="1" applyAlignment="1">
      <alignment horizontal="center"/>
    </xf>
    <xf numFmtId="0" fontId="2" fillId="0" borderId="0" xfId="0" applyFont="1"/>
    <xf numFmtId="49" fontId="1" fillId="0" borderId="0" xfId="0" quotePrefix="1" applyNumberFormat="1" applyFont="1" applyAlignment="1" applyProtection="1">
      <alignment horizontal="right"/>
      <protection hidden="1"/>
    </xf>
    <xf numFmtId="49" fontId="1" fillId="0" borderId="0" xfId="0" quotePrefix="1" applyNumberFormat="1" applyFont="1" applyProtection="1">
      <protection hidden="1"/>
    </xf>
    <xf numFmtId="49" fontId="1" fillId="0" borderId="0" xfId="0" applyNumberFormat="1" applyFont="1" applyProtection="1">
      <protection hidden="1"/>
    </xf>
    <xf numFmtId="0" fontId="1" fillId="0" borderId="1" xfId="0" applyFont="1" applyBorder="1" applyAlignment="1" applyProtection="1">
      <alignment horizontal="left"/>
      <protection hidden="1"/>
    </xf>
    <xf numFmtId="0" fontId="1" fillId="0" borderId="0" xfId="0" quotePrefix="1" applyFont="1" applyProtection="1">
      <protection hidden="1"/>
    </xf>
    <xf numFmtId="0" fontId="1" fillId="0" borderId="0" xfId="0" quotePrefix="1" applyFont="1" applyAlignment="1" applyProtection="1">
      <alignment horizontal="right"/>
      <protection hidden="1"/>
    </xf>
    <xf numFmtId="0" fontId="1" fillId="0" borderId="26" xfId="0" applyFont="1" applyBorder="1" applyProtection="1">
      <protection hidden="1"/>
    </xf>
    <xf numFmtId="0" fontId="1" fillId="0" borderId="25" xfId="0" applyFont="1" applyBorder="1" applyAlignment="1" applyProtection="1">
      <alignment horizontal="left"/>
      <protection hidden="1"/>
    </xf>
    <xf numFmtId="0" fontId="1" fillId="0" borderId="0" xfId="0" applyFont="1" applyAlignment="1" applyProtection="1">
      <alignment horizontal="right"/>
      <protection hidden="1"/>
    </xf>
    <xf numFmtId="0" fontId="1" fillId="0" borderId="0" xfId="0" applyFont="1" applyAlignment="1" applyProtection="1">
      <alignment horizontal="left" vertical="center"/>
      <protection hidden="1"/>
    </xf>
    <xf numFmtId="0" fontId="1" fillId="0" borderId="19" xfId="0" applyFont="1" applyBorder="1" applyProtection="1">
      <protection hidden="1"/>
    </xf>
    <xf numFmtId="0" fontId="1" fillId="0" borderId="28" xfId="0" applyFont="1" applyBorder="1" applyAlignment="1" applyProtection="1">
      <alignment horizontal="left"/>
      <protection hidden="1"/>
    </xf>
    <xf numFmtId="0" fontId="1" fillId="0" borderId="28" xfId="0" applyFont="1" applyBorder="1" applyAlignment="1" applyProtection="1">
      <alignment horizontal="center"/>
      <protection hidden="1"/>
    </xf>
    <xf numFmtId="0" fontId="1" fillId="0" borderId="28" xfId="0" applyFont="1" applyBorder="1" applyAlignment="1" applyProtection="1">
      <alignment horizontal="right"/>
      <protection hidden="1"/>
    </xf>
    <xf numFmtId="0" fontId="1" fillId="0" borderId="24" xfId="0" applyFont="1" applyBorder="1" applyAlignment="1" applyProtection="1">
      <alignment horizontal="left"/>
      <protection hidden="1"/>
    </xf>
    <xf numFmtId="0" fontId="1" fillId="0" borderId="35" xfId="0" applyFont="1" applyBorder="1" applyProtection="1">
      <protection hidden="1"/>
    </xf>
    <xf numFmtId="49" fontId="1" fillId="0" borderId="0" xfId="0" applyNumberFormat="1" applyFont="1" applyAlignment="1" applyProtection="1">
      <alignment horizontal="right"/>
      <protection hidden="1"/>
    </xf>
    <xf numFmtId="0" fontId="1" fillId="0" borderId="87" xfId="0" applyFont="1" applyBorder="1" applyProtection="1">
      <protection hidden="1"/>
    </xf>
    <xf numFmtId="44" fontId="1" fillId="0" borderId="0" xfId="24" applyFont="1" applyProtection="1">
      <protection hidden="1"/>
    </xf>
    <xf numFmtId="0" fontId="6" fillId="0" borderId="0" xfId="0" applyFont="1" applyAlignment="1" applyProtection="1">
      <alignment horizontal="left"/>
      <protection hidden="1"/>
    </xf>
    <xf numFmtId="0" fontId="2" fillId="0" borderId="0" xfId="2" applyProtection="1">
      <protection hidden="1"/>
    </xf>
    <xf numFmtId="0" fontId="47" fillId="0" borderId="0" xfId="0" applyFont="1" applyProtection="1">
      <protection hidden="1"/>
    </xf>
    <xf numFmtId="0" fontId="48" fillId="0" borderId="0" xfId="0" applyFont="1" applyProtection="1">
      <protection hidden="1"/>
    </xf>
    <xf numFmtId="0" fontId="38" fillId="0" borderId="0" xfId="0" applyFont="1"/>
    <xf numFmtId="44" fontId="1" fillId="0" borderId="0" xfId="24" applyFont="1" applyProtection="1"/>
    <xf numFmtId="0" fontId="37" fillId="0" borderId="0" xfId="0" applyFont="1"/>
    <xf numFmtId="0" fontId="1" fillId="0" borderId="0" xfId="0" applyFont="1" applyAlignment="1">
      <alignment horizontal="right" indent="1"/>
    </xf>
    <xf numFmtId="0" fontId="1" fillId="0" borderId="0" xfId="0" applyFont="1" applyAlignment="1">
      <alignment horizontal="right"/>
    </xf>
    <xf numFmtId="43" fontId="1" fillId="0" borderId="0" xfId="32" applyFont="1" applyProtection="1"/>
    <xf numFmtId="43" fontId="1" fillId="0" borderId="0" xfId="32" applyFont="1" applyAlignment="1" applyProtection="1">
      <alignment horizontal="left"/>
    </xf>
    <xf numFmtId="43" fontId="1" fillId="0" borderId="0" xfId="32" applyFont="1" applyAlignment="1" applyProtection="1">
      <alignment horizontal="right"/>
    </xf>
    <xf numFmtId="43" fontId="1" fillId="0" borderId="0" xfId="0" applyNumberFormat="1" applyFont="1"/>
    <xf numFmtId="0" fontId="39" fillId="0" borderId="0" xfId="0" applyFont="1"/>
    <xf numFmtId="0" fontId="20" fillId="0" borderId="0" xfId="2" applyFont="1"/>
    <xf numFmtId="0" fontId="2" fillId="0" borderId="0" xfId="2"/>
    <xf numFmtId="0" fontId="41" fillId="0" borderId="0" xfId="0" applyFont="1" applyAlignment="1" applyProtection="1">
      <alignment horizontal="center" vertical="center"/>
      <protection hidden="1"/>
    </xf>
    <xf numFmtId="0" fontId="1" fillId="0" borderId="0" xfId="0" applyFont="1" applyAlignment="1" applyProtection="1">
      <alignment horizontal="center" vertical="center"/>
      <protection hidden="1"/>
    </xf>
    <xf numFmtId="0" fontId="1" fillId="0" borderId="87" xfId="0" applyFont="1" applyBorder="1" applyAlignment="1" applyProtection="1">
      <alignment horizontal="center" vertical="center"/>
      <protection hidden="1"/>
    </xf>
    <xf numFmtId="0" fontId="49" fillId="0" borderId="0" xfId="0" applyFont="1" applyAlignment="1" applyProtection="1">
      <alignment horizontal="center" vertical="center"/>
      <protection hidden="1"/>
    </xf>
    <xf numFmtId="0" fontId="49" fillId="0" borderId="0" xfId="0" applyFont="1" applyAlignment="1">
      <alignment horizontal="center" vertical="center"/>
    </xf>
    <xf numFmtId="2" fontId="1" fillId="0" borderId="0" xfId="0" applyNumberFormat="1" applyFont="1"/>
    <xf numFmtId="1" fontId="3" fillId="3" borderId="96" xfId="0" applyNumberFormat="1" applyFont="1" applyFill="1" applyBorder="1" applyAlignment="1" applyProtection="1">
      <alignment horizontal="center"/>
      <protection hidden="1"/>
    </xf>
    <xf numFmtId="1" fontId="1" fillId="0" borderId="0" xfId="0" applyNumberFormat="1" applyFont="1"/>
    <xf numFmtId="0" fontId="6" fillId="0" borderId="115" xfId="40" applyFont="1" applyBorder="1" applyProtection="1">
      <protection hidden="1"/>
    </xf>
    <xf numFmtId="0" fontId="2" fillId="0" borderId="115" xfId="2" applyBorder="1" applyAlignment="1" applyProtection="1">
      <alignment horizontal="center"/>
      <protection hidden="1"/>
    </xf>
    <xf numFmtId="0" fontId="1" fillId="0" borderId="0" xfId="0" applyFont="1" applyProtection="1">
      <protection locked="0"/>
    </xf>
    <xf numFmtId="0" fontId="19" fillId="0" borderId="0" xfId="0" applyFont="1" applyProtection="1">
      <protection locked="0"/>
    </xf>
    <xf numFmtId="1" fontId="19" fillId="0" borderId="0" xfId="0" applyNumberFormat="1" applyFont="1" applyProtection="1">
      <protection locked="0"/>
    </xf>
    <xf numFmtId="43" fontId="19" fillId="0" borderId="19" xfId="32" applyFont="1" applyBorder="1" applyAlignment="1" applyProtection="1">
      <alignment horizontal="center"/>
      <protection locked="0"/>
    </xf>
    <xf numFmtId="0" fontId="1" fillId="0" borderId="0" xfId="0" applyFont="1" applyAlignment="1" applyProtection="1">
      <alignment horizontal="center"/>
      <protection locked="0"/>
    </xf>
    <xf numFmtId="0" fontId="3" fillId="3" borderId="96" xfId="0" applyFont="1" applyFill="1" applyBorder="1" applyAlignment="1" applyProtection="1">
      <alignment horizontal="center"/>
      <protection locked="0"/>
    </xf>
    <xf numFmtId="0" fontId="23" fillId="0" borderId="112" xfId="2" applyFont="1" applyBorder="1" applyAlignment="1" applyProtection="1">
      <alignment horizontal="center" vertical="center"/>
      <protection hidden="1"/>
    </xf>
    <xf numFmtId="0" fontId="52" fillId="0" borderId="0" xfId="2" applyFont="1" applyProtection="1">
      <protection hidden="1"/>
    </xf>
    <xf numFmtId="168" fontId="39" fillId="0" borderId="0" xfId="0" applyNumberFormat="1" applyFont="1" applyProtection="1">
      <protection hidden="1"/>
    </xf>
    <xf numFmtId="169" fontId="19" fillId="0" borderId="24" xfId="32" applyNumberFormat="1" applyFont="1" applyBorder="1" applyAlignment="1" applyProtection="1">
      <alignment horizontal="center"/>
      <protection locked="0"/>
    </xf>
    <xf numFmtId="37" fontId="19" fillId="0" borderId="24" xfId="32" applyNumberFormat="1" applyFont="1" applyBorder="1" applyAlignment="1" applyProtection="1">
      <alignment horizontal="center"/>
      <protection locked="0"/>
    </xf>
    <xf numFmtId="168" fontId="19" fillId="0" borderId="17" xfId="0" applyNumberFormat="1" applyFont="1" applyBorder="1" applyAlignment="1" applyProtection="1">
      <alignment horizontal="center"/>
      <protection locked="0" hidden="1"/>
    </xf>
    <xf numFmtId="168" fontId="19" fillId="0" borderId="0" xfId="0" applyNumberFormat="1" applyFont="1" applyAlignment="1" applyProtection="1">
      <alignment horizontal="center"/>
      <protection locked="0" hidden="1"/>
    </xf>
    <xf numFmtId="37" fontId="19" fillId="0" borderId="19" xfId="32" applyNumberFormat="1" applyFont="1" applyBorder="1" applyAlignment="1" applyProtection="1">
      <alignment horizontal="center"/>
      <protection locked="0"/>
    </xf>
    <xf numFmtId="0" fontId="37" fillId="0" borderId="0" xfId="0" applyFont="1" applyProtection="1">
      <protection locked="0"/>
    </xf>
    <xf numFmtId="164" fontId="54" fillId="0" borderId="8" xfId="2" applyNumberFormat="1" applyFont="1" applyBorder="1" applyAlignment="1" applyProtection="1">
      <alignment horizontal="center" wrapText="1"/>
      <protection hidden="1"/>
    </xf>
    <xf numFmtId="0" fontId="0" fillId="0" borderId="0" xfId="0" applyAlignment="1">
      <alignment wrapText="1"/>
    </xf>
    <xf numFmtId="0" fontId="1" fillId="0" borderId="1" xfId="0" applyFont="1" applyBorder="1" applyProtection="1">
      <protection hidden="1"/>
    </xf>
    <xf numFmtId="0" fontId="0" fillId="0" borderId="1" xfId="0" applyBorder="1"/>
    <xf numFmtId="0" fontId="18" fillId="0" borderId="37" xfId="0" applyFont="1" applyBorder="1" applyAlignment="1" applyProtection="1">
      <alignment horizontal="right"/>
      <protection hidden="1"/>
    </xf>
    <xf numFmtId="0" fontId="18" fillId="0" borderId="35" xfId="0" applyFont="1" applyBorder="1" applyAlignment="1" applyProtection="1">
      <alignment horizontal="right"/>
      <protection hidden="1"/>
    </xf>
    <xf numFmtId="0" fontId="19" fillId="0" borderId="17" xfId="0" applyFont="1" applyBorder="1" applyAlignment="1" applyProtection="1">
      <alignment horizontal="center"/>
      <protection locked="0" hidden="1"/>
    </xf>
    <xf numFmtId="0" fontId="19" fillId="0" borderId="33" xfId="0" applyFont="1" applyBorder="1" applyAlignment="1" applyProtection="1">
      <alignment horizontal="center"/>
      <protection locked="0" hidden="1"/>
    </xf>
    <xf numFmtId="0" fontId="19" fillId="0" borderId="18" xfId="0" applyFont="1" applyBorder="1" applyAlignment="1" applyProtection="1">
      <alignment horizontal="center"/>
      <protection locked="0" hidden="1"/>
    </xf>
    <xf numFmtId="168" fontId="19" fillId="0" borderId="17" xfId="0" applyNumberFormat="1" applyFont="1" applyBorder="1" applyAlignment="1" applyProtection="1">
      <alignment horizontal="center"/>
      <protection locked="0" hidden="1"/>
    </xf>
    <xf numFmtId="168" fontId="19" fillId="0" borderId="33" xfId="0" applyNumberFormat="1" applyFont="1" applyBorder="1" applyAlignment="1" applyProtection="1">
      <alignment horizontal="center"/>
      <protection locked="0" hidden="1"/>
    </xf>
    <xf numFmtId="168" fontId="19" fillId="0" borderId="18" xfId="0" applyNumberFormat="1" applyFont="1" applyBorder="1" applyAlignment="1" applyProtection="1">
      <alignment horizontal="center"/>
      <protection locked="0" hidden="1"/>
    </xf>
    <xf numFmtId="0" fontId="5" fillId="0" borderId="17" xfId="0" applyFont="1" applyBorder="1" applyAlignment="1" applyProtection="1">
      <alignment horizontal="center"/>
      <protection locked="0" hidden="1"/>
    </xf>
    <xf numFmtId="0" fontId="5" fillId="0" borderId="33" xfId="0" applyFont="1" applyBorder="1" applyAlignment="1" applyProtection="1">
      <alignment horizontal="center"/>
      <protection locked="0" hidden="1"/>
    </xf>
    <xf numFmtId="0" fontId="5" fillId="0" borderId="18" xfId="0" applyFont="1" applyBorder="1" applyAlignment="1" applyProtection="1">
      <alignment horizontal="center"/>
      <protection locked="0" hidden="1"/>
    </xf>
    <xf numFmtId="0" fontId="19" fillId="0" borderId="17" xfId="0" quotePrefix="1" applyFont="1" applyBorder="1" applyAlignment="1" applyProtection="1">
      <alignment horizontal="center"/>
      <protection locked="0" hidden="1"/>
    </xf>
    <xf numFmtId="0" fontId="19" fillId="0" borderId="33" xfId="0" quotePrefix="1" applyFont="1" applyBorder="1" applyAlignment="1" applyProtection="1">
      <alignment horizontal="center"/>
      <protection locked="0" hidden="1"/>
    </xf>
    <xf numFmtId="0" fontId="19" fillId="0" borderId="18" xfId="0" quotePrefix="1" applyFont="1" applyBorder="1" applyAlignment="1" applyProtection="1">
      <alignment horizontal="center"/>
      <protection locked="0" hidden="1"/>
    </xf>
    <xf numFmtId="167" fontId="19" fillId="0" borderId="17" xfId="0" applyNumberFormat="1" applyFont="1" applyBorder="1" applyAlignment="1" applyProtection="1">
      <alignment horizontal="center"/>
      <protection locked="0" hidden="1"/>
    </xf>
    <xf numFmtId="167" fontId="19" fillId="0" borderId="33" xfId="0" applyNumberFormat="1" applyFont="1" applyBorder="1" applyAlignment="1" applyProtection="1">
      <alignment horizontal="center"/>
      <protection locked="0" hidden="1"/>
    </xf>
    <xf numFmtId="167" fontId="19" fillId="0" borderId="18" xfId="0" applyNumberFormat="1" applyFont="1" applyBorder="1" applyAlignment="1" applyProtection="1">
      <alignment horizontal="center"/>
      <protection locked="0" hidden="1"/>
    </xf>
    <xf numFmtId="0" fontId="44" fillId="0" borderId="0" xfId="0" applyFont="1" applyAlignment="1" applyProtection="1">
      <alignment horizontal="center" vertical="center" wrapText="1"/>
      <protection hidden="1"/>
    </xf>
    <xf numFmtId="0" fontId="44" fillId="0" borderId="2" xfId="0" applyFont="1" applyBorder="1" applyAlignment="1" applyProtection="1">
      <alignment horizontal="center" vertical="center" wrapText="1"/>
      <protection hidden="1"/>
    </xf>
    <xf numFmtId="0" fontId="6" fillId="0" borderId="0" xfId="0" applyFont="1" applyAlignment="1" applyProtection="1">
      <alignment horizontal="center"/>
      <protection hidden="1"/>
    </xf>
    <xf numFmtId="0" fontId="29" fillId="0" borderId="0" xfId="0" applyFont="1" applyAlignment="1" applyProtection="1">
      <alignment horizontal="center" vertical="center" wrapText="1"/>
      <protection hidden="1"/>
    </xf>
    <xf numFmtId="0" fontId="45" fillId="0" borderId="54" xfId="0" applyFont="1" applyBorder="1" applyAlignment="1" applyProtection="1">
      <alignment horizontal="center" vertical="center" wrapText="1"/>
      <protection locked="0" hidden="1"/>
    </xf>
    <xf numFmtId="0" fontId="8" fillId="0" borderId="65" xfId="0" applyFont="1" applyBorder="1" applyAlignment="1" applyProtection="1">
      <alignment horizontal="center" vertical="center" wrapText="1"/>
      <protection locked="0" hidden="1"/>
    </xf>
    <xf numFmtId="0" fontId="18" fillId="0" borderId="85" xfId="0" applyFont="1" applyBorder="1" applyAlignment="1" applyProtection="1">
      <alignment horizontal="right"/>
      <protection hidden="1"/>
    </xf>
    <xf numFmtId="0" fontId="18" fillId="0" borderId="19" xfId="0" applyFont="1" applyBorder="1" applyAlignment="1" applyProtection="1">
      <alignment horizontal="right"/>
      <protection hidden="1"/>
    </xf>
    <xf numFmtId="0" fontId="18" fillId="0" borderId="0" xfId="0" applyFont="1" applyAlignment="1" applyProtection="1">
      <alignment horizontal="center" vertical="center" wrapText="1"/>
      <protection hidden="1"/>
    </xf>
    <xf numFmtId="0" fontId="21" fillId="0" borderId="0" xfId="0" applyFont="1" applyAlignment="1" applyProtection="1">
      <alignment horizontal="right" vertical="center" wrapText="1"/>
      <protection hidden="1"/>
    </xf>
    <xf numFmtId="0" fontId="21"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3" fillId="0" borderId="0" xfId="0" applyFont="1" applyAlignment="1" applyProtection="1">
      <alignment horizontal="center" vertical="center" wrapText="1"/>
      <protection hidden="1"/>
    </xf>
    <xf numFmtId="0" fontId="6" fillId="0" borderId="0" xfId="0" applyFont="1" applyAlignment="1" applyProtection="1">
      <alignment horizontal="center" vertical="center" wrapText="1"/>
      <protection hidden="1"/>
    </xf>
    <xf numFmtId="0" fontId="6" fillId="0" borderId="31" xfId="0" applyFont="1" applyBorder="1" applyAlignment="1" applyProtection="1">
      <alignment horizontal="center" vertical="center" wrapText="1"/>
      <protection hidden="1"/>
    </xf>
    <xf numFmtId="0" fontId="1" fillId="0" borderId="17" xfId="0" applyFont="1" applyBorder="1" applyAlignment="1" applyProtection="1">
      <alignment horizontal="center" wrapText="1"/>
      <protection hidden="1"/>
    </xf>
    <xf numFmtId="0" fontId="1" fillId="0" borderId="33" xfId="0" applyFont="1" applyBorder="1" applyAlignment="1" applyProtection="1">
      <alignment horizontal="center" wrapText="1"/>
      <protection hidden="1"/>
    </xf>
    <xf numFmtId="0" fontId="1" fillId="0" borderId="111" xfId="0" applyFont="1" applyBorder="1" applyAlignment="1" applyProtection="1">
      <alignment horizontal="center" wrapText="1"/>
      <protection hidden="1"/>
    </xf>
    <xf numFmtId="0" fontId="1" fillId="0" borderId="34" xfId="0" applyFont="1" applyBorder="1" applyAlignment="1" applyProtection="1">
      <alignment horizontal="center" wrapText="1"/>
      <protection hidden="1"/>
    </xf>
    <xf numFmtId="0" fontId="1" fillId="0" borderId="27" xfId="0" applyFont="1" applyBorder="1" applyAlignment="1" applyProtection="1">
      <alignment horizontal="center" wrapText="1"/>
      <protection hidden="1"/>
    </xf>
    <xf numFmtId="0" fontId="30" fillId="2" borderId="5" xfId="0" applyFont="1" applyFill="1" applyBorder="1" applyAlignment="1" applyProtection="1">
      <alignment horizontal="center" vertical="center" wrapText="1"/>
      <protection hidden="1"/>
    </xf>
    <xf numFmtId="0" fontId="30" fillId="2" borderId="40" xfId="0" applyFont="1" applyFill="1" applyBorder="1" applyAlignment="1" applyProtection="1">
      <alignment horizontal="center" vertical="center" wrapText="1"/>
      <protection hidden="1"/>
    </xf>
    <xf numFmtId="0" fontId="1" fillId="0" borderId="25" xfId="0" applyFont="1" applyBorder="1" applyAlignment="1" applyProtection="1">
      <alignment horizontal="center" wrapText="1"/>
      <protection hidden="1"/>
    </xf>
    <xf numFmtId="0" fontId="1" fillId="0" borderId="28" xfId="0" applyFont="1" applyBorder="1" applyAlignment="1" applyProtection="1">
      <alignment horizontal="center" wrapText="1"/>
      <protection hidden="1"/>
    </xf>
    <xf numFmtId="0" fontId="1" fillId="0" borderId="26" xfId="0" applyFont="1" applyBorder="1" applyAlignment="1" applyProtection="1">
      <alignment horizontal="center" wrapText="1"/>
      <protection hidden="1"/>
    </xf>
    <xf numFmtId="0" fontId="6" fillId="0" borderId="42" xfId="0" applyFont="1" applyBorder="1" applyAlignment="1" applyProtection="1">
      <alignment horizontal="center"/>
      <protection hidden="1"/>
    </xf>
    <xf numFmtId="0" fontId="6" fillId="0" borderId="44" xfId="0" applyFont="1" applyBorder="1" applyAlignment="1" applyProtection="1">
      <alignment horizontal="center"/>
      <protection hidden="1"/>
    </xf>
    <xf numFmtId="0" fontId="6" fillId="0" borderId="43" xfId="0" applyFont="1" applyBorder="1" applyAlignment="1" applyProtection="1">
      <alignment horizontal="center"/>
      <protection hidden="1"/>
    </xf>
    <xf numFmtId="0" fontId="30" fillId="2" borderId="6" xfId="0" applyFont="1" applyFill="1" applyBorder="1" applyAlignment="1" applyProtection="1">
      <alignment horizontal="center" vertical="center" wrapText="1"/>
      <protection hidden="1"/>
    </xf>
    <xf numFmtId="0" fontId="30" fillId="2" borderId="49" xfId="0" applyFont="1" applyFill="1" applyBorder="1" applyAlignment="1" applyProtection="1">
      <alignment horizontal="center" vertical="center" wrapText="1"/>
      <protection hidden="1"/>
    </xf>
    <xf numFmtId="0" fontId="8" fillId="0" borderId="2" xfId="0" applyFont="1" applyBorder="1" applyAlignment="1" applyProtection="1">
      <alignment horizontal="center"/>
      <protection hidden="1"/>
    </xf>
    <xf numFmtId="0" fontId="30" fillId="2" borderId="45" xfId="0" applyFont="1" applyFill="1" applyBorder="1" applyAlignment="1" applyProtection="1">
      <alignment horizontal="center" vertical="center" wrapText="1"/>
      <protection hidden="1"/>
    </xf>
    <xf numFmtId="0" fontId="30" fillId="2" borderId="46" xfId="0" applyFont="1" applyFill="1" applyBorder="1" applyAlignment="1" applyProtection="1">
      <alignment horizontal="center" vertical="center" wrapText="1"/>
      <protection hidden="1"/>
    </xf>
    <xf numFmtId="0" fontId="30" fillId="2" borderId="21" xfId="0" applyFont="1" applyFill="1" applyBorder="1" applyAlignment="1" applyProtection="1">
      <alignment horizontal="center" vertical="center" wrapText="1"/>
      <protection hidden="1"/>
    </xf>
    <xf numFmtId="0" fontId="30" fillId="2" borderId="47" xfId="0" applyFont="1" applyFill="1" applyBorder="1" applyAlignment="1" applyProtection="1">
      <alignment horizontal="center" vertical="center" wrapText="1"/>
      <protection hidden="1"/>
    </xf>
    <xf numFmtId="0" fontId="30" fillId="2" borderId="32" xfId="0" applyFont="1" applyFill="1" applyBorder="1" applyAlignment="1" applyProtection="1">
      <alignment horizontal="center" vertical="center" wrapText="1"/>
      <protection hidden="1"/>
    </xf>
    <xf numFmtId="0" fontId="30" fillId="2" borderId="48" xfId="0" applyFont="1" applyFill="1" applyBorder="1" applyAlignment="1" applyProtection="1">
      <alignment horizontal="center" vertical="center" wrapText="1"/>
      <protection hidden="1"/>
    </xf>
    <xf numFmtId="0" fontId="35" fillId="2" borderId="5" xfId="0" applyFont="1" applyFill="1" applyBorder="1" applyAlignment="1" applyProtection="1">
      <alignment horizontal="center" vertical="center" wrapText="1"/>
      <protection hidden="1"/>
    </xf>
    <xf numFmtId="0" fontId="35" fillId="2" borderId="40" xfId="0" applyFont="1" applyFill="1" applyBorder="1" applyAlignment="1" applyProtection="1">
      <alignment horizontal="center" vertical="center" wrapText="1"/>
      <protection hidden="1"/>
    </xf>
    <xf numFmtId="0" fontId="35" fillId="2" borderId="6" xfId="0" applyFont="1" applyFill="1" applyBorder="1" applyAlignment="1" applyProtection="1">
      <alignment horizontal="center" vertical="center" wrapText="1"/>
      <protection hidden="1"/>
    </xf>
    <xf numFmtId="0" fontId="35" fillId="2" borderId="49" xfId="0" applyFont="1" applyFill="1" applyBorder="1" applyAlignment="1" applyProtection="1">
      <alignment horizontal="center" vertical="center" wrapText="1"/>
      <protection hidden="1"/>
    </xf>
    <xf numFmtId="0" fontId="25" fillId="0" borderId="54" xfId="0" quotePrefix="1" applyFont="1" applyBorder="1" applyAlignment="1" applyProtection="1">
      <alignment horizontal="center" wrapText="1"/>
      <protection hidden="1"/>
    </xf>
    <xf numFmtId="0" fontId="1" fillId="0" borderId="55" xfId="0" applyFont="1" applyBorder="1" applyProtection="1">
      <protection hidden="1"/>
    </xf>
    <xf numFmtId="0" fontId="35" fillId="2" borderId="21" xfId="0" applyFont="1" applyFill="1" applyBorder="1" applyAlignment="1" applyProtection="1">
      <alignment horizontal="center" vertical="center" wrapText="1"/>
      <protection hidden="1"/>
    </xf>
    <xf numFmtId="0" fontId="35" fillId="2" borderId="47" xfId="0" applyFont="1" applyFill="1" applyBorder="1" applyAlignment="1" applyProtection="1">
      <alignment horizontal="center" vertical="center" wrapText="1"/>
      <protection hidden="1"/>
    </xf>
    <xf numFmtId="0" fontId="35" fillId="2" borderId="32" xfId="0" applyFont="1" applyFill="1" applyBorder="1" applyAlignment="1" applyProtection="1">
      <alignment horizontal="center" vertical="center" wrapText="1"/>
      <protection hidden="1"/>
    </xf>
    <xf numFmtId="0" fontId="35" fillId="2" borderId="48" xfId="0" applyFont="1" applyFill="1" applyBorder="1" applyAlignment="1" applyProtection="1">
      <alignment horizontal="center" vertical="center" wrapText="1"/>
      <protection hidden="1"/>
    </xf>
    <xf numFmtId="0" fontId="35" fillId="2" borderId="45" xfId="0" applyFont="1" applyFill="1" applyBorder="1" applyAlignment="1" applyProtection="1">
      <alignment horizontal="center" vertical="center" wrapText="1"/>
      <protection hidden="1"/>
    </xf>
    <xf numFmtId="0" fontId="35" fillId="2" borderId="46" xfId="0" applyFont="1" applyFill="1" applyBorder="1" applyAlignment="1" applyProtection="1">
      <alignment horizontal="center" vertical="center" wrapText="1"/>
      <protection hidden="1"/>
    </xf>
    <xf numFmtId="0" fontId="35" fillId="2" borderId="72" xfId="0" applyFont="1" applyFill="1" applyBorder="1" applyAlignment="1" applyProtection="1">
      <alignment horizontal="center" vertical="center" wrapText="1"/>
      <protection hidden="1"/>
    </xf>
    <xf numFmtId="0" fontId="35" fillId="2" borderId="73" xfId="0" applyFont="1" applyFill="1" applyBorder="1" applyAlignment="1" applyProtection="1">
      <alignment horizontal="center" vertical="center" wrapText="1"/>
      <protection hidden="1"/>
    </xf>
    <xf numFmtId="0" fontId="35" fillId="2" borderId="70" xfId="0" applyFont="1" applyFill="1" applyBorder="1" applyAlignment="1" applyProtection="1">
      <alignment horizontal="center" vertical="center" wrapText="1"/>
      <protection hidden="1"/>
    </xf>
    <xf numFmtId="0" fontId="35" fillId="2" borderId="71" xfId="0" applyFont="1" applyFill="1" applyBorder="1" applyAlignment="1" applyProtection="1">
      <alignment horizontal="center" vertical="center" wrapText="1"/>
      <protection hidden="1"/>
    </xf>
    <xf numFmtId="0" fontId="35" fillId="2" borderId="68" xfId="0" applyFont="1" applyFill="1" applyBorder="1" applyAlignment="1" applyProtection="1">
      <alignment horizontal="center" vertical="center" wrapText="1"/>
      <protection hidden="1"/>
    </xf>
    <xf numFmtId="0" fontId="35" fillId="2" borderId="69" xfId="0" applyFont="1" applyFill="1" applyBorder="1" applyAlignment="1" applyProtection="1">
      <alignment horizontal="center" vertical="center" wrapText="1"/>
      <protection hidden="1"/>
    </xf>
    <xf numFmtId="0" fontId="35" fillId="2" borderId="66" xfId="0" applyFont="1" applyFill="1" applyBorder="1" applyAlignment="1" applyProtection="1">
      <alignment horizontal="center" vertical="center" wrapText="1"/>
      <protection hidden="1"/>
    </xf>
    <xf numFmtId="0" fontId="35" fillId="2" borderId="67" xfId="0" applyFont="1" applyFill="1" applyBorder="1" applyAlignment="1" applyProtection="1">
      <alignment horizontal="center" vertical="center" wrapText="1"/>
      <protection hidden="1"/>
    </xf>
    <xf numFmtId="0" fontId="0" fillId="0" borderId="25" xfId="0" applyBorder="1" applyAlignment="1" applyProtection="1">
      <alignment horizontal="center" wrapText="1"/>
      <protection hidden="1"/>
    </xf>
    <xf numFmtId="0" fontId="1" fillId="0" borderId="1" xfId="0" applyFont="1" applyBorder="1" applyAlignment="1" applyProtection="1">
      <alignment horizontal="left"/>
      <protection hidden="1"/>
    </xf>
    <xf numFmtId="0" fontId="1" fillId="0" borderId="28" xfId="0" applyFont="1" applyBorder="1" applyAlignment="1" applyProtection="1">
      <alignment horizontal="left"/>
      <protection hidden="1"/>
    </xf>
    <xf numFmtId="0" fontId="1" fillId="0" borderId="0" xfId="0" applyFont="1" applyAlignment="1" applyProtection="1">
      <alignment horizontal="center" vertical="center"/>
      <protection hidden="1"/>
    </xf>
    <xf numFmtId="0" fontId="41" fillId="0" borderId="0" xfId="0" applyFont="1" applyAlignment="1" applyProtection="1">
      <alignment horizontal="center" vertical="center"/>
      <protection hidden="1"/>
    </xf>
    <xf numFmtId="0" fontId="1" fillId="0" borderId="35" xfId="0" applyFont="1" applyBorder="1" applyAlignment="1" applyProtection="1">
      <alignment horizontal="center" vertical="center"/>
      <protection hidden="1"/>
    </xf>
    <xf numFmtId="0" fontId="1" fillId="0" borderId="24" xfId="0" applyFont="1" applyBorder="1" applyAlignment="1" applyProtection="1">
      <alignment horizontal="center"/>
      <protection hidden="1"/>
    </xf>
    <xf numFmtId="0" fontId="1" fillId="0" borderId="1" xfId="0" applyFont="1" applyBorder="1" applyAlignment="1" applyProtection="1">
      <alignment horizontal="center"/>
      <protection hidden="1"/>
    </xf>
    <xf numFmtId="0" fontId="1" fillId="0" borderId="28" xfId="0" applyFont="1"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41" fillId="0" borderId="28" xfId="0" applyFont="1" applyBorder="1" applyAlignment="1" applyProtection="1">
      <alignment horizontal="left" vertical="center"/>
      <protection hidden="1"/>
    </xf>
    <xf numFmtId="0" fontId="41" fillId="0" borderId="0" xfId="0" applyFont="1" applyAlignment="1" applyProtection="1">
      <alignment horizontal="left" vertical="center"/>
      <protection hidden="1"/>
    </xf>
    <xf numFmtId="0" fontId="1" fillId="0" borderId="0" xfId="0" applyFont="1" applyAlignment="1" applyProtection="1">
      <alignment horizontal="left" vertical="center"/>
      <protection hidden="1"/>
    </xf>
    <xf numFmtId="0" fontId="1" fillId="0" borderId="28" xfId="0" applyFont="1" applyBorder="1" applyAlignment="1" applyProtection="1">
      <alignment horizontal="center"/>
      <protection hidden="1"/>
    </xf>
    <xf numFmtId="0" fontId="1" fillId="0" borderId="87" xfId="0" applyFont="1" applyBorder="1" applyAlignment="1" applyProtection="1">
      <alignment horizontal="center" vertical="center"/>
      <protection hidden="1"/>
    </xf>
    <xf numFmtId="0" fontId="1" fillId="0" borderId="25" xfId="0" applyFont="1" applyBorder="1" applyAlignment="1" applyProtection="1">
      <alignment horizontal="center"/>
      <protection hidden="1"/>
    </xf>
    <xf numFmtId="0" fontId="1" fillId="0" borderId="26" xfId="0" applyFont="1" applyBorder="1" applyAlignment="1" applyProtection="1">
      <alignment horizontal="center"/>
      <protection hidden="1"/>
    </xf>
    <xf numFmtId="0" fontId="49" fillId="0" borderId="0" xfId="0" applyFont="1" applyAlignment="1" applyProtection="1">
      <alignment horizontal="center" vertical="center"/>
      <protection hidden="1"/>
    </xf>
    <xf numFmtId="0" fontId="49" fillId="0" borderId="0" xfId="0" applyFont="1" applyAlignment="1">
      <alignment horizontal="center" vertical="center"/>
    </xf>
    <xf numFmtId="0" fontId="0" fillId="0" borderId="0" xfId="0" applyAlignment="1">
      <alignment horizontal="center" vertical="center"/>
    </xf>
    <xf numFmtId="0" fontId="8" fillId="0" borderId="25" xfId="0" applyFont="1" applyBorder="1" applyAlignment="1" applyProtection="1">
      <alignment horizontal="center" vertical="center"/>
      <protection hidden="1"/>
    </xf>
    <xf numFmtId="0" fontId="8" fillId="0" borderId="28" xfId="0" applyFont="1" applyBorder="1" applyAlignment="1" applyProtection="1">
      <alignment horizontal="center" vertical="center"/>
      <protection hidden="1"/>
    </xf>
    <xf numFmtId="0" fontId="8" fillId="0" borderId="26" xfId="0" applyFont="1" applyBorder="1" applyAlignment="1" applyProtection="1">
      <alignment horizontal="center" vertical="center"/>
      <protection hidden="1"/>
    </xf>
    <xf numFmtId="0" fontId="8" fillId="0" borderId="24"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0" borderId="19" xfId="0" applyFont="1" applyBorder="1" applyAlignment="1" applyProtection="1">
      <alignment horizontal="center" vertical="center"/>
      <protection hidden="1"/>
    </xf>
    <xf numFmtId="0" fontId="1" fillId="0" borderId="19" xfId="0" applyFont="1" applyBorder="1" applyAlignment="1" applyProtection="1">
      <alignment horizontal="center"/>
      <protection hidden="1"/>
    </xf>
    <xf numFmtId="0" fontId="1" fillId="0" borderId="87" xfId="0" applyFont="1" applyBorder="1" applyProtection="1">
      <protection hidden="1"/>
    </xf>
    <xf numFmtId="0" fontId="41" fillId="0" borderId="0" xfId="0" applyFont="1" applyProtection="1">
      <protection hidden="1"/>
    </xf>
    <xf numFmtId="0" fontId="0" fillId="0" borderId="28" xfId="0" applyBorder="1" applyAlignment="1">
      <alignment horizontal="center"/>
    </xf>
    <xf numFmtId="0" fontId="0" fillId="0" borderId="26" xfId="0" applyBorder="1" applyAlignment="1">
      <alignment horizontal="center"/>
    </xf>
    <xf numFmtId="0" fontId="22" fillId="0" borderId="0" xfId="2" applyFont="1" applyAlignment="1" applyProtection="1">
      <alignment horizontal="center" vertical="center" wrapText="1"/>
      <protection hidden="1"/>
    </xf>
    <xf numFmtId="0" fontId="2" fillId="0" borderId="0" xfId="2" applyAlignment="1">
      <alignment horizontal="center" vertical="center"/>
    </xf>
    <xf numFmtId="0" fontId="1" fillId="0" borderId="0" xfId="0" applyFont="1" applyAlignment="1">
      <alignment horizontal="center" vertical="center"/>
    </xf>
    <xf numFmtId="0" fontId="12" fillId="0" borderId="54" xfId="0" applyFont="1" applyBorder="1" applyAlignment="1">
      <alignment horizontal="center" vertical="center"/>
    </xf>
    <xf numFmtId="0" fontId="12" fillId="0" borderId="65" xfId="0" applyFont="1" applyBorder="1" applyAlignment="1">
      <alignment horizontal="center" vertical="center"/>
    </xf>
    <xf numFmtId="0" fontId="0" fillId="0" borderId="7" xfId="0" applyBorder="1" applyAlignment="1">
      <alignment wrapText="1"/>
    </xf>
    <xf numFmtId="0" fontId="0" fillId="0" borderId="10" xfId="0" applyBorder="1" applyAlignment="1">
      <alignment wrapText="1"/>
    </xf>
    <xf numFmtId="0" fontId="0" fillId="0" borderId="9" xfId="0" applyBorder="1" applyAlignment="1">
      <alignment wrapText="1"/>
    </xf>
    <xf numFmtId="0" fontId="0" fillId="0" borderId="12" xfId="0" applyBorder="1" applyAlignment="1">
      <alignment wrapText="1"/>
    </xf>
    <xf numFmtId="0" fontId="6" fillId="0" borderId="4" xfId="0" applyFont="1" applyBorder="1" applyAlignment="1">
      <alignment horizontal="center"/>
    </xf>
    <xf numFmtId="0" fontId="6" fillId="0" borderId="6" xfId="0" applyFont="1" applyBorder="1" applyAlignment="1">
      <alignment horizontal="center"/>
    </xf>
  </cellXfs>
  <cellStyles count="50">
    <cellStyle name="Comma" xfId="32" builtinId="3"/>
    <cellStyle name="Comma 2" xfId="42" xr:uid="{00000000-0005-0000-0000-000001000000}"/>
    <cellStyle name="Currency" xfId="24" builtinId="4"/>
    <cellStyle name="Currency 2" xfId="43" xr:uid="{00000000-0005-0000-0000-000003000000}"/>
    <cellStyle name="Normal" xfId="0" builtinId="0"/>
    <cellStyle name="Normal 10" xfId="2" xr:uid="{00000000-0005-0000-0000-000005000000}"/>
    <cellStyle name="Normal 10 2" xfId="3" xr:uid="{00000000-0005-0000-0000-000006000000}"/>
    <cellStyle name="Normal 11" xfId="28" xr:uid="{00000000-0005-0000-0000-000007000000}"/>
    <cellStyle name="Normal 11 2" xfId="29" xr:uid="{00000000-0005-0000-0000-000008000000}"/>
    <cellStyle name="Normal 11 2 2" xfId="34" xr:uid="{00000000-0005-0000-0000-000009000000}"/>
    <cellStyle name="Normal 11 3" xfId="26" xr:uid="{00000000-0005-0000-0000-00000A000000}"/>
    <cellStyle name="Normal 11 4" xfId="35" xr:uid="{00000000-0005-0000-0000-00000B000000}"/>
    <cellStyle name="Normal 11 4 2" xfId="36" xr:uid="{00000000-0005-0000-0000-00000C000000}"/>
    <cellStyle name="Normal 12" xfId="30" xr:uid="{00000000-0005-0000-0000-00000D000000}"/>
    <cellStyle name="Normal 13" xfId="31" xr:uid="{00000000-0005-0000-0000-00000E000000}"/>
    <cellStyle name="Normal 14" xfId="33" xr:uid="{00000000-0005-0000-0000-00000F000000}"/>
    <cellStyle name="Normal 14 2" xfId="37" xr:uid="{00000000-0005-0000-0000-000010000000}"/>
    <cellStyle name="Normal 15" xfId="38" xr:uid="{00000000-0005-0000-0000-000011000000}"/>
    <cellStyle name="Normal 15 2" xfId="39" xr:uid="{00000000-0005-0000-0000-000012000000}"/>
    <cellStyle name="Normal 16" xfId="40" xr:uid="{00000000-0005-0000-0000-000013000000}"/>
    <cellStyle name="Normal 16 2" xfId="41" xr:uid="{00000000-0005-0000-0000-000014000000}"/>
    <cellStyle name="Normal 16 3" xfId="44" xr:uid="{00000000-0005-0000-0000-000015000000}"/>
    <cellStyle name="Normal 16 4" xfId="45" xr:uid="{00000000-0005-0000-0000-000016000000}"/>
    <cellStyle name="Normal 16 5" xfId="46" xr:uid="{00000000-0005-0000-0000-000017000000}"/>
    <cellStyle name="Normal 17" xfId="47" xr:uid="{00000000-0005-0000-0000-000018000000}"/>
    <cellStyle name="Normal 18" xfId="48" xr:uid="{00000000-0005-0000-0000-000019000000}"/>
    <cellStyle name="Normal 2" xfId="1" xr:uid="{00000000-0005-0000-0000-00001A000000}"/>
    <cellStyle name="Normal 2 2" xfId="4" xr:uid="{00000000-0005-0000-0000-00001B000000}"/>
    <cellStyle name="Normal 3" xfId="5" xr:uid="{00000000-0005-0000-0000-00001C000000}"/>
    <cellStyle name="Normal 3 2" xfId="6" xr:uid="{00000000-0005-0000-0000-00001D000000}"/>
    <cellStyle name="Normal 4" xfId="7" xr:uid="{00000000-0005-0000-0000-00001E000000}"/>
    <cellStyle name="Normal 4 2" xfId="8" xr:uid="{00000000-0005-0000-0000-00001F000000}"/>
    <cellStyle name="Normal 4 3" xfId="27" xr:uid="{00000000-0005-0000-0000-000020000000}"/>
    <cellStyle name="Normal 5" xfId="25" xr:uid="{00000000-0005-0000-0000-000021000000}"/>
    <cellStyle name="Normal 5 2" xfId="9" xr:uid="{00000000-0005-0000-0000-000022000000}"/>
    <cellStyle name="Normal 6" xfId="10" xr:uid="{00000000-0005-0000-0000-000023000000}"/>
    <cellStyle name="Normal 6 2" xfId="11" xr:uid="{00000000-0005-0000-0000-000024000000}"/>
    <cellStyle name="Normal 7" xfId="12" xr:uid="{00000000-0005-0000-0000-000025000000}"/>
    <cellStyle name="Normal 7 2" xfId="13" xr:uid="{00000000-0005-0000-0000-000026000000}"/>
    <cellStyle name="Normal 8" xfId="14" xr:uid="{00000000-0005-0000-0000-000027000000}"/>
    <cellStyle name="Normal 8 2" xfId="15" xr:uid="{00000000-0005-0000-0000-000028000000}"/>
    <cellStyle name="Normal 9" xfId="16" xr:uid="{00000000-0005-0000-0000-000029000000}"/>
    <cellStyle name="Normal 9 2" xfId="17" xr:uid="{00000000-0005-0000-0000-00002A000000}"/>
    <cellStyle name="Percent" xfId="49" builtinId="5"/>
    <cellStyle name="一般_forms_in_excel" xfId="18" xr:uid="{00000000-0005-0000-0000-00002C000000}"/>
    <cellStyle name="千分位[0]_forms_in_excel" xfId="19" xr:uid="{00000000-0005-0000-0000-00002D000000}"/>
    <cellStyle name="千分位_forms_in_excel" xfId="20" xr:uid="{00000000-0005-0000-0000-00002E000000}"/>
    <cellStyle name="貨幣 [0]_forms_in_excel" xfId="21" xr:uid="{00000000-0005-0000-0000-00002F000000}"/>
    <cellStyle name="貨幣_forms_in_excel" xfId="22" xr:uid="{00000000-0005-0000-0000-000030000000}"/>
    <cellStyle name="超連結_19980719_aksel" xfId="23" xr:uid="{00000000-0005-0000-0000-000031000000}"/>
  </cellStyles>
  <dxfs count="411">
    <dxf>
      <font>
        <color rgb="FF9C6500"/>
      </font>
      <fill>
        <patternFill>
          <bgColor rgb="FFFFEB9C"/>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ill>
        <patternFill patternType="none">
          <bgColor auto="1"/>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theme="0"/>
      </font>
      <fill>
        <patternFill>
          <bgColor theme="1"/>
        </patternFill>
      </fill>
    </dxf>
    <dxf>
      <font>
        <color theme="0"/>
      </font>
      <fill>
        <patternFill>
          <bgColor rgb="FFFF0000"/>
        </patternFill>
      </fill>
    </dxf>
    <dxf>
      <font>
        <color theme="0"/>
      </font>
      <fill>
        <patternFill>
          <bgColor theme="1"/>
        </patternFill>
      </fill>
    </dxf>
    <dxf>
      <font>
        <color theme="0"/>
      </font>
      <fill>
        <patternFill>
          <bgColor rgb="FFFF00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ill>
        <patternFill>
          <bgColor rgb="FFFFFF00"/>
        </patternFill>
      </fill>
    </dxf>
    <dxf>
      <fill>
        <patternFill>
          <bgColor rgb="FFFFC000"/>
        </patternFill>
      </fill>
    </dxf>
    <dxf>
      <fill>
        <patternFill patternType="none">
          <bgColor auto="1"/>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b val="0"/>
        <i val="0"/>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strike val="0"/>
        <color theme="1"/>
      </font>
      <border>
        <left style="thin">
          <color auto="1"/>
        </left>
        <right style="thin">
          <color auto="1"/>
        </right>
        <top style="thin">
          <color auto="1"/>
        </top>
        <bottom/>
        <vertical/>
        <horizontal/>
      </border>
    </dxf>
    <dxf>
      <font>
        <color theme="1"/>
      </font>
      <border>
        <left style="thin">
          <color auto="1"/>
        </left>
        <right style="thin">
          <color auto="1"/>
        </right>
        <top/>
        <bottom style="thin">
          <color auto="1"/>
        </bottom>
        <vertical/>
        <horizontal/>
      </border>
    </dxf>
    <dxf>
      <font>
        <b val="0"/>
        <i val="0"/>
        <color theme="0"/>
      </font>
      <border>
        <left/>
        <right style="thin">
          <color auto="1"/>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strike val="0"/>
        <color theme="1"/>
      </font>
      <border>
        <left style="thin">
          <color auto="1"/>
        </left>
        <right style="thin">
          <color auto="1"/>
        </right>
        <top style="thin">
          <color auto="1"/>
        </top>
        <bottom/>
        <vertical/>
        <horizontal/>
      </border>
    </dxf>
    <dxf>
      <font>
        <color auto="1"/>
      </font>
      <border>
        <left/>
        <right/>
        <top style="thin">
          <color auto="1"/>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b val="0"/>
        <i val="0"/>
        <color theme="0"/>
      </font>
      <border>
        <left/>
        <right/>
        <top/>
        <bottom/>
        <vertical/>
        <horizontal/>
      </border>
    </dxf>
    <dxf>
      <font>
        <color theme="0"/>
      </font>
      <border>
        <left/>
        <right/>
        <top/>
        <bottom/>
        <vertical/>
        <horizontal/>
      </border>
    </dxf>
    <dxf>
      <font>
        <color theme="0"/>
      </font>
      <border>
        <left/>
        <right/>
        <top/>
        <bottom/>
        <vertical/>
        <horizontal/>
      </border>
    </dxf>
    <dxf>
      <font>
        <b/>
        <i val="0"/>
      </font>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font>
        <b val="0"/>
        <i val="0"/>
        <color theme="0"/>
      </font>
      <border>
        <left/>
        <right/>
        <top/>
        <bottom/>
        <vertical/>
        <horizontal/>
      </border>
    </dxf>
    <dxf>
      <font>
        <b/>
        <i val="0"/>
      </font>
      <border>
        <left style="thin">
          <color auto="1"/>
        </left>
        <right style="thin">
          <color auto="1"/>
        </right>
        <top style="thin">
          <color auto="1"/>
        </top>
        <bottom style="thin">
          <color auto="1"/>
        </bottom>
      </border>
    </dxf>
    <dxf>
      <font>
        <color theme="0"/>
      </font>
      <border>
        <left/>
        <right/>
        <top/>
        <bottom/>
        <vertical/>
        <horizontal/>
      </border>
    </dxf>
    <dxf>
      <font>
        <b/>
        <i val="0"/>
      </font>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bottom style="thin">
          <color auto="1"/>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b/>
        <i val="0"/>
        <color rgb="FFFFFF00"/>
      </font>
      <fill>
        <patternFill>
          <bgColor theme="1"/>
        </patternFill>
      </fill>
    </dxf>
    <dxf>
      <font>
        <b/>
        <i val="0"/>
      </font>
      <fill>
        <patternFill>
          <bgColor theme="0" tint="-0.14996795556505021"/>
        </patternFill>
      </fill>
    </dxf>
    <dxf>
      <font>
        <b/>
        <i val="0"/>
      </font>
      <fill>
        <patternFill>
          <bgColor theme="0" tint="-0.14996795556505021"/>
        </patternFill>
      </fill>
    </dxf>
    <dxf>
      <font>
        <color rgb="FF9C0006"/>
      </font>
      <fill>
        <patternFill>
          <bgColor rgb="FFFFC7CE"/>
        </patternFill>
      </fill>
    </dxf>
    <dxf>
      <font>
        <b/>
        <i val="0"/>
        <color rgb="FFFF0000"/>
      </font>
    </dxf>
    <dxf>
      <font>
        <b/>
        <i val="0"/>
        <color rgb="FFFF0000"/>
      </font>
    </dxf>
    <dxf>
      <font>
        <b/>
        <i val="0"/>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protection locked="1" hidden="1"/>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center" vertical="bottom" textRotation="0" wrapText="0" indent="0" justifyLastLine="0" shrinkToFit="0" readingOrder="0"/>
      <protection locked="1" hidden="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99"/>
      <color rgb="FFCCFF33"/>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2</xdr:col>
      <xdr:colOff>614359</xdr:colOff>
      <xdr:row>5</xdr:row>
      <xdr:rowOff>38092</xdr:rowOff>
    </xdr:from>
    <xdr:to>
      <xdr:col>17</xdr:col>
      <xdr:colOff>28575</xdr:colOff>
      <xdr:row>21</xdr:row>
      <xdr:rowOff>124124</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825939" y="952492"/>
          <a:ext cx="8565836" cy="3012112"/>
          <a:chOff x="530943" y="447368"/>
          <a:chExt cx="8672052" cy="2981632"/>
        </a:xfrm>
      </xdr:grpSpPr>
      <xdr:pic>
        <xdr:nvPicPr>
          <xdr:cNvPr id="3" name="Picture 2" descr="A computer mouse on a desk&#10;&#10;Description automatically generated">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0943" y="447368"/>
            <a:ext cx="8672052" cy="2981632"/>
          </a:xfrm>
          <a:prstGeom prst="rect">
            <a:avLst/>
          </a:prstGeom>
        </xdr:spPr>
      </xdr:pic>
      <xdr:sp macro="" textlink="">
        <xdr:nvSpPr>
          <xdr:cNvPr id="4" name="TextBox 5">
            <a:extLst>
              <a:ext uri="{FF2B5EF4-FFF2-40B4-BE49-F238E27FC236}">
                <a16:creationId xmlns:a16="http://schemas.microsoft.com/office/drawing/2014/main" id="{00000000-0008-0000-0000-000004000000}"/>
              </a:ext>
            </a:extLst>
          </xdr:cNvPr>
          <xdr:cNvSpPr txBox="1"/>
        </xdr:nvSpPr>
        <xdr:spPr>
          <a:xfrm rot="21311924">
            <a:off x="2886269" y="2379369"/>
            <a:ext cx="5228959" cy="369332"/>
          </a:xfrm>
          <a:prstGeom prst="rect">
            <a:avLst/>
          </a:prstGeom>
          <a:solidFill>
            <a:schemeClr val="bg1">
              <a:lumMod val="65000"/>
            </a:schemeClr>
          </a:solidFill>
        </xdr:spPr>
        <xdr:txBody>
          <a:bodyPr wrap="square" rtlCol="0">
            <a:spAutoFit/>
          </a:bodyPr>
          <a:lstStyle>
            <a:defPPr>
              <a:defRPr lang="es-P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b="1">
                <a:latin typeface="+mj-lt"/>
              </a:rPr>
              <a:t>DirTecTeMe</a:t>
            </a:r>
            <a:endParaRPr lang="es-PR" b="1">
              <a:latin typeface="+mj-lt"/>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24202</xdr:colOff>
      <xdr:row>0</xdr:row>
      <xdr:rowOff>170088</xdr:rowOff>
    </xdr:from>
    <xdr:to>
      <xdr:col>9</xdr:col>
      <xdr:colOff>0</xdr:colOff>
      <xdr:row>8</xdr:row>
      <xdr:rowOff>179827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alphaModFix amt="26000"/>
          <a:extLst>
            <a:ext uri="{28A0092B-C50C-407E-A947-70E740481C1C}">
              <a14:useLocalDpi xmlns:a14="http://schemas.microsoft.com/office/drawing/2010/main" val="0"/>
            </a:ext>
          </a:extLst>
        </a:blip>
        <a:stretch>
          <a:fillRect/>
        </a:stretch>
      </xdr:blipFill>
      <xdr:spPr>
        <a:xfrm>
          <a:off x="3310327" y="170088"/>
          <a:ext cx="6309923" cy="1614702"/>
        </a:xfrm>
        <a:prstGeom prst="rect">
          <a:avLst/>
        </a:prstGeom>
      </xdr:spPr>
    </xdr:pic>
    <xdr:clientData/>
  </xdr:twoCellAnchor>
  <xdr:twoCellAnchor>
    <xdr:from>
      <xdr:col>8</xdr:col>
      <xdr:colOff>545147</xdr:colOff>
      <xdr:row>12</xdr:row>
      <xdr:rowOff>86981</xdr:rowOff>
    </xdr:from>
    <xdr:to>
      <xdr:col>8</xdr:col>
      <xdr:colOff>886610</xdr:colOff>
      <xdr:row>12</xdr:row>
      <xdr:rowOff>86981</xdr:rowOff>
    </xdr:to>
    <xdr:cxnSp macro="">
      <xdr:nvCxnSpPr>
        <xdr:cNvPr id="2" name="Straight Arrow Connector 1">
          <a:extLst>
            <a:ext uri="{FF2B5EF4-FFF2-40B4-BE49-F238E27FC236}">
              <a16:creationId xmlns:a16="http://schemas.microsoft.com/office/drawing/2014/main" id="{00000000-0008-0000-0100-000002000000}"/>
            </a:ext>
          </a:extLst>
        </xdr:cNvPr>
        <xdr:cNvCxnSpPr/>
      </xdr:nvCxnSpPr>
      <xdr:spPr>
        <a:xfrm>
          <a:off x="7745147" y="2971981"/>
          <a:ext cx="341463"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xdr:col>
          <xdr:colOff>22860</xdr:colOff>
          <xdr:row>13</xdr:row>
          <xdr:rowOff>22860</xdr:rowOff>
        </xdr:from>
        <xdr:to>
          <xdr:col>5</xdr:col>
          <xdr:colOff>533400</xdr:colOff>
          <xdr:row>13</xdr:row>
          <xdr:rowOff>236220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Siembra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251460</xdr:colOff>
          <xdr:row>1</xdr:row>
          <xdr:rowOff>274320</xdr:rowOff>
        </xdr:from>
        <xdr:to>
          <xdr:col>13</xdr:col>
          <xdr:colOff>76200</xdr:colOff>
          <xdr:row>3</xdr:row>
          <xdr:rowOff>251460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Imprimir Grupos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30480</xdr:colOff>
          <xdr:row>0</xdr:row>
          <xdr:rowOff>175260</xdr:rowOff>
        </xdr:from>
        <xdr:to>
          <xdr:col>20</xdr:col>
          <xdr:colOff>7620</xdr:colOff>
          <xdr:row>3</xdr:row>
          <xdr:rowOff>160020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Imprimir Llave / Cuadro</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J17:L24" totalsRowShown="0" headerRowDxfId="406" dataDxfId="405">
  <autoFilter ref="J17:L24" xr:uid="{00000000-0009-0000-0100-000001000000}"/>
  <tableColumns count="3">
    <tableColumn id="1" xr3:uid="{00000000-0010-0000-0000-000001000000}" name="Dif" dataDxfId="404"/>
    <tableColumn id="2" xr3:uid="{00000000-0010-0000-0000-000002000000}" name="Favorito" dataDxfId="403"/>
    <tableColumn id="3" xr3:uid="{00000000-0010-0000-0000-000003000000}" name="No favorito" dataDxfId="40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BFEF4-99B0-4373-86B1-AE46778D5DA7}">
  <sheetPr codeName="Sheet9">
    <pageSetUpPr fitToPage="1"/>
  </sheetPr>
  <dimension ref="D1:S26"/>
  <sheetViews>
    <sheetView workbookViewId="0">
      <selection activeCell="D6" sqref="D6:Q26"/>
    </sheetView>
  </sheetViews>
  <sheetFormatPr defaultRowHeight="14.4" x14ac:dyDescent="0.3"/>
  <sheetData>
    <row r="1" spans="19:19" x14ac:dyDescent="0.3">
      <c r="S1" s="164" t="s">
        <v>9845</v>
      </c>
    </row>
    <row r="23" spans="4:17" x14ac:dyDescent="0.3">
      <c r="D23" s="333" t="s">
        <v>9844</v>
      </c>
      <c r="E23" s="333"/>
      <c r="F23" s="333"/>
      <c r="G23" s="333"/>
      <c r="H23" s="333"/>
      <c r="I23" s="333"/>
      <c r="J23" s="333"/>
      <c r="K23" s="333"/>
      <c r="L23" s="333"/>
      <c r="M23" s="333"/>
      <c r="N23" s="333"/>
      <c r="O23" s="333"/>
      <c r="P23" s="333"/>
      <c r="Q23" s="333"/>
    </row>
    <row r="24" spans="4:17" ht="14.25" customHeight="1" x14ac:dyDescent="0.3">
      <c r="D24" s="333"/>
      <c r="E24" s="333"/>
      <c r="F24" s="333"/>
      <c r="G24" s="333"/>
      <c r="H24" s="333"/>
      <c r="I24" s="333"/>
      <c r="J24" s="333"/>
      <c r="K24" s="333"/>
      <c r="L24" s="333"/>
      <c r="M24" s="333"/>
      <c r="N24" s="333"/>
      <c r="O24" s="333"/>
      <c r="P24" s="333"/>
      <c r="Q24" s="333"/>
    </row>
    <row r="25" spans="4:17" x14ac:dyDescent="0.3">
      <c r="D25" s="333"/>
      <c r="E25" s="333"/>
      <c r="F25" s="333"/>
      <c r="G25" s="333"/>
      <c r="H25" s="333"/>
      <c r="I25" s="333"/>
      <c r="J25" s="333"/>
      <c r="K25" s="333"/>
      <c r="L25" s="333"/>
      <c r="M25" s="333"/>
      <c r="N25" s="333"/>
      <c r="O25" s="333"/>
      <c r="P25" s="333"/>
      <c r="Q25" s="333"/>
    </row>
    <row r="26" spans="4:17" ht="28.5" customHeight="1" x14ac:dyDescent="0.3">
      <c r="D26" s="333"/>
      <c r="E26" s="333"/>
      <c r="F26" s="333"/>
      <c r="G26" s="333"/>
      <c r="H26" s="333"/>
      <c r="I26" s="333"/>
      <c r="J26" s="333"/>
      <c r="K26" s="333"/>
      <c r="L26" s="333"/>
      <c r="M26" s="333"/>
      <c r="N26" s="333"/>
      <c r="O26" s="333"/>
      <c r="P26" s="333"/>
      <c r="Q26" s="333"/>
    </row>
  </sheetData>
  <sheetProtection algorithmName="SHA-512" hashValue="5i2WCpcUo4qXi2tfJC0pxlLRW+zWX8FC0gZzwAe+H7hKP6rGna6iy1PfNf1AaB9bPHCsMuZG9zLZnTNrbFzaaw==" saltValue="jPwDHp5tKP3aQxAlhgSnDg==" spinCount="100000" sheet="1" objects="1" scenarios="1"/>
  <mergeCells count="1">
    <mergeCell ref="D23:Q26"/>
  </mergeCells>
  <printOptions horizontalCentered="1" verticalCentered="1"/>
  <pageMargins left="0.7" right="0.7" top="0.75" bottom="0.75" header="0.3" footer="0.3"/>
  <pageSetup scale="9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R144"/>
  <sheetViews>
    <sheetView topLeftCell="A33" zoomScaleNormal="100" workbookViewId="0">
      <selection activeCell="A41" sqref="A17:D41"/>
    </sheetView>
  </sheetViews>
  <sheetFormatPr defaultColWidth="8.88671875" defaultRowHeight="14.4" x14ac:dyDescent="0.3"/>
  <cols>
    <col min="1" max="1" width="3.88671875" style="297" customWidth="1"/>
    <col min="2" max="2" width="42.109375" style="297" customWidth="1"/>
    <col min="3" max="3" width="13.5546875" style="297" customWidth="1"/>
    <col min="4" max="4" width="11" style="297" customWidth="1"/>
    <col min="5" max="5" width="9.5546875" style="297" customWidth="1"/>
    <col min="6" max="6" width="19.88671875" style="297" bestFit="1" customWidth="1"/>
    <col min="7" max="7" width="12.44140625" style="297" customWidth="1"/>
    <col min="8" max="8" width="8.88671875" style="297"/>
    <col min="9" max="9" width="13.44140625" style="297" customWidth="1"/>
    <col min="10" max="10" width="9.5546875" style="297" customWidth="1"/>
    <col min="11" max="11" width="8.88671875" style="297" customWidth="1"/>
    <col min="12" max="13" width="9.44140625" style="297" customWidth="1"/>
    <col min="14" max="14" width="24.109375" style="297" customWidth="1"/>
    <col min="15" max="15" width="18.109375" style="297" bestFit="1" customWidth="1"/>
    <col min="16" max="16" width="10.5546875" style="297" bestFit="1" customWidth="1"/>
    <col min="17" max="17" width="18.109375" style="297" customWidth="1"/>
    <col min="18" max="18" width="24.109375" style="297" bestFit="1" customWidth="1"/>
    <col min="19" max="16384" width="8.88671875" style="297"/>
  </cols>
  <sheetData>
    <row r="1" spans="1:18" x14ac:dyDescent="0.3">
      <c r="A1" s="192"/>
      <c r="B1" s="192"/>
      <c r="C1" s="334"/>
      <c r="D1" s="335"/>
      <c r="E1" s="335"/>
      <c r="F1" s="335"/>
      <c r="G1" s="335"/>
      <c r="H1" s="335"/>
      <c r="I1" s="335"/>
      <c r="J1" s="192"/>
      <c r="K1" s="192"/>
      <c r="L1" s="192"/>
      <c r="M1" s="181"/>
      <c r="N1" s="181"/>
      <c r="O1" s="299"/>
      <c r="P1" s="296"/>
      <c r="Q1" s="181"/>
    </row>
    <row r="2" spans="1:18" ht="15.6" x14ac:dyDescent="0.3">
      <c r="A2" s="336" t="s">
        <v>0</v>
      </c>
      <c r="B2" s="337"/>
      <c r="C2" s="344" t="s">
        <v>9846</v>
      </c>
      <c r="D2" s="345"/>
      <c r="E2" s="345"/>
      <c r="F2" s="345"/>
      <c r="G2" s="345"/>
      <c r="H2" s="345"/>
      <c r="I2" s="346"/>
      <c r="J2" s="164">
        <v>2</v>
      </c>
      <c r="K2" s="192"/>
      <c r="L2" s="192"/>
      <c r="M2" s="181"/>
      <c r="N2" s="295"/>
      <c r="O2" s="181"/>
      <c r="P2" s="296"/>
      <c r="Q2" s="300"/>
    </row>
    <row r="3" spans="1:18" ht="17.850000000000001" customHeight="1" x14ac:dyDescent="0.3">
      <c r="A3" s="336" t="s">
        <v>1</v>
      </c>
      <c r="B3" s="337"/>
      <c r="C3" s="347" t="s">
        <v>9848</v>
      </c>
      <c r="D3" s="348"/>
      <c r="E3" s="348"/>
      <c r="F3" s="348"/>
      <c r="G3" s="348"/>
      <c r="H3" s="348"/>
      <c r="I3" s="349"/>
      <c r="J3" s="164" t="s">
        <v>2</v>
      </c>
      <c r="K3" s="192"/>
      <c r="L3" s="192"/>
      <c r="M3" s="181"/>
      <c r="N3" s="295"/>
      <c r="O3" s="299"/>
      <c r="P3" s="301"/>
      <c r="Q3" s="181"/>
    </row>
    <row r="4" spans="1:18" ht="15.6" x14ac:dyDescent="0.3">
      <c r="A4" s="336" t="s">
        <v>5</v>
      </c>
      <c r="B4" s="337"/>
      <c r="C4" s="341">
        <v>45969</v>
      </c>
      <c r="D4" s="342"/>
      <c r="E4" s="342"/>
      <c r="F4" s="342"/>
      <c r="G4" s="342"/>
      <c r="H4" s="342"/>
      <c r="I4" s="343"/>
      <c r="J4" s="192"/>
      <c r="K4" s="192"/>
      <c r="L4" s="192"/>
      <c r="M4" s="181"/>
      <c r="N4" s="181"/>
      <c r="O4" s="302"/>
      <c r="P4" s="301"/>
      <c r="Q4" s="181"/>
    </row>
    <row r="5" spans="1:18" ht="15.6" x14ac:dyDescent="0.3">
      <c r="A5" s="336" t="s">
        <v>4</v>
      </c>
      <c r="B5" s="337"/>
      <c r="C5" s="338" t="s">
        <v>9852</v>
      </c>
      <c r="D5" s="339"/>
      <c r="E5" s="339"/>
      <c r="F5" s="339"/>
      <c r="G5" s="339"/>
      <c r="H5" s="339"/>
      <c r="I5" s="340"/>
      <c r="J5" s="192"/>
      <c r="K5" s="192"/>
      <c r="L5" s="192"/>
      <c r="M5" s="181"/>
      <c r="N5" s="295"/>
      <c r="O5" s="302"/>
      <c r="P5" s="301"/>
      <c r="Q5" s="181"/>
    </row>
    <row r="6" spans="1:18" ht="15.6" x14ac:dyDescent="0.3">
      <c r="A6" s="336" t="s">
        <v>3</v>
      </c>
      <c r="B6" s="337"/>
      <c r="C6" s="341" t="s">
        <v>9849</v>
      </c>
      <c r="D6" s="342"/>
      <c r="E6" s="342"/>
      <c r="F6" s="342"/>
      <c r="G6" s="342"/>
      <c r="H6" s="342"/>
      <c r="I6" s="343"/>
      <c r="J6" s="192"/>
      <c r="K6" s="192"/>
      <c r="L6" s="192"/>
      <c r="M6" s="181"/>
      <c r="N6" s="181"/>
      <c r="O6" s="302"/>
      <c r="P6" s="301"/>
      <c r="Q6" s="181"/>
    </row>
    <row r="7" spans="1:18" ht="15.6" x14ac:dyDescent="0.3">
      <c r="A7" s="336" t="s">
        <v>6</v>
      </c>
      <c r="B7" s="337"/>
      <c r="C7" s="350">
        <v>0.5</v>
      </c>
      <c r="D7" s="351"/>
      <c r="E7" s="351"/>
      <c r="F7" s="351"/>
      <c r="G7" s="351"/>
      <c r="H7" s="351"/>
      <c r="I7" s="352"/>
      <c r="J7" s="192"/>
      <c r="K7" s="192"/>
      <c r="L7" s="192"/>
      <c r="M7" s="181"/>
      <c r="N7" s="181"/>
      <c r="O7" s="302"/>
      <c r="P7" s="301"/>
      <c r="Q7" s="181"/>
    </row>
    <row r="8" spans="1:18" ht="15.6" x14ac:dyDescent="0.3">
      <c r="A8" s="336" t="s">
        <v>7</v>
      </c>
      <c r="B8" s="337"/>
      <c r="C8" s="338" t="s">
        <v>9847</v>
      </c>
      <c r="D8" s="339"/>
      <c r="E8" s="339"/>
      <c r="F8" s="339"/>
      <c r="G8" s="339"/>
      <c r="H8" s="339"/>
      <c r="I8" s="340"/>
      <c r="J8" s="192"/>
      <c r="K8" s="192"/>
      <c r="L8" s="192"/>
      <c r="M8" s="181"/>
      <c r="N8"/>
      <c r="O8" s="302"/>
      <c r="P8" s="301"/>
      <c r="Q8" s="181"/>
    </row>
    <row r="9" spans="1:18" ht="15.6" x14ac:dyDescent="0.3">
      <c r="A9" s="359" t="s">
        <v>8</v>
      </c>
      <c r="B9" s="360"/>
      <c r="C9" s="338"/>
      <c r="D9" s="339"/>
      <c r="E9" s="339"/>
      <c r="F9" s="339"/>
      <c r="G9" s="339"/>
      <c r="H9" s="339"/>
      <c r="I9" s="340"/>
      <c r="J9" s="353" t="s">
        <v>9</v>
      </c>
      <c r="K9" s="192"/>
      <c r="L9" s="192"/>
      <c r="M9" s="181"/>
      <c r="N9" s="295"/>
      <c r="O9" s="300"/>
      <c r="P9" s="296"/>
      <c r="Q9" s="300"/>
    </row>
    <row r="10" spans="1:18" ht="15" thickBot="1" x14ac:dyDescent="0.35">
      <c r="A10" s="193"/>
      <c r="B10" s="194"/>
      <c r="C10" s="194"/>
      <c r="D10" s="194"/>
      <c r="E10" s="194"/>
      <c r="F10" s="194"/>
      <c r="G10" s="194"/>
      <c r="H10" s="172" t="s">
        <v>10</v>
      </c>
      <c r="I10" s="173" t="s">
        <v>11</v>
      </c>
      <c r="J10" s="354"/>
      <c r="K10" s="192"/>
      <c r="L10" s="192"/>
      <c r="M10" s="181"/>
      <c r="N10" s="181"/>
      <c r="O10" s="302"/>
      <c r="P10" s="300"/>
      <c r="Q10" s="181"/>
    </row>
    <row r="11" spans="1:18" ht="15.6" thickTop="1" thickBot="1" x14ac:dyDescent="0.35">
      <c r="A11" s="195"/>
      <c r="B11" s="196"/>
      <c r="C11" s="174"/>
      <c r="D11" s="174" t="s">
        <v>12</v>
      </c>
      <c r="E11" s="322">
        <v>3</v>
      </c>
      <c r="F11" s="197"/>
      <c r="G11" s="198"/>
      <c r="H11" s="199">
        <f>COUNT(A17:A143)</f>
        <v>0</v>
      </c>
      <c r="I11" s="200">
        <f>IF(ISNUMBER(Group_players),ROUNDUP(H11/E11,0),"")</f>
        <v>0</v>
      </c>
      <c r="J11" s="313" t="str">
        <f>IF(Advancing="","",IF(Advancing="Todos",IF(Tot_Jug&lt;3,"",IF(AND(Tot_Jug&gt;2,Tot_Jug&lt;5),4,IF(AND(Tot_Jug&gt;4,Tot_Jug&lt;9),8,IF(AND(Tot_Jug&gt;8,Tot_Jug&lt;17),16,IF(AND(Tot_Jug&gt;16,Tot_Jug&lt;33),32,IF(AND(Tot_Jug&gt;32,Tot_Jug&lt;65),64,IF(AND(Tot_Jug&gt;64,Tot_Jug&lt;129),128,"Error"))))))),IF(Advancing=2,IF(Groups*2&lt;5,4,IF(AND(Groups*2&gt;4,Groups*2&lt;9),8,IF(AND(Groups*2&gt;8,Groups*2&lt;17),16,IF(AND(Groups*2&gt;16,Groups*2&lt;33),32,IF(AND(Groups*2&gt;32,Groups*2&lt;65),64,IF(Groups&gt;32,128,"")))))))))</f>
        <v/>
      </c>
      <c r="K11" s="192"/>
      <c r="L11" s="192"/>
      <c r="M11" s="181"/>
      <c r="N11" s="181"/>
      <c r="O11" s="181"/>
      <c r="P11" s="300"/>
      <c r="Q11" s="181"/>
    </row>
    <row r="12" spans="1:18" ht="15" customHeight="1" thickTop="1" x14ac:dyDescent="0.3">
      <c r="A12" s="363" t="s">
        <v>13</v>
      </c>
      <c r="B12" s="364"/>
      <c r="C12" s="364"/>
      <c r="D12" s="364"/>
      <c r="E12" s="364"/>
      <c r="F12" s="364"/>
      <c r="G12" s="365" t="s">
        <v>14</v>
      </c>
      <c r="H12" s="366"/>
      <c r="I12" s="367"/>
      <c r="J12" s="357" t="s">
        <v>2</v>
      </c>
      <c r="K12" s="192"/>
      <c r="L12" s="192"/>
      <c r="M12" s="181"/>
      <c r="N12" s="181"/>
      <c r="O12" s="181"/>
      <c r="P12" s="300"/>
      <c r="Q12" s="181"/>
    </row>
    <row r="13" spans="1:18" ht="15" customHeight="1" thickBot="1" x14ac:dyDescent="0.35">
      <c r="A13" s="364"/>
      <c r="B13" s="364"/>
      <c r="C13" s="364"/>
      <c r="D13" s="364"/>
      <c r="E13" s="364"/>
      <c r="F13" s="364"/>
      <c r="G13" s="366"/>
      <c r="H13" s="366"/>
      <c r="I13" s="367"/>
      <c r="J13" s="358"/>
      <c r="K13" s="192"/>
      <c r="L13" s="192"/>
      <c r="M13" s="181"/>
      <c r="N13" s="181"/>
      <c r="O13" s="181"/>
      <c r="P13" s="181"/>
      <c r="Q13" s="181"/>
    </row>
    <row r="14" spans="1:18" ht="20.25" customHeight="1" thickTop="1" x14ac:dyDescent="0.3">
      <c r="A14" s="117"/>
      <c r="B14" s="117"/>
      <c r="C14" s="117"/>
      <c r="D14" s="117"/>
      <c r="E14" s="117"/>
      <c r="F14" s="201"/>
      <c r="G14" s="201"/>
      <c r="H14" s="362"/>
      <c r="I14" s="362"/>
      <c r="J14" s="117"/>
      <c r="K14" s="192"/>
      <c r="L14" s="171"/>
      <c r="M14" s="181"/>
      <c r="N14" s="303"/>
      <c r="O14" s="181"/>
      <c r="P14" s="296"/>
      <c r="Q14" s="181"/>
      <c r="R14" s="181"/>
    </row>
    <row r="15" spans="1:18" ht="15.75" customHeight="1" x14ac:dyDescent="0.3">
      <c r="A15" s="202"/>
      <c r="B15" s="361" t="s">
        <v>9850</v>
      </c>
      <c r="C15" s="361"/>
      <c r="D15" s="361" t="s">
        <v>9851</v>
      </c>
      <c r="E15" s="361" t="s">
        <v>16</v>
      </c>
      <c r="F15" s="361"/>
      <c r="G15" s="356" t="s">
        <v>17</v>
      </c>
      <c r="H15" s="192"/>
      <c r="I15" s="192"/>
      <c r="J15" s="192"/>
      <c r="K15" s="192"/>
      <c r="L15" s="192"/>
      <c r="M15" s="181"/>
      <c r="N15" s="303"/>
      <c r="O15" s="298"/>
      <c r="P15" s="296"/>
      <c r="Q15" s="300"/>
      <c r="R15" s="181"/>
    </row>
    <row r="16" spans="1:18" ht="15.6" x14ac:dyDescent="0.3">
      <c r="A16" s="202"/>
      <c r="B16" s="361"/>
      <c r="C16" s="361"/>
      <c r="D16" s="361"/>
      <c r="E16" s="361"/>
      <c r="F16" s="361"/>
      <c r="G16" s="356"/>
      <c r="H16" s="175"/>
      <c r="I16" s="192"/>
      <c r="J16" s="355" t="s">
        <v>19</v>
      </c>
      <c r="K16" s="355"/>
      <c r="L16" s="355"/>
      <c r="M16" s="181"/>
      <c r="N16" s="300"/>
      <c r="O16" s="181"/>
      <c r="P16" s="296"/>
      <c r="Q16" s="181"/>
      <c r="R16" s="300"/>
    </row>
    <row r="17" spans="1:12" ht="15.6" x14ac:dyDescent="0.3">
      <c r="A17" s="202"/>
      <c r="B17" s="317"/>
      <c r="C17" s="318"/>
      <c r="D17" s="319"/>
      <c r="E17" s="319"/>
      <c r="F17" s="320"/>
      <c r="G17" s="327"/>
      <c r="H17" s="321"/>
      <c r="I17" s="192"/>
      <c r="J17" s="204" t="s">
        <v>20</v>
      </c>
      <c r="K17" s="204" t="s">
        <v>21</v>
      </c>
      <c r="L17" s="204" t="s">
        <v>22</v>
      </c>
    </row>
    <row r="18" spans="1:12" ht="15.6" x14ac:dyDescent="0.3">
      <c r="A18" s="202"/>
      <c r="B18" s="317"/>
      <c r="C18" s="319"/>
      <c r="D18" s="319"/>
      <c r="E18" s="319"/>
      <c r="F18" s="320"/>
      <c r="G18" s="327"/>
      <c r="H18" s="321"/>
      <c r="I18" s="192"/>
      <c r="J18" s="203" t="s">
        <v>23</v>
      </c>
      <c r="K18" s="203">
        <v>8</v>
      </c>
      <c r="L18" s="206" t="s">
        <v>24</v>
      </c>
    </row>
    <row r="19" spans="1:12" ht="15.6" x14ac:dyDescent="0.3">
      <c r="A19" s="202"/>
      <c r="B19" s="317"/>
      <c r="C19" s="319"/>
      <c r="D19" s="319"/>
      <c r="E19"/>
      <c r="F19" s="330"/>
      <c r="G19" s="327"/>
      <c r="H19" s="321"/>
      <c r="I19" s="192"/>
      <c r="J19" s="203" t="s">
        <v>25</v>
      </c>
      <c r="K19" s="203">
        <v>7</v>
      </c>
      <c r="L19" s="206" t="s">
        <v>26</v>
      </c>
    </row>
    <row r="20" spans="1:12" ht="15.6" x14ac:dyDescent="0.3">
      <c r="A20" s="202"/>
      <c r="B20" s="317"/>
      <c r="C20" s="319"/>
      <c r="D20" s="319"/>
      <c r="E20"/>
      <c r="F20" s="330"/>
      <c r="G20" s="327"/>
      <c r="H20" s="321"/>
      <c r="I20" s="192"/>
      <c r="J20" s="203" t="s">
        <v>27</v>
      </c>
      <c r="K20" s="203">
        <v>5</v>
      </c>
      <c r="L20" s="206" t="s">
        <v>28</v>
      </c>
    </row>
    <row r="21" spans="1:12" ht="15.6" x14ac:dyDescent="0.3">
      <c r="A21" s="202"/>
      <c r="B21" s="317"/>
      <c r="C21" s="318"/>
      <c r="D21" s="319"/>
      <c r="E21" s="319"/>
      <c r="F21" s="320"/>
      <c r="G21" s="327"/>
      <c r="H21" s="321"/>
      <c r="I21" s="192"/>
      <c r="J21" s="203" t="s">
        <v>29</v>
      </c>
      <c r="K21" s="203">
        <v>3</v>
      </c>
      <c r="L21" s="206" t="s">
        <v>30</v>
      </c>
    </row>
    <row r="22" spans="1:12" ht="15.6" x14ac:dyDescent="0.3">
      <c r="A22" s="202"/>
      <c r="B22" s="317"/>
      <c r="C22" s="318"/>
      <c r="D22" s="319"/>
      <c r="E22" s="319"/>
      <c r="F22" s="320"/>
      <c r="G22" s="327"/>
      <c r="H22" s="321"/>
      <c r="I22" s="192"/>
      <c r="J22" s="203" t="s">
        <v>31</v>
      </c>
      <c r="K22" s="203">
        <v>2</v>
      </c>
      <c r="L22" s="206" t="s">
        <v>32</v>
      </c>
    </row>
    <row r="23" spans="1:12" ht="15.6" x14ac:dyDescent="0.3">
      <c r="A23" s="202"/>
      <c r="B23" s="317"/>
      <c r="C23" s="319"/>
      <c r="D23" s="319"/>
      <c r="E23"/>
      <c r="F23" s="330"/>
      <c r="G23" s="327"/>
      <c r="H23" s="321"/>
      <c r="I23" s="192"/>
      <c r="J23" s="203" t="s">
        <v>33</v>
      </c>
      <c r="K23" s="203">
        <v>1</v>
      </c>
      <c r="L23" s="206" t="s">
        <v>34</v>
      </c>
    </row>
    <row r="24" spans="1:12" ht="15.6" x14ac:dyDescent="0.3">
      <c r="A24" s="202"/>
      <c r="B24" s="317"/>
      <c r="C24" s="318"/>
      <c r="D24" s="319"/>
      <c r="E24" s="319"/>
      <c r="F24" s="320"/>
      <c r="G24" s="327"/>
      <c r="H24" s="321"/>
      <c r="I24" s="192"/>
      <c r="J24" s="203" t="s">
        <v>35</v>
      </c>
      <c r="K24" s="203">
        <v>0</v>
      </c>
      <c r="L24" s="206" t="s">
        <v>36</v>
      </c>
    </row>
    <row r="25" spans="1:12" ht="15.6" x14ac:dyDescent="0.3">
      <c r="A25" s="202"/>
      <c r="B25" s="317"/>
      <c r="C25" s="318"/>
      <c r="D25" s="319"/>
      <c r="E25" s="319"/>
      <c r="F25" s="320"/>
      <c r="G25" s="327"/>
      <c r="H25" s="321"/>
      <c r="I25" s="192"/>
      <c r="J25" s="192"/>
      <c r="K25" s="192"/>
      <c r="L25" s="192"/>
    </row>
    <row r="26" spans="1:12" ht="15.6" x14ac:dyDescent="0.3">
      <c r="A26" s="202"/>
      <c r="B26" s="317"/>
      <c r="C26" s="319"/>
      <c r="D26" s="319"/>
      <c r="F26" s="330"/>
      <c r="G26" s="327"/>
      <c r="H26" s="321"/>
      <c r="I26" s="192"/>
      <c r="J26" s="192"/>
      <c r="K26" s="192"/>
      <c r="L26" s="181"/>
    </row>
    <row r="27" spans="1:12" ht="15.6" x14ac:dyDescent="0.3">
      <c r="A27" s="202"/>
      <c r="B27" s="317"/>
      <c r="C27" s="319"/>
      <c r="D27" s="319"/>
      <c r="E27" s="319"/>
      <c r="F27" s="330"/>
      <c r="G27" s="327"/>
      <c r="H27" s="321"/>
      <c r="I27" s="192"/>
      <c r="J27" s="192"/>
      <c r="K27" s="192"/>
      <c r="L27" s="181"/>
    </row>
    <row r="28" spans="1:12" ht="15.6" x14ac:dyDescent="0.3">
      <c r="A28" s="202"/>
      <c r="B28" s="317"/>
      <c r="C28" s="319"/>
      <c r="D28" s="319"/>
      <c r="E28" s="319"/>
      <c r="F28" s="320"/>
      <c r="G28" s="327"/>
      <c r="H28" s="321"/>
      <c r="I28" s="192"/>
      <c r="J28" s="192"/>
      <c r="K28" s="192"/>
      <c r="L28" s="181"/>
    </row>
    <row r="29" spans="1:12" ht="15.6" x14ac:dyDescent="0.3">
      <c r="A29" s="202"/>
      <c r="B29" s="317"/>
      <c r="C29" s="318"/>
      <c r="D29" s="319"/>
      <c r="E29" s="319"/>
      <c r="F29" s="320"/>
      <c r="G29" s="327"/>
      <c r="H29" s="321"/>
      <c r="I29" s="192"/>
      <c r="J29" s="192"/>
      <c r="K29" s="192"/>
      <c r="L29" s="181"/>
    </row>
    <row r="30" spans="1:12" ht="15.6" x14ac:dyDescent="0.3">
      <c r="A30" s="202"/>
      <c r="B30" s="317"/>
      <c r="C30" s="319"/>
      <c r="D30" s="319"/>
      <c r="E30" s="319"/>
      <c r="F30" s="320"/>
      <c r="G30" s="327"/>
      <c r="H30" s="321"/>
      <c r="I30" s="192"/>
      <c r="J30" s="192"/>
      <c r="K30" s="192"/>
      <c r="L30" s="181"/>
    </row>
    <row r="31" spans="1:12" ht="15.6" x14ac:dyDescent="0.3">
      <c r="A31" s="202"/>
      <c r="B31" s="317"/>
      <c r="C31" s="319"/>
      <c r="D31" s="319"/>
      <c r="E31"/>
      <c r="F31" s="330"/>
      <c r="G31" s="327"/>
      <c r="H31" s="321"/>
      <c r="I31" s="192"/>
      <c r="J31" s="192"/>
      <c r="K31" s="192"/>
      <c r="L31" s="181"/>
    </row>
    <row r="32" spans="1:12" ht="15.6" x14ac:dyDescent="0.3">
      <c r="A32" s="202"/>
      <c r="B32" s="317"/>
      <c r="C32" s="318"/>
      <c r="D32" s="319"/>
      <c r="E32" s="319"/>
      <c r="F32" s="320"/>
      <c r="G32" s="327"/>
      <c r="H32" s="321"/>
      <c r="I32" s="192"/>
      <c r="J32" s="192"/>
      <c r="K32" s="192"/>
      <c r="L32" s="181"/>
    </row>
    <row r="33" spans="1:12" ht="15.6" x14ac:dyDescent="0.3">
      <c r="A33" s="202"/>
      <c r="B33" s="317"/>
      <c r="C33" s="319"/>
      <c r="D33" s="319"/>
      <c r="E33" s="319"/>
      <c r="F33" s="320"/>
      <c r="G33" s="327"/>
      <c r="H33" s="321"/>
      <c r="I33" s="192"/>
      <c r="J33" s="192"/>
      <c r="K33" s="192"/>
      <c r="L33" s="181"/>
    </row>
    <row r="34" spans="1:12" ht="15.6" x14ac:dyDescent="0.3">
      <c r="A34" s="202"/>
      <c r="B34" s="317"/>
      <c r="C34" s="319"/>
      <c r="D34" s="319"/>
      <c r="F34" s="330"/>
      <c r="G34" s="327"/>
      <c r="H34" s="321"/>
      <c r="I34" s="192"/>
      <c r="J34" s="192"/>
      <c r="K34" s="192"/>
      <c r="L34" s="181"/>
    </row>
    <row r="35" spans="1:12" ht="15.6" x14ac:dyDescent="0.3">
      <c r="A35" s="202"/>
      <c r="B35" s="317"/>
      <c r="C35" s="319"/>
      <c r="D35" s="319"/>
      <c r="F35" s="330"/>
      <c r="G35" s="327"/>
      <c r="H35" s="321"/>
      <c r="I35" s="192"/>
      <c r="J35" s="192"/>
      <c r="K35" s="192"/>
      <c r="L35" s="181"/>
    </row>
    <row r="36" spans="1:12" ht="15.6" x14ac:dyDescent="0.3">
      <c r="A36" s="202"/>
      <c r="B36" s="317"/>
      <c r="C36" s="318"/>
      <c r="D36" s="319"/>
      <c r="E36" s="319"/>
      <c r="F36" s="320"/>
      <c r="G36" s="327"/>
      <c r="H36" s="321"/>
      <c r="I36" s="192"/>
      <c r="J36" s="192"/>
      <c r="K36" s="192"/>
      <c r="L36" s="181"/>
    </row>
    <row r="37" spans="1:12" ht="15.6" x14ac:dyDescent="0.3">
      <c r="A37" s="202"/>
      <c r="B37" s="317"/>
      <c r="C37" s="319"/>
      <c r="D37" s="319"/>
      <c r="E37" s="319"/>
      <c r="F37" s="320"/>
      <c r="G37" s="327"/>
      <c r="H37" s="321"/>
      <c r="I37" s="192"/>
      <c r="J37" s="192"/>
      <c r="K37" s="192"/>
      <c r="L37" s="181"/>
    </row>
    <row r="38" spans="1:12" ht="15.6" x14ac:dyDescent="0.3">
      <c r="A38" s="202"/>
      <c r="B38" s="317"/>
      <c r="C38" s="319"/>
      <c r="D38" s="319"/>
      <c r="E38" s="319"/>
      <c r="F38" s="320"/>
      <c r="G38" s="327"/>
      <c r="H38" s="321"/>
      <c r="I38" s="192"/>
      <c r="J38" s="192"/>
      <c r="K38" s="192"/>
      <c r="L38" s="181"/>
    </row>
    <row r="39" spans="1:12" ht="15.6" x14ac:dyDescent="0.3">
      <c r="A39" s="202"/>
      <c r="B39" s="317"/>
      <c r="C39" s="319"/>
      <c r="D39" s="319"/>
      <c r="E39" s="319"/>
      <c r="F39" s="320"/>
      <c r="G39" s="327"/>
      <c r="H39" s="321"/>
      <c r="I39" s="192"/>
      <c r="J39" s="192"/>
      <c r="K39" s="192"/>
      <c r="L39" s="181"/>
    </row>
    <row r="40" spans="1:12" ht="15.6" x14ac:dyDescent="0.3">
      <c r="A40" s="202"/>
      <c r="B40" s="317"/>
      <c r="C40" s="319"/>
      <c r="D40" s="319"/>
      <c r="E40"/>
      <c r="F40" s="330"/>
      <c r="G40" s="327"/>
      <c r="H40" s="321"/>
      <c r="I40" s="192"/>
      <c r="J40" s="192"/>
      <c r="K40" s="192"/>
      <c r="L40" s="181"/>
    </row>
    <row r="41" spans="1:12" ht="15.6" x14ac:dyDescent="0.3">
      <c r="A41" s="202"/>
      <c r="B41" s="317"/>
      <c r="C41" s="319"/>
      <c r="D41" s="319"/>
      <c r="E41" s="319"/>
      <c r="F41" s="320"/>
      <c r="G41" s="327"/>
      <c r="H41" s="321"/>
      <c r="I41" s="192"/>
      <c r="J41" s="192"/>
      <c r="K41" s="192"/>
      <c r="L41" s="181"/>
    </row>
    <row r="42" spans="1:12" ht="15.6" x14ac:dyDescent="0.3">
      <c r="A42" s="202" t="str">
        <f t="shared" ref="A18:A81" si="0">IF(ISTEXT(B42),A41+1,"")</f>
        <v/>
      </c>
      <c r="B42" s="317"/>
      <c r="C42" s="318"/>
      <c r="D42" s="318"/>
      <c r="E42" s="319"/>
      <c r="F42" s="320"/>
      <c r="G42" s="327"/>
      <c r="H42" s="321"/>
      <c r="I42" s="192"/>
      <c r="J42" s="192"/>
      <c r="K42" s="192"/>
      <c r="L42" s="181"/>
    </row>
    <row r="43" spans="1:12" ht="15.6" x14ac:dyDescent="0.3">
      <c r="A43" s="202" t="str">
        <f t="shared" si="0"/>
        <v/>
      </c>
      <c r="B43" s="317"/>
      <c r="C43" s="318"/>
      <c r="D43" s="318"/>
      <c r="E43" s="319"/>
      <c r="F43" s="320"/>
      <c r="G43" s="327"/>
      <c r="H43" s="321"/>
      <c r="I43" s="192"/>
      <c r="J43" s="192"/>
      <c r="K43" s="192"/>
      <c r="L43" s="181"/>
    </row>
    <row r="44" spans="1:12" ht="15.6" x14ac:dyDescent="0.3">
      <c r="A44" s="202" t="str">
        <f t="shared" si="0"/>
        <v/>
      </c>
      <c r="B44" s="317"/>
      <c r="C44" s="318"/>
      <c r="D44" s="318"/>
      <c r="E44" s="319"/>
      <c r="F44" s="320"/>
      <c r="G44" s="327"/>
      <c r="H44" s="321"/>
      <c r="I44" s="192"/>
      <c r="J44" s="192"/>
      <c r="K44" s="192"/>
      <c r="L44" s="181"/>
    </row>
    <row r="45" spans="1:12" ht="15.6" x14ac:dyDescent="0.3">
      <c r="A45" s="202" t="str">
        <f t="shared" si="0"/>
        <v/>
      </c>
      <c r="B45" s="317"/>
      <c r="C45" s="318"/>
      <c r="D45" s="318"/>
      <c r="E45" s="319"/>
      <c r="F45" s="320"/>
      <c r="G45" s="327"/>
      <c r="H45" s="321"/>
      <c r="I45" s="192"/>
      <c r="J45" s="192"/>
      <c r="K45" s="192"/>
      <c r="L45" s="181"/>
    </row>
    <row r="46" spans="1:12" ht="15.6" x14ac:dyDescent="0.3">
      <c r="A46" s="202" t="str">
        <f t="shared" si="0"/>
        <v/>
      </c>
      <c r="B46" s="317"/>
      <c r="C46" s="318"/>
      <c r="D46" s="318"/>
      <c r="E46" s="319"/>
      <c r="F46" s="320"/>
      <c r="G46" s="327"/>
      <c r="H46" s="321"/>
      <c r="I46" s="192"/>
      <c r="J46" s="192"/>
      <c r="K46" s="192"/>
      <c r="L46" s="181"/>
    </row>
    <row r="47" spans="1:12" ht="15.6" x14ac:dyDescent="0.3">
      <c r="A47" s="202" t="str">
        <f t="shared" si="0"/>
        <v/>
      </c>
      <c r="B47" s="317"/>
      <c r="C47" s="318"/>
      <c r="D47" s="318"/>
      <c r="E47" s="319"/>
      <c r="F47" s="320"/>
      <c r="G47" s="327"/>
      <c r="H47" s="321"/>
      <c r="I47" s="192"/>
      <c r="J47" s="192"/>
      <c r="K47" s="192"/>
      <c r="L47" s="192"/>
    </row>
    <row r="48" spans="1:12" ht="15.6" x14ac:dyDescent="0.3">
      <c r="A48" s="202" t="str">
        <f t="shared" si="0"/>
        <v/>
      </c>
      <c r="B48" s="317"/>
      <c r="C48" s="318"/>
      <c r="D48" s="318"/>
      <c r="E48" s="319"/>
      <c r="F48" s="320"/>
      <c r="G48" s="327"/>
      <c r="H48" s="321"/>
      <c r="I48" s="192"/>
      <c r="J48" s="192"/>
      <c r="K48" s="192"/>
      <c r="L48" s="192"/>
    </row>
    <row r="49" spans="1:12" ht="15.6" x14ac:dyDescent="0.3">
      <c r="A49" s="202" t="str">
        <f t="shared" si="0"/>
        <v/>
      </c>
      <c r="B49" s="317"/>
      <c r="C49" s="318"/>
      <c r="D49" s="318"/>
      <c r="E49" s="319"/>
      <c r="F49" s="320"/>
      <c r="G49" s="327"/>
      <c r="H49" s="321"/>
      <c r="I49" s="192"/>
      <c r="J49" s="192"/>
      <c r="K49" s="192"/>
      <c r="L49" s="192"/>
    </row>
    <row r="50" spans="1:12" ht="15.6" x14ac:dyDescent="0.3">
      <c r="A50" s="202" t="str">
        <f t="shared" si="0"/>
        <v/>
      </c>
      <c r="B50" s="317"/>
      <c r="C50" s="318"/>
      <c r="D50" s="318"/>
      <c r="E50" s="319"/>
      <c r="F50" s="320"/>
      <c r="G50" s="327"/>
      <c r="H50" s="321"/>
      <c r="I50" s="192"/>
      <c r="J50" s="192"/>
      <c r="K50" s="192"/>
      <c r="L50" s="192"/>
    </row>
    <row r="51" spans="1:12" ht="15.6" x14ac:dyDescent="0.3">
      <c r="A51" s="202" t="str">
        <f t="shared" si="0"/>
        <v/>
      </c>
      <c r="B51" s="317"/>
      <c r="C51" s="318"/>
      <c r="D51" s="318"/>
      <c r="E51" s="319"/>
      <c r="F51" s="320"/>
      <c r="G51" s="327"/>
      <c r="H51" s="321"/>
      <c r="I51" s="192"/>
      <c r="J51" s="192"/>
      <c r="K51" s="192"/>
      <c r="L51" s="192"/>
    </row>
    <row r="52" spans="1:12" ht="15.6" x14ac:dyDescent="0.3">
      <c r="A52" s="202" t="str">
        <f t="shared" si="0"/>
        <v/>
      </c>
      <c r="B52" s="317"/>
      <c r="C52" s="318"/>
      <c r="D52" s="318"/>
      <c r="E52" s="319"/>
      <c r="F52" s="320"/>
      <c r="G52" s="327"/>
      <c r="H52" s="321"/>
      <c r="I52" s="192"/>
      <c r="J52" s="192"/>
      <c r="K52" s="192"/>
      <c r="L52" s="192"/>
    </row>
    <row r="53" spans="1:12" ht="15.6" x14ac:dyDescent="0.3">
      <c r="A53" s="202" t="str">
        <f t="shared" si="0"/>
        <v/>
      </c>
      <c r="B53" s="317"/>
      <c r="C53" s="318"/>
      <c r="D53" s="318"/>
      <c r="E53" s="319"/>
      <c r="F53" s="320"/>
      <c r="G53" s="327"/>
      <c r="H53" s="321"/>
      <c r="I53" s="192"/>
      <c r="J53" s="192"/>
      <c r="K53" s="192"/>
      <c r="L53" s="192"/>
    </row>
    <row r="54" spans="1:12" ht="15.6" x14ac:dyDescent="0.3">
      <c r="A54" s="202" t="str">
        <f t="shared" si="0"/>
        <v/>
      </c>
      <c r="B54" s="317"/>
      <c r="C54" s="318"/>
      <c r="D54" s="318"/>
      <c r="E54" s="319"/>
      <c r="F54" s="320"/>
      <c r="G54" s="327"/>
      <c r="H54" s="321"/>
      <c r="I54" s="192"/>
      <c r="J54" s="192"/>
      <c r="K54" s="192"/>
      <c r="L54" s="192"/>
    </row>
    <row r="55" spans="1:12" ht="15.6" x14ac:dyDescent="0.3">
      <c r="A55" s="202" t="str">
        <f t="shared" si="0"/>
        <v/>
      </c>
      <c r="B55" s="317"/>
      <c r="C55" s="318"/>
      <c r="D55" s="318"/>
      <c r="E55" s="319"/>
      <c r="F55" s="320"/>
      <c r="G55" s="327"/>
      <c r="H55" s="321"/>
      <c r="I55" s="192"/>
      <c r="J55" s="192"/>
      <c r="K55" s="192"/>
      <c r="L55" s="192"/>
    </row>
    <row r="56" spans="1:12" ht="15.6" x14ac:dyDescent="0.3">
      <c r="A56" s="202" t="str">
        <f t="shared" si="0"/>
        <v/>
      </c>
      <c r="B56" s="317"/>
      <c r="C56" s="318"/>
      <c r="D56" s="318"/>
      <c r="E56" s="319"/>
      <c r="F56" s="320"/>
      <c r="G56" s="327"/>
      <c r="H56" s="321"/>
      <c r="I56" s="192"/>
      <c r="J56" s="192"/>
      <c r="K56" s="192"/>
      <c r="L56" s="192"/>
    </row>
    <row r="57" spans="1:12" ht="15.6" x14ac:dyDescent="0.3">
      <c r="A57" s="202" t="str">
        <f t="shared" si="0"/>
        <v/>
      </c>
      <c r="B57" s="317"/>
      <c r="C57" s="318"/>
      <c r="D57" s="318"/>
      <c r="E57" s="319"/>
      <c r="F57" s="320"/>
      <c r="G57" s="327"/>
      <c r="H57" s="321"/>
      <c r="I57" s="192"/>
      <c r="J57" s="192"/>
      <c r="K57" s="192"/>
      <c r="L57" s="192"/>
    </row>
    <row r="58" spans="1:12" ht="15.6" x14ac:dyDescent="0.3">
      <c r="A58" s="202" t="str">
        <f t="shared" si="0"/>
        <v/>
      </c>
      <c r="B58" s="317"/>
      <c r="C58" s="318"/>
      <c r="D58" s="318"/>
      <c r="E58" s="319"/>
      <c r="F58" s="320"/>
      <c r="G58" s="327"/>
      <c r="H58" s="321"/>
      <c r="I58" s="192"/>
      <c r="J58" s="192"/>
      <c r="K58" s="192"/>
      <c r="L58" s="192"/>
    </row>
    <row r="59" spans="1:12" ht="15.6" x14ac:dyDescent="0.3">
      <c r="A59" s="202" t="str">
        <f t="shared" si="0"/>
        <v/>
      </c>
      <c r="B59" s="317"/>
      <c r="C59" s="318"/>
      <c r="D59" s="318"/>
      <c r="E59" s="319"/>
      <c r="F59" s="320"/>
      <c r="G59" s="327"/>
      <c r="H59" s="321"/>
      <c r="I59" s="192"/>
      <c r="J59" s="192"/>
      <c r="K59" s="192"/>
      <c r="L59" s="192" t="s">
        <v>37</v>
      </c>
    </row>
    <row r="60" spans="1:12" ht="15.6" x14ac:dyDescent="0.3">
      <c r="A60" s="202" t="str">
        <f t="shared" si="0"/>
        <v/>
      </c>
      <c r="B60" s="317"/>
      <c r="C60" s="318"/>
      <c r="D60" s="318"/>
      <c r="E60" s="319"/>
      <c r="F60" s="320"/>
      <c r="G60" s="327"/>
      <c r="H60" s="321"/>
      <c r="I60" s="192"/>
      <c r="J60" s="192"/>
      <c r="K60" s="192"/>
      <c r="L60" s="192"/>
    </row>
    <row r="61" spans="1:12" ht="15.6" x14ac:dyDescent="0.3">
      <c r="A61" s="202" t="str">
        <f t="shared" si="0"/>
        <v/>
      </c>
      <c r="B61" s="317"/>
      <c r="C61" s="318"/>
      <c r="D61" s="318"/>
      <c r="E61" s="319"/>
      <c r="F61" s="320"/>
      <c r="G61" s="327"/>
      <c r="H61" s="321"/>
      <c r="I61" s="192"/>
      <c r="J61" s="192"/>
      <c r="K61" s="192"/>
      <c r="L61" s="192"/>
    </row>
    <row r="62" spans="1:12" ht="15.6" x14ac:dyDescent="0.3">
      <c r="A62" s="202" t="str">
        <f t="shared" si="0"/>
        <v/>
      </c>
      <c r="B62" s="317"/>
      <c r="C62" s="318"/>
      <c r="D62" s="318"/>
      <c r="E62" s="319"/>
      <c r="F62" s="320"/>
      <c r="G62" s="327"/>
      <c r="H62" s="321"/>
      <c r="I62" s="192"/>
      <c r="J62" s="192"/>
      <c r="K62" s="192"/>
      <c r="L62" s="192"/>
    </row>
    <row r="63" spans="1:12" ht="15.6" x14ac:dyDescent="0.3">
      <c r="A63" s="202" t="str">
        <f t="shared" si="0"/>
        <v/>
      </c>
      <c r="B63" s="317"/>
      <c r="C63" s="318"/>
      <c r="D63" s="318"/>
      <c r="E63" s="319"/>
      <c r="F63" s="320"/>
      <c r="G63" s="327"/>
      <c r="H63" s="321"/>
      <c r="I63" s="192"/>
      <c r="J63" s="192"/>
      <c r="K63" s="192"/>
      <c r="L63" s="192"/>
    </row>
    <row r="64" spans="1:12" ht="15.6" x14ac:dyDescent="0.3">
      <c r="A64" s="202" t="str">
        <f t="shared" si="0"/>
        <v/>
      </c>
      <c r="B64" s="317"/>
      <c r="C64" s="318"/>
      <c r="D64" s="318"/>
      <c r="E64" s="319"/>
      <c r="F64" s="320"/>
      <c r="G64" s="327"/>
      <c r="H64" s="321"/>
      <c r="I64" s="192"/>
      <c r="J64" s="192"/>
      <c r="K64" s="192"/>
      <c r="L64" s="192"/>
    </row>
    <row r="65" spans="1:12" ht="15.6" x14ac:dyDescent="0.3">
      <c r="A65" s="202" t="str">
        <f t="shared" si="0"/>
        <v/>
      </c>
      <c r="B65" s="317"/>
      <c r="C65" s="318"/>
      <c r="D65" s="318"/>
      <c r="E65" s="319"/>
      <c r="F65" s="320"/>
      <c r="G65" s="327"/>
      <c r="H65" s="321"/>
      <c r="I65" s="192"/>
      <c r="J65" s="192"/>
      <c r="K65" s="192"/>
      <c r="L65" s="192"/>
    </row>
    <row r="66" spans="1:12" ht="15.6" x14ac:dyDescent="0.3">
      <c r="A66" s="202" t="str">
        <f t="shared" si="0"/>
        <v/>
      </c>
      <c r="B66" s="317"/>
      <c r="C66" s="318"/>
      <c r="D66" s="318"/>
      <c r="E66" s="319"/>
      <c r="F66" s="320"/>
      <c r="G66" s="327"/>
      <c r="H66" s="321"/>
      <c r="I66" s="192"/>
      <c r="J66" s="192"/>
      <c r="K66" s="192"/>
      <c r="L66" s="192"/>
    </row>
    <row r="67" spans="1:12" ht="15.6" x14ac:dyDescent="0.3">
      <c r="A67" s="202" t="str">
        <f t="shared" si="0"/>
        <v/>
      </c>
      <c r="B67" s="317"/>
      <c r="C67" s="318"/>
      <c r="D67" s="318"/>
      <c r="E67" s="319"/>
      <c r="F67" s="320"/>
      <c r="G67" s="327"/>
      <c r="H67" s="321"/>
      <c r="I67" s="192"/>
      <c r="J67" s="192"/>
      <c r="K67" s="192"/>
      <c r="L67" s="192"/>
    </row>
    <row r="68" spans="1:12" ht="15.6" x14ac:dyDescent="0.3">
      <c r="A68" s="202" t="str">
        <f t="shared" si="0"/>
        <v/>
      </c>
      <c r="B68" s="317"/>
      <c r="C68" s="318"/>
      <c r="D68" s="318"/>
      <c r="E68" s="319"/>
      <c r="F68" s="320"/>
      <c r="G68" s="327"/>
      <c r="H68" s="321"/>
      <c r="I68" s="192"/>
      <c r="J68" s="192"/>
      <c r="K68" s="192"/>
      <c r="L68" s="192"/>
    </row>
    <row r="69" spans="1:12" ht="15.6" x14ac:dyDescent="0.3">
      <c r="A69" s="202" t="str">
        <f t="shared" si="0"/>
        <v/>
      </c>
      <c r="B69" s="317"/>
      <c r="C69" s="318"/>
      <c r="D69" s="318"/>
      <c r="E69" s="319"/>
      <c r="F69" s="320"/>
      <c r="G69" s="326"/>
      <c r="H69" s="321"/>
      <c r="I69" s="192"/>
      <c r="J69" s="192"/>
      <c r="K69" s="192"/>
      <c r="L69" s="192"/>
    </row>
    <row r="70" spans="1:12" ht="15.6" x14ac:dyDescent="0.3">
      <c r="A70" s="202" t="str">
        <f t="shared" si="0"/>
        <v/>
      </c>
      <c r="B70" s="317"/>
      <c r="C70" s="318"/>
      <c r="D70" s="318"/>
      <c r="E70" s="319"/>
      <c r="F70" s="320"/>
      <c r="G70" s="326"/>
      <c r="H70" s="321"/>
      <c r="I70" s="192"/>
      <c r="J70" s="192"/>
      <c r="K70" s="192"/>
      <c r="L70" s="192"/>
    </row>
    <row r="71" spans="1:12" ht="15.6" x14ac:dyDescent="0.3">
      <c r="A71" s="202" t="str">
        <f t="shared" si="0"/>
        <v/>
      </c>
      <c r="B71" s="317"/>
      <c r="C71" s="318"/>
      <c r="D71" s="318"/>
      <c r="E71" s="319"/>
      <c r="F71" s="320"/>
      <c r="G71" s="326"/>
      <c r="H71" s="321"/>
      <c r="I71" s="192"/>
      <c r="J71" s="192"/>
      <c r="K71" s="192"/>
      <c r="L71" s="192"/>
    </row>
    <row r="72" spans="1:12" ht="15.6" x14ac:dyDescent="0.3">
      <c r="A72" s="202" t="str">
        <f t="shared" si="0"/>
        <v/>
      </c>
      <c r="B72" s="317"/>
      <c r="C72" s="318"/>
      <c r="D72" s="318"/>
      <c r="E72" s="319"/>
      <c r="F72" s="320"/>
      <c r="G72" s="326"/>
      <c r="H72" s="321"/>
      <c r="I72" s="192"/>
      <c r="J72" s="192"/>
      <c r="K72" s="192"/>
      <c r="L72" s="192"/>
    </row>
    <row r="73" spans="1:12" ht="15.6" x14ac:dyDescent="0.3">
      <c r="A73" s="202" t="str">
        <f t="shared" si="0"/>
        <v/>
      </c>
      <c r="B73" s="317"/>
      <c r="C73" s="318"/>
      <c r="D73" s="318"/>
      <c r="E73" s="319"/>
      <c r="F73" s="320"/>
      <c r="G73" s="326"/>
      <c r="H73" s="321"/>
      <c r="I73" s="192"/>
      <c r="J73" s="192"/>
      <c r="K73" s="192"/>
      <c r="L73" s="192"/>
    </row>
    <row r="74" spans="1:12" ht="15.6" x14ac:dyDescent="0.3">
      <c r="A74" s="202" t="str">
        <f t="shared" si="0"/>
        <v/>
      </c>
      <c r="B74" s="317"/>
      <c r="C74" s="318"/>
      <c r="D74" s="318"/>
      <c r="E74" s="319"/>
      <c r="F74" s="320"/>
      <c r="G74" s="326"/>
      <c r="H74" s="321"/>
      <c r="I74" s="192"/>
      <c r="J74" s="192"/>
      <c r="K74" s="192"/>
      <c r="L74" s="192"/>
    </row>
    <row r="75" spans="1:12" ht="15.6" x14ac:dyDescent="0.3">
      <c r="A75" s="202" t="str">
        <f t="shared" si="0"/>
        <v/>
      </c>
      <c r="B75" s="317"/>
      <c r="C75" s="318"/>
      <c r="D75" s="318"/>
      <c r="E75" s="319"/>
      <c r="F75" s="320"/>
      <c r="G75" s="326"/>
      <c r="H75" s="321"/>
      <c r="I75" s="192"/>
      <c r="J75" s="192"/>
      <c r="K75" s="192"/>
      <c r="L75" s="192"/>
    </row>
    <row r="76" spans="1:12" ht="15.6" x14ac:dyDescent="0.3">
      <c r="A76" s="202" t="str">
        <f t="shared" si="0"/>
        <v/>
      </c>
      <c r="B76" s="317"/>
      <c r="C76" s="318"/>
      <c r="D76" s="318"/>
      <c r="E76" s="319"/>
      <c r="F76" s="320"/>
      <c r="G76" s="326"/>
      <c r="H76" s="321"/>
      <c r="I76" s="192"/>
      <c r="J76" s="192"/>
      <c r="K76" s="192"/>
      <c r="L76" s="192"/>
    </row>
    <row r="77" spans="1:12" ht="15.6" x14ac:dyDescent="0.3">
      <c r="A77" s="202" t="str">
        <f t="shared" si="0"/>
        <v/>
      </c>
      <c r="B77" s="317"/>
      <c r="C77" s="318"/>
      <c r="D77" s="318"/>
      <c r="E77" s="319"/>
      <c r="F77" s="320"/>
      <c r="G77" s="326"/>
      <c r="H77" s="321"/>
      <c r="I77" s="192"/>
      <c r="J77" s="192"/>
      <c r="K77" s="192"/>
      <c r="L77" s="192"/>
    </row>
    <row r="78" spans="1:12" ht="15.6" x14ac:dyDescent="0.3">
      <c r="A78" s="202" t="str">
        <f t="shared" si="0"/>
        <v/>
      </c>
      <c r="B78" s="317"/>
      <c r="C78" s="318"/>
      <c r="D78" s="318"/>
      <c r="E78" s="319"/>
      <c r="F78" s="320"/>
      <c r="G78" s="326"/>
      <c r="H78" s="321"/>
      <c r="I78" s="192"/>
      <c r="J78" s="192"/>
      <c r="K78" s="192"/>
      <c r="L78" s="192"/>
    </row>
    <row r="79" spans="1:12" ht="15.6" x14ac:dyDescent="0.3">
      <c r="A79" s="202" t="str">
        <f t="shared" si="0"/>
        <v/>
      </c>
      <c r="B79" s="317"/>
      <c r="C79" s="318"/>
      <c r="D79" s="318"/>
      <c r="E79" s="319"/>
      <c r="F79" s="320"/>
      <c r="G79" s="326"/>
      <c r="H79" s="321"/>
      <c r="I79" s="205"/>
      <c r="J79" s="205"/>
      <c r="K79" s="205"/>
      <c r="L79" s="205"/>
    </row>
    <row r="80" spans="1:12" ht="15.6" x14ac:dyDescent="0.3">
      <c r="A80" s="202" t="str">
        <f t="shared" si="0"/>
        <v/>
      </c>
      <c r="B80" s="317"/>
      <c r="C80" s="318"/>
      <c r="D80" s="318"/>
      <c r="E80" s="319"/>
      <c r="F80" s="320"/>
      <c r="G80" s="326"/>
      <c r="H80" s="321"/>
      <c r="I80" s="205"/>
      <c r="J80" s="205"/>
      <c r="K80" s="205"/>
      <c r="L80" s="205"/>
    </row>
    <row r="81" spans="1:8" ht="15.6" x14ac:dyDescent="0.3">
      <c r="A81" s="202" t="str">
        <f t="shared" si="0"/>
        <v/>
      </c>
      <c r="B81" s="317"/>
      <c r="C81" s="318"/>
      <c r="D81" s="318"/>
      <c r="E81" s="319"/>
      <c r="F81" s="320"/>
      <c r="G81" s="326"/>
      <c r="H81" s="321"/>
    </row>
    <row r="82" spans="1:8" ht="15.6" x14ac:dyDescent="0.3">
      <c r="A82" s="202" t="str">
        <f t="shared" ref="A82:A143" si="1">IF(ISTEXT(B82),A81+1,"")</f>
        <v/>
      </c>
      <c r="B82" s="317"/>
      <c r="C82" s="318"/>
      <c r="D82" s="318"/>
      <c r="E82" s="319"/>
      <c r="F82" s="320"/>
      <c r="G82" s="326"/>
      <c r="H82" s="321"/>
    </row>
    <row r="83" spans="1:8" ht="15.6" x14ac:dyDescent="0.3">
      <c r="A83" s="202" t="str">
        <f t="shared" si="1"/>
        <v/>
      </c>
      <c r="B83" s="317"/>
      <c r="C83" s="318"/>
      <c r="D83" s="318"/>
      <c r="E83" s="319"/>
      <c r="F83" s="320"/>
      <c r="G83" s="326"/>
      <c r="H83" s="321"/>
    </row>
    <row r="84" spans="1:8" ht="15.6" x14ac:dyDescent="0.3">
      <c r="A84" s="202" t="str">
        <f t="shared" si="1"/>
        <v/>
      </c>
      <c r="B84" s="317"/>
      <c r="C84" s="318"/>
      <c r="D84" s="318"/>
      <c r="E84" s="319"/>
      <c r="F84" s="320"/>
      <c r="G84" s="326"/>
      <c r="H84" s="321"/>
    </row>
    <row r="85" spans="1:8" ht="15.6" x14ac:dyDescent="0.3">
      <c r="A85" s="202" t="str">
        <f t="shared" si="1"/>
        <v/>
      </c>
      <c r="B85" s="317"/>
      <c r="C85" s="318"/>
      <c r="D85" s="318"/>
      <c r="E85" s="319"/>
      <c r="F85" s="320"/>
      <c r="G85" s="326"/>
      <c r="H85" s="321"/>
    </row>
    <row r="86" spans="1:8" ht="15.6" x14ac:dyDescent="0.3">
      <c r="A86" s="202" t="str">
        <f t="shared" si="1"/>
        <v/>
      </c>
      <c r="B86" s="317"/>
      <c r="C86" s="318"/>
      <c r="D86" s="318"/>
      <c r="E86" s="319"/>
      <c r="F86" s="320"/>
      <c r="G86" s="326"/>
      <c r="H86" s="321"/>
    </row>
    <row r="87" spans="1:8" ht="15.6" x14ac:dyDescent="0.3">
      <c r="A87" s="202" t="str">
        <f t="shared" si="1"/>
        <v/>
      </c>
      <c r="B87" s="317"/>
      <c r="C87" s="318"/>
      <c r="D87" s="318"/>
      <c r="E87" s="319"/>
      <c r="F87" s="320"/>
      <c r="G87" s="326"/>
      <c r="H87" s="321"/>
    </row>
    <row r="88" spans="1:8" ht="15.6" x14ac:dyDescent="0.3">
      <c r="A88" s="202" t="str">
        <f t="shared" si="1"/>
        <v/>
      </c>
      <c r="B88" s="317"/>
      <c r="C88" s="318"/>
      <c r="D88" s="318"/>
      <c r="E88" s="319"/>
      <c r="F88" s="320"/>
      <c r="G88" s="326"/>
      <c r="H88" s="321"/>
    </row>
    <row r="89" spans="1:8" ht="15.6" x14ac:dyDescent="0.3">
      <c r="A89" s="202" t="str">
        <f t="shared" si="1"/>
        <v/>
      </c>
      <c r="B89" s="317"/>
      <c r="C89" s="318"/>
      <c r="D89" s="318"/>
      <c r="E89" s="319"/>
      <c r="F89" s="320"/>
      <c r="G89" s="326"/>
      <c r="H89" s="321"/>
    </row>
    <row r="90" spans="1:8" ht="15.6" x14ac:dyDescent="0.3">
      <c r="A90" s="202" t="str">
        <f t="shared" si="1"/>
        <v/>
      </c>
      <c r="B90" s="317"/>
      <c r="C90" s="318"/>
      <c r="D90" s="318"/>
      <c r="E90" s="319"/>
      <c r="F90" s="320"/>
      <c r="G90" s="326"/>
      <c r="H90" s="321"/>
    </row>
    <row r="91" spans="1:8" ht="15.6" x14ac:dyDescent="0.3">
      <c r="A91" s="202" t="str">
        <f t="shared" si="1"/>
        <v/>
      </c>
      <c r="B91" s="317"/>
      <c r="C91" s="318"/>
      <c r="D91" s="318"/>
      <c r="E91" s="319"/>
      <c r="F91" s="320"/>
      <c r="G91" s="326"/>
      <c r="H91" s="321"/>
    </row>
    <row r="92" spans="1:8" ht="15.6" x14ac:dyDescent="0.3">
      <c r="A92" s="202" t="str">
        <f t="shared" si="1"/>
        <v/>
      </c>
      <c r="B92" s="317"/>
      <c r="C92" s="318"/>
      <c r="D92" s="318"/>
      <c r="E92" s="319"/>
      <c r="F92" s="320"/>
      <c r="G92" s="326"/>
      <c r="H92" s="321"/>
    </row>
    <row r="93" spans="1:8" ht="15.6" x14ac:dyDescent="0.3">
      <c r="A93" s="202" t="str">
        <f t="shared" si="1"/>
        <v/>
      </c>
      <c r="B93" s="317"/>
      <c r="C93" s="318"/>
      <c r="D93" s="318"/>
      <c r="E93" s="319"/>
      <c r="F93" s="320"/>
      <c r="G93" s="326"/>
      <c r="H93" s="321"/>
    </row>
    <row r="94" spans="1:8" ht="15.6" x14ac:dyDescent="0.3">
      <c r="A94" s="202" t="str">
        <f t="shared" si="1"/>
        <v/>
      </c>
      <c r="B94" s="317"/>
      <c r="C94" s="318"/>
      <c r="D94" s="318"/>
      <c r="E94" s="319"/>
      <c r="F94" s="320"/>
      <c r="G94" s="326"/>
      <c r="H94" s="321"/>
    </row>
    <row r="95" spans="1:8" ht="15.6" x14ac:dyDescent="0.3">
      <c r="A95" s="202" t="str">
        <f t="shared" si="1"/>
        <v/>
      </c>
      <c r="B95" s="317"/>
      <c r="C95" s="318"/>
      <c r="D95" s="318"/>
      <c r="E95" s="319"/>
      <c r="F95" s="320"/>
      <c r="G95" s="326"/>
      <c r="H95" s="321"/>
    </row>
    <row r="96" spans="1:8" ht="15.6" x14ac:dyDescent="0.3">
      <c r="A96" s="202" t="str">
        <f t="shared" si="1"/>
        <v/>
      </c>
      <c r="B96" s="317"/>
      <c r="C96" s="318"/>
      <c r="D96" s="318"/>
      <c r="E96" s="319"/>
      <c r="F96" s="320"/>
      <c r="G96" s="326"/>
      <c r="H96" s="321"/>
    </row>
    <row r="97" spans="1:8" ht="15.6" x14ac:dyDescent="0.3">
      <c r="A97" s="202" t="str">
        <f t="shared" si="1"/>
        <v/>
      </c>
      <c r="B97" s="317"/>
      <c r="C97" s="318"/>
      <c r="D97" s="318"/>
      <c r="E97" s="319"/>
      <c r="F97" s="320"/>
      <c r="G97" s="326"/>
      <c r="H97" s="321"/>
    </row>
    <row r="98" spans="1:8" ht="15.6" x14ac:dyDescent="0.3">
      <c r="A98" s="202" t="str">
        <f t="shared" si="1"/>
        <v/>
      </c>
      <c r="B98" s="317"/>
      <c r="C98" s="318"/>
      <c r="D98" s="318"/>
      <c r="E98" s="319"/>
      <c r="F98" s="320"/>
      <c r="G98" s="326"/>
      <c r="H98" s="321"/>
    </row>
    <row r="99" spans="1:8" ht="15.6" x14ac:dyDescent="0.3">
      <c r="A99" s="202" t="str">
        <f t="shared" si="1"/>
        <v/>
      </c>
      <c r="B99" s="317"/>
      <c r="C99" s="318"/>
      <c r="D99" s="318"/>
      <c r="E99" s="319"/>
      <c r="F99" s="320"/>
      <c r="G99" s="326"/>
      <c r="H99" s="321"/>
    </row>
    <row r="100" spans="1:8" ht="15.6" x14ac:dyDescent="0.3">
      <c r="A100" s="202" t="str">
        <f t="shared" si="1"/>
        <v/>
      </c>
      <c r="B100" s="317"/>
      <c r="C100" s="318"/>
      <c r="D100" s="318"/>
      <c r="E100" s="319"/>
      <c r="F100" s="320"/>
      <c r="G100" s="326"/>
      <c r="H100" s="321"/>
    </row>
    <row r="101" spans="1:8" ht="15.6" x14ac:dyDescent="0.3">
      <c r="A101" s="202" t="str">
        <f t="shared" si="1"/>
        <v/>
      </c>
      <c r="B101" s="317"/>
      <c r="C101" s="318"/>
      <c r="D101" s="318"/>
      <c r="E101" s="319"/>
      <c r="F101" s="320"/>
      <c r="G101" s="326"/>
      <c r="H101" s="321"/>
    </row>
    <row r="102" spans="1:8" ht="15.6" x14ac:dyDescent="0.3">
      <c r="A102" s="202" t="str">
        <f t="shared" si="1"/>
        <v/>
      </c>
      <c r="B102" s="317"/>
      <c r="C102" s="318"/>
      <c r="D102" s="318"/>
      <c r="E102" s="319"/>
      <c r="F102" s="320"/>
      <c r="G102" s="326"/>
      <c r="H102" s="321"/>
    </row>
    <row r="103" spans="1:8" ht="15.6" x14ac:dyDescent="0.3">
      <c r="A103" s="202" t="str">
        <f t="shared" si="1"/>
        <v/>
      </c>
      <c r="B103" s="317"/>
      <c r="C103" s="318"/>
      <c r="D103" s="318"/>
      <c r="E103" s="319"/>
      <c r="F103" s="320"/>
      <c r="G103" s="326"/>
      <c r="H103" s="321"/>
    </row>
    <row r="104" spans="1:8" ht="15.6" x14ac:dyDescent="0.3">
      <c r="A104" s="202" t="str">
        <f t="shared" si="1"/>
        <v/>
      </c>
      <c r="B104" s="317"/>
      <c r="C104" s="318"/>
      <c r="D104" s="318"/>
      <c r="E104" s="319"/>
      <c r="F104" s="320" t="s">
        <v>38</v>
      </c>
      <c r="G104" s="326"/>
      <c r="H104" s="321"/>
    </row>
    <row r="105" spans="1:8" ht="15.6" x14ac:dyDescent="0.3">
      <c r="A105" s="202" t="str">
        <f t="shared" si="1"/>
        <v/>
      </c>
      <c r="B105" s="317"/>
      <c r="C105" s="318"/>
      <c r="D105" s="318"/>
      <c r="E105" s="319"/>
      <c r="F105" s="320" t="s">
        <v>38</v>
      </c>
      <c r="G105" s="326"/>
      <c r="H105" s="321"/>
    </row>
    <row r="106" spans="1:8" ht="15.6" x14ac:dyDescent="0.3">
      <c r="A106" s="202" t="str">
        <f t="shared" si="1"/>
        <v/>
      </c>
      <c r="B106" s="317"/>
      <c r="C106" s="318"/>
      <c r="D106" s="318"/>
      <c r="E106" s="319"/>
      <c r="F106" s="320" t="s">
        <v>38</v>
      </c>
      <c r="G106" s="326"/>
      <c r="H106" s="321"/>
    </row>
    <row r="107" spans="1:8" ht="15.6" x14ac:dyDescent="0.3">
      <c r="A107" s="202" t="str">
        <f t="shared" si="1"/>
        <v/>
      </c>
      <c r="B107" s="317"/>
      <c r="C107" s="318"/>
      <c r="D107" s="318"/>
      <c r="E107" s="319"/>
      <c r="F107" s="320" t="s">
        <v>38</v>
      </c>
      <c r="G107" s="326"/>
      <c r="H107" s="321"/>
    </row>
    <row r="108" spans="1:8" ht="15.6" x14ac:dyDescent="0.3">
      <c r="A108" s="202" t="str">
        <f t="shared" si="1"/>
        <v/>
      </c>
      <c r="B108" s="317"/>
      <c r="C108" s="318"/>
      <c r="D108" s="318"/>
      <c r="E108" s="319"/>
      <c r="F108" s="320" t="s">
        <v>38</v>
      </c>
      <c r="G108" s="326"/>
      <c r="H108" s="321"/>
    </row>
    <row r="109" spans="1:8" ht="15.6" x14ac:dyDescent="0.3">
      <c r="A109" s="202" t="str">
        <f t="shared" si="1"/>
        <v/>
      </c>
      <c r="B109" s="317"/>
      <c r="C109" s="318"/>
      <c r="D109" s="318"/>
      <c r="E109" s="319"/>
      <c r="F109" s="320" t="s">
        <v>38</v>
      </c>
      <c r="G109" s="326"/>
      <c r="H109" s="321"/>
    </row>
    <row r="110" spans="1:8" ht="15.6" x14ac:dyDescent="0.3">
      <c r="A110" s="202" t="str">
        <f t="shared" si="1"/>
        <v/>
      </c>
      <c r="B110" s="317"/>
      <c r="C110" s="318"/>
      <c r="D110" s="318"/>
      <c r="E110" s="319"/>
      <c r="F110" s="320" t="s">
        <v>38</v>
      </c>
      <c r="G110" s="326"/>
      <c r="H110" s="321"/>
    </row>
    <row r="111" spans="1:8" ht="15.6" x14ac:dyDescent="0.3">
      <c r="A111" s="202" t="str">
        <f t="shared" si="1"/>
        <v/>
      </c>
      <c r="B111" s="317"/>
      <c r="C111" s="318"/>
      <c r="D111" s="318"/>
      <c r="E111" s="319"/>
      <c r="F111" s="320" t="s">
        <v>38</v>
      </c>
      <c r="G111" s="326"/>
      <c r="H111" s="321"/>
    </row>
    <row r="112" spans="1:8" ht="15.6" x14ac:dyDescent="0.3">
      <c r="A112" s="202" t="str">
        <f t="shared" si="1"/>
        <v/>
      </c>
      <c r="B112" s="317"/>
      <c r="C112" s="318"/>
      <c r="D112" s="318"/>
      <c r="E112" s="319"/>
      <c r="F112" s="320" t="s">
        <v>38</v>
      </c>
      <c r="G112" s="326"/>
      <c r="H112" s="321"/>
    </row>
    <row r="113" spans="1:8" ht="15.6" x14ac:dyDescent="0.3">
      <c r="A113" s="202" t="str">
        <f t="shared" si="1"/>
        <v/>
      </c>
      <c r="B113" s="317"/>
      <c r="C113" s="318"/>
      <c r="D113" s="318"/>
      <c r="E113" s="319"/>
      <c r="F113" s="320" t="s">
        <v>38</v>
      </c>
      <c r="G113" s="326"/>
      <c r="H113" s="321"/>
    </row>
    <row r="114" spans="1:8" ht="15.6" x14ac:dyDescent="0.3">
      <c r="A114" s="202" t="str">
        <f t="shared" si="1"/>
        <v/>
      </c>
      <c r="B114" s="317"/>
      <c r="C114" s="318"/>
      <c r="D114" s="318"/>
      <c r="E114" s="319"/>
      <c r="F114" s="320" t="s">
        <v>38</v>
      </c>
      <c r="G114" s="326"/>
      <c r="H114" s="321"/>
    </row>
    <row r="115" spans="1:8" ht="15.6" x14ac:dyDescent="0.3">
      <c r="A115" s="202" t="str">
        <f t="shared" si="1"/>
        <v/>
      </c>
      <c r="B115" s="317"/>
      <c r="C115" s="318"/>
      <c r="D115" s="318"/>
      <c r="E115" s="319"/>
      <c r="F115" s="320" t="s">
        <v>38</v>
      </c>
      <c r="G115" s="326"/>
      <c r="H115" s="321"/>
    </row>
    <row r="116" spans="1:8" ht="15.6" x14ac:dyDescent="0.3">
      <c r="A116" s="202" t="str">
        <f t="shared" si="1"/>
        <v/>
      </c>
      <c r="B116" s="317"/>
      <c r="C116" s="318"/>
      <c r="D116" s="318"/>
      <c r="E116" s="319"/>
      <c r="F116" s="320" t="s">
        <v>38</v>
      </c>
      <c r="G116" s="326"/>
      <c r="H116" s="321"/>
    </row>
    <row r="117" spans="1:8" ht="15.6" x14ac:dyDescent="0.3">
      <c r="A117" s="202" t="str">
        <f t="shared" si="1"/>
        <v/>
      </c>
      <c r="B117" s="317"/>
      <c r="C117" s="318"/>
      <c r="D117" s="318"/>
      <c r="E117" s="319"/>
      <c r="F117" s="320" t="s">
        <v>38</v>
      </c>
      <c r="G117" s="326"/>
      <c r="H117" s="321"/>
    </row>
    <row r="118" spans="1:8" ht="15.6" x14ac:dyDescent="0.3">
      <c r="A118" s="202" t="str">
        <f t="shared" si="1"/>
        <v/>
      </c>
      <c r="B118" s="317"/>
      <c r="C118" s="318"/>
      <c r="D118" s="318"/>
      <c r="E118" s="319"/>
      <c r="F118" s="320" t="s">
        <v>38</v>
      </c>
      <c r="G118" s="326"/>
      <c r="H118" s="321"/>
    </row>
    <row r="119" spans="1:8" ht="15.6" x14ac:dyDescent="0.3">
      <c r="A119" s="202" t="str">
        <f t="shared" si="1"/>
        <v/>
      </c>
      <c r="B119" s="317"/>
      <c r="C119" s="318"/>
      <c r="D119" s="318"/>
      <c r="E119" s="319"/>
      <c r="F119" s="320" t="s">
        <v>38</v>
      </c>
      <c r="G119" s="326"/>
      <c r="H119" s="321"/>
    </row>
    <row r="120" spans="1:8" ht="15.6" x14ac:dyDescent="0.3">
      <c r="A120" s="202" t="str">
        <f t="shared" si="1"/>
        <v/>
      </c>
      <c r="B120" s="317"/>
      <c r="C120" s="318"/>
      <c r="D120" s="318"/>
      <c r="E120" s="319"/>
      <c r="F120" s="320" t="s">
        <v>38</v>
      </c>
      <c r="G120" s="326"/>
      <c r="H120" s="321"/>
    </row>
    <row r="121" spans="1:8" ht="15.6" x14ac:dyDescent="0.3">
      <c r="A121" s="202" t="str">
        <f t="shared" si="1"/>
        <v/>
      </c>
      <c r="B121" s="317"/>
      <c r="C121" s="318"/>
      <c r="D121" s="318"/>
      <c r="E121" s="319"/>
      <c r="F121" s="320" t="s">
        <v>38</v>
      </c>
      <c r="G121" s="326"/>
      <c r="H121" s="321"/>
    </row>
    <row r="122" spans="1:8" ht="15.6" x14ac:dyDescent="0.3">
      <c r="A122" s="202" t="str">
        <f t="shared" si="1"/>
        <v/>
      </c>
      <c r="B122" s="317"/>
      <c r="C122" s="318"/>
      <c r="D122" s="318"/>
      <c r="E122" s="319"/>
      <c r="F122" s="320" t="s">
        <v>38</v>
      </c>
      <c r="G122" s="326"/>
      <c r="H122" s="321"/>
    </row>
    <row r="123" spans="1:8" ht="15.6" x14ac:dyDescent="0.3">
      <c r="A123" s="202" t="str">
        <f t="shared" si="1"/>
        <v/>
      </c>
      <c r="B123" s="317"/>
      <c r="C123" s="318"/>
      <c r="D123" s="318"/>
      <c r="E123" s="319"/>
      <c r="F123" s="320" t="s">
        <v>38</v>
      </c>
      <c r="G123" s="326"/>
      <c r="H123" s="321"/>
    </row>
    <row r="124" spans="1:8" ht="15.6" x14ac:dyDescent="0.3">
      <c r="A124" s="202" t="str">
        <f t="shared" si="1"/>
        <v/>
      </c>
      <c r="B124" s="317"/>
      <c r="C124" s="318"/>
      <c r="D124" s="318"/>
      <c r="E124" s="319"/>
      <c r="F124" s="320" t="s">
        <v>38</v>
      </c>
      <c r="G124" s="326"/>
      <c r="H124" s="321"/>
    </row>
    <row r="125" spans="1:8" ht="15.6" x14ac:dyDescent="0.3">
      <c r="A125" s="202" t="str">
        <f t="shared" si="1"/>
        <v/>
      </c>
      <c r="B125" s="317"/>
      <c r="C125" s="318"/>
      <c r="D125" s="318"/>
      <c r="E125" s="319"/>
      <c r="F125" s="320" t="s">
        <v>38</v>
      </c>
      <c r="G125" s="326"/>
      <c r="H125" s="321"/>
    </row>
    <row r="126" spans="1:8" ht="15.6" x14ac:dyDescent="0.3">
      <c r="A126" s="202" t="str">
        <f t="shared" si="1"/>
        <v/>
      </c>
      <c r="B126" s="317"/>
      <c r="C126" s="318"/>
      <c r="D126" s="318"/>
      <c r="E126" s="319"/>
      <c r="F126" s="320" t="s">
        <v>38</v>
      </c>
      <c r="G126" s="326"/>
      <c r="H126" s="321"/>
    </row>
    <row r="127" spans="1:8" ht="15.6" x14ac:dyDescent="0.3">
      <c r="A127" s="202" t="str">
        <f t="shared" si="1"/>
        <v/>
      </c>
      <c r="B127" s="317"/>
      <c r="C127" s="318"/>
      <c r="D127" s="318"/>
      <c r="E127" s="319"/>
      <c r="F127" s="320" t="s">
        <v>38</v>
      </c>
      <c r="G127" s="326"/>
      <c r="H127" s="321"/>
    </row>
    <row r="128" spans="1:8" ht="15.6" x14ac:dyDescent="0.3">
      <c r="A128" s="202" t="str">
        <f t="shared" si="1"/>
        <v/>
      </c>
      <c r="B128" s="317"/>
      <c r="C128" s="318"/>
      <c r="D128" s="318"/>
      <c r="E128" s="319"/>
      <c r="F128" s="320" t="s">
        <v>38</v>
      </c>
      <c r="G128" s="326"/>
      <c r="H128" s="321"/>
    </row>
    <row r="129" spans="1:8" ht="15.6" x14ac:dyDescent="0.3">
      <c r="A129" s="202" t="str">
        <f t="shared" si="1"/>
        <v/>
      </c>
      <c r="B129" s="317"/>
      <c r="C129" s="318"/>
      <c r="D129" s="318"/>
      <c r="E129" s="319"/>
      <c r="F129" s="320" t="s">
        <v>38</v>
      </c>
      <c r="G129" s="326"/>
      <c r="H129" s="321"/>
    </row>
    <row r="130" spans="1:8" ht="15.6" x14ac:dyDescent="0.3">
      <c r="A130" s="202" t="str">
        <f t="shared" si="1"/>
        <v/>
      </c>
      <c r="B130" s="317"/>
      <c r="C130" s="318"/>
      <c r="D130" s="318"/>
      <c r="E130" s="319"/>
      <c r="F130" s="320" t="s">
        <v>38</v>
      </c>
      <c r="G130" s="326"/>
      <c r="H130" s="321"/>
    </row>
    <row r="131" spans="1:8" ht="15.6" x14ac:dyDescent="0.3">
      <c r="A131" s="202" t="str">
        <f t="shared" si="1"/>
        <v/>
      </c>
      <c r="B131" s="317"/>
      <c r="C131" s="318"/>
      <c r="D131" s="318"/>
      <c r="E131" s="319"/>
      <c r="F131" s="320" t="s">
        <v>38</v>
      </c>
      <c r="G131" s="326"/>
      <c r="H131" s="321"/>
    </row>
    <row r="132" spans="1:8" ht="15.6" x14ac:dyDescent="0.3">
      <c r="A132" s="202" t="str">
        <f t="shared" si="1"/>
        <v/>
      </c>
      <c r="B132" s="317"/>
      <c r="C132" s="318"/>
      <c r="D132" s="318"/>
      <c r="E132" s="319"/>
      <c r="F132" s="320" t="s">
        <v>38</v>
      </c>
      <c r="G132" s="326"/>
      <c r="H132" s="321"/>
    </row>
    <row r="133" spans="1:8" ht="15.6" x14ac:dyDescent="0.3">
      <c r="A133" s="202" t="str">
        <f t="shared" si="1"/>
        <v/>
      </c>
      <c r="B133" s="317"/>
      <c r="C133" s="318"/>
      <c r="D133" s="318"/>
      <c r="E133" s="319"/>
      <c r="F133" s="320" t="s">
        <v>38</v>
      </c>
      <c r="G133" s="326"/>
      <c r="H133" s="321"/>
    </row>
    <row r="134" spans="1:8" ht="15.6" x14ac:dyDescent="0.3">
      <c r="A134" s="202" t="str">
        <f t="shared" si="1"/>
        <v/>
      </c>
      <c r="B134" s="317"/>
      <c r="C134" s="318"/>
      <c r="D134" s="318"/>
      <c r="E134" s="319"/>
      <c r="F134" s="320" t="s">
        <v>38</v>
      </c>
      <c r="G134" s="326"/>
      <c r="H134" s="321"/>
    </row>
    <row r="135" spans="1:8" ht="15.6" x14ac:dyDescent="0.3">
      <c r="A135" s="202" t="str">
        <f t="shared" si="1"/>
        <v/>
      </c>
      <c r="B135" s="317"/>
      <c r="C135" s="318"/>
      <c r="D135" s="318"/>
      <c r="E135" s="319"/>
      <c r="F135" s="320" t="s">
        <v>38</v>
      </c>
      <c r="G135" s="326"/>
      <c r="H135" s="321"/>
    </row>
    <row r="136" spans="1:8" ht="15.6" x14ac:dyDescent="0.3">
      <c r="A136" s="202" t="str">
        <f t="shared" si="1"/>
        <v/>
      </c>
      <c r="B136" s="317"/>
      <c r="C136" s="318"/>
      <c r="D136" s="318"/>
      <c r="E136" s="319"/>
      <c r="F136" s="320" t="s">
        <v>38</v>
      </c>
      <c r="G136" s="326"/>
      <c r="H136" s="321"/>
    </row>
    <row r="137" spans="1:8" ht="15.6" x14ac:dyDescent="0.3">
      <c r="A137" s="202" t="str">
        <f t="shared" si="1"/>
        <v/>
      </c>
      <c r="B137" s="317"/>
      <c r="C137" s="318"/>
      <c r="D137" s="318"/>
      <c r="E137" s="319"/>
      <c r="F137" s="320" t="s">
        <v>38</v>
      </c>
      <c r="G137" s="326"/>
      <c r="H137" s="321"/>
    </row>
    <row r="138" spans="1:8" ht="15.6" x14ac:dyDescent="0.3">
      <c r="A138" s="202" t="str">
        <f t="shared" si="1"/>
        <v/>
      </c>
      <c r="B138" s="317"/>
      <c r="C138" s="318"/>
      <c r="D138" s="318"/>
      <c r="E138" s="319"/>
      <c r="F138" s="320" t="s">
        <v>38</v>
      </c>
      <c r="G138" s="326"/>
      <c r="H138" s="321"/>
    </row>
    <row r="139" spans="1:8" ht="15.6" x14ac:dyDescent="0.3">
      <c r="A139" s="202" t="str">
        <f t="shared" si="1"/>
        <v/>
      </c>
      <c r="B139" s="317"/>
      <c r="C139" s="318"/>
      <c r="D139" s="318"/>
      <c r="E139" s="319"/>
      <c r="F139" s="320" t="s">
        <v>38</v>
      </c>
      <c r="G139" s="326"/>
      <c r="H139" s="321"/>
    </row>
    <row r="140" spans="1:8" ht="15.6" x14ac:dyDescent="0.3">
      <c r="A140" s="202" t="str">
        <f t="shared" si="1"/>
        <v/>
      </c>
      <c r="B140" s="317"/>
      <c r="C140" s="318"/>
      <c r="D140" s="318"/>
      <c r="E140" s="319"/>
      <c r="F140" s="320" t="s">
        <v>38</v>
      </c>
      <c r="G140" s="326"/>
      <c r="H140" s="321"/>
    </row>
    <row r="141" spans="1:8" ht="15.6" x14ac:dyDescent="0.3">
      <c r="A141" s="202" t="str">
        <f t="shared" si="1"/>
        <v/>
      </c>
      <c r="B141" s="317"/>
      <c r="C141" s="318"/>
      <c r="D141" s="318"/>
      <c r="E141" s="319"/>
      <c r="F141" s="320" t="s">
        <v>38</v>
      </c>
      <c r="G141" s="326"/>
      <c r="H141" s="321"/>
    </row>
    <row r="142" spans="1:8" ht="15.6" x14ac:dyDescent="0.3">
      <c r="A142" s="202" t="str">
        <f t="shared" si="1"/>
        <v/>
      </c>
      <c r="B142" s="317"/>
      <c r="C142" s="318"/>
      <c r="D142" s="318"/>
      <c r="E142" s="319"/>
      <c r="F142" s="320" t="s">
        <v>38</v>
      </c>
      <c r="G142" s="326"/>
      <c r="H142" s="321"/>
    </row>
    <row r="143" spans="1:8" ht="15.6" x14ac:dyDescent="0.3">
      <c r="A143" s="202" t="str">
        <f t="shared" si="1"/>
        <v/>
      </c>
      <c r="B143" s="317"/>
      <c r="C143" s="318"/>
      <c r="D143" s="318"/>
      <c r="E143" s="319"/>
      <c r="F143" s="320" t="s">
        <v>38</v>
      </c>
      <c r="G143" s="326"/>
      <c r="H143" s="321"/>
    </row>
    <row r="144" spans="1:8" ht="15.6" x14ac:dyDescent="0.3">
      <c r="B144" s="331"/>
      <c r="C144" s="331"/>
      <c r="D144" s="331"/>
      <c r="E144" s="331"/>
      <c r="F144" s="320" t="s">
        <v>38</v>
      </c>
      <c r="G144" s="326"/>
    </row>
  </sheetData>
  <protectedRanges>
    <protectedRange algorithmName="SHA-512" hashValue="foF8gH0nS+S1lHAjW1WbvEgX3KUjmiEqoDnecPoiPuDsP+Ot18BzAlxUZVOxQXPyOhHVchcYdqnWkqDJrL6OUA==" saltValue="HCzIQqioGpz5vQB5RV7liw==" spinCount="100000" sqref="B42:E143 B17:D41 E25:E41" name="Range2"/>
    <protectedRange algorithmName="SHA-512" hashValue="xKFlDps/UfbBgKUUnRT59NKBT1DrPj3QMPU4ds/b2LzUsbc8zTrwQ14IhRx6M1tgYpGOJzRT8gRzI7YcSu1EMA==" saltValue="fq2eGmfvyJuyEXbKWqD39g==" spinCount="100000" sqref="A80:G143 H80:H248 F144:G144 A42:E79 F17:H79 A17:D41 E25:E41" name="Sorteo"/>
  </protectedRanges>
  <sortState xmlns:xlrd2="http://schemas.microsoft.com/office/spreadsheetml/2017/richdata2" ref="B17:G41">
    <sortCondition ref="E17:E41"/>
    <sortCondition descending="1" ref="D17:D41"/>
    <sortCondition ref="C17:C41"/>
    <sortCondition ref="B17:B41"/>
  </sortState>
  <mergeCells count="29">
    <mergeCell ref="J16:L16"/>
    <mergeCell ref="G15:G16"/>
    <mergeCell ref="J12:J13"/>
    <mergeCell ref="A9:B9"/>
    <mergeCell ref="C9:I9"/>
    <mergeCell ref="D15:D16"/>
    <mergeCell ref="E15:E16"/>
    <mergeCell ref="F15:F16"/>
    <mergeCell ref="H14:I14"/>
    <mergeCell ref="A12:F13"/>
    <mergeCell ref="G12:I13"/>
    <mergeCell ref="B15:B16"/>
    <mergeCell ref="C15:C16"/>
    <mergeCell ref="A7:B7"/>
    <mergeCell ref="C7:I7"/>
    <mergeCell ref="A8:B8"/>
    <mergeCell ref="C8:I8"/>
    <mergeCell ref="J9:J10"/>
    <mergeCell ref="C1:I1"/>
    <mergeCell ref="A6:B6"/>
    <mergeCell ref="A5:B5"/>
    <mergeCell ref="C5:I5"/>
    <mergeCell ref="C6:I6"/>
    <mergeCell ref="A2:B2"/>
    <mergeCell ref="C2:I2"/>
    <mergeCell ref="C3:I3"/>
    <mergeCell ref="A4:B4"/>
    <mergeCell ref="A3:B3"/>
    <mergeCell ref="C4:I4"/>
  </mergeCells>
  <conditionalFormatting sqref="B17:B143">
    <cfRule type="duplicateValues" dxfId="410" priority="1121"/>
  </conditionalFormatting>
  <conditionalFormatting sqref="B17:B143">
    <cfRule type="duplicateValues" dxfId="409" priority="1124"/>
    <cfRule type="duplicateValues" dxfId="408" priority="1125"/>
  </conditionalFormatting>
  <conditionalFormatting sqref="C17:D41">
    <cfRule type="duplicateValues" dxfId="407" priority="1"/>
  </conditionalFormatting>
  <dataValidations disablePrompts="1" count="2">
    <dataValidation type="whole" allowBlank="1" showInputMessage="1" showErrorMessage="1" promptTitle="Groups build" prompt="Three (3) or four (4) players per group" sqref="E11" xr:uid="{00000000-0002-0000-0000-000000000000}">
      <formula1>3</formula1>
      <formula2>4</formula2>
    </dataValidation>
    <dataValidation type="list" allowBlank="1" showInputMessage="1" showErrorMessage="1" errorTitle="Advancin Players" error="2 or All" promptTitle="Advancing Players" prompt="Only 2 or All players advence to the single elimination phase" sqref="J12:J13" xr:uid="{00000000-0002-0000-0000-000001000000}">
      <formula1>$J$2:$J$3</formula1>
    </dataValidation>
  </dataValidations>
  <pageMargins left="0.7" right="0.7" top="1" bottom="0.75" header="0.3" footer="0.3"/>
  <pageSetup scale="56" fitToHeight="2" orientation="portrait" r:id="rId1"/>
  <headerFooter>
    <oddFooter>&amp;C&amp;P / &amp;N</oddFooter>
  </headerFooter>
  <rowBreaks count="1" manualBreakCount="1">
    <brk id="76"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ultiLevelSort">
                <anchor moveWithCells="1">
                  <from>
                    <xdr:col>4</xdr:col>
                    <xdr:colOff>22860</xdr:colOff>
                    <xdr:row>13</xdr:row>
                    <xdr:rowOff>22860</xdr:rowOff>
                  </from>
                  <to>
                    <xdr:col>5</xdr:col>
                    <xdr:colOff>533400</xdr:colOff>
                    <xdr:row>13</xdr:row>
                    <xdr:rowOff>236220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30485-E598-4ED2-B8FC-6CF36EB2B585}">
  <sheetPr codeName="Sheet4">
    <pageSetUpPr fitToPage="1"/>
  </sheetPr>
  <dimension ref="B1:Q138"/>
  <sheetViews>
    <sheetView workbookViewId="0"/>
  </sheetViews>
  <sheetFormatPr defaultRowHeight="14.4" x14ac:dyDescent="0.3"/>
  <cols>
    <col min="2" max="2" width="2.44140625" bestFit="1" customWidth="1"/>
    <col min="3" max="3" width="30" bestFit="1" customWidth="1"/>
    <col min="4" max="4" width="13.109375" bestFit="1" customWidth="1"/>
    <col min="5" max="5" width="11.5546875" bestFit="1" customWidth="1"/>
    <col min="6" max="6" width="15.44140625" bestFit="1" customWidth="1"/>
    <col min="7" max="7" width="17.109375" customWidth="1"/>
    <col min="8" max="8" width="12.44140625" bestFit="1" customWidth="1"/>
    <col min="13" max="13" width="25.44140625" bestFit="1" customWidth="1"/>
    <col min="14" max="14" width="4.88671875" bestFit="1" customWidth="1"/>
    <col min="16" max="16" width="23.109375" bestFit="1" customWidth="1"/>
  </cols>
  <sheetData>
    <row r="1" spans="2:17" ht="21" x14ac:dyDescent="0.4">
      <c r="C1" s="188" t="str">
        <f>Sorteo!C5</f>
        <v>Dobles Mixtos</v>
      </c>
    </row>
    <row r="2" spans="2:17" ht="21" x14ac:dyDescent="0.4">
      <c r="B2" s="182"/>
      <c r="C2" s="363" t="s">
        <v>10</v>
      </c>
      <c r="D2" s="363" t="s">
        <v>15</v>
      </c>
      <c r="E2" s="363"/>
      <c r="F2" s="363" t="s">
        <v>17</v>
      </c>
      <c r="G2" s="363" t="s">
        <v>18</v>
      </c>
      <c r="H2" s="182"/>
    </row>
    <row r="3" spans="2:17" ht="21" x14ac:dyDescent="0.4">
      <c r="B3" s="182"/>
      <c r="C3" s="363"/>
      <c r="D3" s="363"/>
      <c r="E3" s="363"/>
      <c r="F3" s="363"/>
      <c r="G3" s="363"/>
      <c r="H3" s="183" t="s">
        <v>4</v>
      </c>
      <c r="M3" t="s">
        <v>39</v>
      </c>
      <c r="N3" t="s">
        <v>40</v>
      </c>
      <c r="P3" t="s">
        <v>41</v>
      </c>
      <c r="Q3" t="s">
        <v>40</v>
      </c>
    </row>
    <row r="4" spans="2:17" ht="21" x14ac:dyDescent="0.4">
      <c r="B4" s="182" t="str">
        <f>IF((C4)&lt;&gt;"",B3+1,"")</f>
        <v/>
      </c>
      <c r="C4" s="184" t="str">
        <f>IF(Sorteo!B17&lt;&gt;"",Sorteo!B17,"")</f>
        <v/>
      </c>
      <c r="D4" s="182" t="str">
        <f>IF(C4&lt;&gt;"",VLOOKUP(C4,Ranking,2,FALSE),"")</f>
        <v/>
      </c>
      <c r="E4" s="182"/>
      <c r="F4" s="185">
        <f>Sorteo!F17</f>
        <v>0</v>
      </c>
      <c r="G4" s="186"/>
      <c r="H4" s="187">
        <f>Sorteo!H17</f>
        <v>0</v>
      </c>
      <c r="M4" t="s">
        <v>42</v>
      </c>
      <c r="N4" t="e">
        <v>#N/A</v>
      </c>
      <c r="P4" t="s">
        <v>43</v>
      </c>
      <c r="Q4" t="s">
        <v>44</v>
      </c>
    </row>
    <row r="5" spans="2:17" ht="21" x14ac:dyDescent="0.4">
      <c r="B5" s="182" t="str">
        <f t="shared" ref="B5:B68" si="0">IF((C5)&lt;&gt;"",B4+1,"")</f>
        <v/>
      </c>
      <c r="C5" s="184" t="str">
        <f>IF(Sorteo!B18&lt;&gt;"",Sorteo!B18,"")</f>
        <v/>
      </c>
      <c r="D5" s="182" t="str">
        <f>IF(C5&lt;&gt;"",VLOOKUP(C5,Ranking,2,FALSE),"")</f>
        <v/>
      </c>
      <c r="E5" s="182"/>
      <c r="F5" s="185">
        <f>Sorteo!F18</f>
        <v>0</v>
      </c>
      <c r="G5" s="186"/>
      <c r="H5" s="187">
        <f>Sorteo!H18</f>
        <v>0</v>
      </c>
      <c r="M5" t="s">
        <v>45</v>
      </c>
      <c r="N5" t="s">
        <v>44</v>
      </c>
      <c r="P5" t="s">
        <v>46</v>
      </c>
      <c r="Q5" t="s">
        <v>44</v>
      </c>
    </row>
    <row r="6" spans="2:17" ht="21" x14ac:dyDescent="0.4">
      <c r="B6" s="182" t="str">
        <f t="shared" si="0"/>
        <v/>
      </c>
      <c r="C6" s="184" t="str">
        <f>IF(Sorteo!B19&lt;&gt;"",Sorteo!B19,"")</f>
        <v/>
      </c>
      <c r="D6" s="182" t="str">
        <f>IF(C6&lt;&gt;"",VLOOKUP(C6,Ranking,2,FALSE),"")</f>
        <v/>
      </c>
      <c r="E6" s="182"/>
      <c r="F6" s="185">
        <f>Sorteo!F19</f>
        <v>0</v>
      </c>
      <c r="G6" s="186"/>
      <c r="H6" s="187">
        <f>Sorteo!H19</f>
        <v>0</v>
      </c>
      <c r="M6" t="s">
        <v>47</v>
      </c>
      <c r="N6" t="e">
        <v>#N/A</v>
      </c>
      <c r="P6" t="s">
        <v>48</v>
      </c>
      <c r="Q6" t="e">
        <v>#N/A</v>
      </c>
    </row>
    <row r="7" spans="2:17" ht="21" x14ac:dyDescent="0.4">
      <c r="B7" s="182" t="str">
        <f t="shared" si="0"/>
        <v/>
      </c>
      <c r="C7" s="184" t="str">
        <f>IF(Sorteo!B20&lt;&gt;"",Sorteo!B20,"")</f>
        <v/>
      </c>
      <c r="D7" s="182" t="str">
        <f>IF(C7&lt;&gt;"",VLOOKUP(C7,Ranking,2,FALSE),"")</f>
        <v/>
      </c>
      <c r="E7" s="182"/>
      <c r="F7" s="185">
        <f>Sorteo!F20</f>
        <v>0</v>
      </c>
      <c r="G7" s="186"/>
      <c r="H7" s="187">
        <f>Sorteo!H20</f>
        <v>0</v>
      </c>
      <c r="M7" t="s">
        <v>49</v>
      </c>
      <c r="N7" t="e">
        <v>#N/A</v>
      </c>
      <c r="P7" t="s">
        <v>50</v>
      </c>
      <c r="Q7" t="s">
        <v>44</v>
      </c>
    </row>
    <row r="8" spans="2:17" ht="21" x14ac:dyDescent="0.4">
      <c r="B8" s="182" t="e">
        <f t="shared" si="0"/>
        <v>#REF!</v>
      </c>
      <c r="C8" s="184" t="e">
        <f>IF(Sorteo!#REF!&lt;&gt;"",Sorteo!#REF!,"")</f>
        <v>#REF!</v>
      </c>
      <c r="F8" s="185">
        <f>Sorteo!F21</f>
        <v>0</v>
      </c>
      <c r="G8" s="186"/>
      <c r="H8" s="187">
        <f>Sorteo!H21</f>
        <v>0</v>
      </c>
      <c r="M8" t="s">
        <v>51</v>
      </c>
      <c r="N8" t="s">
        <v>44</v>
      </c>
      <c r="P8" t="s">
        <v>52</v>
      </c>
      <c r="Q8" t="s">
        <v>44</v>
      </c>
    </row>
    <row r="9" spans="2:17" ht="21" x14ac:dyDescent="0.4">
      <c r="B9" s="182" t="str">
        <f t="shared" si="0"/>
        <v/>
      </c>
      <c r="C9" s="184" t="str">
        <f>IF(Sorteo!B21&lt;&gt;"",Sorteo!B21,"")</f>
        <v/>
      </c>
      <c r="F9" s="185">
        <f>Sorteo!F22</f>
        <v>0</v>
      </c>
      <c r="G9" s="186"/>
      <c r="H9" s="187">
        <f>Sorteo!H22</f>
        <v>0</v>
      </c>
      <c r="M9" t="s">
        <v>53</v>
      </c>
      <c r="N9" t="s">
        <v>44</v>
      </c>
      <c r="P9" t="s">
        <v>54</v>
      </c>
      <c r="Q9" t="e">
        <v>#N/A</v>
      </c>
    </row>
    <row r="10" spans="2:17" ht="21" x14ac:dyDescent="0.4">
      <c r="B10" s="182" t="str">
        <f t="shared" si="0"/>
        <v/>
      </c>
      <c r="C10" s="184" t="str">
        <f>IF(Sorteo!B22&lt;&gt;"",Sorteo!B22,"")</f>
        <v/>
      </c>
      <c r="F10" s="185">
        <f>Sorteo!F23</f>
        <v>0</v>
      </c>
      <c r="G10" s="186"/>
      <c r="H10" s="187">
        <f>Sorteo!H23</f>
        <v>0</v>
      </c>
      <c r="M10" t="s">
        <v>55</v>
      </c>
      <c r="N10" t="s">
        <v>44</v>
      </c>
      <c r="P10" t="s">
        <v>56</v>
      </c>
      <c r="Q10" t="s">
        <v>44</v>
      </c>
    </row>
    <row r="11" spans="2:17" ht="21" x14ac:dyDescent="0.4">
      <c r="B11" s="182" t="str">
        <f t="shared" si="0"/>
        <v/>
      </c>
      <c r="C11" s="184" t="str">
        <f>IF(Sorteo!B36&lt;&gt;"",Sorteo!B36,"")</f>
        <v/>
      </c>
      <c r="F11" s="185">
        <f>Sorteo!F37</f>
        <v>0</v>
      </c>
      <c r="G11" s="186"/>
      <c r="H11" s="187">
        <f>Sorteo!H37</f>
        <v>0</v>
      </c>
      <c r="M11" t="s">
        <v>57</v>
      </c>
      <c r="N11" t="e">
        <v>#N/A</v>
      </c>
      <c r="P11" t="s">
        <v>58</v>
      </c>
      <c r="Q11" t="s">
        <v>44</v>
      </c>
    </row>
    <row r="12" spans="2:17" ht="21" x14ac:dyDescent="0.4">
      <c r="B12" s="182" t="str">
        <f t="shared" si="0"/>
        <v/>
      </c>
      <c r="C12" s="184" t="str">
        <f>IF(Sorteo!B23&lt;&gt;"",Sorteo!B23,"")</f>
        <v/>
      </c>
      <c r="F12" s="185">
        <f>Sorteo!F24</f>
        <v>0</v>
      </c>
      <c r="G12" s="186"/>
      <c r="H12" s="187">
        <f>Sorteo!H24</f>
        <v>0</v>
      </c>
      <c r="M12" t="s">
        <v>59</v>
      </c>
      <c r="N12" t="e">
        <v>#N/A</v>
      </c>
      <c r="P12" t="s">
        <v>60</v>
      </c>
      <c r="Q12" t="s">
        <v>44</v>
      </c>
    </row>
    <row r="13" spans="2:17" ht="21" x14ac:dyDescent="0.4">
      <c r="B13" s="182" t="str">
        <f t="shared" si="0"/>
        <v/>
      </c>
      <c r="C13" s="184" t="str">
        <f>IF(Sorteo!B24&lt;&gt;"",Sorteo!B24,"")</f>
        <v/>
      </c>
      <c r="F13" s="185">
        <f>Sorteo!F25</f>
        <v>0</v>
      </c>
      <c r="G13" s="186"/>
      <c r="H13" s="187">
        <f>Sorteo!H25</f>
        <v>0</v>
      </c>
      <c r="M13" t="s">
        <v>61</v>
      </c>
      <c r="N13" t="e">
        <v>#N/A</v>
      </c>
      <c r="P13" t="s">
        <v>62</v>
      </c>
      <c r="Q13" t="s">
        <v>44</v>
      </c>
    </row>
    <row r="14" spans="2:17" ht="21" x14ac:dyDescent="0.4">
      <c r="B14" s="182" t="str">
        <f t="shared" si="0"/>
        <v/>
      </c>
      <c r="C14" s="184" t="str">
        <f>IF(Sorteo!B25&lt;&gt;"",Sorteo!B25,"")</f>
        <v/>
      </c>
      <c r="F14" s="185">
        <f>Sorteo!F26</f>
        <v>0</v>
      </c>
      <c r="G14" s="186"/>
      <c r="H14" s="187">
        <f>Sorteo!H26</f>
        <v>0</v>
      </c>
      <c r="M14" t="s">
        <v>63</v>
      </c>
      <c r="N14" t="e">
        <v>#N/A</v>
      </c>
      <c r="P14" t="s">
        <v>64</v>
      </c>
      <c r="Q14" t="s">
        <v>44</v>
      </c>
    </row>
    <row r="15" spans="2:17" ht="21" x14ac:dyDescent="0.4">
      <c r="B15" s="182" t="str">
        <f t="shared" si="0"/>
        <v/>
      </c>
      <c r="C15" s="184" t="str">
        <f>IF(Sorteo!B26&lt;&gt;"",Sorteo!B26,"")</f>
        <v/>
      </c>
      <c r="F15" s="185">
        <f>Sorteo!F27</f>
        <v>0</v>
      </c>
      <c r="G15" s="186"/>
      <c r="H15" s="187">
        <f>Sorteo!H27</f>
        <v>0</v>
      </c>
      <c r="M15" t="s">
        <v>65</v>
      </c>
      <c r="N15" t="e">
        <v>#N/A</v>
      </c>
      <c r="P15" t="s">
        <v>66</v>
      </c>
      <c r="Q15" t="s">
        <v>44</v>
      </c>
    </row>
    <row r="16" spans="2:17" ht="21" x14ac:dyDescent="0.4">
      <c r="B16" s="182" t="str">
        <f t="shared" si="0"/>
        <v/>
      </c>
      <c r="C16" s="184" t="str">
        <f>IF(Sorteo!B27&lt;&gt;"",Sorteo!B27,"")</f>
        <v/>
      </c>
      <c r="F16" s="185">
        <f>Sorteo!F28</f>
        <v>0</v>
      </c>
      <c r="G16" s="186"/>
      <c r="H16" s="187">
        <f>Sorteo!H28</f>
        <v>0</v>
      </c>
      <c r="M16" t="s">
        <v>41</v>
      </c>
      <c r="N16" t="s">
        <v>44</v>
      </c>
      <c r="P16" t="s">
        <v>67</v>
      </c>
      <c r="Q16" t="s">
        <v>44</v>
      </c>
    </row>
    <row r="17" spans="2:17" ht="21" x14ac:dyDescent="0.4">
      <c r="B17" s="182" t="str">
        <f t="shared" si="0"/>
        <v/>
      </c>
      <c r="C17" s="184" t="str">
        <f>IF(Sorteo!B28&lt;&gt;"",Sorteo!B28,"")</f>
        <v/>
      </c>
      <c r="F17" s="185">
        <f>Sorteo!F29</f>
        <v>0</v>
      </c>
      <c r="G17" s="186"/>
      <c r="H17" s="187">
        <f>Sorteo!H29</f>
        <v>0</v>
      </c>
      <c r="M17" t="s">
        <v>68</v>
      </c>
      <c r="N17" t="e">
        <v>#N/A</v>
      </c>
      <c r="P17" t="s">
        <v>69</v>
      </c>
      <c r="Q17" t="s">
        <v>44</v>
      </c>
    </row>
    <row r="18" spans="2:17" ht="21" x14ac:dyDescent="0.4">
      <c r="B18" s="182" t="str">
        <f t="shared" si="0"/>
        <v/>
      </c>
      <c r="C18" s="184" t="str">
        <f>IF(Sorteo!B29&lt;&gt;"",Sorteo!B29,"")</f>
        <v/>
      </c>
      <c r="F18" s="185">
        <f>Sorteo!F30</f>
        <v>0</v>
      </c>
      <c r="G18" s="186"/>
      <c r="H18" s="187">
        <f>Sorteo!H30</f>
        <v>0</v>
      </c>
      <c r="M18" t="s">
        <v>70</v>
      </c>
      <c r="N18" t="e">
        <v>#N/A</v>
      </c>
      <c r="P18" t="s">
        <v>51</v>
      </c>
      <c r="Q18" t="s">
        <v>44</v>
      </c>
    </row>
    <row r="19" spans="2:17" ht="21" x14ac:dyDescent="0.4">
      <c r="B19" s="182" t="str">
        <f t="shared" si="0"/>
        <v/>
      </c>
      <c r="C19" s="184" t="str">
        <f>IF(Sorteo!B30&lt;&gt;"",Sorteo!B30,"")</f>
        <v/>
      </c>
      <c r="F19" s="185">
        <f>Sorteo!F31</f>
        <v>0</v>
      </c>
      <c r="G19" s="186"/>
      <c r="H19" s="187">
        <f>Sorteo!H31</f>
        <v>0</v>
      </c>
      <c r="M19" t="s">
        <v>71</v>
      </c>
      <c r="N19" t="e">
        <v>#N/A</v>
      </c>
      <c r="P19" t="s">
        <v>42</v>
      </c>
      <c r="Q19" t="s">
        <v>44</v>
      </c>
    </row>
    <row r="20" spans="2:17" ht="21" x14ac:dyDescent="0.4">
      <c r="B20" s="182" t="str">
        <f t="shared" si="0"/>
        <v/>
      </c>
      <c r="C20" s="184" t="str">
        <f>IF(Sorteo!B31&lt;&gt;"",Sorteo!B31,"")</f>
        <v/>
      </c>
      <c r="F20" s="185">
        <f>Sorteo!F32</f>
        <v>0</v>
      </c>
      <c r="G20" s="186"/>
      <c r="H20" s="187">
        <f>Sorteo!H32</f>
        <v>0</v>
      </c>
      <c r="M20" t="s">
        <v>43</v>
      </c>
      <c r="N20" t="s">
        <v>44</v>
      </c>
      <c r="Q20" t="s">
        <v>44</v>
      </c>
    </row>
    <row r="21" spans="2:17" ht="21" x14ac:dyDescent="0.4">
      <c r="B21" s="182" t="str">
        <f t="shared" si="0"/>
        <v/>
      </c>
      <c r="C21" s="184" t="str">
        <f>IF(Sorteo!B32&lt;&gt;"",Sorteo!B32,"")</f>
        <v/>
      </c>
      <c r="F21" s="185">
        <f>Sorteo!F33</f>
        <v>0</v>
      </c>
      <c r="G21" s="186"/>
      <c r="H21" s="187">
        <f>Sorteo!H33</f>
        <v>0</v>
      </c>
      <c r="M21" t="s">
        <v>72</v>
      </c>
      <c r="N21" t="s">
        <v>40</v>
      </c>
      <c r="Q21" t="s">
        <v>44</v>
      </c>
    </row>
    <row r="22" spans="2:17" ht="21" x14ac:dyDescent="0.4">
      <c r="B22" s="182" t="str">
        <f t="shared" si="0"/>
        <v/>
      </c>
      <c r="C22" s="184" t="str">
        <f>IF(Sorteo!B33&lt;&gt;"",Sorteo!B33,"")</f>
        <v/>
      </c>
      <c r="F22" s="185">
        <f>Sorteo!F34</f>
        <v>0</v>
      </c>
      <c r="G22" s="186"/>
      <c r="H22" s="187">
        <f>Sorteo!H34</f>
        <v>0</v>
      </c>
      <c r="M22" t="s">
        <v>73</v>
      </c>
      <c r="N22" t="e">
        <v>#N/A</v>
      </c>
      <c r="Q22" t="s">
        <v>44</v>
      </c>
    </row>
    <row r="23" spans="2:17" ht="21" x14ac:dyDescent="0.4">
      <c r="B23" s="182" t="str">
        <f t="shared" si="0"/>
        <v/>
      </c>
      <c r="C23" s="184" t="str">
        <f>IF(Sorteo!B34&lt;&gt;"",Sorteo!B34,"")</f>
        <v/>
      </c>
      <c r="F23" s="185">
        <f>Sorteo!F35</f>
        <v>0</v>
      </c>
      <c r="G23" s="186"/>
      <c r="H23" s="187">
        <f>Sorteo!H35</f>
        <v>0</v>
      </c>
      <c r="M23" t="s">
        <v>74</v>
      </c>
      <c r="N23" t="e">
        <v>#N/A</v>
      </c>
      <c r="Q23" t="e">
        <v>#N/A</v>
      </c>
    </row>
    <row r="24" spans="2:17" ht="21" x14ac:dyDescent="0.4">
      <c r="B24" s="182" t="str">
        <f t="shared" si="0"/>
        <v/>
      </c>
      <c r="C24" s="184" t="str">
        <f>IF(Sorteo!B35&lt;&gt;"",Sorteo!B35,"")</f>
        <v/>
      </c>
      <c r="F24" s="185">
        <f>Sorteo!F36</f>
        <v>0</v>
      </c>
      <c r="G24" s="186"/>
      <c r="H24" s="187">
        <f>Sorteo!H36</f>
        <v>0</v>
      </c>
      <c r="M24" t="s">
        <v>46</v>
      </c>
      <c r="N24" t="e">
        <v>#N/A</v>
      </c>
      <c r="Q24" t="e">
        <v>#N/A</v>
      </c>
    </row>
    <row r="25" spans="2:17" ht="21" x14ac:dyDescent="0.4">
      <c r="B25" s="182" t="e">
        <f t="shared" si="0"/>
        <v>#REF!</v>
      </c>
      <c r="C25" s="184" t="e">
        <f>IF(Sorteo!#REF!&lt;&gt;"",Sorteo!#REF!,"")</f>
        <v>#REF!</v>
      </c>
      <c r="F25" s="185" t="e">
        <f>Sorteo!#REF!</f>
        <v>#REF!</v>
      </c>
      <c r="G25" s="186"/>
      <c r="H25" s="187" t="e">
        <f>Sorteo!#REF!</f>
        <v>#REF!</v>
      </c>
      <c r="M25" t="s">
        <v>48</v>
      </c>
      <c r="N25" t="s">
        <v>44</v>
      </c>
      <c r="Q25" t="e">
        <v>#N/A</v>
      </c>
    </row>
    <row r="26" spans="2:17" ht="21" x14ac:dyDescent="0.4">
      <c r="B26" s="182" t="str">
        <f t="shared" si="0"/>
        <v/>
      </c>
      <c r="C26" s="184" t="str">
        <f>IF(Sorteo!B37&lt;&gt;"",Sorteo!B37,"")</f>
        <v/>
      </c>
      <c r="F26" s="185">
        <f>Sorteo!F38</f>
        <v>0</v>
      </c>
      <c r="G26" s="186"/>
      <c r="H26" s="187">
        <f>Sorteo!H38</f>
        <v>0</v>
      </c>
      <c r="M26" t="s">
        <v>50</v>
      </c>
      <c r="N26" t="s">
        <v>44</v>
      </c>
      <c r="Q26" t="s">
        <v>44</v>
      </c>
    </row>
    <row r="27" spans="2:17" ht="21" x14ac:dyDescent="0.4">
      <c r="B27" s="182" t="str">
        <f t="shared" si="0"/>
        <v/>
      </c>
      <c r="C27" s="184" t="str">
        <f>IF(Sorteo!B38&lt;&gt;"",Sorteo!B38,"")</f>
        <v/>
      </c>
      <c r="F27" s="185">
        <f>Sorteo!F39</f>
        <v>0</v>
      </c>
      <c r="G27" s="186"/>
      <c r="H27" s="187">
        <f>Sorteo!H39</f>
        <v>0</v>
      </c>
      <c r="M27" t="s">
        <v>75</v>
      </c>
      <c r="N27" t="e">
        <v>#N/A</v>
      </c>
      <c r="Q27" t="e">
        <v>#N/A</v>
      </c>
    </row>
    <row r="28" spans="2:17" ht="21" x14ac:dyDescent="0.4">
      <c r="B28" s="182" t="str">
        <f t="shared" si="0"/>
        <v/>
      </c>
      <c r="C28" s="184" t="str">
        <f>IF(Sorteo!B39&lt;&gt;"",Sorteo!B39,"")</f>
        <v/>
      </c>
      <c r="F28" s="185">
        <f>Sorteo!F40</f>
        <v>0</v>
      </c>
      <c r="G28" s="186"/>
      <c r="H28" s="187">
        <f>Sorteo!H40</f>
        <v>0</v>
      </c>
      <c r="M28" t="s">
        <v>76</v>
      </c>
      <c r="N28" t="e">
        <v>#N/A</v>
      </c>
      <c r="Q28" t="e">
        <v>#N/A</v>
      </c>
    </row>
    <row r="29" spans="2:17" ht="21" x14ac:dyDescent="0.4">
      <c r="B29" s="182" t="str">
        <f t="shared" si="0"/>
        <v/>
      </c>
      <c r="C29" s="184" t="str">
        <f>IF(Sorteo!B40&lt;&gt;"",Sorteo!B40,"")</f>
        <v/>
      </c>
      <c r="F29" s="185">
        <f>Sorteo!F41</f>
        <v>0</v>
      </c>
      <c r="G29" s="186"/>
      <c r="H29" s="187">
        <f>Sorteo!H41</f>
        <v>0</v>
      </c>
      <c r="M29" t="s">
        <v>77</v>
      </c>
      <c r="N29" t="e">
        <v>#N/A</v>
      </c>
      <c r="Q29" t="e">
        <v>#N/A</v>
      </c>
    </row>
    <row r="30" spans="2:17" ht="21" x14ac:dyDescent="0.4">
      <c r="B30" s="182" t="str">
        <f t="shared" si="0"/>
        <v/>
      </c>
      <c r="C30" s="184" t="str">
        <f>IF(Sorteo!B41&lt;&gt;"",Sorteo!B41,"")</f>
        <v/>
      </c>
      <c r="F30" s="185">
        <f>Sorteo!F42</f>
        <v>0</v>
      </c>
      <c r="G30" s="186"/>
      <c r="H30" s="187">
        <f>Sorteo!H42</f>
        <v>0</v>
      </c>
      <c r="M30" t="s">
        <v>78</v>
      </c>
      <c r="N30" t="e">
        <v>#N/A</v>
      </c>
      <c r="Q30" t="e">
        <v>#N/A</v>
      </c>
    </row>
    <row r="31" spans="2:17" ht="21" x14ac:dyDescent="0.4">
      <c r="B31" s="182" t="str">
        <f t="shared" si="0"/>
        <v/>
      </c>
      <c r="C31" s="184" t="str">
        <f>IF(Sorteo!B42&lt;&gt;"",Sorteo!B42,"")</f>
        <v/>
      </c>
      <c r="F31" s="185">
        <f>Sorteo!F43</f>
        <v>0</v>
      </c>
      <c r="G31" s="186"/>
      <c r="H31" s="187">
        <f>Sorteo!H43</f>
        <v>0</v>
      </c>
      <c r="M31" t="s">
        <v>79</v>
      </c>
      <c r="N31" t="e">
        <v>#N/A</v>
      </c>
      <c r="Q31" t="e">
        <v>#N/A</v>
      </c>
    </row>
    <row r="32" spans="2:17" ht="21" x14ac:dyDescent="0.4">
      <c r="B32" s="182" t="str">
        <f t="shared" si="0"/>
        <v/>
      </c>
      <c r="C32" s="184" t="str">
        <f>IF(Sorteo!B43&lt;&gt;"",Sorteo!B43,"")</f>
        <v/>
      </c>
      <c r="F32" s="185">
        <f>Sorteo!F44</f>
        <v>0</v>
      </c>
      <c r="G32" s="186"/>
      <c r="H32" s="187">
        <f>Sorteo!H44</f>
        <v>0</v>
      </c>
      <c r="M32" t="s">
        <v>80</v>
      </c>
      <c r="N32" t="e">
        <v>#N/A</v>
      </c>
      <c r="Q32" t="e">
        <v>#N/A</v>
      </c>
    </row>
    <row r="33" spans="2:17" ht="21" x14ac:dyDescent="0.4">
      <c r="B33" s="182" t="str">
        <f t="shared" si="0"/>
        <v/>
      </c>
      <c r="C33" s="184" t="str">
        <f>IF(Sorteo!B44&lt;&gt;"",Sorteo!B44,"")</f>
        <v/>
      </c>
      <c r="F33" s="185">
        <f>Sorteo!F45</f>
        <v>0</v>
      </c>
      <c r="G33" s="186"/>
      <c r="H33" s="187">
        <f>Sorteo!H45</f>
        <v>0</v>
      </c>
      <c r="M33" t="s">
        <v>52</v>
      </c>
      <c r="N33" t="s">
        <v>44</v>
      </c>
      <c r="Q33" t="e">
        <v>#N/A</v>
      </c>
    </row>
    <row r="34" spans="2:17" ht="21" x14ac:dyDescent="0.4">
      <c r="B34" s="182" t="str">
        <f t="shared" si="0"/>
        <v/>
      </c>
      <c r="C34" s="184" t="str">
        <f>IF(Sorteo!B45&lt;&gt;"",Sorteo!B45,"")</f>
        <v/>
      </c>
      <c r="F34" s="185">
        <f>Sorteo!F46</f>
        <v>0</v>
      </c>
      <c r="G34" s="186"/>
      <c r="H34" s="187">
        <f>Sorteo!H46</f>
        <v>0</v>
      </c>
      <c r="M34" t="s">
        <v>81</v>
      </c>
      <c r="N34" t="e">
        <v>#N/A</v>
      </c>
      <c r="Q34" t="s">
        <v>40</v>
      </c>
    </row>
    <row r="35" spans="2:17" ht="21" x14ac:dyDescent="0.4">
      <c r="B35" s="182" t="str">
        <f t="shared" si="0"/>
        <v/>
      </c>
      <c r="C35" s="184" t="str">
        <f>IF(Sorteo!B46&lt;&gt;"",Sorteo!B46,"")</f>
        <v/>
      </c>
      <c r="F35" s="185">
        <f>Sorteo!F47</f>
        <v>0</v>
      </c>
      <c r="G35" s="186"/>
      <c r="H35" s="187">
        <f>Sorteo!H47</f>
        <v>0</v>
      </c>
      <c r="M35" t="s">
        <v>82</v>
      </c>
      <c r="N35" t="s">
        <v>44</v>
      </c>
      <c r="Q35" t="e">
        <v>#N/A</v>
      </c>
    </row>
    <row r="36" spans="2:17" ht="21" x14ac:dyDescent="0.4">
      <c r="B36" s="182" t="str">
        <f t="shared" si="0"/>
        <v/>
      </c>
      <c r="C36" s="184" t="str">
        <f>IF(Sorteo!B47&lt;&gt;"",Sorteo!B47,"")</f>
        <v/>
      </c>
      <c r="F36" s="185">
        <f>Sorteo!F48</f>
        <v>0</v>
      </c>
      <c r="G36" s="186"/>
      <c r="H36" s="187">
        <f>Sorteo!H48</f>
        <v>0</v>
      </c>
      <c r="M36" t="s">
        <v>54</v>
      </c>
      <c r="N36" t="s">
        <v>44</v>
      </c>
      <c r="Q36" t="e">
        <v>#N/A</v>
      </c>
    </row>
    <row r="37" spans="2:17" ht="21" x14ac:dyDescent="0.4">
      <c r="B37" s="182" t="str">
        <f t="shared" si="0"/>
        <v/>
      </c>
      <c r="C37" s="184" t="str">
        <f>IF(Sorteo!B48&lt;&gt;"",Sorteo!B48,"")</f>
        <v/>
      </c>
      <c r="F37" s="185">
        <f>Sorteo!F49</f>
        <v>0</v>
      </c>
      <c r="G37" s="186"/>
      <c r="H37" s="187">
        <f>Sorteo!H49</f>
        <v>0</v>
      </c>
      <c r="M37" t="s">
        <v>56</v>
      </c>
      <c r="N37" t="s">
        <v>44</v>
      </c>
      <c r="Q37" t="e">
        <v>#N/A</v>
      </c>
    </row>
    <row r="38" spans="2:17" ht="21" x14ac:dyDescent="0.4">
      <c r="B38" s="182" t="str">
        <f t="shared" si="0"/>
        <v/>
      </c>
      <c r="C38" s="184" t="str">
        <f>IF(Sorteo!B49&lt;&gt;"",Sorteo!B49,"")</f>
        <v/>
      </c>
      <c r="F38" s="185">
        <f>Sorteo!F50</f>
        <v>0</v>
      </c>
      <c r="G38" s="186"/>
      <c r="H38" s="187">
        <f>Sorteo!H50</f>
        <v>0</v>
      </c>
      <c r="M38" t="s">
        <v>83</v>
      </c>
      <c r="N38" t="e">
        <v>#N/A</v>
      </c>
      <c r="Q38" t="e">
        <v>#N/A</v>
      </c>
    </row>
    <row r="39" spans="2:17" ht="21" x14ac:dyDescent="0.4">
      <c r="B39" s="182" t="str">
        <f t="shared" si="0"/>
        <v/>
      </c>
      <c r="C39" s="184" t="str">
        <f>IF(Sorteo!B50&lt;&gt;"",Sorteo!B50,"")</f>
        <v/>
      </c>
      <c r="F39" s="185">
        <f>Sorteo!F51</f>
        <v>0</v>
      </c>
      <c r="G39" s="186"/>
      <c r="H39" s="187">
        <f>Sorteo!H51</f>
        <v>0</v>
      </c>
      <c r="M39" t="s">
        <v>58</v>
      </c>
      <c r="N39" t="s">
        <v>44</v>
      </c>
      <c r="Q39" t="e">
        <v>#N/A</v>
      </c>
    </row>
    <row r="40" spans="2:17" ht="21" x14ac:dyDescent="0.4">
      <c r="B40" s="182" t="str">
        <f t="shared" si="0"/>
        <v/>
      </c>
      <c r="C40" s="184" t="str">
        <f>IF(Sorteo!B51&lt;&gt;"",Sorteo!B51,"")</f>
        <v/>
      </c>
      <c r="F40" s="185">
        <f>Sorteo!F52</f>
        <v>0</v>
      </c>
      <c r="G40" s="186"/>
      <c r="H40" s="187">
        <f>Sorteo!H52</f>
        <v>0</v>
      </c>
      <c r="M40" t="s">
        <v>60</v>
      </c>
      <c r="N40" t="s">
        <v>44</v>
      </c>
      <c r="Q40" t="e">
        <v>#N/A</v>
      </c>
    </row>
    <row r="41" spans="2:17" ht="21" x14ac:dyDescent="0.4">
      <c r="B41" s="182" t="str">
        <f t="shared" si="0"/>
        <v/>
      </c>
      <c r="C41" s="184" t="str">
        <f>IF(Sorteo!B52&lt;&gt;"",Sorteo!B52,"")</f>
        <v/>
      </c>
      <c r="F41" s="185">
        <f>Sorteo!F53</f>
        <v>0</v>
      </c>
      <c r="G41" s="186"/>
      <c r="H41" s="187">
        <f>Sorteo!H53</f>
        <v>0</v>
      </c>
      <c r="M41" t="s">
        <v>62</v>
      </c>
      <c r="N41" t="s">
        <v>44</v>
      </c>
      <c r="Q41" t="e">
        <v>#N/A</v>
      </c>
    </row>
    <row r="42" spans="2:17" ht="21" x14ac:dyDescent="0.4">
      <c r="B42" s="182" t="str">
        <f t="shared" si="0"/>
        <v/>
      </c>
      <c r="C42" s="184" t="str">
        <f>IF(Sorteo!B53&lt;&gt;"",Sorteo!B53,"")</f>
        <v/>
      </c>
      <c r="F42" s="185">
        <f>Sorteo!F54</f>
        <v>0</v>
      </c>
      <c r="G42" s="186"/>
      <c r="H42" s="187">
        <f>Sorteo!H54</f>
        <v>0</v>
      </c>
      <c r="M42" t="s">
        <v>84</v>
      </c>
      <c r="N42" t="e">
        <v>#N/A</v>
      </c>
      <c r="Q42" t="e">
        <v>#N/A</v>
      </c>
    </row>
    <row r="43" spans="2:17" ht="21" x14ac:dyDescent="0.4">
      <c r="B43" s="182" t="str">
        <f t="shared" si="0"/>
        <v/>
      </c>
      <c r="C43" s="184" t="str">
        <f>IF(Sorteo!B54&lt;&gt;"",Sorteo!B54,"")</f>
        <v/>
      </c>
      <c r="F43" s="185">
        <f>Sorteo!F55</f>
        <v>0</v>
      </c>
      <c r="G43" s="186"/>
      <c r="H43" s="187">
        <f>Sorteo!H55</f>
        <v>0</v>
      </c>
      <c r="M43" t="s">
        <v>64</v>
      </c>
      <c r="N43" t="s">
        <v>44</v>
      </c>
      <c r="Q43" t="e">
        <v>#N/A</v>
      </c>
    </row>
    <row r="44" spans="2:17" ht="21" x14ac:dyDescent="0.4">
      <c r="B44" s="182" t="str">
        <f t="shared" si="0"/>
        <v/>
      </c>
      <c r="C44" s="184" t="str">
        <f>IF(Sorteo!B55&lt;&gt;"",Sorteo!B55,"")</f>
        <v/>
      </c>
      <c r="F44" s="185">
        <f>Sorteo!F56</f>
        <v>0</v>
      </c>
      <c r="G44" s="186"/>
      <c r="H44" s="187">
        <f>Sorteo!H56</f>
        <v>0</v>
      </c>
      <c r="M44" t="s">
        <v>66</v>
      </c>
      <c r="N44" t="s">
        <v>44</v>
      </c>
      <c r="Q44" t="s">
        <v>44</v>
      </c>
    </row>
    <row r="45" spans="2:17" ht="21" x14ac:dyDescent="0.4">
      <c r="B45" s="182" t="str">
        <f t="shared" si="0"/>
        <v/>
      </c>
      <c r="C45" s="184" t="str">
        <f>IF(Sorteo!B56&lt;&gt;"",Sorteo!B56,"")</f>
        <v/>
      </c>
      <c r="F45" s="185">
        <f>Sorteo!F57</f>
        <v>0</v>
      </c>
      <c r="G45" s="186"/>
      <c r="H45" s="187">
        <f>Sorteo!H57</f>
        <v>0</v>
      </c>
      <c r="M45" t="s">
        <v>85</v>
      </c>
      <c r="N45" t="e">
        <v>#N/A</v>
      </c>
      <c r="Q45" t="e">
        <v>#N/A</v>
      </c>
    </row>
    <row r="46" spans="2:17" ht="21" x14ac:dyDescent="0.4">
      <c r="B46" s="182" t="e">
        <f t="shared" si="0"/>
        <v>#REF!</v>
      </c>
      <c r="C46" s="184" t="e">
        <f>IF(Sorteo!#REF!&lt;&gt;"",Sorteo!#REF!,"")</f>
        <v>#REF!</v>
      </c>
      <c r="F46" s="185">
        <f>Sorteo!F58</f>
        <v>0</v>
      </c>
      <c r="G46" s="186"/>
      <c r="H46" s="187">
        <f>Sorteo!H58</f>
        <v>0</v>
      </c>
      <c r="M46" t="s">
        <v>86</v>
      </c>
      <c r="N46" t="s">
        <v>44</v>
      </c>
      <c r="Q46" t="e">
        <v>#N/A</v>
      </c>
    </row>
    <row r="47" spans="2:17" ht="21" x14ac:dyDescent="0.4">
      <c r="B47" s="182" t="e">
        <f t="shared" si="0"/>
        <v>#REF!</v>
      </c>
      <c r="C47" s="184" t="e">
        <f>IF(Sorteo!#REF!&lt;&gt;"",Sorteo!#REF!,"")</f>
        <v>#REF!</v>
      </c>
      <c r="F47" s="185">
        <f>Sorteo!F59</f>
        <v>0</v>
      </c>
      <c r="G47" s="186"/>
      <c r="H47" s="187">
        <f>Sorteo!H59</f>
        <v>0</v>
      </c>
      <c r="M47" t="s">
        <v>67</v>
      </c>
      <c r="N47" t="s">
        <v>44</v>
      </c>
      <c r="Q47" t="e">
        <v>#N/A</v>
      </c>
    </row>
    <row r="48" spans="2:17" ht="21" x14ac:dyDescent="0.4">
      <c r="B48" s="182" t="str">
        <f t="shared" si="0"/>
        <v/>
      </c>
      <c r="C48" s="184" t="str">
        <f>IF(Sorteo!B57&lt;&gt;"",Sorteo!B57,"")</f>
        <v/>
      </c>
      <c r="F48" s="185">
        <f>Sorteo!F60</f>
        <v>0</v>
      </c>
      <c r="G48" s="186"/>
      <c r="H48" s="187">
        <f>Sorteo!H60</f>
        <v>0</v>
      </c>
      <c r="M48" t="s">
        <v>87</v>
      </c>
      <c r="N48" t="e">
        <v>#N/A</v>
      </c>
      <c r="Q48" t="s">
        <v>44</v>
      </c>
    </row>
    <row r="49" spans="2:17" ht="21" x14ac:dyDescent="0.4">
      <c r="B49" s="182" t="e">
        <f t="shared" si="0"/>
        <v>#REF!</v>
      </c>
      <c r="C49" s="184" t="e">
        <f>IF(Sorteo!#REF!&lt;&gt;"",Sorteo!#REF!,"")</f>
        <v>#REF!</v>
      </c>
      <c r="F49" s="185">
        <f>Sorteo!F61</f>
        <v>0</v>
      </c>
      <c r="G49" s="186"/>
      <c r="H49" s="187">
        <f>Sorteo!H61</f>
        <v>0</v>
      </c>
      <c r="M49" t="s">
        <v>69</v>
      </c>
      <c r="N49" t="s">
        <v>44</v>
      </c>
      <c r="Q49" t="e">
        <v>#N/A</v>
      </c>
    </row>
    <row r="50" spans="2:17" ht="21" x14ac:dyDescent="0.4">
      <c r="B50" s="182" t="e">
        <f t="shared" si="0"/>
        <v>#REF!</v>
      </c>
      <c r="C50" s="184" t="e">
        <f>IF(Sorteo!#REF!&lt;&gt;"",Sorteo!#REF!,"")</f>
        <v>#REF!</v>
      </c>
      <c r="F50" s="185">
        <f>Sorteo!F62</f>
        <v>0</v>
      </c>
      <c r="G50" s="186"/>
      <c r="H50" s="187">
        <f>Sorteo!H62</f>
        <v>0</v>
      </c>
      <c r="M50" t="s">
        <v>88</v>
      </c>
      <c r="N50" t="e">
        <v>#N/A</v>
      </c>
      <c r="Q50" t="e">
        <v>#N/A</v>
      </c>
    </row>
    <row r="51" spans="2:17" ht="21" x14ac:dyDescent="0.4">
      <c r="B51" s="182" t="str">
        <f t="shared" si="0"/>
        <v/>
      </c>
      <c r="C51" s="184" t="str">
        <f>IF(Sorteo!B58&lt;&gt;"",Sorteo!B58,"")</f>
        <v/>
      </c>
      <c r="F51" s="185">
        <f>Sorteo!F63</f>
        <v>0</v>
      </c>
      <c r="G51" s="186"/>
      <c r="H51" s="187">
        <f>Sorteo!H63</f>
        <v>0</v>
      </c>
      <c r="M51" t="s">
        <v>89</v>
      </c>
      <c r="N51" t="e">
        <v>#N/A</v>
      </c>
      <c r="Q51" t="e">
        <v>#N/A</v>
      </c>
    </row>
    <row r="52" spans="2:17" ht="21" x14ac:dyDescent="0.4">
      <c r="B52" s="182" t="str">
        <f t="shared" si="0"/>
        <v/>
      </c>
      <c r="C52" s="184" t="str">
        <f>IF(Sorteo!B59&lt;&gt;"",Sorteo!B59,"")</f>
        <v/>
      </c>
      <c r="F52" s="185">
        <f>Sorteo!F64</f>
        <v>0</v>
      </c>
      <c r="G52" s="186"/>
      <c r="H52" s="187">
        <f>Sorteo!H64</f>
        <v>0</v>
      </c>
    </row>
    <row r="53" spans="2:17" ht="21" x14ac:dyDescent="0.4">
      <c r="B53" s="182" t="str">
        <f t="shared" si="0"/>
        <v/>
      </c>
      <c r="C53" s="184" t="str">
        <f>IF(Sorteo!B60&lt;&gt;"",Sorteo!B60,"")</f>
        <v/>
      </c>
      <c r="F53" s="185">
        <f>Sorteo!F65</f>
        <v>0</v>
      </c>
      <c r="G53" s="186"/>
      <c r="H53" s="187">
        <f>Sorteo!H65</f>
        <v>0</v>
      </c>
    </row>
    <row r="54" spans="2:17" ht="21" x14ac:dyDescent="0.4">
      <c r="B54" s="182" t="str">
        <f t="shared" si="0"/>
        <v/>
      </c>
      <c r="C54" s="184" t="str">
        <f>IF(Sorteo!B61&lt;&gt;"",Sorteo!B61,"")</f>
        <v/>
      </c>
      <c r="F54" s="185">
        <f>Sorteo!F66</f>
        <v>0</v>
      </c>
      <c r="G54" s="186"/>
      <c r="H54" s="187">
        <f>Sorteo!H66</f>
        <v>0</v>
      </c>
    </row>
    <row r="55" spans="2:17" ht="21" x14ac:dyDescent="0.4">
      <c r="B55" s="182" t="str">
        <f t="shared" si="0"/>
        <v/>
      </c>
      <c r="C55" s="184" t="str">
        <f>IF(Sorteo!B62&lt;&gt;"",Sorteo!B62,"")</f>
        <v/>
      </c>
      <c r="F55" s="185">
        <f>Sorteo!F67</f>
        <v>0</v>
      </c>
      <c r="G55" s="186"/>
      <c r="H55" s="187">
        <f>Sorteo!H67</f>
        <v>0</v>
      </c>
    </row>
    <row r="56" spans="2:17" ht="21" x14ac:dyDescent="0.4">
      <c r="B56" s="182" t="str">
        <f t="shared" si="0"/>
        <v/>
      </c>
      <c r="C56" s="184" t="str">
        <f>IF(Sorteo!B63&lt;&gt;"",Sorteo!B63,"")</f>
        <v/>
      </c>
      <c r="F56" s="185">
        <f>Sorteo!F68</f>
        <v>0</v>
      </c>
      <c r="G56" s="186"/>
      <c r="H56" s="187">
        <f>Sorteo!H68</f>
        <v>0</v>
      </c>
    </row>
    <row r="57" spans="2:17" ht="21" x14ac:dyDescent="0.4">
      <c r="B57" s="182" t="str">
        <f t="shared" si="0"/>
        <v/>
      </c>
      <c r="C57" s="184" t="str">
        <f>IF(Sorteo!B64&lt;&gt;"",Sorteo!B64,"")</f>
        <v/>
      </c>
      <c r="F57" s="185">
        <f>Sorteo!F69</f>
        <v>0</v>
      </c>
      <c r="G57" s="186"/>
      <c r="H57" s="187">
        <f>Sorteo!H69</f>
        <v>0</v>
      </c>
    </row>
    <row r="58" spans="2:17" ht="21" x14ac:dyDescent="0.4">
      <c r="B58" s="182" t="str">
        <f t="shared" si="0"/>
        <v/>
      </c>
      <c r="C58" s="184" t="str">
        <f>IF(Sorteo!B65&lt;&gt;"",Sorteo!B65,"")</f>
        <v/>
      </c>
      <c r="F58" s="185">
        <f>Sorteo!F70</f>
        <v>0</v>
      </c>
      <c r="G58" s="186"/>
      <c r="H58" s="187">
        <f>Sorteo!H70</f>
        <v>0</v>
      </c>
    </row>
    <row r="59" spans="2:17" ht="21" x14ac:dyDescent="0.4">
      <c r="B59" s="182" t="str">
        <f t="shared" si="0"/>
        <v/>
      </c>
      <c r="C59" s="184" t="str">
        <f>IF(Sorteo!B66&lt;&gt;"",Sorteo!B66,"")</f>
        <v/>
      </c>
      <c r="F59" s="185">
        <f>Sorteo!F71</f>
        <v>0</v>
      </c>
      <c r="G59" s="186"/>
      <c r="H59" s="187">
        <f>Sorteo!H71</f>
        <v>0</v>
      </c>
    </row>
    <row r="60" spans="2:17" ht="21" x14ac:dyDescent="0.4">
      <c r="B60" s="182" t="str">
        <f t="shared" si="0"/>
        <v/>
      </c>
      <c r="C60" s="184" t="str">
        <f>IF(Sorteo!B67&lt;&gt;"",Sorteo!B67,"")</f>
        <v/>
      </c>
      <c r="F60" s="185">
        <f>Sorteo!F72</f>
        <v>0</v>
      </c>
      <c r="G60" s="186"/>
      <c r="H60" s="187">
        <f>Sorteo!H72</f>
        <v>0</v>
      </c>
    </row>
    <row r="61" spans="2:17" ht="21" x14ac:dyDescent="0.4">
      <c r="B61" s="182" t="str">
        <f t="shared" si="0"/>
        <v/>
      </c>
      <c r="C61" s="184" t="str">
        <f>IF(Sorteo!B68&lt;&gt;"",Sorteo!B68,"")</f>
        <v/>
      </c>
      <c r="F61" s="185">
        <f>Sorteo!F73</f>
        <v>0</v>
      </c>
      <c r="G61" s="186"/>
      <c r="H61" s="187">
        <f>Sorteo!H73</f>
        <v>0</v>
      </c>
    </row>
    <row r="62" spans="2:17" ht="21" x14ac:dyDescent="0.4">
      <c r="B62" s="182" t="str">
        <f t="shared" si="0"/>
        <v/>
      </c>
      <c r="C62" s="184" t="str">
        <f>IF(Sorteo!B69&lt;&gt;"",Sorteo!B69,"")</f>
        <v/>
      </c>
      <c r="F62" s="185">
        <f>Sorteo!F74</f>
        <v>0</v>
      </c>
      <c r="G62" s="186"/>
      <c r="H62" s="187">
        <f>Sorteo!H74</f>
        <v>0</v>
      </c>
    </row>
    <row r="63" spans="2:17" ht="21" x14ac:dyDescent="0.4">
      <c r="B63" s="182" t="str">
        <f t="shared" si="0"/>
        <v/>
      </c>
      <c r="C63" s="184" t="str">
        <f>IF(Sorteo!B75&lt;&gt;"",Sorteo!B75,"")</f>
        <v/>
      </c>
      <c r="F63" s="185">
        <f>Sorteo!F75</f>
        <v>0</v>
      </c>
      <c r="G63" s="186"/>
      <c r="H63" s="187">
        <f>Sorteo!H75</f>
        <v>0</v>
      </c>
    </row>
    <row r="64" spans="2:17" ht="21" x14ac:dyDescent="0.4">
      <c r="B64" s="182" t="str">
        <f t="shared" si="0"/>
        <v/>
      </c>
      <c r="C64" s="184" t="str">
        <f>IF(Sorteo!B76&lt;&gt;"",Sorteo!B76,"")</f>
        <v/>
      </c>
      <c r="F64" s="185">
        <f>Sorteo!F76</f>
        <v>0</v>
      </c>
      <c r="G64" s="186"/>
      <c r="H64" s="187">
        <f>Sorteo!H76</f>
        <v>0</v>
      </c>
    </row>
    <row r="65" spans="2:8" ht="21" x14ac:dyDescent="0.4">
      <c r="B65" s="182" t="str">
        <f t="shared" si="0"/>
        <v/>
      </c>
      <c r="C65" s="184" t="str">
        <f>IF(Sorteo!B77&lt;&gt;"",Sorteo!B77,"")</f>
        <v/>
      </c>
      <c r="F65" s="185">
        <f>Sorteo!F77</f>
        <v>0</v>
      </c>
      <c r="G65" s="186"/>
      <c r="H65" s="187">
        <f>Sorteo!H77</f>
        <v>0</v>
      </c>
    </row>
    <row r="66" spans="2:8" ht="21" x14ac:dyDescent="0.4">
      <c r="B66" s="182" t="str">
        <f t="shared" si="0"/>
        <v/>
      </c>
      <c r="C66" s="184" t="str">
        <f>IF(Sorteo!B78&lt;&gt;"",Sorteo!B78,"")</f>
        <v/>
      </c>
      <c r="F66" s="185">
        <f>Sorteo!F78</f>
        <v>0</v>
      </c>
      <c r="G66" s="186"/>
      <c r="H66" s="187">
        <f>Sorteo!H78</f>
        <v>0</v>
      </c>
    </row>
    <row r="67" spans="2:8" ht="21" x14ac:dyDescent="0.4">
      <c r="B67" s="182" t="str">
        <f t="shared" si="0"/>
        <v/>
      </c>
      <c r="C67" s="184" t="str">
        <f>IF(Sorteo!B79&lt;&gt;"",Sorteo!B79,"")</f>
        <v/>
      </c>
      <c r="F67" s="185">
        <f>Sorteo!F79</f>
        <v>0</v>
      </c>
      <c r="G67" s="186"/>
      <c r="H67" s="187">
        <f>Sorteo!H79</f>
        <v>0</v>
      </c>
    </row>
    <row r="68" spans="2:8" ht="21" x14ac:dyDescent="0.4">
      <c r="B68" s="182" t="str">
        <f t="shared" si="0"/>
        <v/>
      </c>
      <c r="C68" s="184" t="str">
        <f>IF(Sorteo!B80&lt;&gt;"",Sorteo!B80,"")</f>
        <v/>
      </c>
      <c r="F68" s="185">
        <f>Sorteo!F80</f>
        <v>0</v>
      </c>
      <c r="G68" s="186"/>
      <c r="H68" s="187">
        <f>Sorteo!H80</f>
        <v>0</v>
      </c>
    </row>
    <row r="69" spans="2:8" ht="21" x14ac:dyDescent="0.4">
      <c r="B69" s="182" t="str">
        <f t="shared" ref="B69:B132" si="1">IF((C69)&lt;&gt;"",B68+1,"")</f>
        <v/>
      </c>
      <c r="C69" s="184" t="str">
        <f>IF(Sorteo!B81&lt;&gt;"",Sorteo!B81,"")</f>
        <v/>
      </c>
      <c r="F69" s="185">
        <f>Sorteo!F81</f>
        <v>0</v>
      </c>
      <c r="G69" s="186"/>
      <c r="H69" s="187">
        <f>Sorteo!H81</f>
        <v>0</v>
      </c>
    </row>
    <row r="70" spans="2:8" ht="21" x14ac:dyDescent="0.4">
      <c r="B70" s="182" t="str">
        <f t="shared" si="1"/>
        <v/>
      </c>
      <c r="C70" s="184" t="str">
        <f>IF(Sorteo!B82&lt;&gt;"",Sorteo!B82,"")</f>
        <v/>
      </c>
      <c r="F70" s="185">
        <f>Sorteo!F82</f>
        <v>0</v>
      </c>
      <c r="G70" s="186"/>
      <c r="H70" s="187">
        <f>Sorteo!H82</f>
        <v>0</v>
      </c>
    </row>
    <row r="71" spans="2:8" ht="21" x14ac:dyDescent="0.4">
      <c r="B71" s="182" t="str">
        <f t="shared" si="1"/>
        <v/>
      </c>
      <c r="C71" s="184" t="str">
        <f>IF(Sorteo!B83&lt;&gt;"",Sorteo!B83,"")</f>
        <v/>
      </c>
      <c r="F71" s="185">
        <f>Sorteo!F83</f>
        <v>0</v>
      </c>
      <c r="G71" s="186"/>
      <c r="H71" s="187">
        <f>Sorteo!H83</f>
        <v>0</v>
      </c>
    </row>
    <row r="72" spans="2:8" ht="21" x14ac:dyDescent="0.4">
      <c r="B72" s="182" t="str">
        <f t="shared" si="1"/>
        <v/>
      </c>
      <c r="C72" s="184" t="str">
        <f>IF(Sorteo!B84&lt;&gt;"",Sorteo!B84,"")</f>
        <v/>
      </c>
      <c r="F72" s="185">
        <f>Sorteo!F84</f>
        <v>0</v>
      </c>
      <c r="G72" s="186"/>
      <c r="H72" s="187">
        <f>Sorteo!H84</f>
        <v>0</v>
      </c>
    </row>
    <row r="73" spans="2:8" ht="21" x14ac:dyDescent="0.4">
      <c r="B73" s="182" t="str">
        <f t="shared" si="1"/>
        <v/>
      </c>
      <c r="C73" s="184" t="str">
        <f>IF(Sorteo!B85&lt;&gt;"",Sorteo!B85,"")</f>
        <v/>
      </c>
      <c r="F73" s="185">
        <f>Sorteo!F85</f>
        <v>0</v>
      </c>
      <c r="G73" s="186"/>
      <c r="H73" s="187">
        <f>Sorteo!H85</f>
        <v>0</v>
      </c>
    </row>
    <row r="74" spans="2:8" ht="21" x14ac:dyDescent="0.4">
      <c r="B74" s="182" t="str">
        <f t="shared" si="1"/>
        <v/>
      </c>
      <c r="C74" s="184" t="str">
        <f>IF(Sorteo!B86&lt;&gt;"",Sorteo!B86,"")</f>
        <v/>
      </c>
      <c r="F74" s="185">
        <f>Sorteo!F86</f>
        <v>0</v>
      </c>
      <c r="G74" s="186"/>
      <c r="H74" s="187">
        <f>Sorteo!H86</f>
        <v>0</v>
      </c>
    </row>
    <row r="75" spans="2:8" ht="21" x14ac:dyDescent="0.4">
      <c r="B75" s="182" t="str">
        <f t="shared" si="1"/>
        <v/>
      </c>
      <c r="C75" s="184" t="str">
        <f>IF(Sorteo!B87&lt;&gt;"",Sorteo!B87,"")</f>
        <v/>
      </c>
      <c r="F75" s="185">
        <f>Sorteo!F87</f>
        <v>0</v>
      </c>
      <c r="G75" s="186"/>
      <c r="H75" s="187">
        <f>Sorteo!H87</f>
        <v>0</v>
      </c>
    </row>
    <row r="76" spans="2:8" ht="21" x14ac:dyDescent="0.4">
      <c r="B76" s="182" t="str">
        <f t="shared" si="1"/>
        <v/>
      </c>
      <c r="C76" s="184" t="str">
        <f>IF(Sorteo!B88&lt;&gt;"",Sorteo!B88,"")</f>
        <v/>
      </c>
      <c r="F76" s="185">
        <f>Sorteo!F88</f>
        <v>0</v>
      </c>
      <c r="G76" s="186"/>
      <c r="H76" s="187">
        <f>Sorteo!H88</f>
        <v>0</v>
      </c>
    </row>
    <row r="77" spans="2:8" ht="21" x14ac:dyDescent="0.4">
      <c r="B77" s="182" t="str">
        <f t="shared" si="1"/>
        <v/>
      </c>
      <c r="C77" s="184" t="str">
        <f>IF(Sorteo!B89&lt;&gt;"",Sorteo!B89,"")</f>
        <v/>
      </c>
      <c r="F77" s="185">
        <f>Sorteo!F89</f>
        <v>0</v>
      </c>
      <c r="G77" s="186"/>
      <c r="H77" s="187">
        <f>Sorteo!H89</f>
        <v>0</v>
      </c>
    </row>
    <row r="78" spans="2:8" ht="21" x14ac:dyDescent="0.4">
      <c r="B78" s="182" t="str">
        <f t="shared" si="1"/>
        <v/>
      </c>
      <c r="C78" s="184" t="str">
        <f>IF(Sorteo!B90&lt;&gt;"",Sorteo!B90,"")</f>
        <v/>
      </c>
      <c r="F78" s="185">
        <f>Sorteo!F90</f>
        <v>0</v>
      </c>
      <c r="G78" s="186"/>
      <c r="H78" s="187">
        <f>Sorteo!H90</f>
        <v>0</v>
      </c>
    </row>
    <row r="79" spans="2:8" ht="21" x14ac:dyDescent="0.4">
      <c r="B79" s="182" t="str">
        <f t="shared" si="1"/>
        <v/>
      </c>
      <c r="C79" s="184" t="str">
        <f>IF(Sorteo!B91&lt;&gt;"",Sorteo!B91,"")</f>
        <v/>
      </c>
      <c r="F79" s="185">
        <f>Sorteo!F91</f>
        <v>0</v>
      </c>
      <c r="G79" s="186"/>
      <c r="H79" s="187">
        <f>Sorteo!H91</f>
        <v>0</v>
      </c>
    </row>
    <row r="80" spans="2:8" ht="21" x14ac:dyDescent="0.4">
      <c r="B80" s="182" t="str">
        <f t="shared" si="1"/>
        <v/>
      </c>
      <c r="C80" s="184" t="str">
        <f>IF(Sorteo!B92&lt;&gt;"",Sorteo!B92,"")</f>
        <v/>
      </c>
      <c r="F80" s="185">
        <f>Sorteo!F92</f>
        <v>0</v>
      </c>
      <c r="G80" s="186"/>
      <c r="H80" s="187">
        <f>Sorteo!H92</f>
        <v>0</v>
      </c>
    </row>
    <row r="81" spans="2:8" ht="21" x14ac:dyDescent="0.4">
      <c r="B81" s="182" t="str">
        <f t="shared" si="1"/>
        <v/>
      </c>
      <c r="C81" s="184" t="str">
        <f>IF(Sorteo!B93&lt;&gt;"",Sorteo!B93,"")</f>
        <v/>
      </c>
      <c r="F81" s="185">
        <f>Sorteo!F93</f>
        <v>0</v>
      </c>
      <c r="G81" s="186"/>
      <c r="H81" s="187">
        <f>Sorteo!H93</f>
        <v>0</v>
      </c>
    </row>
    <row r="82" spans="2:8" ht="21" x14ac:dyDescent="0.4">
      <c r="B82" s="182" t="str">
        <f t="shared" si="1"/>
        <v/>
      </c>
      <c r="C82" s="184" t="str">
        <f>IF(Sorteo!B94&lt;&gt;"",Sorteo!B94,"")</f>
        <v/>
      </c>
      <c r="F82" s="185">
        <f>Sorteo!F94</f>
        <v>0</v>
      </c>
      <c r="G82" s="186"/>
      <c r="H82" s="187">
        <f>Sorteo!H94</f>
        <v>0</v>
      </c>
    </row>
    <row r="83" spans="2:8" ht="21" x14ac:dyDescent="0.4">
      <c r="B83" s="182" t="str">
        <f t="shared" si="1"/>
        <v/>
      </c>
      <c r="C83" s="184" t="str">
        <f>IF(Sorteo!B95&lt;&gt;"",Sorteo!B95,"")</f>
        <v/>
      </c>
      <c r="F83" s="185">
        <f>Sorteo!F95</f>
        <v>0</v>
      </c>
      <c r="G83" s="186"/>
      <c r="H83" s="187">
        <f>Sorteo!H95</f>
        <v>0</v>
      </c>
    </row>
    <row r="84" spans="2:8" ht="21" x14ac:dyDescent="0.4">
      <c r="B84" s="182" t="str">
        <f t="shared" si="1"/>
        <v/>
      </c>
      <c r="C84" s="184" t="str">
        <f>IF(Sorteo!B96&lt;&gt;"",Sorteo!B96,"")</f>
        <v/>
      </c>
      <c r="F84" s="185">
        <f>Sorteo!F96</f>
        <v>0</v>
      </c>
      <c r="G84" s="186"/>
      <c r="H84" s="187">
        <f>Sorteo!H96</f>
        <v>0</v>
      </c>
    </row>
    <row r="85" spans="2:8" ht="21" x14ac:dyDescent="0.4">
      <c r="B85" s="182" t="str">
        <f t="shared" si="1"/>
        <v/>
      </c>
      <c r="C85" s="184" t="str">
        <f>IF(Sorteo!B97&lt;&gt;"",Sorteo!B97,"")</f>
        <v/>
      </c>
      <c r="F85" s="185">
        <f>Sorteo!F97</f>
        <v>0</v>
      </c>
      <c r="G85" s="186"/>
      <c r="H85" s="187">
        <f>Sorteo!H97</f>
        <v>0</v>
      </c>
    </row>
    <row r="86" spans="2:8" ht="21" x14ac:dyDescent="0.4">
      <c r="B86" s="182" t="str">
        <f t="shared" si="1"/>
        <v/>
      </c>
      <c r="C86" s="184" t="str">
        <f>IF(Sorteo!B98&lt;&gt;"",Sorteo!B98,"")</f>
        <v/>
      </c>
      <c r="F86" s="185">
        <f>Sorteo!F98</f>
        <v>0</v>
      </c>
      <c r="G86" s="186"/>
      <c r="H86" s="187">
        <f>Sorteo!H98</f>
        <v>0</v>
      </c>
    </row>
    <row r="87" spans="2:8" ht="21" x14ac:dyDescent="0.4">
      <c r="B87" s="182" t="str">
        <f t="shared" si="1"/>
        <v/>
      </c>
      <c r="C87" s="184" t="str">
        <f>IF(Sorteo!B99&lt;&gt;"",Sorteo!B99,"")</f>
        <v/>
      </c>
      <c r="F87" s="185">
        <f>Sorteo!F99</f>
        <v>0</v>
      </c>
      <c r="G87" s="186"/>
      <c r="H87" s="187">
        <f>Sorteo!H99</f>
        <v>0</v>
      </c>
    </row>
    <row r="88" spans="2:8" ht="21" x14ac:dyDescent="0.4">
      <c r="B88" s="182" t="str">
        <f t="shared" si="1"/>
        <v/>
      </c>
      <c r="C88" s="184" t="str">
        <f>IF(Sorteo!B100&lt;&gt;"",Sorteo!B100,"")</f>
        <v/>
      </c>
      <c r="F88" s="185">
        <f>Sorteo!F100</f>
        <v>0</v>
      </c>
      <c r="G88" s="186"/>
      <c r="H88" s="187">
        <f>Sorteo!H100</f>
        <v>0</v>
      </c>
    </row>
    <row r="89" spans="2:8" ht="21" x14ac:dyDescent="0.4">
      <c r="B89" s="182" t="str">
        <f t="shared" si="1"/>
        <v/>
      </c>
      <c r="C89" s="184" t="str">
        <f>IF(Sorteo!B101&lt;&gt;"",Sorteo!B101,"")</f>
        <v/>
      </c>
      <c r="F89" s="185">
        <f>Sorteo!F101</f>
        <v>0</v>
      </c>
      <c r="G89" s="186"/>
      <c r="H89" s="187">
        <f>Sorteo!H101</f>
        <v>0</v>
      </c>
    </row>
    <row r="90" spans="2:8" ht="21" x14ac:dyDescent="0.4">
      <c r="B90" s="182" t="str">
        <f t="shared" si="1"/>
        <v/>
      </c>
      <c r="C90" s="184" t="str">
        <f>IF(Sorteo!B102&lt;&gt;"",Sorteo!B102,"")</f>
        <v/>
      </c>
      <c r="F90" s="185">
        <f>Sorteo!F102</f>
        <v>0</v>
      </c>
      <c r="G90" s="186"/>
      <c r="H90" s="187">
        <f>Sorteo!H102</f>
        <v>0</v>
      </c>
    </row>
    <row r="91" spans="2:8" ht="21" x14ac:dyDescent="0.4">
      <c r="B91" s="182" t="str">
        <f t="shared" si="1"/>
        <v/>
      </c>
      <c r="C91" s="184" t="str">
        <f>IF(Sorteo!B103&lt;&gt;"",Sorteo!B103,"")</f>
        <v/>
      </c>
      <c r="F91" s="185">
        <f>Sorteo!F103</f>
        <v>0</v>
      </c>
      <c r="G91" s="186"/>
      <c r="H91" s="187">
        <f>Sorteo!H103</f>
        <v>0</v>
      </c>
    </row>
    <row r="92" spans="2:8" ht="21" x14ac:dyDescent="0.4">
      <c r="B92" s="182" t="str">
        <f t="shared" si="1"/>
        <v/>
      </c>
      <c r="C92" s="184" t="str">
        <f>IF(Sorteo!B104&lt;&gt;"",Sorteo!B104,"")</f>
        <v/>
      </c>
      <c r="F92" s="185" t="str">
        <f>Sorteo!F104</f>
        <v/>
      </c>
      <c r="G92" s="186"/>
      <c r="H92" s="187">
        <f>Sorteo!H104</f>
        <v>0</v>
      </c>
    </row>
    <row r="93" spans="2:8" ht="21" x14ac:dyDescent="0.4">
      <c r="B93" s="182" t="str">
        <f t="shared" si="1"/>
        <v/>
      </c>
      <c r="C93" s="184" t="str">
        <f>IF(Sorteo!B105&lt;&gt;"",Sorteo!B105,"")</f>
        <v/>
      </c>
      <c r="F93" s="185" t="str">
        <f>Sorteo!F105</f>
        <v/>
      </c>
      <c r="G93" s="186"/>
      <c r="H93" s="187">
        <f>Sorteo!H105</f>
        <v>0</v>
      </c>
    </row>
    <row r="94" spans="2:8" ht="21" x14ac:dyDescent="0.4">
      <c r="B94" s="182" t="str">
        <f t="shared" si="1"/>
        <v/>
      </c>
      <c r="C94" s="184" t="str">
        <f>IF(Sorteo!B106&lt;&gt;"",Sorteo!B106,"")</f>
        <v/>
      </c>
      <c r="F94" s="185" t="str">
        <f>Sorteo!F106</f>
        <v/>
      </c>
      <c r="G94" s="186"/>
      <c r="H94" s="187">
        <f>Sorteo!H106</f>
        <v>0</v>
      </c>
    </row>
    <row r="95" spans="2:8" ht="21" x14ac:dyDescent="0.4">
      <c r="B95" s="182" t="str">
        <f t="shared" si="1"/>
        <v/>
      </c>
      <c r="C95" s="184" t="str">
        <f>IF(Sorteo!B107&lt;&gt;"",Sorteo!B107,"")</f>
        <v/>
      </c>
      <c r="F95" s="185" t="str">
        <f>Sorteo!F107</f>
        <v/>
      </c>
      <c r="G95" s="186"/>
      <c r="H95" s="187">
        <f>Sorteo!H107</f>
        <v>0</v>
      </c>
    </row>
    <row r="96" spans="2:8" ht="21" x14ac:dyDescent="0.4">
      <c r="B96" s="182" t="str">
        <f t="shared" si="1"/>
        <v/>
      </c>
      <c r="C96" s="184" t="str">
        <f>IF(Sorteo!B108&lt;&gt;"",Sorteo!B108,"")</f>
        <v/>
      </c>
      <c r="F96" s="185" t="str">
        <f>Sorteo!F108</f>
        <v/>
      </c>
      <c r="G96" s="186"/>
      <c r="H96" s="187">
        <f>Sorteo!H108</f>
        <v>0</v>
      </c>
    </row>
    <row r="97" spans="2:8" ht="21" x14ac:dyDescent="0.4">
      <c r="B97" s="182" t="str">
        <f t="shared" si="1"/>
        <v/>
      </c>
      <c r="C97" s="184" t="str">
        <f>IF(Sorteo!B109&lt;&gt;"",Sorteo!B109,"")</f>
        <v/>
      </c>
      <c r="F97" s="185" t="str">
        <f>Sorteo!F109</f>
        <v/>
      </c>
      <c r="G97" s="186"/>
      <c r="H97" s="187">
        <f>Sorteo!H109</f>
        <v>0</v>
      </c>
    </row>
    <row r="98" spans="2:8" ht="21" x14ac:dyDescent="0.4">
      <c r="B98" s="182" t="str">
        <f t="shared" si="1"/>
        <v/>
      </c>
      <c r="C98" s="184" t="str">
        <f>IF(Sorteo!B110&lt;&gt;"",Sorteo!B110,"")</f>
        <v/>
      </c>
      <c r="F98" s="185" t="str">
        <f>Sorteo!F110</f>
        <v/>
      </c>
      <c r="G98" s="186"/>
      <c r="H98" s="187">
        <f>Sorteo!H110</f>
        <v>0</v>
      </c>
    </row>
    <row r="99" spans="2:8" ht="21" x14ac:dyDescent="0.4">
      <c r="B99" s="182" t="str">
        <f t="shared" si="1"/>
        <v/>
      </c>
      <c r="C99" s="184" t="str">
        <f>IF(Sorteo!B111&lt;&gt;"",Sorteo!B111,"")</f>
        <v/>
      </c>
      <c r="F99" s="185" t="str">
        <f>Sorteo!F111</f>
        <v/>
      </c>
      <c r="G99" s="186"/>
      <c r="H99" s="187">
        <f>Sorteo!H111</f>
        <v>0</v>
      </c>
    </row>
    <row r="100" spans="2:8" ht="21" x14ac:dyDescent="0.4">
      <c r="B100" s="182" t="str">
        <f t="shared" si="1"/>
        <v/>
      </c>
      <c r="C100" s="184" t="str">
        <f>IF(Sorteo!B112&lt;&gt;"",Sorteo!B112,"")</f>
        <v/>
      </c>
      <c r="F100" s="185" t="str">
        <f>Sorteo!F112</f>
        <v/>
      </c>
      <c r="G100" s="186"/>
      <c r="H100" s="187">
        <f>Sorteo!H112</f>
        <v>0</v>
      </c>
    </row>
    <row r="101" spans="2:8" ht="21" x14ac:dyDescent="0.4">
      <c r="B101" s="182" t="str">
        <f t="shared" si="1"/>
        <v/>
      </c>
      <c r="C101" s="184" t="str">
        <f>IF(Sorteo!B113&lt;&gt;"",Sorteo!B113,"")</f>
        <v/>
      </c>
      <c r="F101" s="185" t="str">
        <f>Sorteo!F113</f>
        <v/>
      </c>
      <c r="G101" s="186"/>
      <c r="H101" s="187">
        <f>Sorteo!H113</f>
        <v>0</v>
      </c>
    </row>
    <row r="102" spans="2:8" ht="21" x14ac:dyDescent="0.4">
      <c r="B102" s="182" t="str">
        <f t="shared" si="1"/>
        <v/>
      </c>
      <c r="C102" s="184" t="str">
        <f>IF(Sorteo!B114&lt;&gt;"",Sorteo!B114,"")</f>
        <v/>
      </c>
      <c r="F102" s="185" t="str">
        <f>Sorteo!F114</f>
        <v/>
      </c>
      <c r="G102" s="186"/>
      <c r="H102" s="187">
        <f>Sorteo!H114</f>
        <v>0</v>
      </c>
    </row>
    <row r="103" spans="2:8" ht="21" x14ac:dyDescent="0.4">
      <c r="B103" s="182" t="str">
        <f t="shared" si="1"/>
        <v/>
      </c>
      <c r="C103" s="184" t="str">
        <f>IF(Sorteo!B115&lt;&gt;"",Sorteo!B115,"")</f>
        <v/>
      </c>
      <c r="F103" s="185" t="str">
        <f>Sorteo!F115</f>
        <v/>
      </c>
      <c r="G103" s="186"/>
      <c r="H103" s="187">
        <f>Sorteo!H115</f>
        <v>0</v>
      </c>
    </row>
    <row r="104" spans="2:8" ht="21" x14ac:dyDescent="0.4">
      <c r="B104" s="182" t="str">
        <f t="shared" si="1"/>
        <v/>
      </c>
      <c r="C104" s="184" t="str">
        <f>IF(Sorteo!B116&lt;&gt;"",Sorteo!B116,"")</f>
        <v/>
      </c>
      <c r="F104" s="185" t="str">
        <f>Sorteo!F116</f>
        <v/>
      </c>
      <c r="G104" s="186"/>
      <c r="H104" s="187">
        <f>Sorteo!H116</f>
        <v>0</v>
      </c>
    </row>
    <row r="105" spans="2:8" ht="21" x14ac:dyDescent="0.4">
      <c r="B105" s="182" t="str">
        <f t="shared" si="1"/>
        <v/>
      </c>
      <c r="C105" s="184" t="str">
        <f>IF(Sorteo!B117&lt;&gt;"",Sorteo!B117,"")</f>
        <v/>
      </c>
      <c r="F105" s="185" t="str">
        <f>Sorteo!F117</f>
        <v/>
      </c>
      <c r="G105" s="186"/>
      <c r="H105" s="187">
        <f>Sorteo!H117</f>
        <v>0</v>
      </c>
    </row>
    <row r="106" spans="2:8" ht="21" x14ac:dyDescent="0.4">
      <c r="B106" s="182" t="str">
        <f t="shared" si="1"/>
        <v/>
      </c>
      <c r="C106" s="184" t="str">
        <f>IF(Sorteo!B118&lt;&gt;"",Sorteo!B118,"")</f>
        <v/>
      </c>
      <c r="F106" s="185" t="str">
        <f>Sorteo!F118</f>
        <v/>
      </c>
      <c r="G106" s="186"/>
      <c r="H106" s="187">
        <f>Sorteo!H118</f>
        <v>0</v>
      </c>
    </row>
    <row r="107" spans="2:8" ht="21" x14ac:dyDescent="0.4">
      <c r="B107" s="182" t="str">
        <f t="shared" si="1"/>
        <v/>
      </c>
      <c r="C107" s="184" t="str">
        <f>IF(Sorteo!B119&lt;&gt;"",Sorteo!B119,"")</f>
        <v/>
      </c>
      <c r="F107" s="185" t="str">
        <f>Sorteo!F119</f>
        <v/>
      </c>
      <c r="G107" s="186"/>
      <c r="H107" s="187">
        <f>Sorteo!H119</f>
        <v>0</v>
      </c>
    </row>
    <row r="108" spans="2:8" ht="21" x14ac:dyDescent="0.4">
      <c r="B108" s="182" t="str">
        <f t="shared" si="1"/>
        <v/>
      </c>
      <c r="C108" s="184" t="str">
        <f>IF(Sorteo!B120&lt;&gt;"",Sorteo!B120,"")</f>
        <v/>
      </c>
      <c r="F108" s="185" t="str">
        <f>Sorteo!F120</f>
        <v/>
      </c>
      <c r="G108" s="186"/>
      <c r="H108" s="187">
        <f>Sorteo!H120</f>
        <v>0</v>
      </c>
    </row>
    <row r="109" spans="2:8" ht="21" x14ac:dyDescent="0.4">
      <c r="B109" s="182" t="str">
        <f t="shared" si="1"/>
        <v/>
      </c>
      <c r="C109" s="184" t="str">
        <f>IF(Sorteo!B121&lt;&gt;"",Sorteo!B121,"")</f>
        <v/>
      </c>
      <c r="F109" s="185" t="str">
        <f>Sorteo!F121</f>
        <v/>
      </c>
      <c r="G109" s="186"/>
      <c r="H109" s="187">
        <f>Sorteo!H121</f>
        <v>0</v>
      </c>
    </row>
    <row r="110" spans="2:8" ht="21" x14ac:dyDescent="0.4">
      <c r="B110" s="182" t="str">
        <f t="shared" si="1"/>
        <v/>
      </c>
      <c r="C110" s="184" t="str">
        <f>IF(Sorteo!B122&lt;&gt;"",Sorteo!B122,"")</f>
        <v/>
      </c>
      <c r="F110" s="185" t="str">
        <f>Sorteo!F122</f>
        <v/>
      </c>
      <c r="G110" s="186"/>
      <c r="H110" s="187">
        <f>Sorteo!H122</f>
        <v>0</v>
      </c>
    </row>
    <row r="111" spans="2:8" ht="21" x14ac:dyDescent="0.4">
      <c r="B111" s="182" t="str">
        <f t="shared" si="1"/>
        <v/>
      </c>
      <c r="C111" s="184" t="str">
        <f>IF(Sorteo!B123&lt;&gt;"",Sorteo!B123,"")</f>
        <v/>
      </c>
      <c r="F111" s="185" t="str">
        <f>Sorteo!F123</f>
        <v/>
      </c>
      <c r="G111" s="186"/>
      <c r="H111" s="187">
        <f>Sorteo!H123</f>
        <v>0</v>
      </c>
    </row>
    <row r="112" spans="2:8" ht="21" x14ac:dyDescent="0.4">
      <c r="B112" s="182" t="str">
        <f t="shared" si="1"/>
        <v/>
      </c>
      <c r="C112" s="184" t="str">
        <f>IF(Sorteo!B124&lt;&gt;"",Sorteo!B124,"")</f>
        <v/>
      </c>
      <c r="F112" s="185" t="str">
        <f>Sorteo!F124</f>
        <v/>
      </c>
      <c r="G112" s="186"/>
      <c r="H112" s="187">
        <f>Sorteo!H124</f>
        <v>0</v>
      </c>
    </row>
    <row r="113" spans="2:8" ht="21" x14ac:dyDescent="0.4">
      <c r="B113" s="182" t="str">
        <f t="shared" si="1"/>
        <v/>
      </c>
      <c r="C113" s="184" t="str">
        <f>IF(Sorteo!B125&lt;&gt;"",Sorteo!B125,"")</f>
        <v/>
      </c>
      <c r="F113" s="185" t="str">
        <f>Sorteo!F125</f>
        <v/>
      </c>
      <c r="G113" s="186"/>
      <c r="H113" s="187">
        <f>Sorteo!H125</f>
        <v>0</v>
      </c>
    </row>
    <row r="114" spans="2:8" ht="21" x14ac:dyDescent="0.4">
      <c r="B114" s="182" t="str">
        <f t="shared" si="1"/>
        <v/>
      </c>
      <c r="C114" s="184" t="str">
        <f>IF(Sorteo!B126&lt;&gt;"",Sorteo!B126,"")</f>
        <v/>
      </c>
      <c r="F114" s="185" t="str">
        <f>Sorteo!F126</f>
        <v/>
      </c>
      <c r="G114" s="186"/>
      <c r="H114" s="187">
        <f>Sorteo!H126</f>
        <v>0</v>
      </c>
    </row>
    <row r="115" spans="2:8" ht="21" x14ac:dyDescent="0.4">
      <c r="B115" s="182" t="str">
        <f t="shared" si="1"/>
        <v/>
      </c>
      <c r="C115" s="184" t="str">
        <f>IF(Sorteo!B127&lt;&gt;"",Sorteo!B127,"")</f>
        <v/>
      </c>
      <c r="F115" s="185" t="str">
        <f>Sorteo!F127</f>
        <v/>
      </c>
      <c r="G115" s="186"/>
      <c r="H115" s="187">
        <f>Sorteo!H127</f>
        <v>0</v>
      </c>
    </row>
    <row r="116" spans="2:8" ht="21" x14ac:dyDescent="0.4">
      <c r="B116" s="182" t="str">
        <f t="shared" si="1"/>
        <v/>
      </c>
      <c r="C116" s="184" t="str">
        <f>IF(Sorteo!B128&lt;&gt;"",Sorteo!B128,"")</f>
        <v/>
      </c>
      <c r="F116" s="185" t="str">
        <f>Sorteo!F128</f>
        <v/>
      </c>
      <c r="G116" s="186"/>
      <c r="H116" s="187">
        <f>Sorteo!H128</f>
        <v>0</v>
      </c>
    </row>
    <row r="117" spans="2:8" ht="21" x14ac:dyDescent="0.4">
      <c r="B117" s="182" t="str">
        <f t="shared" si="1"/>
        <v/>
      </c>
      <c r="C117" s="184" t="str">
        <f>IF(Sorteo!B129&lt;&gt;"",Sorteo!B129,"")</f>
        <v/>
      </c>
      <c r="F117" s="185" t="str">
        <f>Sorteo!F129</f>
        <v/>
      </c>
      <c r="G117" s="186"/>
      <c r="H117" s="187">
        <f>Sorteo!H129</f>
        <v>0</v>
      </c>
    </row>
    <row r="118" spans="2:8" ht="21" x14ac:dyDescent="0.4">
      <c r="B118" s="182" t="str">
        <f t="shared" si="1"/>
        <v/>
      </c>
      <c r="C118" s="184" t="str">
        <f>IF(Sorteo!B130&lt;&gt;"",Sorteo!B130,"")</f>
        <v/>
      </c>
      <c r="F118" s="185" t="str">
        <f>Sorteo!F130</f>
        <v/>
      </c>
      <c r="G118" s="186"/>
      <c r="H118" s="187">
        <f>Sorteo!H130</f>
        <v>0</v>
      </c>
    </row>
    <row r="119" spans="2:8" ht="21" x14ac:dyDescent="0.4">
      <c r="B119" s="182" t="str">
        <f t="shared" si="1"/>
        <v/>
      </c>
      <c r="C119" s="184" t="str">
        <f>IF(Sorteo!B131&lt;&gt;"",Sorteo!B131,"")</f>
        <v/>
      </c>
      <c r="F119" s="185" t="str">
        <f>Sorteo!F131</f>
        <v/>
      </c>
      <c r="G119" s="186"/>
      <c r="H119" s="187">
        <f>Sorteo!H131</f>
        <v>0</v>
      </c>
    </row>
    <row r="120" spans="2:8" ht="21" x14ac:dyDescent="0.4">
      <c r="B120" s="182" t="str">
        <f t="shared" si="1"/>
        <v/>
      </c>
      <c r="C120" s="184" t="str">
        <f>IF(Sorteo!B132&lt;&gt;"",Sorteo!B132,"")</f>
        <v/>
      </c>
      <c r="F120" s="185" t="str">
        <f>Sorteo!F132</f>
        <v/>
      </c>
      <c r="G120" s="186"/>
      <c r="H120" s="187">
        <f>Sorteo!H132</f>
        <v>0</v>
      </c>
    </row>
    <row r="121" spans="2:8" ht="21" x14ac:dyDescent="0.4">
      <c r="B121" s="182" t="str">
        <f t="shared" si="1"/>
        <v/>
      </c>
      <c r="C121" s="184" t="str">
        <f>IF(Sorteo!B133&lt;&gt;"",Sorteo!B133,"")</f>
        <v/>
      </c>
      <c r="F121" s="185" t="str">
        <f>Sorteo!F133</f>
        <v/>
      </c>
      <c r="G121" s="186"/>
      <c r="H121" s="187">
        <f>Sorteo!H133</f>
        <v>0</v>
      </c>
    </row>
    <row r="122" spans="2:8" ht="21" x14ac:dyDescent="0.4">
      <c r="B122" s="182" t="str">
        <f t="shared" si="1"/>
        <v/>
      </c>
      <c r="C122" s="184" t="str">
        <f>IF(Sorteo!B134&lt;&gt;"",Sorteo!B134,"")</f>
        <v/>
      </c>
      <c r="F122" s="185" t="str">
        <f>Sorteo!F134</f>
        <v/>
      </c>
      <c r="G122" s="186"/>
      <c r="H122" s="187">
        <f>Sorteo!H134</f>
        <v>0</v>
      </c>
    </row>
    <row r="123" spans="2:8" ht="21" x14ac:dyDescent="0.4">
      <c r="B123" s="182" t="str">
        <f t="shared" si="1"/>
        <v/>
      </c>
      <c r="C123" s="184" t="str">
        <f>IF(Sorteo!B135&lt;&gt;"",Sorteo!B135,"")</f>
        <v/>
      </c>
      <c r="F123" s="185" t="str">
        <f>Sorteo!F135</f>
        <v/>
      </c>
      <c r="G123" s="186"/>
      <c r="H123" s="187">
        <f>Sorteo!H135</f>
        <v>0</v>
      </c>
    </row>
    <row r="124" spans="2:8" ht="21" x14ac:dyDescent="0.4">
      <c r="B124" s="182" t="str">
        <f t="shared" si="1"/>
        <v/>
      </c>
      <c r="C124" s="184" t="str">
        <f>IF(Sorteo!B136&lt;&gt;"",Sorteo!B136,"")</f>
        <v/>
      </c>
      <c r="F124" s="185" t="str">
        <f>Sorteo!F136</f>
        <v/>
      </c>
      <c r="G124" s="186"/>
      <c r="H124" s="187">
        <f>Sorteo!H136</f>
        <v>0</v>
      </c>
    </row>
    <row r="125" spans="2:8" ht="21" x14ac:dyDescent="0.4">
      <c r="B125" s="182" t="str">
        <f t="shared" si="1"/>
        <v/>
      </c>
      <c r="C125" s="184" t="str">
        <f>IF(Sorteo!B137&lt;&gt;"",Sorteo!B137,"")</f>
        <v/>
      </c>
      <c r="F125" s="185" t="str">
        <f>Sorteo!F137</f>
        <v/>
      </c>
      <c r="G125" s="186"/>
      <c r="H125" s="187">
        <f>Sorteo!H137</f>
        <v>0</v>
      </c>
    </row>
    <row r="126" spans="2:8" ht="21" x14ac:dyDescent="0.4">
      <c r="B126" s="182" t="str">
        <f t="shared" si="1"/>
        <v/>
      </c>
      <c r="C126" s="184" t="str">
        <f>IF(Sorteo!B138&lt;&gt;"",Sorteo!B138,"")</f>
        <v/>
      </c>
      <c r="F126" s="185" t="str">
        <f>Sorteo!F138</f>
        <v/>
      </c>
      <c r="G126" s="186"/>
      <c r="H126" s="187">
        <f>Sorteo!H138</f>
        <v>0</v>
      </c>
    </row>
    <row r="127" spans="2:8" ht="21" x14ac:dyDescent="0.4">
      <c r="B127" s="182" t="str">
        <f t="shared" si="1"/>
        <v/>
      </c>
      <c r="C127" s="184" t="str">
        <f>IF(Sorteo!B139&lt;&gt;"",Sorteo!B139,"")</f>
        <v/>
      </c>
      <c r="F127" s="185" t="str">
        <f>Sorteo!F139</f>
        <v/>
      </c>
      <c r="G127" s="186"/>
      <c r="H127" s="187">
        <f>Sorteo!H139</f>
        <v>0</v>
      </c>
    </row>
    <row r="128" spans="2:8" ht="21" x14ac:dyDescent="0.4">
      <c r="B128" s="182" t="str">
        <f t="shared" si="1"/>
        <v/>
      </c>
      <c r="C128" s="184" t="str">
        <f>IF(Sorteo!B140&lt;&gt;"",Sorteo!B140,"")</f>
        <v/>
      </c>
      <c r="F128" s="185" t="str">
        <f>Sorteo!F140</f>
        <v/>
      </c>
      <c r="G128" s="186"/>
      <c r="H128" s="187">
        <f>Sorteo!H140</f>
        <v>0</v>
      </c>
    </row>
    <row r="129" spans="2:8" ht="21" x14ac:dyDescent="0.4">
      <c r="B129" s="182" t="str">
        <f t="shared" si="1"/>
        <v/>
      </c>
      <c r="C129" s="184" t="str">
        <f>IF(Sorteo!B141&lt;&gt;"",Sorteo!B141,"")</f>
        <v/>
      </c>
      <c r="F129" s="185" t="str">
        <f>Sorteo!F141</f>
        <v/>
      </c>
      <c r="G129" s="186"/>
      <c r="H129" s="187">
        <f>Sorteo!H141</f>
        <v>0</v>
      </c>
    </row>
    <row r="130" spans="2:8" ht="21" x14ac:dyDescent="0.4">
      <c r="B130" s="182" t="str">
        <f t="shared" si="1"/>
        <v/>
      </c>
      <c r="C130" s="184" t="str">
        <f>IF(Sorteo!B142&lt;&gt;"",Sorteo!B142,"")</f>
        <v/>
      </c>
      <c r="F130" s="185" t="str">
        <f>Sorteo!F142</f>
        <v/>
      </c>
      <c r="G130" s="186"/>
      <c r="H130" s="187">
        <f>Sorteo!H142</f>
        <v>0</v>
      </c>
    </row>
    <row r="131" spans="2:8" ht="21" x14ac:dyDescent="0.4">
      <c r="B131" s="182" t="str">
        <f t="shared" si="1"/>
        <v/>
      </c>
      <c r="C131" s="184" t="str">
        <f>IF(Sorteo!B143&lt;&gt;"",Sorteo!B143,"")</f>
        <v/>
      </c>
      <c r="F131" s="185" t="str">
        <f>Sorteo!F143</f>
        <v/>
      </c>
      <c r="G131" s="186"/>
      <c r="H131" s="187">
        <f>Sorteo!H143</f>
        <v>0</v>
      </c>
    </row>
    <row r="132" spans="2:8" ht="21" x14ac:dyDescent="0.4">
      <c r="B132" s="182" t="e">
        <f t="shared" si="1"/>
        <v>#REF!</v>
      </c>
      <c r="C132" s="184" t="e">
        <f>IF(Sorteo!#REF!&lt;&gt;"",Sorteo!#REF!,"")</f>
        <v>#REF!</v>
      </c>
      <c r="F132" s="185" t="e">
        <f>Sorteo!#REF!</f>
        <v>#REF!</v>
      </c>
      <c r="G132" s="186"/>
      <c r="H132" s="187" t="e">
        <f>Sorteo!#REF!</f>
        <v>#REF!</v>
      </c>
    </row>
    <row r="133" spans="2:8" ht="21" x14ac:dyDescent="0.4">
      <c r="B133" s="182" t="e">
        <f t="shared" ref="B133:B138" si="2">IF((C133)&lt;&gt;"",B132+1,"")</f>
        <v>#REF!</v>
      </c>
      <c r="C133" s="184" t="e">
        <f>IF(Sorteo!#REF!&lt;&gt;"",Sorteo!#REF!,"")</f>
        <v>#REF!</v>
      </c>
      <c r="F133" s="185" t="e">
        <f>Sorteo!#REF!</f>
        <v>#REF!</v>
      </c>
      <c r="G133" s="186"/>
      <c r="H133" s="187" t="e">
        <f>Sorteo!#REF!</f>
        <v>#REF!</v>
      </c>
    </row>
    <row r="134" spans="2:8" ht="21" x14ac:dyDescent="0.4">
      <c r="B134" s="182" t="e">
        <f t="shared" si="2"/>
        <v>#REF!</v>
      </c>
      <c r="C134" s="184" t="e">
        <f>IF(Sorteo!#REF!&lt;&gt;"",Sorteo!#REF!,"")</f>
        <v>#REF!</v>
      </c>
      <c r="F134" s="185" t="e">
        <f>Sorteo!#REF!</f>
        <v>#REF!</v>
      </c>
      <c r="G134" s="186"/>
      <c r="H134" s="187" t="e">
        <f>Sorteo!#REF!</f>
        <v>#REF!</v>
      </c>
    </row>
    <row r="135" spans="2:8" ht="21" x14ac:dyDescent="0.4">
      <c r="B135" s="182" t="e">
        <f t="shared" si="2"/>
        <v>#REF!</v>
      </c>
      <c r="C135" s="184" t="e">
        <f>IF(Sorteo!#REF!&lt;&gt;"",Sorteo!#REF!,"")</f>
        <v>#REF!</v>
      </c>
      <c r="F135" s="185" t="e">
        <f>Sorteo!#REF!</f>
        <v>#REF!</v>
      </c>
      <c r="G135" s="186"/>
      <c r="H135" s="187" t="e">
        <f>Sorteo!#REF!</f>
        <v>#REF!</v>
      </c>
    </row>
    <row r="136" spans="2:8" ht="21" x14ac:dyDescent="0.4">
      <c r="B136" s="182" t="e">
        <f t="shared" si="2"/>
        <v>#REF!</v>
      </c>
      <c r="C136" s="184" t="e">
        <f>IF(Sorteo!#REF!&lt;&gt;"",Sorteo!#REF!,"")</f>
        <v>#REF!</v>
      </c>
      <c r="F136" s="185" t="e">
        <f>Sorteo!#REF!</f>
        <v>#REF!</v>
      </c>
      <c r="G136" s="186"/>
      <c r="H136" s="187" t="e">
        <f>Sorteo!#REF!</f>
        <v>#REF!</v>
      </c>
    </row>
    <row r="137" spans="2:8" ht="21" x14ac:dyDescent="0.4">
      <c r="B137" s="182" t="e">
        <f t="shared" si="2"/>
        <v>#REF!</v>
      </c>
      <c r="C137" s="184" t="e">
        <f>IF(Sorteo!#REF!&lt;&gt;"",Sorteo!#REF!,"")</f>
        <v>#REF!</v>
      </c>
      <c r="F137" s="185" t="e">
        <f>Sorteo!#REF!</f>
        <v>#REF!</v>
      </c>
      <c r="G137" s="186"/>
      <c r="H137" s="187" t="e">
        <f>Sorteo!#REF!</f>
        <v>#REF!</v>
      </c>
    </row>
    <row r="138" spans="2:8" ht="21" x14ac:dyDescent="0.4">
      <c r="B138" s="182" t="e">
        <f t="shared" si="2"/>
        <v>#REF!</v>
      </c>
      <c r="C138" s="184" t="e">
        <f>IF(Sorteo!#REF!&lt;&gt;"",Sorteo!#REF!,"")</f>
        <v>#REF!</v>
      </c>
      <c r="F138" s="185" t="e">
        <f>Sorteo!#REF!</f>
        <v>#REF!</v>
      </c>
      <c r="G138" s="186"/>
      <c r="H138" s="187" t="e">
        <f>Sorteo!#REF!</f>
        <v>#REF!</v>
      </c>
    </row>
  </sheetData>
  <protectedRanges>
    <protectedRange algorithmName="SHA-512" hashValue="foF8gH0nS+S1lHAjW1WbvEgX3KUjmiEqoDnecPoiPuDsP+Ot18BzAlxUZVOxQXPyOhHVchcYdqnWkqDJrL6OUA==" saltValue="HCzIQqioGpz5vQB5RV7liw==" spinCount="100000" sqref="C4:E4 D5:E7 C5:C138" name="Range2"/>
    <protectedRange algorithmName="SHA-512" hashValue="xKFlDps/UfbBgKUUnRT59NKBT1DrPj3QMPU4ds/b2LzUsbc8zTrwQ14IhRx6M1tgYpGOJzRT8gRzI7YcSu1EMA==" saltValue="fq2eGmfvyJuyEXbKWqD39g==" spinCount="100000" sqref="B4:H4 D5:E7 F5:H138 B5:C138" name="Sorteo"/>
  </protectedRanges>
  <sortState xmlns:xlrd2="http://schemas.microsoft.com/office/spreadsheetml/2017/richdata2" ref="M3:N51">
    <sortCondition ref="M3"/>
  </sortState>
  <mergeCells count="5">
    <mergeCell ref="G2:G3"/>
    <mergeCell ref="C2:C3"/>
    <mergeCell ref="D2:D3"/>
    <mergeCell ref="E2:E3"/>
    <mergeCell ref="F2:F3"/>
  </mergeCells>
  <conditionalFormatting sqref="C4">
    <cfRule type="duplicateValues" dxfId="401" priority="22"/>
  </conditionalFormatting>
  <conditionalFormatting sqref="C4">
    <cfRule type="duplicateValues" dxfId="400" priority="23"/>
  </conditionalFormatting>
  <conditionalFormatting sqref="C4">
    <cfRule type="duplicateValues" dxfId="399" priority="24"/>
  </conditionalFormatting>
  <conditionalFormatting sqref="C4">
    <cfRule type="duplicateValues" dxfId="398" priority="21"/>
  </conditionalFormatting>
  <conditionalFormatting sqref="C5:C138">
    <cfRule type="duplicateValues" dxfId="397" priority="2"/>
  </conditionalFormatting>
  <conditionalFormatting sqref="C5:C138">
    <cfRule type="duplicateValues" dxfId="396" priority="3"/>
  </conditionalFormatting>
  <conditionalFormatting sqref="C5:C138">
    <cfRule type="duplicateValues" dxfId="395" priority="4"/>
  </conditionalFormatting>
  <conditionalFormatting sqref="C5:C138">
    <cfRule type="duplicateValues" dxfId="394" priority="1"/>
  </conditionalFormatting>
  <pageMargins left="0.7" right="0.7" top="0.75" bottom="0.75" header="0.3" footer="0.3"/>
  <pageSetup scale="90" orientation="portrait" r:id="rId1"/>
  <ignoredErrors>
    <ignoredError sqref="C4:C138"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O1595"/>
  <sheetViews>
    <sheetView tabSelected="1" topLeftCell="B1" zoomScaleNormal="100" workbookViewId="0">
      <selection activeCell="F302" sqref="F302:S323"/>
    </sheetView>
  </sheetViews>
  <sheetFormatPr defaultColWidth="8.88671875" defaultRowHeight="14.4" x14ac:dyDescent="0.3"/>
  <cols>
    <col min="1" max="1" width="10.5546875" style="116" customWidth="1"/>
    <col min="2" max="4" width="8.88671875" style="116"/>
    <col min="5" max="5" width="7.44140625" style="116" customWidth="1"/>
    <col min="6" max="6" width="18.88671875" style="116" bestFit="1" customWidth="1"/>
    <col min="7" max="7" width="3.44140625" style="116" hidden="1" customWidth="1"/>
    <col min="8" max="8" width="3.109375" style="116" customWidth="1"/>
    <col min="9" max="9" width="44.88671875" style="116" customWidth="1"/>
    <col min="10" max="10" width="7.5546875" style="116" customWidth="1"/>
    <col min="11" max="11" width="6.5546875" style="116" customWidth="1"/>
    <col min="12" max="12" width="9.5546875" style="116" customWidth="1"/>
    <col min="13" max="15" width="6.88671875" style="116" customWidth="1"/>
    <col min="16" max="16" width="8.109375" style="116" customWidth="1"/>
    <col min="17" max="18" width="7.88671875" style="116" customWidth="1"/>
    <col min="19" max="19" width="5.5546875" style="116" customWidth="1"/>
    <col min="20" max="20" width="7.88671875" style="116" hidden="1" customWidth="1"/>
    <col min="21" max="24" width="12" style="116" hidden="1" customWidth="1"/>
    <col min="25" max="25" width="6" style="116" hidden="1" customWidth="1"/>
    <col min="26" max="26" width="10.5546875" style="116" hidden="1" customWidth="1"/>
    <col min="27" max="27" width="6" style="116" hidden="1" customWidth="1"/>
    <col min="28" max="28" width="10.5546875" style="116" hidden="1" customWidth="1"/>
    <col min="29" max="38" width="9.109375" style="116" hidden="1" customWidth="1"/>
    <col min="39" max="39" width="9.109375" style="116" customWidth="1"/>
    <col min="40" max="40" width="9.109375" style="116" hidden="1" customWidth="1"/>
    <col min="41" max="41" width="7.88671875" style="116" hidden="1" customWidth="1"/>
    <col min="42" max="43" width="8" style="116" hidden="1" customWidth="1"/>
    <col min="44" max="45" width="8.88671875" style="116" hidden="1" customWidth="1"/>
    <col min="46" max="46" width="9.109375" style="116" hidden="1" customWidth="1"/>
    <col min="47" max="47" width="3.5546875" style="116" hidden="1" customWidth="1"/>
    <col min="48" max="48" width="7" style="116" hidden="1" customWidth="1"/>
    <col min="49" max="50" width="8.88671875" style="116" hidden="1" customWidth="1"/>
    <col min="51" max="51" width="11.5546875" style="116" hidden="1" customWidth="1"/>
    <col min="52" max="52" width="3.5546875" style="116" hidden="1" customWidth="1"/>
    <col min="53" max="54" width="8.88671875" style="116"/>
    <col min="55" max="55" width="7.109375" style="116" bestFit="1" customWidth="1"/>
    <col min="56" max="56" width="3.5546875" style="116" customWidth="1"/>
    <col min="57" max="58" width="8.88671875" style="116"/>
    <col min="59" max="59" width="7.109375" style="116" bestFit="1" customWidth="1"/>
    <col min="60" max="60" width="3.5546875" style="116" customWidth="1"/>
    <col min="61" max="62" width="9.109375" style="116" customWidth="1"/>
    <col min="63" max="63" width="6.88671875" style="116" customWidth="1"/>
    <col min="64" max="64" width="3.5546875" style="116" customWidth="1"/>
    <col min="65" max="67" width="9.109375" style="116" customWidth="1"/>
    <col min="68" max="68" width="3.5546875" style="116" customWidth="1"/>
    <col min="69" max="70" width="15.88671875" style="116" customWidth="1"/>
    <col min="71" max="72" width="9.109375" style="116" customWidth="1"/>
    <col min="73" max="74" width="15.88671875" style="116" customWidth="1"/>
    <col min="75" max="75" width="3.5546875" style="116" customWidth="1"/>
    <col min="76" max="78" width="9.109375" style="116" customWidth="1"/>
    <col min="79" max="79" width="3.5546875" style="116" customWidth="1"/>
    <col min="80" max="82" width="9.109375" style="116" customWidth="1"/>
    <col min="83" max="83" width="3.5546875" style="116" customWidth="1"/>
    <col min="84" max="86" width="9.109375" style="116" customWidth="1"/>
    <col min="87" max="87" width="3.5546875" style="116" customWidth="1"/>
    <col min="88" max="89" width="9.109375" style="116" customWidth="1"/>
    <col min="90" max="90" width="6.88671875" style="116" customWidth="1"/>
    <col min="91" max="91" width="3.5546875" style="116" customWidth="1"/>
    <col min="92" max="93" width="9.109375" style="116" customWidth="1"/>
    <col min="94" max="94" width="6.88671875" style="116" customWidth="1"/>
    <col min="95" max="95" width="8.109375" style="116" customWidth="1"/>
    <col min="96" max="96" width="3.5546875" style="116" customWidth="1"/>
    <col min="97" max="99" width="9.109375" style="116" customWidth="1"/>
    <col min="100" max="100" width="8.88671875" style="116" customWidth="1"/>
    <col min="101" max="101" width="9.44140625" style="116" customWidth="1"/>
    <col min="102" max="107" width="9.109375" style="116" customWidth="1"/>
    <col min="108" max="108" width="8.88671875" style="116"/>
    <col min="109" max="109" width="23.109375" style="116" customWidth="1"/>
    <col min="110" max="16384" width="8.88671875" style="116"/>
  </cols>
  <sheetData>
    <row r="1" spans="1:119" x14ac:dyDescent="0.3">
      <c r="A1" s="304">
        <f>Groups</f>
        <v>0</v>
      </c>
    </row>
    <row r="2" spans="1:119" ht="23.4" x14ac:dyDescent="0.35">
      <c r="B2" s="181"/>
      <c r="C2" s="181"/>
      <c r="D2" s="181"/>
      <c r="E2" s="207"/>
      <c r="F2" s="181"/>
      <c r="G2" s="181"/>
      <c r="H2" s="181"/>
      <c r="I2" s="118"/>
      <c r="J2" s="118"/>
      <c r="K2" s="118"/>
      <c r="L2" s="118"/>
      <c r="M2" s="118"/>
      <c r="N2" s="118"/>
      <c r="O2" s="118"/>
      <c r="P2" s="118"/>
      <c r="Q2" s="118"/>
      <c r="R2" s="118"/>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row>
    <row r="3" spans="1:119" ht="23.4" x14ac:dyDescent="0.35">
      <c r="B3" s="181"/>
      <c r="C3" s="181"/>
      <c r="D3" s="181"/>
      <c r="E3" s="207"/>
      <c r="F3" s="181"/>
      <c r="G3" s="181"/>
      <c r="H3" s="328"/>
      <c r="I3" s="118"/>
      <c r="J3" s="118"/>
      <c r="K3" s="118"/>
      <c r="L3" s="118"/>
      <c r="M3" s="118"/>
      <c r="N3" s="118"/>
      <c r="O3" s="118"/>
      <c r="P3" s="118"/>
      <c r="Q3" s="118"/>
      <c r="R3" s="118"/>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1"/>
      <c r="BX3" s="181"/>
      <c r="BY3" s="181"/>
      <c r="BZ3" s="181"/>
      <c r="CA3" s="181"/>
      <c r="CB3" s="181"/>
      <c r="CC3" s="181"/>
      <c r="CD3" s="181"/>
      <c r="CE3" s="181"/>
      <c r="CF3" s="181"/>
      <c r="CG3" s="181"/>
      <c r="CH3" s="181"/>
      <c r="CI3" s="181"/>
      <c r="CJ3" s="181"/>
      <c r="CK3" s="181"/>
      <c r="CL3" s="181"/>
      <c r="CM3" s="181"/>
      <c r="CN3" s="181"/>
      <c r="CO3" s="181"/>
      <c r="CP3" s="181"/>
      <c r="CQ3" s="181"/>
      <c r="CR3" s="181"/>
      <c r="CS3" s="181"/>
      <c r="CT3" s="181"/>
    </row>
    <row r="4" spans="1:119" ht="23.4" x14ac:dyDescent="0.35">
      <c r="B4" s="181"/>
      <c r="C4" s="181"/>
      <c r="D4" s="181"/>
      <c r="E4" s="207"/>
      <c r="F4" s="181"/>
      <c r="G4" s="181"/>
      <c r="H4" s="329"/>
      <c r="I4" s="118"/>
      <c r="J4" s="118"/>
      <c r="K4" s="118"/>
      <c r="L4" s="118"/>
      <c r="M4" s="118"/>
      <c r="N4" s="118"/>
      <c r="O4" s="118"/>
      <c r="P4" s="118"/>
      <c r="Q4" s="118"/>
      <c r="R4" s="118"/>
      <c r="S4" s="181"/>
      <c r="T4" s="181"/>
      <c r="U4" s="181"/>
      <c r="V4" s="181"/>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row>
    <row r="5" spans="1:119" ht="23.4" x14ac:dyDescent="0.35">
      <c r="B5" s="181"/>
      <c r="C5" s="181"/>
      <c r="D5" s="181"/>
      <c r="E5" s="207"/>
      <c r="F5" s="181"/>
      <c r="G5" s="181"/>
      <c r="H5" s="181"/>
      <c r="I5" s="118"/>
      <c r="J5" s="118"/>
      <c r="K5" s="118"/>
      <c r="L5" s="118"/>
      <c r="M5" s="118"/>
      <c r="N5" s="118"/>
      <c r="O5" s="118"/>
      <c r="P5" s="118"/>
      <c r="Q5" s="118"/>
      <c r="R5" s="118"/>
      <c r="S5" s="181"/>
      <c r="T5" s="181"/>
      <c r="U5" s="181"/>
      <c r="V5" s="181"/>
      <c r="W5" s="181"/>
      <c r="X5" s="181"/>
      <c r="Y5" s="181"/>
      <c r="Z5" s="181"/>
      <c r="AA5" s="181"/>
      <c r="AB5" s="181"/>
      <c r="AC5" s="181"/>
      <c r="AD5" s="181"/>
      <c r="AE5" s="181"/>
      <c r="AF5" s="181"/>
      <c r="AG5" s="181"/>
      <c r="AH5" s="181"/>
      <c r="AI5" s="181"/>
      <c r="AJ5" s="181"/>
      <c r="AK5" s="181"/>
      <c r="AL5" s="181"/>
      <c r="AM5" s="181"/>
      <c r="AN5" s="181"/>
      <c r="AO5" s="181"/>
      <c r="AP5" s="181"/>
      <c r="AQ5" s="181"/>
      <c r="AR5" s="181"/>
      <c r="AS5" s="181"/>
      <c r="AT5" s="181"/>
      <c r="AU5" s="181"/>
      <c r="AV5" s="181"/>
      <c r="AW5" s="181"/>
      <c r="AX5" s="181"/>
      <c r="AY5" s="181"/>
      <c r="AZ5" s="181"/>
      <c r="BA5" s="181"/>
      <c r="BB5" s="181"/>
      <c r="BC5" s="181"/>
      <c r="BD5" s="181"/>
      <c r="BE5" s="181"/>
      <c r="BF5" s="181"/>
      <c r="BG5" s="181"/>
      <c r="BH5" s="181"/>
      <c r="BI5" s="181"/>
      <c r="BJ5" s="181"/>
      <c r="BK5" s="181"/>
      <c r="BL5" s="181"/>
      <c r="BM5" s="181"/>
      <c r="BN5" s="181"/>
      <c r="BO5" s="181"/>
      <c r="BP5" s="181"/>
      <c r="BQ5" s="181"/>
      <c r="BR5" s="181"/>
      <c r="BS5" s="181"/>
      <c r="BT5" s="181"/>
      <c r="BU5" s="181"/>
      <c r="BV5" s="181"/>
      <c r="BW5" s="181"/>
      <c r="BX5" s="181"/>
      <c r="BY5" s="181"/>
      <c r="BZ5" s="181"/>
      <c r="CA5" s="181"/>
      <c r="CB5" s="181"/>
      <c r="CC5" s="181"/>
      <c r="CD5" s="181"/>
      <c r="CE5" s="181"/>
      <c r="CF5" s="181"/>
      <c r="CG5" s="181"/>
      <c r="CH5" s="181"/>
      <c r="CI5" s="181"/>
      <c r="CJ5" s="181"/>
      <c r="CK5" s="181"/>
      <c r="CL5" s="181"/>
      <c r="CM5" s="181"/>
      <c r="CN5" s="181"/>
      <c r="CO5" s="181"/>
      <c r="CP5" s="181"/>
      <c r="CQ5" s="181"/>
      <c r="CR5" s="181"/>
      <c r="CS5" s="181"/>
      <c r="CT5" s="181"/>
    </row>
    <row r="6" spans="1:119" ht="18.600000000000001" thickBot="1" x14ac:dyDescent="0.4">
      <c r="B6" s="192"/>
      <c r="C6" s="192"/>
      <c r="D6" s="192"/>
      <c r="E6" s="192"/>
      <c r="F6" s="192"/>
      <c r="G6" s="192"/>
      <c r="H6" s="192"/>
      <c r="I6" s="383" t="s">
        <v>91</v>
      </c>
      <c r="J6" s="383"/>
      <c r="K6" s="383"/>
      <c r="L6" s="383"/>
      <c r="M6" s="383"/>
      <c r="N6" s="383"/>
      <c r="O6" s="383"/>
      <c r="P6" s="383"/>
      <c r="Q6" s="383"/>
      <c r="R6" s="383"/>
      <c r="S6" s="192"/>
      <c r="T6" s="192"/>
      <c r="U6" s="410" t="s">
        <v>92</v>
      </c>
      <c r="V6" s="376"/>
      <c r="W6" s="376"/>
      <c r="X6" s="377"/>
      <c r="Y6" s="192"/>
      <c r="Z6" s="192"/>
      <c r="AA6" s="192"/>
      <c r="AB6" s="192"/>
      <c r="AC6" s="192"/>
      <c r="AD6" s="192"/>
      <c r="AE6" s="192"/>
      <c r="AF6" s="192"/>
      <c r="AG6" s="192"/>
      <c r="AH6" s="192"/>
      <c r="AI6" s="192"/>
      <c r="AJ6" s="192"/>
      <c r="AK6" s="192"/>
      <c r="AL6" s="192"/>
      <c r="AM6" s="192"/>
      <c r="AN6" s="192"/>
      <c r="AO6" s="192"/>
      <c r="AP6" s="192"/>
      <c r="AQ6" s="192"/>
      <c r="AR6" s="192"/>
      <c r="AS6" s="192"/>
      <c r="AT6" s="192"/>
      <c r="AU6" s="192"/>
      <c r="AV6" s="192"/>
      <c r="AW6" s="192"/>
      <c r="AX6" s="192"/>
      <c r="AY6" s="181"/>
      <c r="AZ6" s="181"/>
      <c r="BA6" s="181"/>
      <c r="BB6" s="181"/>
      <c r="BC6" s="181"/>
      <c r="BD6" s="181"/>
      <c r="BE6" s="181"/>
      <c r="BF6" s="181"/>
      <c r="BG6" s="181"/>
      <c r="BH6" s="181"/>
      <c r="BI6" s="181"/>
      <c r="BJ6" s="181"/>
      <c r="BK6" s="181"/>
      <c r="BL6" s="181"/>
      <c r="BM6" s="181"/>
      <c r="BN6" s="181"/>
      <c r="BO6" s="181"/>
      <c r="BP6" s="181"/>
      <c r="BQ6" s="181"/>
      <c r="BR6" s="181"/>
      <c r="BS6" s="181"/>
      <c r="BT6" s="181"/>
      <c r="BU6" s="181"/>
      <c r="BV6" s="181"/>
      <c r="BW6" s="181"/>
      <c r="BX6" s="181"/>
      <c r="BY6" s="181"/>
      <c r="BZ6" s="181"/>
      <c r="CA6" s="181"/>
      <c r="CB6" s="181"/>
      <c r="CC6" s="181"/>
      <c r="CD6" s="181"/>
      <c r="CE6" s="181"/>
      <c r="CF6" s="181"/>
      <c r="CG6" s="181"/>
      <c r="CH6" s="181"/>
      <c r="CI6" s="181"/>
      <c r="CJ6" s="181"/>
      <c r="CK6" s="181"/>
      <c r="CL6" s="181"/>
      <c r="CM6" s="181"/>
      <c r="CN6" s="181"/>
      <c r="CO6" s="181"/>
      <c r="CP6" s="181"/>
      <c r="CQ6" s="181"/>
      <c r="CR6" s="181"/>
      <c r="CS6" s="181"/>
      <c r="CT6" s="181"/>
    </row>
    <row r="7" spans="1:119" ht="16.5" customHeight="1" thickTop="1" thickBot="1" x14ac:dyDescent="0.35">
      <c r="B7" s="192"/>
      <c r="C7" s="192"/>
      <c r="D7" s="192"/>
      <c r="E7" s="192"/>
      <c r="F7" s="192"/>
      <c r="G7" s="192"/>
      <c r="H7" s="192"/>
      <c r="I7" s="384" t="s">
        <v>93</v>
      </c>
      <c r="J7" s="119"/>
      <c r="K7" s="386" t="s">
        <v>94</v>
      </c>
      <c r="L7" s="388" t="s">
        <v>95</v>
      </c>
      <c r="M7" s="373" t="s">
        <v>96</v>
      </c>
      <c r="N7" s="373" t="s">
        <v>97</v>
      </c>
      <c r="O7" s="373" t="s">
        <v>98</v>
      </c>
      <c r="P7" s="373" t="str">
        <f>IF(COUNT(U8:X19)=3,"LM/WM Ratio",IF(COUNT(U8:X19)=6,"LP/WP Ratio",""))</f>
        <v/>
      </c>
      <c r="Q7" s="373" t="s">
        <v>99</v>
      </c>
      <c r="R7" s="381" t="s">
        <v>100</v>
      </c>
      <c r="S7" s="192"/>
      <c r="T7" s="120"/>
      <c r="U7" s="121" t="s">
        <v>101</v>
      </c>
      <c r="V7" s="122" t="s">
        <v>102</v>
      </c>
      <c r="W7" s="122" t="s">
        <v>103</v>
      </c>
      <c r="X7" s="123" t="s">
        <v>104</v>
      </c>
      <c r="Y7" s="380" t="s">
        <v>105</v>
      </c>
      <c r="Z7" s="379"/>
      <c r="AA7" s="378" t="s">
        <v>106</v>
      </c>
      <c r="AB7" s="379"/>
      <c r="AC7" s="192"/>
      <c r="AD7" s="192"/>
      <c r="AE7" s="192"/>
      <c r="AF7" s="192"/>
      <c r="AG7" s="192"/>
      <c r="AH7" s="192"/>
      <c r="AI7" s="192"/>
      <c r="AJ7" s="192"/>
      <c r="AK7" s="192"/>
      <c r="AL7" s="192"/>
      <c r="AM7" s="192"/>
      <c r="AN7" s="192"/>
      <c r="AO7" s="192"/>
      <c r="AP7" s="192"/>
      <c r="AQ7" s="192"/>
      <c r="AR7" s="192"/>
      <c r="AS7" s="192"/>
      <c r="AT7" s="192"/>
      <c r="AU7" s="192"/>
      <c r="AV7" s="192"/>
      <c r="AW7" s="192"/>
      <c r="AX7" s="192"/>
      <c r="AY7" s="181"/>
      <c r="AZ7" s="181"/>
      <c r="BA7" s="181"/>
      <c r="BB7" s="181"/>
      <c r="BC7" s="181"/>
      <c r="BD7" s="181"/>
      <c r="BE7" s="181"/>
      <c r="BF7" s="181"/>
      <c r="BG7" s="181"/>
      <c r="BH7" s="181"/>
      <c r="BI7" s="181"/>
      <c r="BJ7" s="181"/>
      <c r="BK7" s="181"/>
      <c r="BL7" s="181"/>
      <c r="BM7" s="181"/>
      <c r="BN7" s="181"/>
      <c r="BO7" s="181"/>
      <c r="BP7" s="181"/>
      <c r="BQ7" s="181"/>
      <c r="BR7" s="181"/>
      <c r="BS7" s="181"/>
      <c r="BT7" s="181"/>
      <c r="BU7" s="181"/>
      <c r="BV7" s="181"/>
      <c r="BW7" s="181"/>
      <c r="BX7" s="181"/>
      <c r="BY7" s="181"/>
      <c r="BZ7" s="181"/>
      <c r="CA7" s="181"/>
      <c r="CB7" s="181"/>
      <c r="CC7" s="181"/>
      <c r="CD7" s="181"/>
      <c r="CE7" s="181"/>
      <c r="CF7" s="181"/>
      <c r="CG7" s="181"/>
      <c r="CH7" s="181"/>
      <c r="CI7" s="181"/>
      <c r="CJ7" s="181"/>
      <c r="CK7" s="181"/>
      <c r="CL7" s="181"/>
      <c r="CM7" s="181"/>
      <c r="CN7" s="181"/>
      <c r="CO7" s="181"/>
      <c r="CP7" s="181"/>
      <c r="CQ7" s="181"/>
      <c r="CR7" s="181"/>
      <c r="CS7" s="181"/>
      <c r="CT7" s="181"/>
    </row>
    <row r="8" spans="1:119" ht="15" customHeight="1" thickTop="1" thickBot="1" x14ac:dyDescent="0.35">
      <c r="B8" s="192"/>
      <c r="C8" s="192"/>
      <c r="D8" s="192"/>
      <c r="E8" s="192"/>
      <c r="F8" s="192"/>
      <c r="G8" s="192"/>
      <c r="H8" s="192"/>
      <c r="I8" s="385"/>
      <c r="J8" s="124"/>
      <c r="K8" s="387"/>
      <c r="L8" s="389"/>
      <c r="M8" s="374"/>
      <c r="N8" s="374"/>
      <c r="O8" s="374"/>
      <c r="P8" s="374"/>
      <c r="Q8" s="374"/>
      <c r="R8" s="382"/>
      <c r="S8" s="192"/>
      <c r="T8" s="208">
        <v>1</v>
      </c>
      <c r="U8" s="209" t="str">
        <f>IF(M9="","",IF(COUNTIF(M9:M11,M9)=3,IF(COUNTBLANK(I9:I12)=1,(Q21+Q27)/(Q20+Q26),IF(COUNTBLANK(I9:I12)=0,(Q33+Q21)/(Q32+Q20),"")),""))</f>
        <v/>
      </c>
      <c r="V8" s="125" t="str">
        <f>IF(AND(COUNTBLANK(I9:I12)=0,M9=M11,M11=M12),(Q21+Q27)/(Q20+Q26),"")</f>
        <v/>
      </c>
      <c r="W8" s="210" t="str">
        <f>IF(AND(COUNTBLANK(I9:I12)=0,M9=M10,M10=M12),(Q33+Q27)/(Q32+Q26),"")</f>
        <v/>
      </c>
      <c r="X8" s="211"/>
      <c r="Y8" s="169" t="s">
        <v>93</v>
      </c>
      <c r="Z8" s="170" t="s">
        <v>107</v>
      </c>
      <c r="AA8" s="169" t="s">
        <v>93</v>
      </c>
      <c r="AB8" s="170" t="s">
        <v>107</v>
      </c>
      <c r="AC8" s="192"/>
      <c r="AD8" s="192"/>
      <c r="AE8" s="127"/>
      <c r="AF8" s="192"/>
      <c r="AG8" s="192"/>
      <c r="AH8" s="192"/>
      <c r="AI8" s="192"/>
      <c r="AJ8" s="192"/>
      <c r="AK8" s="192"/>
      <c r="AL8" s="192"/>
      <c r="AM8" s="192"/>
      <c r="AN8" s="192"/>
      <c r="AO8" s="192"/>
      <c r="AP8" s="192"/>
      <c r="AQ8" s="192"/>
      <c r="AR8" s="192"/>
      <c r="AS8" s="192"/>
      <c r="AT8" s="192"/>
      <c r="AU8" s="192"/>
      <c r="AV8" s="192"/>
      <c r="AW8" s="192"/>
      <c r="AX8" s="192"/>
      <c r="AY8" s="181"/>
      <c r="AZ8" s="181"/>
      <c r="BA8" s="181"/>
      <c r="BB8" s="181"/>
      <c r="BC8" s="181"/>
      <c r="BD8" s="181"/>
      <c r="BE8" s="181"/>
      <c r="BF8" s="181"/>
      <c r="BG8" s="181"/>
      <c r="BH8" s="181"/>
      <c r="BI8" s="181"/>
      <c r="BJ8" s="181"/>
      <c r="BK8" s="181"/>
      <c r="BL8" s="181"/>
      <c r="BM8" s="181"/>
      <c r="BN8" s="181"/>
      <c r="BO8" s="181"/>
      <c r="BP8" s="181"/>
      <c r="BQ8" s="181"/>
      <c r="BR8" s="181"/>
      <c r="BS8" s="181"/>
      <c r="BT8" s="181"/>
      <c r="BU8" s="181"/>
      <c r="BV8" s="181"/>
      <c r="BW8" s="181"/>
      <c r="BX8" s="181"/>
      <c r="BY8" s="181"/>
      <c r="BZ8" s="181"/>
      <c r="CA8" s="181"/>
      <c r="CB8" s="181"/>
      <c r="CC8" s="181"/>
      <c r="CD8" s="181"/>
      <c r="CE8" s="181"/>
      <c r="CF8" s="181"/>
      <c r="CG8" s="181"/>
      <c r="CH8" s="181"/>
      <c r="CI8" s="181"/>
      <c r="CJ8" s="181"/>
      <c r="CK8" s="181"/>
      <c r="CL8" s="181"/>
      <c r="CM8" s="181"/>
      <c r="CN8" s="181"/>
      <c r="CO8" s="181"/>
      <c r="CP8" s="181"/>
      <c r="CQ8" s="181"/>
      <c r="CR8" s="181"/>
      <c r="CS8" s="181"/>
      <c r="CT8" s="181"/>
      <c r="CU8" s="181"/>
      <c r="CV8" s="181"/>
      <c r="CW8" s="181"/>
      <c r="CX8" s="181"/>
      <c r="CY8" s="181"/>
      <c r="CZ8" s="181"/>
      <c r="DA8" s="181"/>
      <c r="DB8" s="181"/>
      <c r="DC8" s="181"/>
      <c r="DD8" s="181"/>
      <c r="DE8" s="181"/>
      <c r="DF8" s="181"/>
      <c r="DG8" s="181"/>
      <c r="DH8" s="181"/>
      <c r="DI8" s="181"/>
      <c r="DJ8" s="181"/>
      <c r="DK8" s="181"/>
      <c r="DL8" s="181"/>
      <c r="DM8" s="181"/>
      <c r="DN8" s="181"/>
      <c r="DO8" s="181"/>
    </row>
    <row r="9" spans="1:119" ht="16.5" customHeight="1" thickTop="1" thickBot="1" x14ac:dyDescent="0.35">
      <c r="B9" s="192"/>
      <c r="C9" s="192"/>
      <c r="D9" s="192"/>
      <c r="E9" s="192"/>
      <c r="F9" s="192" t="str">
        <f>IF(I9="","",VLOOKUP(I9,Siembra,2,FALSE))</f>
        <v/>
      </c>
      <c r="G9" s="192" t="str">
        <f>O9</f>
        <v/>
      </c>
      <c r="H9" s="192">
        <v>1</v>
      </c>
      <c r="I9" s="128" t="str">
        <f>IF(K9="","",IF(ISNUMBER(Sorteo!$A$17),VLOOKUP(K9,Draw,2,FALSE),""))</f>
        <v/>
      </c>
      <c r="J9" s="129" t="str">
        <f>O9</f>
        <v/>
      </c>
      <c r="K9" s="130" t="str">
        <f>IF(Sorteo!B17="","",IF(Group_players=4,IF(Tablas!BH3="","",Tablas!BH3),IF(Group_players=3,IF(Tablas!BH11="","",Tablas!BH11),"")))</f>
        <v/>
      </c>
      <c r="L9" s="131" t="str">
        <f>IF(K9="","",VLOOKUP(I9,Siembra,3,FALSE))</f>
        <v/>
      </c>
      <c r="M9" s="132" t="str">
        <f>IF(AND(Q20="",Q21=""),"",IF(I9="","",SUMIFS(E20:E36,I20:I36,I9)))</f>
        <v/>
      </c>
      <c r="N9" s="132" t="str">
        <f>IF(M9="","",IF(I9="","",SUMIFS(F20:F36,I20:I36,I9)))</f>
        <v/>
      </c>
      <c r="O9" s="132" t="str">
        <f>IF(M9="","",IF(COUNTBLANK(I9:I12)=2,IF(M9=1,1,IF(M9=0,2)),IF(COUNTBLANK(I9:I12)=1,IF(M9=2,1,IF(M9=0,3,IF(AND(M9=1,M10&lt;&gt;1),2,IF(COUNTIF(M9:M11,1)&gt;1,Z9)))),IF(COUNTBLANK(I9:I12)=0,IF(COUNTIF(M9:M12,M9)=1,IF(M9=3,1,IF(M9=2,2,IF(M9=1,3,IF(M9=0,4)))),IF(Group_players=3,Z9,IF(COUNTIF(M9:M12,M9)=2,AB9,IF(AND(M9=M10,M10=M11),AB13,IF(AND(M9=M11,M11=M12),AB16,IF(AND(M9=M10,M10=M12),AB19,"")))))),99))))</f>
        <v/>
      </c>
      <c r="P9" s="133" t="str">
        <f>IF(COUNT(U8:X19)=3,IF(ISNUMBER(U8),U8,IF(ISNUMBER(V8),V8,IF(ISNUMBER(W8),W8,IF(X8="","")))),IF(COUNT(U8:X19)=6,IF(ISNUMBER(U16),U16,IF(ISNUMBER(V16),V16,IF(ISNUMBER(W16),W16,IF(ISBLANK(X8),"")))),""))</f>
        <v/>
      </c>
      <c r="Q9" s="132" t="str">
        <f>IF(M9="","",SUMIF(I20:S36,I9,S20:S36))</f>
        <v/>
      </c>
      <c r="R9" s="134" t="str">
        <f>IF(M9="","",L9+Q9)</f>
        <v/>
      </c>
      <c r="S9" s="203"/>
      <c r="T9" s="208">
        <v>2</v>
      </c>
      <c r="U9" s="209" t="str">
        <f>IF(M10="","",IF(COUNTIF(M9:M11,M10)=3,IF(COUNTBLANK(I9:I12)=1,(Q24+Q26)/(Q23+Q27),IF(COUNTBLANK(I9:I12)=0,(Q30+Q32)/(Q29+Q33),"")),""))</f>
        <v/>
      </c>
      <c r="V9" s="135"/>
      <c r="W9" s="212" t="str">
        <f>IF(AND(COUNTBLANK(I9:I12)=0,M10=M9,M9=M12),(Q32+Q24)/(Q33+Q23),"")</f>
        <v/>
      </c>
      <c r="X9" s="213" t="str">
        <f>IF(AND(COUNTBLANK(I9:I12)=0,M10=M11,M11=M12),(Q30+Q24)/(Q29+Q23),"")</f>
        <v/>
      </c>
      <c r="Y9" s="214">
        <v>1</v>
      </c>
      <c r="Z9" s="215" t="str">
        <f>IF(U8="","",IF(OR(Group_players=3,AND(Group_players=4,COUNTBLANK(I9:I12)=1)),IF(COUNTIF(M9:M11,M9)=1,"",IF(AND(U8=U9,U9=U10),Z13,IF(AND(U8&lt;&gt;U9,U8&lt;&gt;U10,U9&lt;&gt;U10),(IF(SMALL(U8:U10,1)=U8,1,IF(SMALL(U8:U10,2)=U8,2,IF(SMALL(U8:U10,3)=U8,3)))),IF(AND(U8&lt;U9,U9=U10),1,IF(AND(U8&gt;U9,U9=U10),3,IF(AND(U8=U9,U8&lt;U10),(IF(Q26=3,1,2)),IF(AND(U8=U9,U8&gt;U10),(IF(Q26=3,2,3)),IF(AND(U8=U10,U8&lt;U9),(IF(Q20=3,1,2)),IF(AND(U8=U10,U8&gt;U9),(IF(Q20=3,2,3)),99))))))))),""))</f>
        <v/>
      </c>
      <c r="AA9" s="216">
        <v>1</v>
      </c>
      <c r="AB9" s="217" t="str">
        <f>IF(COUNTIF(M9:M12,M9)&lt;&gt;2,"",IF(COUNTIF(M9:M12,M9)=1,"",IF(AND(COUNTIF(M9:M12,M9)=2,M9=2),IF(M9=M10,IF(Q32=3,1,2),IF(M9=M11,IF(Q20=3,1,2),IF(M9=M12,IF(Q26=3,1,2)))),IF(AND(COUNTIF(M9:M12,M9)=2,M9=1),IF(M9=M10,IF(Q32=3,3,4),IF(M9=M11,IF(Q20=3,3,4),IF(M9=M12,IF(Q26=3,3,4)))),IF(COUNTIF(M9:M12,M9)=3,AB13)))))</f>
        <v/>
      </c>
      <c r="AC9" s="192"/>
      <c r="AD9" s="192"/>
      <c r="AE9" s="192"/>
      <c r="AF9" s="192"/>
      <c r="AG9" s="192"/>
      <c r="AH9" s="171" t="s">
        <v>108</v>
      </c>
      <c r="AI9" s="192"/>
      <c r="AJ9" s="192"/>
      <c r="AK9" s="192"/>
      <c r="AL9" s="192"/>
      <c r="AM9" s="181"/>
      <c r="AN9" s="192"/>
      <c r="AO9" s="192"/>
      <c r="AP9" s="192"/>
      <c r="AQ9" s="192"/>
      <c r="AR9" s="192"/>
      <c r="AS9" s="192"/>
      <c r="AT9" s="192"/>
      <c r="AU9" s="192"/>
      <c r="AV9" s="192"/>
      <c r="AW9" s="192"/>
      <c r="AX9" s="192"/>
      <c r="AY9" s="181"/>
      <c r="AZ9" s="181"/>
      <c r="BA9" s="181"/>
      <c r="BB9" s="181"/>
      <c r="BC9" s="181"/>
      <c r="BD9" s="181"/>
      <c r="BE9" s="181"/>
      <c r="BF9" s="181"/>
      <c r="BG9" s="181"/>
      <c r="BH9" s="181"/>
      <c r="BI9" s="181"/>
      <c r="BJ9" s="181"/>
      <c r="BK9" s="181"/>
      <c r="BL9" s="181"/>
      <c r="BM9" s="181"/>
      <c r="BN9" s="181"/>
      <c r="BO9" s="181"/>
      <c r="BP9" s="181"/>
      <c r="BQ9" s="181"/>
      <c r="BR9" s="181"/>
      <c r="BS9" s="181"/>
      <c r="BT9" s="181"/>
      <c r="BU9" s="181"/>
      <c r="BV9" s="181"/>
      <c r="BW9" s="181"/>
      <c r="BX9" s="181"/>
      <c r="BY9" s="181"/>
      <c r="BZ9" s="181"/>
      <c r="CA9" s="181"/>
      <c r="CB9" s="181"/>
      <c r="CC9" s="181"/>
      <c r="CD9" s="181"/>
      <c r="CE9" s="181"/>
      <c r="CF9" s="181"/>
      <c r="CG9" s="181"/>
      <c r="CH9" s="181"/>
      <c r="CI9" s="181"/>
      <c r="CJ9" s="181"/>
      <c r="CK9" s="181"/>
      <c r="CL9" s="181"/>
      <c r="CM9" s="181"/>
      <c r="CN9" s="181"/>
      <c r="CO9" s="181"/>
      <c r="CP9" s="181"/>
      <c r="CQ9" s="181"/>
      <c r="CR9" s="181"/>
      <c r="CS9" s="181"/>
      <c r="CT9" s="181"/>
      <c r="CU9" s="181"/>
      <c r="CV9" s="181"/>
      <c r="CW9" s="181"/>
      <c r="CX9" s="181"/>
      <c r="CY9" s="181"/>
      <c r="CZ9" s="181"/>
      <c r="DA9" s="181"/>
      <c r="DB9" s="181"/>
      <c r="DC9" s="181"/>
      <c r="DD9" s="181"/>
      <c r="DE9" s="181"/>
      <c r="DF9" s="181"/>
      <c r="DG9" s="181"/>
      <c r="DH9" s="181"/>
      <c r="DI9" s="181"/>
      <c r="DJ9" s="181"/>
      <c r="DK9" s="181"/>
      <c r="DL9" s="181"/>
      <c r="DM9" s="181"/>
      <c r="DN9" s="181"/>
      <c r="DO9" s="181"/>
    </row>
    <row r="10" spans="1:119" ht="16.5" customHeight="1" thickTop="1" thickBot="1" x14ac:dyDescent="0.35">
      <c r="B10" s="192"/>
      <c r="C10" s="192"/>
      <c r="D10" s="192"/>
      <c r="E10" s="192"/>
      <c r="F10" s="192" t="str">
        <f>IF(I10="","",VLOOKUP(I10,Siembra,2,FALSE))</f>
        <v/>
      </c>
      <c r="G10" s="192" t="str">
        <f>O10</f>
        <v/>
      </c>
      <c r="H10" s="192">
        <v>2</v>
      </c>
      <c r="I10" s="128" t="str">
        <f>IF(K10="","",IF(ISNUMBER(Sorteo!$A$17),VLOOKUP(K10,Draw,2,FALSE),""))</f>
        <v/>
      </c>
      <c r="J10" s="129" t="str">
        <f>O10</f>
        <v/>
      </c>
      <c r="K10" s="136" t="str">
        <f>IF(Sorteo!B17="","",IF(Group_players=4,IF(Tablas!BH4="","",Tablas!BH4),IF(Group_players=3,IF(Tablas!BH12="","",Tablas!BH12),"")))</f>
        <v/>
      </c>
      <c r="L10" s="137" t="str">
        <f>IF(K10="","",VLOOKUP(I10,Siembra,3,FALSE))</f>
        <v/>
      </c>
      <c r="M10" s="132" t="str">
        <f>IF(AND(L20="",L21=""),"",IF(I10="","",SUMIFS(E20:E37,I20:I37,I10)))</f>
        <v/>
      </c>
      <c r="N10" s="138" t="str">
        <f>IF(M10="","",IF(I10="","",SUMIFS(F20:F36,I20:I36,I10)))</f>
        <v/>
      </c>
      <c r="O10" s="132" t="str">
        <f>IF(M10="","",IF(COUNTBLANK(I10:I12)=2,IF(M10=1,1,IF(M10=0,2)),IF(COUNTBLANK(I9:I12)=1,IF(M10=2,1,IF(M10=0,3,IF(AND(M10=1,M11&lt;&gt;1),2,IF(COUNTIF(M9:M12,1)&gt;1,Z10)))),IF(COUNTBLANK(I9:I12)=0,IF(COUNTIF(M9:M12,M10)=1,IF(M10=3,1,IF(M10=2,2,IF(M10=1,3,IF(M10=0,4)))),IF(Group_players=3,Z10,IF(COUNTIF(M9:M12,M10)=2,AB10,IF(AND(M10=M9,M9=M11),AB14,IF(AND(M10=M9,M9=M12),AB20,IF(AND(M10=M11,M11=M12),AB22,""))))))))))</f>
        <v/>
      </c>
      <c r="P10" s="133" t="str">
        <f>IF(COUNT(U8:X19)=3,IF(ISNUMBER(U9),U9,IF(ISNUMBER(W9),W9,IF(ISNUMBER(X9),X9,IF(X9="","")))),IF(COUNT(U8:X19)=6,IF(ISNUMBER(U17),U17,IF(ISNUMBER(W17),W17,IF(ISNUMBER(X17),X17,IF(ISBLANK(X16),"")))),""))</f>
        <v/>
      </c>
      <c r="Q10" s="138" t="str">
        <f>IF(M10="","",SUMIF(I20:S36,I10,S20:$S36))</f>
        <v/>
      </c>
      <c r="R10" s="139" t="str">
        <f>IF(M10="","",L10+Q10)</f>
        <v/>
      </c>
      <c r="S10" s="203"/>
      <c r="T10" s="208">
        <v>3</v>
      </c>
      <c r="U10" s="209" t="str">
        <f>IF(M11="","",IF(COUNTIF(M9:M11,M11)=3,IF(COUNTBLANK(I9:I12)=1,(Q20+Q23)/(Q21+Q24),IF(COUNTBLANK(I9:I12)=0,(Q20+Q29)/(Q21+Q30),"")),""))</f>
        <v/>
      </c>
      <c r="V10" s="125" t="str">
        <f>IF(AND(COUNTBLANK(I9:I12)=0,M11=M12,M12=M9),(Q20+Q36)/(Q21+Q35),"")</f>
        <v/>
      </c>
      <c r="W10" s="218"/>
      <c r="X10" s="213" t="str">
        <f>IF(AND(COUNTBLANK(I9:I12)=0,M11=M12,M12=M10),(Q29+Q36)/(Q30+Q35),"")</f>
        <v/>
      </c>
      <c r="Y10" s="219">
        <v>2</v>
      </c>
      <c r="Z10" s="220" t="str">
        <f>IF(U9="","",IF(OR(Group_players=3,AND(Group_players=4,COUNTBLANK(I9:I12)=1)),IF(COUNTIF(M9:M11,M10)=1,"",IF(AND(U9=U8,U9=U10),Z14,IF(AND(U9&lt;&gt;U8,U9&lt;&gt;U10,U8&lt;&gt;U10),(IF(SMALL(U8:U10,1)=U9,1,IF(SMALL(U8:U10,2)=U9,2,IF(SMALL(U8:U10,3)=U9,3)))),IF(AND(U9&lt;U8,U8=U10),1,IF(AND(U9&gt;U8,U8=U10),3,IF(AND(U9=U8,U9&lt;U10),(IF(Q27=3,1,2)),IF(AND(U9=U8,U9&gt;U10),(IF(Q27=3,2,3)),IF(AND(U9=U10,U9&lt;U8),(IF(Q23=3,1,2)),IF(AND(U9=U10,U9&gt;U8),(IF(Q23=3,2,3)),99))))))))),""))</f>
        <v/>
      </c>
      <c r="AA10" s="221">
        <v>2</v>
      </c>
      <c r="AB10" s="222" t="str">
        <f>IF(COUNTIF(M9:M12,M10)&lt;&gt;2,"",IF(COUNTIF(M9:M12,M10)=1,"",IF(AND(COUNTIF(M9:M12,M10)=2,M10=2),IF(M10=M9,IF(Q33=3,1,2),IF(M10=M11,IF(Q29=3,1,2),IF(M10=M12,IF(Q23=3,1,2)))),IF(AND(COUNTIF(M9:M12,M10)=2,M10=1),IF(M10=M9,IF(Q33=3,3,4),IF(M10=M11,IF(Q29=3,3,4),IF(M10=M12,IF(Q23=3,3,4)))),AB15))))</f>
        <v/>
      </c>
      <c r="AC10" s="192"/>
      <c r="AD10" s="192"/>
      <c r="AE10" s="192"/>
      <c r="AF10" s="192" t="s">
        <v>109</v>
      </c>
      <c r="AG10" s="203" t="str">
        <f t="shared" ref="AG10:AG41" si="0">IF(AF10&gt;Llave,"",IF(Group_players=3,IF(Advancing="Todos",IF(AF10&lt;=Grps,"A",IF(AND(AF10&gt;Grps,AF10&lt;=Grps*2),"B",IF(AND(AF10&gt;Grps*2,AF10&lt;=Tot_Jug),"C",""))),IF(AND(AF10&gt;Grps*3,AF10&lt;=Tot_Jug,AN9&lt;&gt;""),"D",IF(Advancing=2,IF(AF10&lt;=Grps,"A",IF(AND(AF10&gt;Grps,AF10&lt;=Grps*2),"B","")),""))),IF(Group_players=4,IF(Advancing="Todos",IF(AF10&lt;=Grps,"A",IF(AND(AF10&gt;Grps,AF10&lt;=Grps*2),"B",IF(AND(AF10&gt;Grps*2,AF10&lt;=Grps*3),"C",IF(AND(AF10&gt;Grps*3,AF10&lt;=Tot_Jug),"D","")))),IF(Advancing=2,IF(AF10&lt;=Grps,"A",IF(AND(AF10&gt;Grps,AF10&lt;=Grps*2),"B","")),"")),"")))</f>
        <v/>
      </c>
      <c r="AH10" s="192"/>
      <c r="AI10" s="192">
        <f>COUNT(AI11:AI141)</f>
        <v>0</v>
      </c>
      <c r="AJ10" s="192"/>
      <c r="AK10" s="192">
        <f>COUNTIF(AL11:AL138,"&gt;0")</f>
        <v>0</v>
      </c>
      <c r="AL10" s="181"/>
      <c r="AM10" s="192"/>
      <c r="AN10" s="192"/>
      <c r="AO10" s="192"/>
      <c r="AP10" s="192"/>
      <c r="AQ10" s="192"/>
      <c r="AR10" s="192"/>
      <c r="AS10" s="192"/>
      <c r="AT10" s="181"/>
      <c r="AU10" s="192"/>
      <c r="AV10" s="192"/>
      <c r="AW10" s="192"/>
      <c r="AX10" s="192"/>
      <c r="AY10" s="181"/>
      <c r="AZ10" s="181"/>
      <c r="BA10" s="181"/>
      <c r="BB10" s="181"/>
      <c r="BC10" s="181"/>
      <c r="BD10" s="181"/>
      <c r="BE10" s="181"/>
      <c r="BF10" s="181"/>
      <c r="BG10" s="181"/>
      <c r="BH10" s="181"/>
      <c r="BI10" s="181"/>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181"/>
      <c r="CR10" s="181"/>
      <c r="CS10" s="181"/>
      <c r="CT10" s="181"/>
      <c r="CU10" s="181"/>
      <c r="CV10" s="181"/>
      <c r="CW10" s="181"/>
      <c r="CX10" s="181"/>
      <c r="CY10" s="181"/>
      <c r="CZ10" s="181"/>
      <c r="DA10" s="181"/>
      <c r="DB10" s="181"/>
      <c r="DC10" s="181"/>
      <c r="DD10" s="181"/>
      <c r="DE10" s="181"/>
      <c r="DF10" s="181"/>
      <c r="DG10" s="181"/>
      <c r="DH10" s="181"/>
      <c r="DI10" s="181"/>
      <c r="DJ10" s="181"/>
      <c r="DK10" s="181"/>
      <c r="DL10" s="181"/>
      <c r="DM10" s="181"/>
      <c r="DN10" s="181"/>
      <c r="DO10" s="181"/>
    </row>
    <row r="11" spans="1:119" ht="17.25" customHeight="1" thickBot="1" x14ac:dyDescent="0.35">
      <c r="B11" s="192"/>
      <c r="C11" s="192"/>
      <c r="D11" s="192"/>
      <c r="E11" s="192"/>
      <c r="F11" s="192" t="str">
        <f>IF(I11="","",VLOOKUP(I11,Siembra,2,FALSE))</f>
        <v/>
      </c>
      <c r="G11" s="192" t="str">
        <f>O11</f>
        <v/>
      </c>
      <c r="H11" s="192">
        <v>3</v>
      </c>
      <c r="I11" s="128" t="str">
        <f>IF(K11="","",IF(ISNUMBER(Sorteo!$A$17),VLOOKUP(K11,Draw,2,FALSE),""))</f>
        <v/>
      </c>
      <c r="J11" s="129" t="str">
        <f>O11</f>
        <v/>
      </c>
      <c r="K11" s="136" t="str">
        <f>IF(K9="","",IF(AND(Group_players=4,Tot_Jug&gt;2),IF(Tablas!BH5="","",Tablas!BH5),IF(AND(Group_players=3,Tot_Jug&gt;2),IF(Tablas!BH13="","",Tablas!BH13),"")))</f>
        <v/>
      </c>
      <c r="L11" s="137" t="str">
        <f>IF(I11="","",VLOOKUP(I11,Siembra,3,FALSE))</f>
        <v/>
      </c>
      <c r="M11" s="132" t="str">
        <f>IF(AND(L21="",L20=""),"",IF(I11="","",SUMIFS(E20:E38,I20:I38,I11)))</f>
        <v/>
      </c>
      <c r="N11" s="138" t="str">
        <f>IF(M11="","",IF(I11="","",SUMIFS(F20:F36,I20:I36,I11)))</f>
        <v/>
      </c>
      <c r="O11" s="132" t="str">
        <f>IF(M11="","",IF(COUNTBLANK(I9:I12)=1,IF(M11=2,1,IF(M11=0,3,IF(AND(M11=1,M11&lt;&gt;M9),2,IF(COUNTIF(M9:M12,1)&gt;1,Z11)))),IF(COUNTBLANK(I9:I12)=0,IF(COUNTIF(M9:M12,M11)=1,IF(M11=3,1,IF(M11=2,2,IF(M11=1,3,IF(M11=0,4)))),IF(Group_players=3,Z11,IF(COUNTIF(M9:M12,M11)=2,AB11,IF(AND(M11=M9,M9=M10),AB15,IF(AND(M11=M9,M9=M12),AB17,IF(AND(M11=M10,M10=M12),AB23,"")))))))))</f>
        <v/>
      </c>
      <c r="P11" s="133" t="str">
        <f>IF(COUNT(U8:X19)=3,IF(ISNUMBER(U10),U10,IF(ISNUMBER(V10),V10,IF(ISNUMBER(X10),X10,IF(W10="","")))),IF(COUNT(U8:X19)=6,IF(ISNUMBER(U18),U18,IF(ISNUMBER(V18),V18,IF(ISNUMBER(X18),X18,""))),""))</f>
        <v/>
      </c>
      <c r="Q11" s="138" t="str">
        <f>IF(M11="","",SUMIF(I20:S36,I11,S20:S36))</f>
        <v/>
      </c>
      <c r="R11" s="139" t="str">
        <f>IF(M11="","",L11+Q11)</f>
        <v/>
      </c>
      <c r="S11" s="203"/>
      <c r="T11" s="208">
        <v>4</v>
      </c>
      <c r="U11" s="223"/>
      <c r="V11" s="140" t="str">
        <f>IF(AND(COUNTBLANK(I9:I12)=0,M12=M9,M9=M11),(Q26+Q35)/(Q27+Q36),"")</f>
        <v/>
      </c>
      <c r="W11" s="224" t="str">
        <f>IF(AND(COUNTBLANK(I9:I12)=0,M12=M9,M9=M10),(Q26+Q23)/(Q27+Q24),"")</f>
        <v/>
      </c>
      <c r="X11" s="225" t="str">
        <f>IF(AND(COUNTBLANK(I9:I12)=0,M12=M10,M10=M11),(Q23+Q35)/(Q24+Q36),"")</f>
        <v/>
      </c>
      <c r="Y11" s="226">
        <v>3</v>
      </c>
      <c r="Z11" s="227" t="str">
        <f>IF(U10="","",IF(OR(Group_players=3,AND(Group_players=4,COUNTBLANK(I9:I12)=1)),IF(COUNTIF(M9:M11,M11)=1,"",IF(AND(U10=U8,U10=U9),Z15,IF(AND(U10&lt;&gt;U9,U9&lt;&gt;U8,U10&lt;&gt;U8),(IF(SMALL(U8:U10,1)=U10,1,IF(SMALL(U8:U10,2)=U10,2,IF(SMALL(U8:U10,3)=U10,3)))),IF(AND(U10&lt;U9,U9=U8),1,IF(AND(U10&gt;U9,U9=U8),3,IF(AND(U10=U9,U10&lt;U8),(IF(Q24=3,1,2)),IF(AND(U10=U9,U10&gt;U8),(IF(Q24=3,2,3)),IF(AND(U10=U8,U10&lt;U9),(IF(Q21=3,1,2)),IF(AND(U10=U8,U10&gt;U9),(IF(Q21=3,2,3)),99))))))))),""))</f>
        <v/>
      </c>
      <c r="AA11" s="221">
        <v>3</v>
      </c>
      <c r="AB11" s="222" t="str">
        <f>IF(COUNTIF(M9:M12,M11)&lt;&gt;2,"",IF(COUNTIF(M9:M12,M11)=1,"",IF(AND(COUNTIF(M9:M12,M11)=2,M11=2),IF(M11=M9,IF(Q21=3,1,2),IF(M11=M10,IF(Q30=3,1,2),IF(M11=M12,IF(Q35=3,1,2)))),IF(AND(COUNTIF(M9:M12,M11)=2,M11=1),IF(M11=M9,IF(Q21=3,3,4),IF(M11=M10,IF(Q30=3,3,4),IF(M11=M12,IF(Q35=3,3,4)))),AB15))))</f>
        <v/>
      </c>
      <c r="AC11" s="192"/>
      <c r="AD11" s="192"/>
      <c r="AE11" s="192"/>
      <c r="AF11" s="228">
        <v>1</v>
      </c>
      <c r="AG11" s="203" t="str">
        <f t="shared" si="0"/>
        <v/>
      </c>
      <c r="AH11" s="192" t="str">
        <f t="shared" ref="AH11:AH42" si="1">IF(AG11="Bye","",IF(Group_players=3,IF(AG11="","",IF(AG11="A",IF(AG10="A",AH10+1,1),IF(AND(AG10="A",AH10=Groups),Groups,IF(AND(AG10="B",AG11="B"),AH10-1,IF(AND(AG11="C",AG10="C"),AH10+1,IF(AG11="C",IF(AND(AG10="B",AG11="C"),IF((Groups*3)-Tot_Jug=0,1,IF(Groups*3-Tot_Jug=1,AH10+1,IF(Groups*3-Tot_Jug=2,AH10+2,99))),IF(AND(AG10="C",AG11="C"),AH10+1)))))))),IF(Group_players=4,IF(AND(AG10&lt;&gt;"A",AG11="A"),1,IF(AND(AG10="A",AG11="A"),AH10+1,IF(AND(AG10="A",AG11="B"),Groups,IF(AND(AG10="B",AG11="B"),AH10-1,IF(AND(AG10="B",AG11="C"),1,IF(AND(AG10="C",AG11="C"),AH10+1,IF(AND(AG10="C",AG11="D",AF11&lt;=Llave),Groups,IF(AND(AG10="D",AG11="D",AF11&lt;=Llave),AH10-1,"")))))))))))</f>
        <v/>
      </c>
      <c r="AI11" s="229" t="str">
        <f t="shared" ref="AI11:AI42" si="2">IF(AND(AF11&lt;=Llave,AG11=""),"Bye",IF(AF11&gt;Tot_Jug,"",IF(AF11&gt;Tot_Jug,"",IF(AG11="A",HLOOKUP(AH11,Group_Results,2,FALSE),IF(AG11="B",HLOOKUP(AH11,Group_Results,3,FALSE),IF(AG11="C",HLOOKUP(AH11,Group_Results,4,FALSE),IF(AG11="D",HLOOKUP(AH11,Group_Results,5,FALSE),"")))))))</f>
        <v>Bye</v>
      </c>
      <c r="AJ11" s="192"/>
      <c r="AK11" s="203">
        <f t="shared" ref="AK11:AK42" si="3">IF(AI11="Bye",0,IF(AI11&lt;&gt;"",IF(AF11&gt;Tot_Jug,"BYE",IF(AG11="A",HLOOKUP(AH11,Group_Points,2,FALSE),IF(AG11="B",HLOOKUP(AH11,Group_Points,3,FALSE),IF(AG11="C",HLOOKUP(AH11,Group_Points,4,FALSE),IF(AG11="D",HLOOKUP(AH11,Group_Points,5,FALSE)))))),""))</f>
        <v>0</v>
      </c>
      <c r="AL11" s="229">
        <f>ABS(AK11)</f>
        <v>0</v>
      </c>
      <c r="AM11" s="181"/>
      <c r="AN11" s="181"/>
      <c r="AO11" s="181"/>
      <c r="AP11" s="181"/>
      <c r="AQ11" s="192"/>
      <c r="AR11" s="192"/>
      <c r="AS11" s="192"/>
      <c r="AT11" s="192"/>
      <c r="AU11" s="192"/>
      <c r="AV11" s="192"/>
      <c r="AW11" s="192"/>
      <c r="AX11" s="192"/>
      <c r="AY11" s="181"/>
      <c r="AZ11" s="181"/>
      <c r="BA11" s="181"/>
      <c r="BB11" s="181"/>
      <c r="BC11" s="181"/>
      <c r="BD11" s="181"/>
      <c r="BE11" s="181"/>
      <c r="BF11" s="181"/>
      <c r="BG11" s="181"/>
      <c r="BH11" s="181"/>
      <c r="BI11" s="181"/>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row>
    <row r="12" spans="1:119" ht="17.25" customHeight="1" thickTop="1" thickBot="1" x14ac:dyDescent="0.35">
      <c r="B12" s="192"/>
      <c r="C12" s="192"/>
      <c r="D12" s="192"/>
      <c r="E12" s="192"/>
      <c r="F12" s="192" t="str">
        <f>IF(I12="","",VLOOKUP(I12,Siembra,2,FALSE))</f>
        <v/>
      </c>
      <c r="G12" s="192" t="str">
        <f>O12</f>
        <v/>
      </c>
      <c r="H12" s="192">
        <v>4</v>
      </c>
      <c r="I12" s="141" t="str">
        <f>IF(K12="","",IF(ISNUMBER(Sorteo!$A$17),VLOOKUP(K12,Draw,2,FALSE),""))</f>
        <v/>
      </c>
      <c r="J12" s="142" t="str">
        <f>O12</f>
        <v/>
      </c>
      <c r="K12" s="143" t="str">
        <f>IF(K9="","",IF(Group_players=4,IF(Tablas!BH6="","",Tablas!BH6),""))</f>
        <v/>
      </c>
      <c r="L12" s="144" t="str">
        <f>IF(K12="","",VLOOKUP(I12,Siembra,3,FALSE))</f>
        <v/>
      </c>
      <c r="M12" s="145" t="str">
        <f>IF(AND(Q23="",Q24=""),"",IF(I12="","",SUMIFS(E20:E39,I20:I39,I12)))</f>
        <v/>
      </c>
      <c r="N12" s="145" t="str">
        <f>IF(M12="","",IF(I12="","",SUMIFS(F20:F36,I20:I36,I12)))</f>
        <v/>
      </c>
      <c r="O12" s="145" t="str">
        <f>IF(M12="","",IF(COUNTIF(M9:M12,M12)=1,IF(M12=3,1,IF(M12=2,2,IF(M12=1,3,IF(M12=0,4)))),IF(COUNTIF(M9:M12,M12)=2,AB12,IF(AND(M12=M9,M9=M11),AB18,IF(AND(M12=M9,M9=M10),AB21,IF(AND(M12=M10,M10=M11),AB24,""))))))</f>
        <v/>
      </c>
      <c r="P12" s="146" t="str">
        <f>IF(COUNT(U8:X19)=3,IF(ISNUMBER(V11),V11,IF(ISNUMBER(W11),W11,IF(ISNUMBER(X11),X11,IF(X11="","")))),IF(COUNT(U8:X19)=6,IF(ISNUMBER(V19),V19,IF(ISNUMBER(W19),W19,IF(ISNUMBER(X19),X19,""))),""))</f>
        <v/>
      </c>
      <c r="Q12" s="145" t="str">
        <f>IF(M12="","",SUMIF(I20:S36,I12,S20:$S36))</f>
        <v/>
      </c>
      <c r="R12" s="147" t="str">
        <f>IF(M12="","",L12+Q12)</f>
        <v/>
      </c>
      <c r="S12" s="203"/>
      <c r="T12" s="192"/>
      <c r="U12" s="192"/>
      <c r="V12" s="192"/>
      <c r="W12" s="192"/>
      <c r="X12" s="192"/>
      <c r="Y12" s="230" t="s">
        <v>93</v>
      </c>
      <c r="Z12" s="231" t="s">
        <v>110</v>
      </c>
      <c r="AA12" s="232">
        <v>4</v>
      </c>
      <c r="AB12" s="233" t="str">
        <f>IF(COUNTIF(M9:M12,M12)&lt;&gt;2,"",IF(COUNTIF(M9:M12,M12)=1,"",IF(AND(COUNTIF(M9:M12,M12)=2,M12=2),IF(M12=M9,IF(Q27=3,1,2),IF(M12=M10,IF(Q24=3,1,2),IF(M12=M11,IF(Q36=3,1,2)))),IF(AND(COUNTIF(M9:M12,M12)=2,M12=1),IF(M12=M9,IF(Q27=3,3,4),IF(M12=M10,IF(Q24=3,3,4),IF(M12=M11,IF(Q36=3,3,4)))),AB18))))</f>
        <v/>
      </c>
      <c r="AC12" s="192"/>
      <c r="AD12" s="192"/>
      <c r="AE12" s="192"/>
      <c r="AF12" s="203">
        <f t="shared" ref="AF12:AF43" si="4">IF(Llave&gt;AF11,AF11+1,"")</f>
        <v>2</v>
      </c>
      <c r="AG12" s="203" t="str">
        <f t="shared" si="0"/>
        <v/>
      </c>
      <c r="AH12" s="192" t="str">
        <f t="shared" si="1"/>
        <v/>
      </c>
      <c r="AI12" s="229" t="str">
        <f t="shared" si="2"/>
        <v>Bye</v>
      </c>
      <c r="AJ12" s="192"/>
      <c r="AK12" s="203">
        <f t="shared" si="3"/>
        <v>0</v>
      </c>
      <c r="AL12" s="229">
        <f t="shared" ref="AL12:AL75" si="5">ABS(AK12)</f>
        <v>0</v>
      </c>
      <c r="AM12" s="181"/>
      <c r="AN12" s="192"/>
      <c r="AO12" s="192"/>
      <c r="AP12" s="192"/>
      <c r="AQ12" s="192"/>
      <c r="AR12" s="192"/>
      <c r="AS12" s="192"/>
      <c r="AT12" s="192"/>
      <c r="AU12" s="192"/>
      <c r="AV12" s="192"/>
      <c r="AW12" s="192"/>
      <c r="AX12" s="192"/>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row>
    <row r="13" spans="1:119" ht="17.25" customHeight="1" thickTop="1" x14ac:dyDescent="0.3">
      <c r="B13" s="192"/>
      <c r="C13" s="192"/>
      <c r="D13" s="192"/>
      <c r="E13" s="192"/>
      <c r="F13" s="192"/>
      <c r="G13" s="192"/>
      <c r="H13" s="192"/>
      <c r="I13" s="192"/>
      <c r="J13" s="192"/>
      <c r="K13" s="192"/>
      <c r="L13" s="192"/>
      <c r="M13" s="192"/>
      <c r="N13" s="192"/>
      <c r="O13" s="192"/>
      <c r="P13" s="192"/>
      <c r="Q13" s="192"/>
      <c r="R13" s="192"/>
      <c r="S13" s="192"/>
      <c r="T13" s="208"/>
      <c r="U13" s="192"/>
      <c r="V13" s="148"/>
      <c r="W13" s="148"/>
      <c r="X13" s="234"/>
      <c r="Y13" s="214">
        <v>1</v>
      </c>
      <c r="Z13" s="215" t="str">
        <f>IF(U16="","",IF(OR(Group_players=3,AND(Group_players=4,COUNTBLANK(I9:I12)=1)),IF(COUNTIF(M9:M11,M9)=1,"",IF(COUNTIF(U8:U10,U8)=3,IF(AND(U16=U17,U17=U18),"Tied",IF(AND(U16&lt;&gt;U17,U16&lt;&gt;U18,U17&lt;&gt;U18),(IF(SMALL(U16:U18,1)=U16,1,IF(SMALL(U16:U18,2)=U16,2,IF(SMALL(U16:U18,3)=U16,3)))),IF(AND(U16&lt;U17,U17=U18),1,IF(AND(U16&gt;U17,U17=U18),3,IF(AND(U16=U17,U16&lt;U18),(IF(Q26=3,1,2)),IF(AND(U16=U17,U16&gt;U18),(IF(Q26=3,2,3)),IF(AND(U16=U18,U16&lt;U17),(IF(Q20=3,1,2)),IF(AND(U16=U18,U16&gt;U17),(IF(Q20=3,2,3)),99)))))))),"")),""))</f>
        <v/>
      </c>
      <c r="AA13" s="208">
        <v>1</v>
      </c>
      <c r="AB13" s="222" t="str">
        <f>IF(AND(COUNTBLANK(I9:I12)=0,Group_players=4,M9=M10,M10=M11),IF(COUNTIF(U8:U11,U8)=3,AB26,IF(AND(COUNTIF(U8:U11,U8)=1,U9&lt;&gt;U10),IF(M9=2,IF(SMALL(U8:U11,1)=U8,1,IF(SMALL(U8:U11,2)=U8,2,IF(SMALL(U8:U11,3)=U8,3))),IF(M9=1,IF(SMALL(U8:U11,1)=U8,2,IF(SMALL(U8:U11,2)=U8,3,IF(SMALL(U8:U11,3)=U8,4))),"")),IF(COUNTIF(U8:U11,U8)=1,IF(U8&lt;U9,IF(M9=2,1,2),IF(M9=2,3,4)),IF(COUNTIF(U8:U11,U8)=2,IF(U8=U9,IF(U8&lt;U10,IF(M9=2,IF(Q32=3,1,2),IF(M9=1,IF(Q32=3,2,3))),IF(U8&gt;U10,IF(M9=2,IF(Q32=3,2,3),IF(M9=1,IF(Q32=3,3,4))))),IF(U8=U10,IF(U8&lt;U9,IF(M9=2,IF(Q20=3,1,2),IF(M9=1,IF(Q20=3,2,3))),IF(U8&gt;U9,IF(M9=2,IF(Q20=3,2,3),IF(M9=1,IF(Q20=3,3,4))))))),"")))),"")</f>
        <v/>
      </c>
      <c r="AC13" s="192"/>
      <c r="AD13" s="192"/>
      <c r="AE13" s="192"/>
      <c r="AF13" s="203">
        <f t="shared" si="4"/>
        <v>3</v>
      </c>
      <c r="AG13" s="203" t="str">
        <f t="shared" si="0"/>
        <v/>
      </c>
      <c r="AH13" s="192" t="str">
        <f t="shared" si="1"/>
        <v/>
      </c>
      <c r="AI13" s="229" t="str">
        <f t="shared" si="2"/>
        <v>Bye</v>
      </c>
      <c r="AJ13" s="192"/>
      <c r="AK13" s="203">
        <f t="shared" si="3"/>
        <v>0</v>
      </c>
      <c r="AL13" s="229">
        <f t="shared" si="5"/>
        <v>0</v>
      </c>
      <c r="AM13" s="181"/>
      <c r="AN13" s="192"/>
      <c r="AO13" s="192"/>
      <c r="AP13" s="192"/>
      <c r="AQ13" s="192"/>
      <c r="AR13" s="192"/>
      <c r="AS13" s="192"/>
      <c r="AT13" s="192"/>
      <c r="AU13" s="192"/>
      <c r="AV13" s="192"/>
      <c r="AW13" s="192"/>
      <c r="AX13" s="192"/>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row>
    <row r="14" spans="1:119" ht="17.25" customHeight="1" thickBot="1" x14ac:dyDescent="0.35">
      <c r="B14" s="192"/>
      <c r="C14" s="192"/>
      <c r="D14" s="192"/>
      <c r="E14" s="192"/>
      <c r="F14" s="192"/>
      <c r="G14" s="192"/>
      <c r="H14" s="192"/>
      <c r="I14" s="235"/>
      <c r="J14" s="149"/>
      <c r="K14" s="235"/>
      <c r="L14" s="235"/>
      <c r="M14" s="235"/>
      <c r="N14" s="235"/>
      <c r="O14" s="235"/>
      <c r="P14" s="235"/>
      <c r="Q14" s="235"/>
      <c r="R14" s="235"/>
      <c r="S14" s="192"/>
      <c r="T14" s="208"/>
      <c r="U14" s="368" t="s">
        <v>111</v>
      </c>
      <c r="V14" s="369"/>
      <c r="W14" s="369"/>
      <c r="X14" s="369"/>
      <c r="Y14" s="236">
        <v>2</v>
      </c>
      <c r="Z14" s="220" t="str">
        <f>IF(U9="","",IF(OR(Group_players=3,AND(Group_players=4,COUNTBLANK(I9:I12)=1)),IF(COUNTIF(M9:M11,M10)=1,"",IF(COUNTIF(U8:U10,U9)=3,IF(AND(U17=U16,U17=U18),"Tied",IF(AND(U17&lt;&gt;U16,U17&lt;&gt;U18,U16&lt;&gt;U18),(IF(SMALL(U16:U18,1)=U17,1,IF(SMALL(U16:U18,2)=U17,2,IF(SMALL(U16:U18,3)=U17,3)))),IF(AND(U17&lt;U16,U16=U18),1,IF(AND(U17&gt;U16,U16=U18),3,IF(AND(U17=U16,U17&lt;U18),(IF(Q27=3,1,2)),IF(AND(U17=U16,U17&gt;U18),(IF(Q27=3,2,3)),IF(AND(U17=U18,U17&lt;U16),(IF(Q23=3,1,2)),IF(AND(U17=U18,U17&gt;U16),(IF(Q23=3,2,3)),99)))))))),"")),""))</f>
        <v/>
      </c>
      <c r="AA14" s="208">
        <v>2</v>
      </c>
      <c r="AB14" s="222" t="str">
        <f>IF(AND(COUNTBLANK(I9:I12)=0,Group_players=4,M9=M10,M10=M11),IF(COUNTIF(U8:U11,U9)=3,AB27,IF(AND(COUNTIF(U8:U11,U9)=1,U8&lt;&gt;U10),IF(M10=2,IF(SMALL(U8:U11,1)=U9,1,IF(SMALL(U8:U11,2)=U9,2,IF(SMALL(U8:U11,3)=U9,3))),IF(M10=1,IF(SMALL(U8:U11,1)=U9,2,IF(SMALL(U8:U11,2)=U9,3,IF(SMALL(U8:U11,3)=U9,4))),"")),IF(COUNTIF(U8:U10,U9)=1,IF(U9&lt;U8,IF(M10=2,1,2),IF(M10=2,3,99)),IF(COUNTIF(U8:U11,U9)=2,IF(U9=U8,IF(U9&lt;U10,IF(M10=2,IF(Q33=3,1,2),IF(M10=1,IF(Q33=3,2,3))),IF(U9&gt;U10,IF(M10=2,IF(Q33=3,2,3),IF(M10=1,IF(Q33=3,3,4))))),IF(U9=U10,IF(U9&lt;U8,IF(M10=2,IF(Q29=3,1,2),IF(M10=1,IF(Q29=3,2,3))),IF(U9&gt;U8,IF(M10=2,IF(Q29=3,2,3),IF(M10=1,IF(Q29=3,3,4))))))),"")))),"")</f>
        <v/>
      </c>
      <c r="AC14" s="237"/>
      <c r="AD14" s="192"/>
      <c r="AE14" s="192"/>
      <c r="AF14" s="203">
        <f t="shared" si="4"/>
        <v>4</v>
      </c>
      <c r="AG14" s="203" t="str">
        <f t="shared" si="0"/>
        <v/>
      </c>
      <c r="AH14" s="192" t="str">
        <f t="shared" si="1"/>
        <v/>
      </c>
      <c r="AI14" s="229" t="str">
        <f t="shared" si="2"/>
        <v>Bye</v>
      </c>
      <c r="AJ14" s="192"/>
      <c r="AK14" s="203">
        <f t="shared" si="3"/>
        <v>0</v>
      </c>
      <c r="AL14" s="229">
        <f t="shared" si="5"/>
        <v>0</v>
      </c>
      <c r="AM14" s="181"/>
      <c r="AN14" s="192"/>
      <c r="AO14" s="192"/>
      <c r="AP14" s="192"/>
      <c r="AQ14" s="192"/>
      <c r="AR14" s="192"/>
      <c r="AS14" s="192"/>
      <c r="AT14" s="192"/>
      <c r="AU14" s="192"/>
      <c r="AV14" s="192"/>
      <c r="AW14" s="192"/>
      <c r="AX14" s="192"/>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row>
    <row r="15" spans="1:119" ht="16.5" customHeight="1" thickTop="1" thickBot="1" x14ac:dyDescent="0.35">
      <c r="B15" s="192"/>
      <c r="C15" s="192"/>
      <c r="D15" s="192"/>
      <c r="E15" s="192"/>
      <c r="F15" s="192"/>
      <c r="G15" s="192"/>
      <c r="H15" s="192"/>
      <c r="I15" s="235"/>
      <c r="J15" s="150"/>
      <c r="K15" s="235"/>
      <c r="L15" s="235"/>
      <c r="M15" s="235"/>
      <c r="N15" s="235"/>
      <c r="O15" s="235"/>
      <c r="P15" s="235"/>
      <c r="Q15" s="235"/>
      <c r="R15" s="235"/>
      <c r="S15" s="192"/>
      <c r="T15" s="120"/>
      <c r="U15" s="121" t="s">
        <v>101</v>
      </c>
      <c r="V15" s="122" t="s">
        <v>102</v>
      </c>
      <c r="W15" s="122" t="s">
        <v>103</v>
      </c>
      <c r="X15" s="123" t="s">
        <v>104</v>
      </c>
      <c r="Y15" s="238">
        <v>3</v>
      </c>
      <c r="Z15" s="239" t="str">
        <f>IF(U10="","",IF(OR(Group_players=3,AND(Group_players=4,COUNTBLANK(I9:I12)=1)),IF(COUNTIF(M9:M11,M11)=1,"",IF(COUNTIF(U8:U10,U10)=3,IF(AND(U18=U16,U18=U17),"Tied",IF(AND(U18&lt;&gt;U17,U17&lt;&gt;U16,U18&lt;&gt;U16),(IF(SMALL(U16:U18,1)=U18,1,IF(SMALL(U16:U18,2)=U18,2,IF(SMALL(U16:U18,3)=U18,3)))),IF(AND(U18&lt;U17,U17=U16),1,IF(AND(U18&gt;U17,U17=U16),3,IF(AND(U18=U17,U18&lt;U16),(IF(Q24=3,1,2)),IF(AND(U18=U17,U18&gt;U16),(IF(Q24=3,2,3)),IF(AND(U18=U16,U18&lt;U17),(IF(Q21=3,1,2)),IF(AND(U18=U16,U18&gt;U17),(IF(Q21=3,2,3)),99)))))))),"")),""))</f>
        <v/>
      </c>
      <c r="AA15" s="240">
        <v>3</v>
      </c>
      <c r="AB15" s="241" t="str">
        <f>IF(AND(COUNTBLANK(I9:I12)=0,Group_players=4,M9=M10,M10=M11),IF(COUNTIF(U8:U11,U10)=3,AB28,IF(AND(COUNTIF(U8:U11,U10)=1,U8&lt;&gt;U9),IF(M9=2,IF(SMALL(U8:U11,1)=U10,1,IF(SMALL(U8:U11,2)=U10,2,IF(SMALL(U8:U11,3)=U10,3))),IF(M11=1,IF(SMALL(U8:U11,1)=U10,2,IF(SMALL(U8:U11,2)=U10,3,IF(SMALL(U8:U11,3)=U10,4))),"")),IF(COUNTIF(U8:U11,U10)=1,IF(U10&lt;U9,IF(M11=2,1,2),IF(M11=2,3,4)),IF(COUNTIF(U8:U11,U10)=2,IF(U10=U9,IF(U10&lt;U8,IF(M11=2,IF(Q30=3,1,2),IF(M11=1,IF(Q30=3,2,3))),IF(U10&gt;U8,IF(M11=2,IF(Q30=3,2,3),IF(M11=1,IF(Q30=3,3,4))))),IF(U10=U8,IF(U10&lt;U9,IF(M11=2,IF(Q21=3,1,2),IF(M11=1,IF(Q21=3,2,3))),IF(U10&gt;U9,IF(M11=2,IF(Q21=3,2,3),IF(M11=1,IF(Q21=3,3,4))))))),"")))),"")</f>
        <v/>
      </c>
      <c r="AC15" s="192"/>
      <c r="AD15" s="192"/>
      <c r="AE15" s="192"/>
      <c r="AF15" s="203">
        <f t="shared" si="4"/>
        <v>5</v>
      </c>
      <c r="AG15" s="203" t="str">
        <f t="shared" si="0"/>
        <v/>
      </c>
      <c r="AH15" s="192" t="str">
        <f t="shared" si="1"/>
        <v/>
      </c>
      <c r="AI15" s="229" t="str">
        <f t="shared" si="2"/>
        <v>Bye</v>
      </c>
      <c r="AJ15" s="192"/>
      <c r="AK15" s="203">
        <f t="shared" si="3"/>
        <v>0</v>
      </c>
      <c r="AL15" s="229">
        <f t="shared" si="5"/>
        <v>0</v>
      </c>
      <c r="AM15" s="181"/>
      <c r="AN15" s="192"/>
      <c r="AO15" s="192"/>
      <c r="AP15" s="192"/>
      <c r="AQ15" s="192"/>
      <c r="AR15" s="192"/>
      <c r="AS15" s="192"/>
      <c r="AT15" s="192"/>
      <c r="AU15" s="192"/>
      <c r="AV15" s="192"/>
      <c r="AW15" s="192"/>
      <c r="AX15" s="192"/>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row>
    <row r="16" spans="1:119" ht="16.8" thickTop="1" thickBot="1" x14ac:dyDescent="0.35">
      <c r="B16" s="192"/>
      <c r="C16" s="192"/>
      <c r="D16" s="192"/>
      <c r="E16" s="192"/>
      <c r="F16" s="192"/>
      <c r="G16" s="192"/>
      <c r="H16" s="192"/>
      <c r="I16" s="235"/>
      <c r="J16" s="150"/>
      <c r="K16" s="235"/>
      <c r="L16" s="235"/>
      <c r="M16" s="235"/>
      <c r="N16" s="235"/>
      <c r="O16" s="235"/>
      <c r="P16" s="235"/>
      <c r="Q16" s="235"/>
      <c r="R16" s="235"/>
      <c r="S16" s="192"/>
      <c r="T16" s="208">
        <v>1</v>
      </c>
      <c r="U16" s="209" t="str">
        <f>IF(U8="","",IF(OR(U8&lt;&gt;U9,U8&lt;&gt;U10),"",IF(COUNTIF(M9:M11,M9)=1,"",IF(COUNTBLANK(I9:I12)=1,(SUM(L21:P21)+SUM(L27:P27))/(SUM(L20:P20)+SUM(L26:P26)),IF(COUNTBLANK(I9:I12)=0,(SUM(L33:P33)+SUM(L21:P21))/(SUM(L32:P32)+SUM(L20:P20)),"")))))</f>
        <v/>
      </c>
      <c r="V16" s="125" t="str">
        <f>IF(V8="","",IF(OR(V8&lt;&gt;V10,V8&lt;&gt;V11),"",IF(AND(COUNTBLANK(I9:I12)=0,M9=M11,M11=M12),(SUM(L21:P21)+SUM(L27:P27))/(SUM(L20:P20)+SUM(L26:P26)),"")))</f>
        <v/>
      </c>
      <c r="W16" s="210" t="str">
        <f>IF(W8="","",IF(OR(W8&lt;&gt;W9,W8&lt;&gt;W11),"",IF(AND(COUNTBLANK(I9:I12)=0,M9=M10,M10=M12),(SUM(L33:P33)+SUM(L27:P27))/(SUM(L32:P32)+SUM(L26:P26)),"")))</f>
        <v/>
      </c>
      <c r="X16" s="211"/>
      <c r="Y16" s="242"/>
      <c r="Z16" s="242"/>
      <c r="AA16" s="243">
        <v>1</v>
      </c>
      <c r="AB16" s="244" t="str">
        <f>IF(AND(COUNTBLANK(I9:I12)=0,Group_players=4,M9=M11,M11=M12),IF(COUNTIF(V8:V11,V8)=3,AB29,IF(AND(COUNTIF(V8:V11,V8)=1,V10&lt;&gt;U19),IF(M9=2,IF(SMALL(V8:V11,1)=V8,1,IF(SMALL(V8:V11,2)=V8,2,IF(SMALL(V8:V11,3)=V8,3))),IF(M9=1,IF(SMALL(V8:V11,1)=V8,2,IF(SMALL(V8:V11,2)=V8,3,IF(SMALL(V8:V11,3)=V8,4))),"")),IF(COUNTIF(V8:V11,V8)=1,IF(V8&lt;V10,IF(M9=2,1,2),IF(M9=2,3,4)),IF(COUNTIF(V8:V11,V8)=2,IF(V8=V10,IF(V8&lt;V11,IF(M9=2,IF(Q20=3,1,2),IF(M9=1,IF(Q20=3,2,3))),IF(V8&gt;V11,IF(M9=2,IF(Q20=3,2,3),IF(M9=1,IF(Q20=3,3,4))))),IF(V8=V11,IF(V8&lt;V10,IF(M9=2,IF(Q26=3,1,2),IF(M9=1,IF(Q26=3,2,3))),IF(V8&gt;V9,IF(M9=2,IF(Q26=3,2,3),IF(M9=1,IF(Q26=3,3,4))))))),"")))),"")</f>
        <v/>
      </c>
      <c r="AC16" s="192"/>
      <c r="AD16" s="208"/>
      <c r="AE16" s="192"/>
      <c r="AF16" s="203">
        <f t="shared" si="4"/>
        <v>6</v>
      </c>
      <c r="AG16" s="203" t="str">
        <f t="shared" si="0"/>
        <v/>
      </c>
      <c r="AH16" s="192" t="str">
        <f t="shared" si="1"/>
        <v/>
      </c>
      <c r="AI16" s="229" t="str">
        <f t="shared" si="2"/>
        <v>Bye</v>
      </c>
      <c r="AJ16" s="192"/>
      <c r="AK16" s="203">
        <f t="shared" si="3"/>
        <v>0</v>
      </c>
      <c r="AL16" s="229">
        <f t="shared" si="5"/>
        <v>0</v>
      </c>
      <c r="AM16" s="181"/>
      <c r="AN16" s="192"/>
      <c r="AO16" s="192"/>
      <c r="AP16" s="192"/>
      <c r="AQ16" s="192"/>
      <c r="AR16" s="192"/>
      <c r="AS16" s="192"/>
      <c r="AT16" s="192"/>
      <c r="AU16" s="192"/>
      <c r="AV16" s="192"/>
      <c r="AW16" s="192"/>
      <c r="AX16" s="192"/>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row>
    <row r="17" spans="2:119" ht="16.5" customHeight="1" thickTop="1" thickBot="1" x14ac:dyDescent="0.35">
      <c r="B17" s="192"/>
      <c r="C17" s="192"/>
      <c r="D17" s="192"/>
      <c r="E17" s="117"/>
      <c r="F17" s="117"/>
      <c r="G17" s="117"/>
      <c r="H17" s="192"/>
      <c r="I17" s="235"/>
      <c r="J17" s="150"/>
      <c r="K17" s="235"/>
      <c r="L17" s="235"/>
      <c r="M17" s="235"/>
      <c r="N17" s="235"/>
      <c r="O17" s="235"/>
      <c r="P17" s="235"/>
      <c r="Q17" s="235"/>
      <c r="R17" s="235"/>
      <c r="S17" s="394" t="s">
        <v>112</v>
      </c>
      <c r="T17" s="208">
        <v>2</v>
      </c>
      <c r="U17" s="209" t="str">
        <f>IF(U8="","",IF(OR(U9&lt;&gt;U8,U9&lt;&gt;U10),"",IF(COUNTIF(M9:M11,M10)=1,"",IF(COUNTBLANK(I9:I12)=1,(SUM(L24:P24)+SUM(L26:P26))/(SUM(L23:P23)+SUM(L27:P27)),IF(COUNTBLANK(I9:I12)=0,(SUM(L32:P32)+SUM(L30:P30))/(SUM(L33:P33)+SUM(L29:P29)))))))</f>
        <v/>
      </c>
      <c r="V17" s="135"/>
      <c r="W17" s="212" t="str">
        <f>IF(W8="","",IF(OR(W9&lt;&gt;W8,W9&lt;&gt;W11),"",IF(AND(COUNTBLANK(I9:I12)=0,M9=M10,M10=M12),(SUM(L24:P24)+SUM(L32:P32))/(SUM(L33:P33)+SUM(L23:P23)),"")))</f>
        <v/>
      </c>
      <c r="X17" s="245" t="str">
        <f>IF(X9="","",IF(OR(X9&lt;&gt;X10,X9&lt;&gt;X11),"",IF(AND(COUNTBLANK(I9:I12)=0,M10=M11,M11=M12),(SUM(L30:P30)+SUM(L24:P24))/(SUM(L29:P29)+SUM(L23:P23)),"")))</f>
        <v/>
      </c>
      <c r="Y17" s="242"/>
      <c r="Z17" s="203"/>
      <c r="AA17" s="246">
        <v>3</v>
      </c>
      <c r="AB17" s="222" t="str">
        <f>IF(AND(COUNTBLANK(I9:I12)=0,Group_players=4,M9=M11,M11=M12),IF(COUNTIF(V8:V11,V10)=3,AB30,IF(AND(COUNTIF(V8:V11,V10)=1,V8&lt;&gt;V11),IF(M11=2,IF(SMALL(V8:V11,1)=V10,1,IF(SMALL(V8:V11,2)=V10,2,IF(SMALL(V8:V11,3)=V10,3))),IF(M11=1,IF(SMALL(V8:V11,1)=V10,2,IF(SMALL(V8:V11,2)=V10,3,IF(SMALL(V8:V11,3)=V10,4))),"")),IF(COUNTIF(V8:V11,V10)=1,IF(V10&lt;V8,IF(M11=2,1,2),IF(M11=2,3,4)),IF(COUNTIF(V8:V11,V10)=2,IF(V10=V8,IF(V10&lt;V11,IF(M11=2,IF(Q21=3,1,2),IF(M11=1,IF(Q21=3,2,3))),IF(V10&gt;V11,IF(M11=2,IF(Q21=3,2,3),IF(M11=1,IF(Q21=3,3,4))))),IF(V10=V11,IF(V10&lt;V8,IF(M11=2,IF(Q35=3,1,2),IF(M11=1,IF(Q35=3,2,3))),IF(V10&gt;V8,IF(M11=2,IF(Q35=3,2,3),IF(M11=1,IF(Q35=3,3,4))))))),"")))),"")</f>
        <v/>
      </c>
      <c r="AC17" s="192"/>
      <c r="AD17" s="192"/>
      <c r="AE17" s="192"/>
      <c r="AF17" s="203">
        <f t="shared" si="4"/>
        <v>7</v>
      </c>
      <c r="AG17" s="203" t="str">
        <f t="shared" si="0"/>
        <v/>
      </c>
      <c r="AH17" s="192" t="str">
        <f t="shared" si="1"/>
        <v/>
      </c>
      <c r="AI17" s="229" t="str">
        <f t="shared" si="2"/>
        <v>Bye</v>
      </c>
      <c r="AJ17" s="192"/>
      <c r="AK17" s="203">
        <f t="shared" si="3"/>
        <v>0</v>
      </c>
      <c r="AL17" s="229">
        <f t="shared" si="5"/>
        <v>0</v>
      </c>
      <c r="AM17" s="181"/>
      <c r="AN17" s="192"/>
      <c r="AO17" s="192"/>
      <c r="AP17" s="192"/>
      <c r="AQ17" s="192"/>
      <c r="AR17" s="192"/>
      <c r="AS17" s="192"/>
      <c r="AT17" s="192"/>
      <c r="AU17" s="192"/>
      <c r="AV17" s="192"/>
      <c r="AW17" s="192"/>
      <c r="AX17" s="192"/>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9"/>
    </row>
    <row r="18" spans="2:119" ht="16.5" customHeight="1" thickTop="1" thickBot="1" x14ac:dyDescent="0.35">
      <c r="B18" s="192"/>
      <c r="C18" s="192"/>
      <c r="D18" s="192"/>
      <c r="E18" s="117"/>
      <c r="F18" s="117"/>
      <c r="G18" s="117"/>
      <c r="H18" s="192"/>
      <c r="I18" s="192"/>
      <c r="J18" s="192"/>
      <c r="K18" s="192"/>
      <c r="L18" s="192"/>
      <c r="M18" s="192"/>
      <c r="N18" s="192"/>
      <c r="O18" s="192"/>
      <c r="P18" s="192"/>
      <c r="Q18" s="192"/>
      <c r="R18" s="247"/>
      <c r="S18" s="395"/>
      <c r="T18" s="208">
        <v>3</v>
      </c>
      <c r="U18" s="209" t="str">
        <f>IF(U8="","",IF(OR(U10&lt;&gt;U8,U10&lt;&gt;U9),"",IF(COUNTIF(M9:M11,M11)=1,"",IF(COUNTBLANK(I9:I12)=1,(SUM(L20:P20)+SUM(L23:P23))/(SUM(L21:P21)+SUM(L24:P24)),IF(COUNTBLANK(I9:I12)=0,(SUM(L20:P20)+SUM(L29:P29))/(SUM(L21:P21)+SUM(L30:P30)))))))</f>
        <v/>
      </c>
      <c r="V18" s="125" t="str">
        <f>IF(V8="","",IF(OR(V10&lt;&gt;V8,V10&lt;&gt;V11),"",IF(AND(COUNTBLANK(I9:I12)=0,M9=M11,M11=M12),(SUM(L20:P20)+SUM(L36:P36))/(SUM(L21:P21)+SUM(L35:P35)),"")))</f>
        <v/>
      </c>
      <c r="W18" s="218"/>
      <c r="X18" s="245" t="str">
        <f>IF(X9="","",IF(OR(X10&lt;&gt;X9,X10&lt;&gt;X11),"",IF(AND(COUNTBLANK(I9:I12)=0,M10=M11,M11=M12),(SUM(L29:P29)+SUM(L36:P36))/(SUM(L30:P30)+SUM(L35:P35)),"")))</f>
        <v/>
      </c>
      <c r="Y18" s="208"/>
      <c r="Z18" s="203"/>
      <c r="AA18" s="240">
        <v>4</v>
      </c>
      <c r="AB18" s="222" t="str">
        <f>IF(AND(COUNTBLANK(I9:I12)=0,Group_players=4,M9=M11,M11=M12),IF(COUNTIF(V8:V11,V11)=3,AB31,IF(AND(COUNTIF(V8:V11,V11)=1,V10&lt;&gt;V8),IF(M12=2,IF(SMALL(V8:V11,1)=V11,1,IF(SMALL(V8:V11,2)=V11,2,IF(SMALL(V8:V11,3)=V11,3))),IF(M12=1,IF(SMALL(V8:V11,1)=V11,2,IF(SMALL(V8:V11,2)=V11,3,IF(SMALL(V8:V11,3)=V11,4))),"")),IF(COUNTIF(V8:V11,V11)=1,IF(V11&lt;V8,IF(M12=2,1,2),IF(M12=2,3,4)),IF(COUNTIF(V8:V11,V11)=2,IF(V11=V8,IF(V11&lt;V10,IF(M12=2,IF(Q27=3,1,2),IF(M12=1,IF(Q27=3,2,3))),IF(V11&gt;V10,IF(M12=2,IF(Q27=3,2,3),IF(M12=1,IF(Q27=3,3,4))))),IF(V11=V10,IF(V11&lt;V8,IF(M12=2,IF(Q36=3,1,2),IF(M12=1,IF(Q36=3,2,3))),IF(V11&gt;V8,IF(M12=2,IF(Q36=3,2,3),IF(M12=1,IF(Q36=3,3,4))))))),"")))),"")</f>
        <v/>
      </c>
      <c r="AC18" s="248"/>
      <c r="AD18" s="248"/>
      <c r="AE18" s="248"/>
      <c r="AF18" s="203">
        <f t="shared" si="4"/>
        <v>8</v>
      </c>
      <c r="AG18" s="203" t="str">
        <f t="shared" si="0"/>
        <v/>
      </c>
      <c r="AH18" s="192" t="str">
        <f t="shared" si="1"/>
        <v/>
      </c>
      <c r="AI18" s="229" t="str">
        <f t="shared" si="2"/>
        <v>Bye</v>
      </c>
      <c r="AJ18" s="192"/>
      <c r="AK18" s="203">
        <f t="shared" si="3"/>
        <v>0</v>
      </c>
      <c r="AL18" s="229">
        <f t="shared" si="5"/>
        <v>0</v>
      </c>
      <c r="AM18" s="181"/>
      <c r="AN18" s="192"/>
      <c r="AO18" s="192"/>
      <c r="AP18" s="192"/>
      <c r="AQ18" s="192"/>
      <c r="AR18" s="192"/>
      <c r="AS18" s="192"/>
      <c r="AT18" s="192"/>
      <c r="AU18" s="192"/>
      <c r="AV18" s="192"/>
      <c r="AW18" s="192"/>
      <c r="AX18" s="192"/>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row>
    <row r="19" spans="2:119" ht="16.5" customHeight="1" thickTop="1" thickBot="1" x14ac:dyDescent="0.35">
      <c r="B19" s="192"/>
      <c r="C19" s="192"/>
      <c r="D19" s="192"/>
      <c r="E19" s="168" t="s">
        <v>113</v>
      </c>
      <c r="F19" s="168" t="s">
        <v>114</v>
      </c>
      <c r="G19" s="117"/>
      <c r="H19" s="192"/>
      <c r="I19" s="249" t="s">
        <v>115</v>
      </c>
      <c r="J19" s="249"/>
      <c r="K19" s="249"/>
      <c r="L19" s="250" t="s">
        <v>115</v>
      </c>
      <c r="M19" s="250" t="s">
        <v>116</v>
      </c>
      <c r="N19" s="250" t="s">
        <v>117</v>
      </c>
      <c r="O19" s="250" t="s">
        <v>118</v>
      </c>
      <c r="P19" s="250" t="s">
        <v>119</v>
      </c>
      <c r="Q19" s="250" t="s">
        <v>120</v>
      </c>
      <c r="R19" s="250"/>
      <c r="S19" s="251"/>
      <c r="T19" s="208">
        <v>4</v>
      </c>
      <c r="U19" s="223"/>
      <c r="V19" s="140" t="str">
        <f>IF(V8="","",IF(OR(V11&lt;&gt;V8,V11&lt;&gt;V10),"",IF(AND(COUNTBLANK(I9:I12)=0,M9=M11,M11=M12),(SUM(L26:P26)+SUM(L35:P35))/(SUM(L27:P27)+SUM(L36:P36)),"")))</f>
        <v/>
      </c>
      <c r="W19" s="224" t="str">
        <f>IF(W8="","",IF(OR(W11&lt;&gt;W8,W11&lt;&gt;W9),"",IF(AND(COUNTBLANK(I9:I12)=0,M9=M10,M10=M12),(SUM(L26:P26)+SUM(L23:P23))/(SUM(L27:P27)+SUM(L24:P24)),"")))</f>
        <v/>
      </c>
      <c r="X19" s="252" t="str">
        <f>IF(X9="","",IF(OR(X11&lt;&gt;X9,X11&lt;&gt;X10),"",IF(AND(COUNTBLANK(I9:I12)=0,M10=M11,M11=M12),(SUM(L23:P23)+SUM(L35:P35))/(SUM(L24:P24)+SUM(L36:P36)),"")))</f>
        <v/>
      </c>
      <c r="Y19" s="192"/>
      <c r="Z19" s="203"/>
      <c r="AA19" s="243">
        <v>1</v>
      </c>
      <c r="AB19" s="151" t="str">
        <f>IF(AND(COUNTBLANK(I9:I12)=0,Group_players=4,M9=M10,M10=M12),IF(COUNTIF(W8:W11,W8)=3,AB32,IF(AND(COUNTIF(W8:W11,W8)=1,W9&lt;&gt;W11),IF(M9=2,IF(SMALL(W8:W11,1)=W8,1,IF(SMALL(W8:W11,2)=W8,2,IF(SMALL(W8:W11,3)=W8,3))),IF(M9=1,IF(SMALL(W8:W11,1)=W8,2,IF(SMALL(W8:W11,2)=W8,3,IF(SMALL(W8:W11,3)=W8,4))),"")),IF(COUNTIF(W8:W11,W8)=1,IF(W8&lt;W9,IF(M9=2,1,2),IF(M9=2,3,4)),IF(COUNTIF(W8:W11,W8)=2,IF(W8=W9,IF(W8&lt;W11,IF(M9=2,IF(Q32=3,1,2),IF(M9=1,IF(Q32=3,2,3))),IF(W8&gt;W11,IF(M9=2,IF(Q32=3,2,3),IF(M9=1,IF(Q32=3,3,4))))),IF(W8=W11,IF(W8&lt;W9,IF(M9=2,IF(Q26=3,1,2),IF(M9=1,IF(Q26=3,2,3))),IF(W8&gt;W9,IF(M9=2,IF(Q26=3,2,3),IF(M9=1,IF(Q26=3,3,4))))))),"")))),"")</f>
        <v/>
      </c>
      <c r="AC19" s="248"/>
      <c r="AD19" s="203"/>
      <c r="AE19" s="248"/>
      <c r="AF19" s="203">
        <f t="shared" si="4"/>
        <v>9</v>
      </c>
      <c r="AG19" s="203" t="str">
        <f t="shared" si="0"/>
        <v/>
      </c>
      <c r="AH19" s="192" t="str">
        <f t="shared" si="1"/>
        <v/>
      </c>
      <c r="AI19" s="229" t="str">
        <f t="shared" si="2"/>
        <v>Bye</v>
      </c>
      <c r="AJ19" s="203"/>
      <c r="AK19" s="203">
        <f t="shared" si="3"/>
        <v>0</v>
      </c>
      <c r="AL19" s="229">
        <f t="shared" si="5"/>
        <v>0</v>
      </c>
      <c r="AM19" s="181"/>
      <c r="AN19" s="192"/>
      <c r="AO19" s="192"/>
      <c r="AP19" s="192"/>
      <c r="AQ19" s="192"/>
      <c r="AR19" s="192"/>
      <c r="AS19" s="192"/>
      <c r="AT19" s="192"/>
      <c r="AU19" s="192"/>
      <c r="AV19" s="192"/>
      <c r="AW19" s="192"/>
      <c r="AX19" s="192"/>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row>
    <row r="20" spans="2:119" ht="16.5" customHeight="1" thickTop="1" x14ac:dyDescent="0.3">
      <c r="B20" s="192"/>
      <c r="C20" s="192"/>
      <c r="D20" s="192"/>
      <c r="E20" s="164" t="str">
        <f>IF(Q20="","",IF(Q20=3,1,0))</f>
        <v/>
      </c>
      <c r="F20" s="164" t="str">
        <f>IF(Q20="","",IF(Q20&lt;3,1,0))</f>
        <v/>
      </c>
      <c r="G20" s="192"/>
      <c r="H20" s="192" t="str">
        <f>IF(I9="","",1)</f>
        <v/>
      </c>
      <c r="I20" s="192" t="str">
        <f>IF(ISNUMBER(H20),VLOOKUP(H20,H9:I12,2,TRUE),"")</f>
        <v/>
      </c>
      <c r="J20" s="192"/>
      <c r="K20" s="192" t="str">
        <f>VLOOKUP(I20,I9:L12,3,FALSE)</f>
        <v/>
      </c>
      <c r="L20" s="253"/>
      <c r="M20" s="254"/>
      <c r="N20" s="254"/>
      <c r="O20" s="152"/>
      <c r="P20" s="153"/>
      <c r="Q20" s="255" t="str">
        <f>IF(L20="","",IF(AND(L20-L21&gt;1,L20&gt;10),1,0)+IF(AND(M20-M21&gt;1,M20&gt;10),1,0)+IF(AND(N20-N21&gt;1,N20&gt;10),1,0)+IF(AND(O20-O21&gt;1,O20&gt;10),1,0)+IF(AND(P20-P21&gt;1,P20&gt;10),1,0))</f>
        <v/>
      </c>
      <c r="R20" s="203" t="str">
        <f>IF(AND(I20="",I21=""),"",ABS(VLOOKUP(I20,I9:L12,4,FALSE)-VLOOKUP(I21,I9:L12,4,FALSE)))</f>
        <v/>
      </c>
      <c r="S20" s="256" t="str">
        <f>IF(R21="","",IF(Q20=3,+R21,-R21))</f>
        <v/>
      </c>
      <c r="T20" s="257"/>
      <c r="U20" s="258"/>
      <c r="V20" s="258"/>
      <c r="W20" s="258"/>
      <c r="X20" s="258"/>
      <c r="Y20" s="192"/>
      <c r="Z20" s="203"/>
      <c r="AA20" s="246">
        <v>2</v>
      </c>
      <c r="AB20" s="154" t="str">
        <f>IF(AND(COUNTBLANK(I9:I12)=0,Group_players=4,M9=M10,M10=M12),IF(COUNTIF(W8:W11,W9)=3,AB33,IF(AND(COUNTIF(W8:W11,W9)=1,W8&lt;&gt;W10),IF(M10=2,IF(SMALL(W8:W11,1)=W9,1,IF(SMALL(W8:W11,2)=W9,2,IF(SMALL(W8:W11,3)=W9,3))),IF(M10=1,IF(SMALL(W8:W11,1)=W9,2,IF(SMALL(W8:W11,2)=W9,3,IF(SMALL(W8:W11,3)=W9,4))),"")),IF(COUNTIF(W8:W11,W9)=1,IF(W9&lt;W8,IF(M10=2,1,2),IF(M10=2,3,4)),IF(COUNTIF(W8:W11,W9)=2,IF(W9=W8,IF(W9&lt;W11,IF(M10=2,IF(Q33=3,1,2),IF(M10=1,IF(Q33=3,2,3))),IF(W9&gt;W11,IF(M10=2,IF(Q33=3,2,3),IF(M10=1,IF(Q33=3,3,4))))),IF(W9=W11,IF(W9&lt;W8,IF(M10=2,IF(Q23=3,1,2),IF(M10=1,IF(Q23=3,2,3))),IF(W9&gt;W8,IF(M10=2,IF(Q23=3,2,3),IF(M10=1,IF(Q23=3,3,4))))))),"")))),"")</f>
        <v/>
      </c>
      <c r="AC20" s="248"/>
      <c r="AD20" s="192"/>
      <c r="AE20" s="203"/>
      <c r="AF20" s="203">
        <f t="shared" si="4"/>
        <v>10</v>
      </c>
      <c r="AG20" s="203" t="str">
        <f t="shared" si="0"/>
        <v/>
      </c>
      <c r="AH20" s="192" t="str">
        <f t="shared" si="1"/>
        <v/>
      </c>
      <c r="AI20" s="229" t="str">
        <f t="shared" si="2"/>
        <v>Bye</v>
      </c>
      <c r="AJ20" s="203"/>
      <c r="AK20" s="203">
        <f t="shared" si="3"/>
        <v>0</v>
      </c>
      <c r="AL20" s="229">
        <f t="shared" si="5"/>
        <v>0</v>
      </c>
      <c r="AM20" s="181"/>
      <c r="AN20" s="192"/>
      <c r="AO20" s="192"/>
      <c r="AP20" s="192"/>
      <c r="AQ20" s="192"/>
      <c r="AR20" s="192"/>
      <c r="AS20" s="192"/>
      <c r="AT20" s="192"/>
      <c r="AU20" s="192"/>
      <c r="AV20" s="192"/>
      <c r="AW20" s="192"/>
      <c r="AX20" s="192"/>
      <c r="AY20" s="181"/>
      <c r="AZ20" s="181"/>
      <c r="BA20" s="181"/>
      <c r="BB20" s="181"/>
      <c r="BC20" s="181"/>
      <c r="BD20" s="181"/>
      <c r="BE20" s="181"/>
      <c r="BF20" s="181"/>
      <c r="BG20" s="181"/>
      <c r="BH20" s="181"/>
      <c r="BI20" s="181"/>
      <c r="BJ20" s="181"/>
      <c r="BK20" s="181"/>
      <c r="BL20" s="181"/>
      <c r="BM20" s="181"/>
      <c r="BN20" s="181"/>
      <c r="BO20" s="181"/>
      <c r="BP20" s="181"/>
      <c r="BQ20" s="181"/>
      <c r="BR20" s="181"/>
      <c r="BS20" s="181"/>
      <c r="BT20" s="181"/>
      <c r="BU20" s="181"/>
      <c r="BV20" s="181"/>
      <c r="BW20" s="181"/>
      <c r="BX20" s="181"/>
      <c r="BY20" s="181"/>
      <c r="BZ20" s="181"/>
      <c r="CA20" s="181"/>
      <c r="CB20" s="181"/>
      <c r="CC20" s="181"/>
      <c r="CD20" s="181"/>
      <c r="CE20" s="181"/>
      <c r="CF20" s="181"/>
      <c r="CG20" s="181"/>
      <c r="CH20" s="181"/>
      <c r="CI20" s="181"/>
      <c r="CJ20" s="181"/>
      <c r="CK20" s="181"/>
      <c r="CL20" s="181"/>
      <c r="CM20" s="181"/>
      <c r="CN20" s="181"/>
      <c r="CO20" s="181"/>
      <c r="CP20" s="181"/>
      <c r="CQ20" s="181"/>
      <c r="CR20" s="181"/>
      <c r="CS20" s="181"/>
      <c r="CT20" s="181"/>
      <c r="CU20" s="181"/>
      <c r="CV20" s="181"/>
      <c r="CW20" s="181"/>
      <c r="CX20" s="181"/>
      <c r="CY20" s="181"/>
      <c r="CZ20" s="181"/>
      <c r="DA20" s="181"/>
      <c r="DB20" s="181"/>
      <c r="DC20" s="181"/>
      <c r="DD20" s="181"/>
      <c r="DE20" s="181"/>
      <c r="DF20" s="181"/>
      <c r="DG20" s="181"/>
      <c r="DH20" s="181"/>
      <c r="DI20" s="181"/>
      <c r="DJ20" s="181"/>
      <c r="DK20" s="181"/>
      <c r="DL20" s="181"/>
      <c r="DM20" s="181"/>
      <c r="DN20" s="181"/>
      <c r="DO20" s="181"/>
    </row>
    <row r="21" spans="2:119" ht="16.5" customHeight="1" thickBot="1" x14ac:dyDescent="0.35">
      <c r="B21" s="192"/>
      <c r="C21" s="192"/>
      <c r="D21" s="192"/>
      <c r="E21" s="164" t="str">
        <f>IF(Q21="","",IF(Q21=3,1,0))</f>
        <v/>
      </c>
      <c r="F21" s="164" t="str">
        <f>IF(Q21="","",IF(Q21&lt;3,1,0))</f>
        <v/>
      </c>
      <c r="G21" s="192"/>
      <c r="H21" s="192" t="str">
        <f>IF(I10="","",IF(I11="",2,3))</f>
        <v/>
      </c>
      <c r="I21" s="192" t="str">
        <f>IF(ISNUMBER(H21),VLOOKUP(H21,H9:I12,2,TRUE),"")</f>
        <v/>
      </c>
      <c r="J21" s="192"/>
      <c r="K21" s="192" t="str">
        <f>VLOOKUP(I21,I9:L12,3,FALSE)</f>
        <v/>
      </c>
      <c r="L21" s="155"/>
      <c r="M21" s="259"/>
      <c r="N21" s="259"/>
      <c r="O21" s="156"/>
      <c r="P21" s="157"/>
      <c r="Q21" s="260" t="str">
        <f>IF(L21="","",IF(AND(L21-L20&gt;1,L21&gt;10),1,0)+IF(AND(M21-M20&gt;1,M21&gt;10),1,0)+IF(AND(N21-N20&gt;1,N21&gt;10),1,0)+IF(AND(O21-O20&gt;1,O21&gt;10),1,0)+IF(AND(P21-P20&gt;1,P21&gt;10),1,0))</f>
        <v/>
      </c>
      <c r="R21" s="203" t="str">
        <f>IF(AND(Q20&lt;&gt;3,Q21&lt;&gt;3),"",IF(Q20=3,IF(VLOOKUP(I20,I9:L11,4,FALSE)&gt;VLOOKUP(I21,I9:L12,4,FALSE),VLOOKUP(R20,Point_dif,2,FALSE),VLOOKUP(R20,Point_dif,3,FALSE)),IF(Q21=3,IF(VLOOKUP(I21,I9:L11,4,FALSE)&gt;VLOOKUP(I20,I9:L12,4,FALSE),VLOOKUP(R20,Point_dif,2,FALSE),VLOOKUP(R20,Point_dif,3,FALSE)))))</f>
        <v/>
      </c>
      <c r="S21" s="256" t="str">
        <f>IF(R21="","",IF(Q21=3,+R21,-R21))</f>
        <v/>
      </c>
      <c r="T21" s="192"/>
      <c r="U21" s="235"/>
      <c r="V21" s="235"/>
      <c r="W21" s="235"/>
      <c r="X21" s="235"/>
      <c r="Y21" s="235"/>
      <c r="Z21" s="235"/>
      <c r="AA21" s="240">
        <v>4</v>
      </c>
      <c r="AB21" s="158" t="str">
        <f>IF(AND(COUNTBLANK(I9:I12)=0,Group_players=4,M9=M10,M10=M12),IF(COUNTIF(W8:W11,W11)=3,AB34,IF(AND(COUNTIF(W8:W11,W11)=1,W8&lt;&gt;W9),IF(M12=2,IF(SMALL(W8:W11,1)=W11,1,IF(SMALL(W8:W11,2)=W11,2,IF(SMALL(W8:W11,3)=W11,3))),IF(M12=1,IF(SMALL(W8:W11,1)=W11,2,IF(SMALL(W8:W11,2)=W11,3,IF(SMALL(W8:W11,3)=W11,4))),"")),IF(COUNTIF(W8:W11,W11)=1,IF(W11&lt;W8,IF(M12=2,1,2),IF(M12=2,3,4)),IF(COUNTIF(W8:W11,W11)=2,IF(W11=W8,IF(W11&lt;W9,IF(M12=2,IF(Q27=3,1,2),IF(M12=1,IF(Q27=3,2,3))),IF(W11&gt;W10,IF(M12=2,IF(Q27=3,2,3),IF(M12=1,IF(Q27=3,3,4))))),IF(W11=W9,IF(W11&lt;W8,IF(M12=2,IF(Q24=3,1,2),IF(M12=1,IF(Q24=3,2,3))),IF(W11&gt;W8,IF(M12=2,IF(Q24=3,2,3),IF(M12=1,IF(Q24=3,3,4))))))),"")))),"")</f>
        <v/>
      </c>
      <c r="AC21" s="203"/>
      <c r="AD21" s="192"/>
      <c r="AE21" s="248"/>
      <c r="AF21" s="203">
        <f t="shared" si="4"/>
        <v>11</v>
      </c>
      <c r="AG21" s="203" t="str">
        <f t="shared" si="0"/>
        <v/>
      </c>
      <c r="AH21" s="192" t="str">
        <f t="shared" si="1"/>
        <v/>
      </c>
      <c r="AI21" s="229" t="str">
        <f t="shared" si="2"/>
        <v>Bye</v>
      </c>
      <c r="AJ21" s="203"/>
      <c r="AK21" s="203">
        <f t="shared" si="3"/>
        <v>0</v>
      </c>
      <c r="AL21" s="229">
        <f t="shared" si="5"/>
        <v>0</v>
      </c>
      <c r="AM21" s="181"/>
      <c r="AN21" s="192"/>
      <c r="AO21" s="192"/>
      <c r="AP21" s="192"/>
      <c r="AQ21" s="192"/>
      <c r="AR21" s="192"/>
      <c r="AS21" s="192"/>
      <c r="AT21" s="192"/>
      <c r="AU21" s="192"/>
      <c r="AV21" s="192"/>
      <c r="AW21" s="192"/>
      <c r="AX21" s="192"/>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row>
    <row r="22" spans="2:119" ht="16.5" customHeight="1" thickTop="1" thickBot="1" x14ac:dyDescent="0.35">
      <c r="B22" s="192"/>
      <c r="C22" s="192"/>
      <c r="D22" s="192"/>
      <c r="E22" s="164"/>
      <c r="F22" s="164"/>
      <c r="G22" s="192"/>
      <c r="H22" s="192"/>
      <c r="I22" s="249" t="s">
        <v>116</v>
      </c>
      <c r="J22" s="249"/>
      <c r="K22" s="249"/>
      <c r="L22" s="250" t="s">
        <v>115</v>
      </c>
      <c r="M22" s="250" t="s">
        <v>116</v>
      </c>
      <c r="N22" s="250" t="s">
        <v>117</v>
      </c>
      <c r="O22" s="250" t="s">
        <v>118</v>
      </c>
      <c r="P22" s="250" t="s">
        <v>119</v>
      </c>
      <c r="Q22" s="250" t="s">
        <v>120</v>
      </c>
      <c r="R22" s="250"/>
      <c r="S22" s="251"/>
      <c r="T22" s="192"/>
      <c r="U22" s="235"/>
      <c r="V22" s="235"/>
      <c r="W22" s="235"/>
      <c r="X22" s="235"/>
      <c r="Y22" s="235"/>
      <c r="Z22" s="235"/>
      <c r="AA22" s="243">
        <v>2</v>
      </c>
      <c r="AB22" s="151" t="str">
        <f>IF(AND(COUNTBLANK(I9:I12)=0,Group_players=4,M10=M11,M11=M12),IF(COUNTIF(X8:X11,X9)=3,AB35,IF(AND(COUNTIF(X8:X11,X9)=1,X10&lt;&gt;X11),IF(M10=2,IF(SMALL(X8:X11,1)=X9,1,IF(SMALL(X8:X11,2)=X9,2,IF(SMALL(X8:X11,3)=X9,3))),IF(M10=1,IF(SMALL(X8:X11,1)=X9,2,IF(SMALL(X8:X11,2)=X9,3,IF(SMALL(X8:X11,3)=X9,4))),"")),IF(COUNTIF(X8:X11,X9)=1,IF(X9&lt;X11,IF(M10=2,1,2),IF(M10=1,3,3)),IF(COUNTIF(X8:X11,X9)=2,IF(X9=X10,IF(X9&lt;X11,IF(M10=2,IF(Q29=3,1,2),IF(M10=1,IF(Q29=3,2,3))),IF(X9&gt;X11,IF(M10=2,IF(Q29=3,2,3),IF(M10=1,IF(Q29=3,3,4))))),IF(X9=X11,IF(X9&lt;X10,IF(M10=2,IF(Q23=3,1,2),IF(M10=1,IF(Q23=3,2,3))),IF(X9&gt;X10,IF(M10=2,IF(Q23=3,2,3),IF(M10=1,IF(Q23=3,3,4))))))),"")))),"")</f>
        <v/>
      </c>
      <c r="AC22" s="203"/>
      <c r="AD22" s="203"/>
      <c r="AE22" s="203"/>
      <c r="AF22" s="203">
        <f t="shared" si="4"/>
        <v>12</v>
      </c>
      <c r="AG22" s="203" t="str">
        <f t="shared" si="0"/>
        <v/>
      </c>
      <c r="AH22" s="192" t="str">
        <f t="shared" si="1"/>
        <v/>
      </c>
      <c r="AI22" s="229" t="str">
        <f t="shared" si="2"/>
        <v>Bye</v>
      </c>
      <c r="AJ22" s="203"/>
      <c r="AK22" s="203">
        <f t="shared" si="3"/>
        <v>0</v>
      </c>
      <c r="AL22" s="229">
        <f t="shared" si="5"/>
        <v>0</v>
      </c>
      <c r="AM22" s="181"/>
      <c r="AN22" s="192"/>
      <c r="AO22" s="192"/>
      <c r="AP22" s="192"/>
      <c r="AQ22" s="192"/>
      <c r="AR22" s="192"/>
      <c r="AS22" s="192"/>
      <c r="AT22" s="192"/>
      <c r="AU22" s="192"/>
      <c r="AV22" s="192"/>
      <c r="AW22" s="192"/>
      <c r="AX22" s="192"/>
      <c r="AY22" s="181"/>
      <c r="AZ22" s="181"/>
      <c r="BA22" s="181"/>
      <c r="BB22" s="181"/>
      <c r="BC22" s="181"/>
      <c r="BD22" s="181"/>
      <c r="BE22" s="181"/>
      <c r="BF22" s="181"/>
      <c r="BG22" s="181"/>
      <c r="BH22" s="181"/>
      <c r="BI22" s="181"/>
      <c r="BJ22" s="181"/>
      <c r="BK22" s="181"/>
      <c r="BL22" s="181"/>
      <c r="BM22" s="181"/>
      <c r="BN22" s="181"/>
      <c r="BO22" s="181"/>
      <c r="BP22" s="181"/>
      <c r="BQ22" s="181"/>
      <c r="BR22" s="181"/>
      <c r="BS22" s="181"/>
      <c r="BT22" s="181"/>
      <c r="BU22" s="181"/>
      <c r="BV22" s="181"/>
      <c r="BW22" s="181"/>
      <c r="BX22" s="181"/>
      <c r="BY22" s="181"/>
      <c r="BZ22" s="181"/>
      <c r="CA22" s="181"/>
      <c r="CB22" s="181"/>
      <c r="CC22" s="181"/>
      <c r="CD22" s="181"/>
      <c r="CE22" s="181"/>
      <c r="CF22" s="181"/>
      <c r="CG22" s="181"/>
      <c r="CH22" s="181"/>
      <c r="CI22" s="181"/>
      <c r="CJ22" s="181"/>
      <c r="CK22" s="181"/>
      <c r="CL22" s="181"/>
      <c r="CM22" s="181"/>
      <c r="CN22" s="181"/>
      <c r="CO22" s="181"/>
      <c r="CP22" s="181"/>
      <c r="CQ22" s="181"/>
      <c r="CR22" s="181"/>
      <c r="CS22" s="181"/>
      <c r="CT22" s="181"/>
      <c r="CU22" s="181"/>
      <c r="CV22" s="181"/>
      <c r="CW22" s="181"/>
      <c r="CX22" s="181"/>
      <c r="CY22" s="181"/>
      <c r="CZ22" s="181"/>
      <c r="DA22" s="181"/>
      <c r="DB22" s="181"/>
      <c r="DC22" s="181"/>
      <c r="DD22" s="181"/>
      <c r="DE22" s="181"/>
      <c r="DF22" s="181"/>
      <c r="DG22" s="181"/>
      <c r="DH22" s="181"/>
      <c r="DI22" s="181"/>
      <c r="DJ22" s="181"/>
      <c r="DK22" s="181"/>
      <c r="DL22" s="181"/>
      <c r="DM22" s="181"/>
      <c r="DN22" s="181"/>
      <c r="DO22" s="181"/>
    </row>
    <row r="23" spans="2:119" ht="16.5" customHeight="1" thickTop="1" x14ac:dyDescent="0.3">
      <c r="B23" s="192"/>
      <c r="C23" s="192"/>
      <c r="D23" s="192"/>
      <c r="E23" s="164" t="str">
        <f>IF(Q23="","",IF(Q23=3,1,0))</f>
        <v/>
      </c>
      <c r="F23" s="164" t="str">
        <f>IF(Q23="","",IF(Q23&lt;3,1,0))</f>
        <v/>
      </c>
      <c r="G23" s="192"/>
      <c r="H23" s="192" t="str">
        <f>IF(I11="","",2)</f>
        <v/>
      </c>
      <c r="I23" s="192" t="str">
        <f>IF(ISNUMBER(H23),VLOOKUP(H23,H9:I12,2,TRUE),"")</f>
        <v/>
      </c>
      <c r="J23" s="192"/>
      <c r="K23" s="192" t="str">
        <f>VLOOKUP(I23,I9:L12,3,FALSE)</f>
        <v/>
      </c>
      <c r="L23" s="253"/>
      <c r="M23" s="254"/>
      <c r="N23" s="254"/>
      <c r="O23" s="152"/>
      <c r="P23" s="153"/>
      <c r="Q23" s="255" t="str">
        <f>IF(L23="","",IF(AND(L23-L24&gt;1,L23&gt;10),1,0)+IF(AND(M23-M24&gt;1,M23&gt;10),1,0)+IF(AND(N23-N24&gt;1,N23&gt;10),1,0)+IF(AND(O23-O24&gt;1,O23&gt;10),1,0)+IF(AND(P23-P24&gt;1,P23&gt;10),1,0))</f>
        <v/>
      </c>
      <c r="R23" s="203" t="str">
        <f>IF(AND(I23="",I24=""),"",ABS(VLOOKUP(I23,I9:L12,4,FALSE)-VLOOKUP(I24,I9:L12,4,FALSE)))</f>
        <v/>
      </c>
      <c r="S23" s="256" t="str">
        <f>IF(R24="","",IF(Q23=3,+R24,-R24))</f>
        <v/>
      </c>
      <c r="T23" s="192"/>
      <c r="U23" s="235"/>
      <c r="V23" s="235"/>
      <c r="W23" s="235"/>
      <c r="X23" s="235"/>
      <c r="Y23" s="235"/>
      <c r="Z23" s="235"/>
      <c r="AA23" s="246">
        <v>3</v>
      </c>
      <c r="AB23" s="154" t="str">
        <f>IF(AND(COUNTBLANK(I9:I12)=0,Group_players=4,M10=M11,M11=M12),IF(COUNTIF(X8:X11,X10)=3,AB36,IF(AND(COUNTIF(X8:X11,X10)=1,X9&lt;&gt;X11),IF(M11=2,IF(SMALL(X8:X11,1)=X10,1,IF(SMALL(X8:X11,2)=X10,2,IF(SMALL(X8:X11,3)=X10,3))),IF(M11=1,IF(SMALL(X8:X11,1)=X10,2,IF(SMALL(X8:X11,2)=X10,3,IF(SMALL(X8:X11,3)=X10,4))),"")),IF(COUNTIF(X8:X11,X10)=1,IF(X10&lt;X9,IF(M11=2,1,2),IF(M11=2,3,4)),IF(COUNTIF(X8:X11,X10)=2,IF(X10=X9,IF(X10&lt;X11,IF(M11=2,IF(Q30=3,1,2),IF(M11=1,IF(Q30=3,2,3))),IF(X10&gt;X11,IF(M11=2,IF(Q30=3,2,3),IF(M11=1,IF(Q30=3,3,4))))),IF(X10=X11,IF(X10&lt;X9,IF(M11=2,IF(Q35=3,1,2),IF(M11=1,IF(Q35=3,2,3))),IF(X10&gt;X9,IF(M11=2,IF(Q35=3,2,3),IF(M11=1,IF(Q35=3,3,4))))))),"")))),"")</f>
        <v/>
      </c>
      <c r="AC23" s="248"/>
      <c r="AD23" s="192"/>
      <c r="AE23" s="248"/>
      <c r="AF23" s="203">
        <f t="shared" si="4"/>
        <v>13</v>
      </c>
      <c r="AG23" s="203" t="str">
        <f t="shared" si="0"/>
        <v/>
      </c>
      <c r="AH23" s="192" t="str">
        <f t="shared" si="1"/>
        <v/>
      </c>
      <c r="AI23" s="229" t="str">
        <f t="shared" si="2"/>
        <v>Bye</v>
      </c>
      <c r="AJ23" s="203"/>
      <c r="AK23" s="203">
        <f t="shared" si="3"/>
        <v>0</v>
      </c>
      <c r="AL23" s="229">
        <f t="shared" si="5"/>
        <v>0</v>
      </c>
      <c r="AM23" s="181"/>
      <c r="AN23" s="192"/>
      <c r="AO23" s="192"/>
      <c r="AP23" s="192"/>
      <c r="AQ23" s="192"/>
      <c r="AR23" s="192"/>
      <c r="AS23" s="192"/>
      <c r="AT23" s="192"/>
      <c r="AU23" s="192"/>
      <c r="AV23" s="192"/>
      <c r="AW23" s="192"/>
      <c r="AX23" s="192"/>
      <c r="AY23" s="181"/>
      <c r="AZ23" s="181"/>
      <c r="BA23" s="181"/>
      <c r="BB23" s="181"/>
      <c r="BC23" s="181"/>
      <c r="BD23" s="181"/>
      <c r="BE23" s="181"/>
      <c r="BF23" s="181"/>
      <c r="BG23" s="181"/>
      <c r="BH23" s="181"/>
      <c r="BI23" s="181"/>
      <c r="BJ23" s="181"/>
      <c r="BK23" s="181"/>
      <c r="BL23" s="181"/>
      <c r="BM23" s="181"/>
      <c r="BN23" s="181"/>
      <c r="BO23" s="181"/>
      <c r="BP23" s="181"/>
      <c r="BQ23" s="181"/>
      <c r="BR23" s="181"/>
      <c r="BS23" s="181"/>
      <c r="BT23" s="181"/>
      <c r="BU23" s="181"/>
      <c r="BV23" s="181"/>
      <c r="BW23" s="181"/>
      <c r="BX23" s="181"/>
      <c r="BY23" s="181"/>
      <c r="BZ23" s="181"/>
      <c r="CA23" s="181"/>
      <c r="CB23" s="181"/>
      <c r="CC23" s="181"/>
      <c r="CD23" s="181"/>
      <c r="CE23" s="181"/>
      <c r="CF23" s="181"/>
      <c r="CG23" s="181"/>
      <c r="CH23" s="181"/>
      <c r="CI23" s="181"/>
      <c r="CJ23" s="181"/>
      <c r="CK23" s="181"/>
      <c r="CL23" s="181"/>
      <c r="CM23" s="181"/>
      <c r="CN23" s="181"/>
      <c r="CO23" s="181"/>
      <c r="CP23" s="181"/>
      <c r="CQ23" s="181"/>
      <c r="CR23" s="181"/>
      <c r="CS23" s="181"/>
      <c r="CT23" s="181"/>
      <c r="CU23" s="181"/>
      <c r="CV23" s="181"/>
      <c r="CW23" s="181"/>
      <c r="CX23" s="181"/>
      <c r="CY23" s="181"/>
      <c r="CZ23" s="181"/>
      <c r="DA23" s="181"/>
      <c r="DB23" s="181"/>
      <c r="DC23" s="181"/>
      <c r="DD23" s="181"/>
      <c r="DE23" s="181"/>
      <c r="DF23" s="181"/>
      <c r="DG23" s="181"/>
      <c r="DH23" s="181"/>
      <c r="DI23" s="181"/>
      <c r="DJ23" s="181"/>
      <c r="DK23" s="181"/>
      <c r="DL23" s="181"/>
      <c r="DM23" s="181"/>
      <c r="DN23" s="181"/>
      <c r="DO23" s="9"/>
    </row>
    <row r="24" spans="2:119" ht="16.2" thickBot="1" x14ac:dyDescent="0.35">
      <c r="B24" s="192"/>
      <c r="C24" s="192"/>
      <c r="D24" s="192"/>
      <c r="E24" s="164" t="str">
        <f>IF(Q24="","",IF(Q24=3,1,0))</f>
        <v/>
      </c>
      <c r="F24" s="164" t="str">
        <f>IF(Q24="","",IF(Q24&lt;3,1,0))</f>
        <v/>
      </c>
      <c r="G24" s="192"/>
      <c r="H24" s="192" t="str">
        <f>IF(I11="","",IF(I12="",3,4))</f>
        <v/>
      </c>
      <c r="I24" s="192" t="str">
        <f>IF(ISNUMBER(H24),VLOOKUP(H24,H9:I12,2,TRUE),"")</f>
        <v/>
      </c>
      <c r="J24" s="192"/>
      <c r="K24" s="192" t="str">
        <f>VLOOKUP(I24,I9:L12,3,FALSE)</f>
        <v/>
      </c>
      <c r="L24" s="155"/>
      <c r="M24" s="259"/>
      <c r="N24" s="259"/>
      <c r="O24" s="156"/>
      <c r="P24" s="157"/>
      <c r="Q24" s="260" t="str">
        <f>IF(L24="","",IF(AND(L24-L23&gt;1,L24&gt;10),1,0)+IF(AND(M24-M23&gt;1,M24&gt;10),1,0)+IF(AND(N24-N23&gt;1,N24&gt;10),1,0)+IF(AND(O24-O23&gt;1,O24&gt;10),1,0)+IF(AND(P24-P23&gt;1,P24&gt;10),1,0))</f>
        <v/>
      </c>
      <c r="R24" s="203" t="str">
        <f>IF(AND(Q23&lt;&gt;3,Q24&lt;&gt;3),"",IF(Q23=3,IF(VLOOKUP(I23,I9:L12,4,FALSE)&gt;VLOOKUP(I24,I9:L12,4,FALSE),VLOOKUP(R23,Point_dif,2,FALSE),VLOOKUP(R23,Point_dif,3,FALSE)),IF(Q24=3,IF(VLOOKUP(I24,I9:L12,4,FALSE)&gt;VLOOKUP(I23,I9:L12,4,FALSE),VLOOKUP(R23,Point_dif,2,FALSE),VLOOKUP(R23,Point_dif,3,FALSE)))))</f>
        <v/>
      </c>
      <c r="S24" s="256" t="str">
        <f>IF(R24="","",IF(Q24=3,+R24,-R24))</f>
        <v/>
      </c>
      <c r="T24" s="192"/>
      <c r="U24" s="235"/>
      <c r="V24" s="235"/>
      <c r="W24" s="235"/>
      <c r="X24" s="235"/>
      <c r="Y24" s="235"/>
      <c r="Z24" s="235"/>
      <c r="AA24" s="261">
        <v>4</v>
      </c>
      <c r="AB24" s="158" t="str">
        <f>IF(AND(COUNTBLANK(I9:I12)=0,Group_players=4,M10=M11,M11=M12),IF(COUNTIF(X8:X11,X11)=3,AB37,IF(AND(COUNTIF(X8:X11,X11)=1,X10&lt;&gt;X9),IF(M12=2,IF(SMALL(X8:X11,1)=X11,1,IF(SMALL(X8:X11,2)=X11,2,IF(SMALL(X8:X11,3)=X11,3))),IF(M12=1,IF(SMALL(X8:X11,1)=X11,2,IF(SMALL(X8:X11,2)=X11,3,IF(SMALL(X8:X11,3)=X11,4))),"")),IF(COUNTIF(X8:X11,X11)=1,IF(X11&lt;X9,IF(M12=2,1,2),IF(M12=2,3,4)),IF(COUNTIF(X8:X11,X11)=2,IF(X11=X9,IF(X11&lt;X10,IF(M12=2,IF(Q24=3,1,2),IF(M12=1,IF(Q24=3,2,3))),IF(X11&gt;X10,IF(M12=2,IF(Q24=3,2,3),IF(M12=1,IF(Q24=3,3,4))))),IF(X11=X10,IF(X11&lt;X9,IF(M12=2,IF(Q36=3,1,2),IF(M12=1,IF(Q36=3,2,3))),IF(X11&gt;X9,IF(M12=2,IF(Q36=3,2,3),IF(M12=1,IF(Q36=3,3,4))))))),"")))),"")</f>
        <v/>
      </c>
      <c r="AC24" s="248"/>
      <c r="AD24" s="203"/>
      <c r="AE24" s="262"/>
      <c r="AF24" s="203">
        <f t="shared" si="4"/>
        <v>14</v>
      </c>
      <c r="AG24" s="203" t="str">
        <f t="shared" si="0"/>
        <v/>
      </c>
      <c r="AH24" s="192" t="str">
        <f t="shared" si="1"/>
        <v/>
      </c>
      <c r="AI24" s="229" t="str">
        <f t="shared" si="2"/>
        <v>Bye</v>
      </c>
      <c r="AJ24" s="203"/>
      <c r="AK24" s="203">
        <f t="shared" si="3"/>
        <v>0</v>
      </c>
      <c r="AL24" s="229">
        <f t="shared" si="5"/>
        <v>0</v>
      </c>
      <c r="AM24" s="181"/>
      <c r="AN24" s="192"/>
      <c r="AO24" s="192"/>
      <c r="AP24" s="192"/>
      <c r="AQ24" s="192"/>
      <c r="AR24" s="192"/>
      <c r="AS24" s="192"/>
      <c r="AT24" s="192"/>
      <c r="AU24" s="192"/>
      <c r="AV24" s="192"/>
      <c r="AW24" s="192"/>
      <c r="AX24" s="192"/>
      <c r="AY24" s="181"/>
      <c r="AZ24" s="181"/>
      <c r="BA24" s="181"/>
      <c r="BB24" s="181"/>
      <c r="BC24" s="181"/>
      <c r="BD24" s="181"/>
      <c r="BE24" s="181"/>
      <c r="BF24" s="181"/>
      <c r="BG24" s="181"/>
      <c r="BH24" s="181"/>
      <c r="BI24" s="181"/>
      <c r="BJ24" s="181"/>
      <c r="BK24" s="181"/>
      <c r="BL24" s="181"/>
      <c r="BM24" s="181"/>
      <c r="BN24" s="181"/>
      <c r="BO24" s="181"/>
      <c r="BP24" s="181"/>
      <c r="BQ24" s="181"/>
      <c r="BR24" s="181"/>
      <c r="BS24" s="181"/>
      <c r="BT24" s="181"/>
      <c r="BU24" s="181"/>
      <c r="BV24" s="181"/>
      <c r="BW24" s="181"/>
      <c r="BX24" s="181"/>
      <c r="BY24" s="181"/>
      <c r="BZ24" s="181"/>
      <c r="CA24" s="181"/>
      <c r="CB24" s="181"/>
      <c r="CC24" s="181"/>
      <c r="CD24" s="181"/>
      <c r="CE24" s="181"/>
      <c r="CF24" s="181"/>
      <c r="CG24" s="181"/>
      <c r="CH24" s="181"/>
      <c r="CI24" s="181"/>
      <c r="CJ24" s="181"/>
      <c r="CK24" s="181"/>
      <c r="CL24" s="181"/>
      <c r="CM24" s="181"/>
      <c r="CN24" s="181"/>
      <c r="CO24" s="181"/>
      <c r="CP24" s="181"/>
      <c r="CQ24" s="181"/>
      <c r="CR24" s="181"/>
      <c r="CS24" s="181"/>
      <c r="CT24" s="181"/>
      <c r="CU24" s="181"/>
      <c r="CV24" s="181"/>
      <c r="CW24" s="181"/>
      <c r="CX24" s="181"/>
      <c r="CY24" s="181"/>
      <c r="CZ24" s="181"/>
      <c r="DA24" s="181"/>
      <c r="DB24" s="181"/>
      <c r="DC24" s="181"/>
      <c r="DD24" s="181"/>
      <c r="DE24" s="181"/>
      <c r="DF24" s="181"/>
      <c r="DG24" s="181"/>
      <c r="DH24" s="181"/>
      <c r="DI24" s="181"/>
      <c r="DJ24" s="181"/>
      <c r="DK24" s="181"/>
      <c r="DL24" s="181"/>
      <c r="DM24" s="181"/>
      <c r="DN24" s="181"/>
      <c r="DO24" s="9"/>
    </row>
    <row r="25" spans="2:119" ht="16.5" customHeight="1" thickTop="1" thickBot="1" x14ac:dyDescent="0.35">
      <c r="B25" s="192"/>
      <c r="C25" s="192"/>
      <c r="D25" s="192"/>
      <c r="E25" s="164"/>
      <c r="F25" s="164"/>
      <c r="G25" s="192"/>
      <c r="H25" s="192"/>
      <c r="I25" s="249" t="s">
        <v>117</v>
      </c>
      <c r="J25" s="249"/>
      <c r="K25" s="249"/>
      <c r="L25" s="250" t="s">
        <v>115</v>
      </c>
      <c r="M25" s="250" t="s">
        <v>116</v>
      </c>
      <c r="N25" s="250" t="s">
        <v>117</v>
      </c>
      <c r="O25" s="250" t="s">
        <v>118</v>
      </c>
      <c r="P25" s="250" t="s">
        <v>119</v>
      </c>
      <c r="Q25" s="250" t="s">
        <v>120</v>
      </c>
      <c r="R25" s="250"/>
      <c r="S25" s="251"/>
      <c r="T25" s="263"/>
      <c r="U25" s="264"/>
      <c r="V25" s="242"/>
      <c r="W25" s="242"/>
      <c r="X25" s="264"/>
      <c r="Y25" s="192"/>
      <c r="Z25" s="203"/>
      <c r="AA25" s="126" t="s">
        <v>93</v>
      </c>
      <c r="AB25" s="265" t="s">
        <v>110</v>
      </c>
      <c r="AC25" s="248"/>
      <c r="AD25" s="203"/>
      <c r="AE25" s="248"/>
      <c r="AF25" s="203">
        <f t="shared" si="4"/>
        <v>15</v>
      </c>
      <c r="AG25" s="203" t="str">
        <f t="shared" si="0"/>
        <v/>
      </c>
      <c r="AH25" s="192" t="str">
        <f t="shared" si="1"/>
        <v/>
      </c>
      <c r="AI25" s="229" t="str">
        <f t="shared" si="2"/>
        <v>Bye</v>
      </c>
      <c r="AJ25" s="203"/>
      <c r="AK25" s="203">
        <f t="shared" si="3"/>
        <v>0</v>
      </c>
      <c r="AL25" s="229">
        <f t="shared" si="5"/>
        <v>0</v>
      </c>
      <c r="AM25" s="181"/>
      <c r="AN25" s="192"/>
      <c r="AO25" s="192"/>
      <c r="AP25" s="192"/>
      <c r="AQ25" s="192"/>
      <c r="AR25" s="192"/>
      <c r="AS25" s="192"/>
      <c r="AT25" s="192"/>
      <c r="AU25" s="192"/>
      <c r="AV25" s="192"/>
      <c r="AW25" s="192"/>
      <c r="AX25" s="192"/>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row>
    <row r="26" spans="2:119" ht="16.5" customHeight="1" thickTop="1" x14ac:dyDescent="0.3">
      <c r="B26" s="192"/>
      <c r="C26" s="192"/>
      <c r="D26" s="192"/>
      <c r="E26" s="164" t="str">
        <f>IF(Q26="","",IF(Q26=3,1,0))</f>
        <v/>
      </c>
      <c r="F26" s="164" t="str">
        <f>IF(Q26="","",IF(Q26&lt;3,1,0))</f>
        <v/>
      </c>
      <c r="G26" s="192"/>
      <c r="H26" s="192" t="str">
        <f>IF(I11&lt;&gt;"",1,"")</f>
        <v/>
      </c>
      <c r="I26" s="192" t="str">
        <f>IF(ISNUMBER(H26),VLOOKUP(H26,H9:I12,2,TRUE),"")</f>
        <v/>
      </c>
      <c r="J26" s="192"/>
      <c r="K26" s="192" t="str">
        <f>VLOOKUP(I26,I9:L12,3,FALSE)</f>
        <v/>
      </c>
      <c r="L26" s="253"/>
      <c r="M26" s="254"/>
      <c r="N26" s="254"/>
      <c r="O26" s="152"/>
      <c r="P26" s="153"/>
      <c r="Q26" s="255" t="str">
        <f>IF(L26="","",IF(AND(L26-L27&gt;1,L26&gt;10),1,0)+IF(AND(M26-M27&gt;1,M26&gt;10),1,0)+IF(AND(N26-N27&gt;1,N26&gt;10),1,0)+IF(AND(O26-O27&gt;1,O26&gt;10),1,0)+IF(AND(P26-P27&gt;1,P26&gt;10),1,0))</f>
        <v/>
      </c>
      <c r="R26" s="203" t="str">
        <f>IF(AND(I26="",I27=""),"",ABS(VLOOKUP(I26,I9:L12,4,FALSE)-VLOOKUP(I27,I9:L12,4,FALSE)))</f>
        <v/>
      </c>
      <c r="S26" s="256" t="str">
        <f>IF(R27="","",IF(Q26=3,+R27,-R27))</f>
        <v/>
      </c>
      <c r="T26" s="192"/>
      <c r="U26" s="235"/>
      <c r="V26" s="235"/>
      <c r="W26" s="235"/>
      <c r="X26" s="235"/>
      <c r="Y26" s="235"/>
      <c r="Z26" s="235"/>
      <c r="AA26" s="243">
        <v>1</v>
      </c>
      <c r="AB26" s="222" t="str">
        <f>IF(AND(COUNTBLANK(I9:I12)=0,Group_players=4,M9=M10,M10=M11),IF(U16="","",IF(COUNTIF(U16:U19,U16)=3,"Tied",IF(AND(COUNTIF(U16:U19,U16)=1,U17&lt;&gt;U18),IF(M9=2,IF(SMALL(U16:U19,1)=U16,1,IF(SMALL(U16:U19,2)=U16,2,IF(SMALL(U16:U19,3)=U16,3))),IF(M9=1,IF(SMALL(U16:U19,1)=U16,2,IF(SMALL(U16:U19,2)=U16,3,IF(SMALL(U16:U19,3)=U16,4))),"")),IF(COUNTIF(U16:U19,U16)=1,IF(U16&lt;U17,IF(M9=2,1,2),IF(M9=2,3,4)),IF(COUNTIF(U16:U19,U16)=2,IF(U16=U17,IF(U16&lt;U18,IF(M9=2,IF(Q32=3,1,2),IF(M9=1,IF(Q32=3,2,3))),IF(U16&gt;U18,IF(M9=2,IF(Q32=3,2,3),IF(M9=1,IF(Q32=3,3,4))))),IF(U16=U18,IF(U16&lt;U17,IF(M9=2,IF(Q20=3,1,2),IF(M9=1,IF(Q20=3,2,3))),IF(U16&gt;U17,IF(M9=2,IF(Q20=3,2,3),IF(M9=1,IF(Q20=3,3,4)))))))))))),"")</f>
        <v/>
      </c>
      <c r="AC26" s="262"/>
      <c r="AD26" s="248"/>
      <c r="AE26" s="248"/>
      <c r="AF26" s="203">
        <f t="shared" si="4"/>
        <v>16</v>
      </c>
      <c r="AG26" s="203" t="str">
        <f t="shared" si="0"/>
        <v/>
      </c>
      <c r="AH26" s="192" t="str">
        <f t="shared" si="1"/>
        <v/>
      </c>
      <c r="AI26" s="229" t="str">
        <f t="shared" si="2"/>
        <v>Bye</v>
      </c>
      <c r="AJ26" s="203"/>
      <c r="AK26" s="203">
        <f t="shared" si="3"/>
        <v>0</v>
      </c>
      <c r="AL26" s="229">
        <f t="shared" si="5"/>
        <v>0</v>
      </c>
      <c r="AM26" s="181"/>
      <c r="AN26" s="192"/>
      <c r="AO26" s="192"/>
      <c r="AP26" s="192"/>
      <c r="AQ26" s="192"/>
      <c r="AR26" s="192"/>
      <c r="AS26" s="192"/>
      <c r="AT26" s="192"/>
      <c r="AU26" s="192"/>
      <c r="AV26" s="192"/>
      <c r="AW26" s="192"/>
      <c r="AX26" s="192"/>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row>
    <row r="27" spans="2:119" ht="16.2" thickBot="1" x14ac:dyDescent="0.35">
      <c r="B27" s="192"/>
      <c r="C27" s="192"/>
      <c r="D27" s="192"/>
      <c r="E27" s="164" t="str">
        <f>IF(Q27="","",IF(Q27=3,1,0))</f>
        <v/>
      </c>
      <c r="F27" s="164" t="str">
        <f>IF(Q27="","",IF(Q27&lt;3,1,0))</f>
        <v/>
      </c>
      <c r="G27" s="192"/>
      <c r="H27" s="192" t="str">
        <f>IF(I11="","",IF(I12&lt;&gt;"",4,2))</f>
        <v/>
      </c>
      <c r="I27" s="192" t="str">
        <f>IF(ISNUMBER(H27),VLOOKUP(H27,H9:I12,2,TRUE),"")</f>
        <v/>
      </c>
      <c r="J27" s="192"/>
      <c r="K27" s="192" t="str">
        <f>VLOOKUP(I27,I9:L12,3,FALSE)</f>
        <v/>
      </c>
      <c r="L27" s="155"/>
      <c r="M27" s="259"/>
      <c r="N27" s="259"/>
      <c r="O27" s="156"/>
      <c r="P27" s="157"/>
      <c r="Q27" s="260" t="str">
        <f>IF(L27="","",IF(AND(L27-L26&gt;1,L27&gt;10),1,0)+IF(AND(M27-M26&gt;1,M27&gt;10),1,0)+IF(AND(N27-N26&gt;1,N27&gt;10),1,0)+IF(AND(O27-O26&gt;1,O27&gt;10),1,0)+IF(AND(P27-P26&gt;1,P27&gt;10),1,0))</f>
        <v/>
      </c>
      <c r="R27" s="203" t="str">
        <f>IF(AND(Q26&lt;&gt;3,Q27&lt;&gt;3),"",IF(Q26=3,IF(VLOOKUP(I26,I9:L11,4,FALSE)&gt;VLOOKUP(I27,I9:L12,4,FALSE),VLOOKUP(R26,Point_dif,2,FALSE),VLOOKUP(R26,Point_dif,3,FALSE)),IF(Q27=3,IF(VLOOKUP(I27,I9:L12,4,FALSE)&gt;VLOOKUP(I26,I9:L12,4,FALSE),VLOOKUP(R26,Point_dif,2,FALSE),VLOOKUP(R26,Point_dif,3,FALSE)))))</f>
        <v/>
      </c>
      <c r="S27" s="256" t="str">
        <f>IF(R27="","",IF(Q27=3,+R27,-R27))</f>
        <v/>
      </c>
      <c r="T27" s="192"/>
      <c r="U27" s="235"/>
      <c r="V27" s="235"/>
      <c r="W27" s="235"/>
      <c r="X27" s="235"/>
      <c r="Y27" s="235"/>
      <c r="Z27" s="235"/>
      <c r="AA27" s="246">
        <v>2</v>
      </c>
      <c r="AB27" s="222" t="str">
        <f>IF(AND(COUNTBLANK(I9:I12)=0,Group_players=4,M9=M10,M10=M11),IF(U17="","",IF(COUNTIF(U16:U19,U17)=3,"Tied",IF(AND(COUNTIF(U16:U19,U17)=1,U16&lt;&gt;U18),IF(M10=2,IF(SMALL(U16:U19,1)=U17,1,IF(SMALL(U16:U19,2)=U17,2,IF(SMALL(U16:U19,3)=U17,3))),IF(M10=1,IF(SMALL(U16:U19,1)=U17,2,IF(SMALL(U16:U19,2)=U17,3,IF(SMALL(U16:U19,3)=U17,4))),"")),IF(COUNTIF(U16:U19,U17)=1,IF(U17&lt;U16,IF(M10=2,1,2),IF(M10=2,3,4)),IF(COUNTIF(U16:U19,U17)=2,IF(U17=U16,IF(U17&lt;U18,IF(M10=2,IF(Q33=3,1,2),IF(M10=1,IF(Q33=3,2,3))),IF(U17&gt;U18,IF(M10=2,IF(Q33=3,2,3),IF(M10=1,IF(Q33=3,3,4))))),IF(U17=U18,IF(U17&lt;U16,IF(M10=2,IF(Q29=3,1,2),IF(M10=1,IF(Q29=3,2,3))),IF(U17&gt;U16,IF(M10=2,IF(Q29=3,2,3),IF(M10=1,IF(Q29=3,3,4)))))))))))),"")</f>
        <v/>
      </c>
      <c r="AC27" s="203"/>
      <c r="AD27" s="203"/>
      <c r="AE27" s="203"/>
      <c r="AF27" s="203">
        <f t="shared" si="4"/>
        <v>17</v>
      </c>
      <c r="AG27" s="203" t="str">
        <f t="shared" si="0"/>
        <v/>
      </c>
      <c r="AH27" s="192" t="str">
        <f t="shared" si="1"/>
        <v/>
      </c>
      <c r="AI27" s="229" t="str">
        <f t="shared" si="2"/>
        <v>Bye</v>
      </c>
      <c r="AJ27" s="203"/>
      <c r="AK27" s="203">
        <f t="shared" si="3"/>
        <v>0</v>
      </c>
      <c r="AL27" s="229">
        <f t="shared" si="5"/>
        <v>0</v>
      </c>
      <c r="AM27" s="181"/>
      <c r="AN27" s="192"/>
      <c r="AO27" s="192"/>
      <c r="AP27" s="192"/>
      <c r="AQ27" s="192"/>
      <c r="AR27" s="192"/>
      <c r="AS27" s="192"/>
      <c r="AT27" s="192"/>
      <c r="AU27" s="192"/>
      <c r="AV27" s="192"/>
      <c r="AW27" s="192"/>
      <c r="AX27" s="192"/>
      <c r="AY27" s="181"/>
      <c r="AZ27" s="181"/>
      <c r="BA27" s="181"/>
      <c r="BB27" s="181"/>
      <c r="BC27" s="181"/>
      <c r="BD27" s="181"/>
      <c r="BE27" s="181"/>
      <c r="BF27" s="181"/>
      <c r="BG27" s="181"/>
      <c r="BH27" s="181"/>
      <c r="BI27" s="181"/>
      <c r="BJ27" s="181"/>
      <c r="BK27" s="181"/>
      <c r="BL27" s="181"/>
      <c r="BM27" s="181"/>
      <c r="BN27" s="181"/>
      <c r="BO27" s="181"/>
      <c r="BP27" s="181"/>
      <c r="BQ27" s="181"/>
      <c r="BR27" s="181"/>
      <c r="BS27" s="181"/>
      <c r="BT27" s="181"/>
      <c r="BU27" s="181"/>
      <c r="BV27" s="181"/>
      <c r="BW27" s="181"/>
      <c r="BX27" s="181"/>
      <c r="BY27" s="181"/>
      <c r="BZ27" s="181"/>
      <c r="CA27" s="181"/>
      <c r="CB27" s="181"/>
      <c r="CC27" s="181"/>
      <c r="CD27" s="181"/>
      <c r="CE27" s="181"/>
      <c r="CF27" s="181"/>
      <c r="CG27" s="181"/>
      <c r="CH27" s="181"/>
      <c r="CI27" s="181"/>
      <c r="CJ27" s="181"/>
      <c r="CK27" s="181"/>
      <c r="CL27" s="181"/>
      <c r="CM27" s="181"/>
      <c r="CN27" s="181"/>
      <c r="CO27" s="181"/>
      <c r="CP27" s="181"/>
      <c r="CQ27" s="181"/>
      <c r="CR27" s="181"/>
      <c r="CS27" s="181"/>
      <c r="CT27" s="181"/>
      <c r="CU27" s="181"/>
      <c r="CV27" s="181"/>
      <c r="CW27" s="181"/>
      <c r="CX27" s="181"/>
      <c r="CY27" s="181"/>
      <c r="CZ27" s="181"/>
      <c r="DA27" s="181"/>
      <c r="DB27" s="181"/>
      <c r="DC27" s="181"/>
      <c r="DD27" s="181"/>
      <c r="DE27" s="181"/>
      <c r="DF27" s="181"/>
      <c r="DG27" s="181"/>
      <c r="DH27" s="181"/>
      <c r="DI27" s="181"/>
      <c r="DJ27" s="181"/>
      <c r="DK27" s="181"/>
      <c r="DL27" s="181"/>
      <c r="DM27" s="181"/>
      <c r="DN27" s="181"/>
      <c r="DO27" s="181"/>
    </row>
    <row r="28" spans="2:119" ht="16.8" thickTop="1" thickBot="1" x14ac:dyDescent="0.35">
      <c r="B28" s="192"/>
      <c r="C28" s="192"/>
      <c r="D28" s="192"/>
      <c r="E28" s="164"/>
      <c r="F28" s="164"/>
      <c r="G28" s="192"/>
      <c r="H28" s="192"/>
      <c r="I28" s="249" t="s">
        <v>118</v>
      </c>
      <c r="J28" s="249"/>
      <c r="K28" s="249"/>
      <c r="L28" s="250" t="s">
        <v>115</v>
      </c>
      <c r="M28" s="250" t="s">
        <v>116</v>
      </c>
      <c r="N28" s="250" t="s">
        <v>117</v>
      </c>
      <c r="O28" s="250" t="s">
        <v>118</v>
      </c>
      <c r="P28" s="250" t="s">
        <v>119</v>
      </c>
      <c r="Q28" s="250" t="s">
        <v>120</v>
      </c>
      <c r="R28" s="250"/>
      <c r="S28" s="251"/>
      <c r="T28" s="192"/>
      <c r="U28" s="235"/>
      <c r="V28" s="235"/>
      <c r="W28" s="235"/>
      <c r="X28" s="235"/>
      <c r="Y28" s="235"/>
      <c r="Z28" s="235"/>
      <c r="AA28" s="240">
        <v>3</v>
      </c>
      <c r="AB28" s="241" t="str">
        <f>IF(AND(COUNTBLANK(I9:I12)=0,Group_players=4,M9=M10,M10=M11),IF(U18="","",IF(COUNTIF(U16:U19,U18)=3,"Tied",IF(AND(COUNTIF(U16:U19,U18)=1,U16&lt;&gt;U17),IF(M9=2,IF(SMALL(U16:U19,1)=U18,1,IF(SMALL(U16:U19,2)=U18,2,IF(SMALL(U16:U19,3)=U18,3))),IF(M11=1,IF(SMALL(U16:U19,1)=U18,2,IF(SMALL(U16:U19,2)=U18,3,IF(SMALL(U16:U19,3)=U18,4))),"")),IF(COUNTIF(U16:U19,U18)=1,IF(U18&lt;U17,IF(M11=2,1,2),IF(M11=2,3,4)),IF(COUNTIF(U16:U19,U18)=2,IF(U18=U17,IF(U18&lt;U16,IF(M11=2,IF(Q30=3,1,2),IF(M11=1,IF(Q30=3,2,3))),IF(U18&gt;U16,IF(M11=2,IF(Q30=3,2,3),IF(M11=1,IF(Q30=3,3,4))))),IF(U18=U16,IF(U18&lt;U17,IF(M11=2,IF(Q21=3,1,2),IF(M11=1,IF(Q21=3,2,3))),IF(U18&gt;U17,IF(M11=2,IF(Q21=3,2,3),IF(M11=1,IF(Q21=3,3,4)))))))))))),"")</f>
        <v/>
      </c>
      <c r="AC28" s="203"/>
      <c r="AD28" s="203"/>
      <c r="AE28" s="203"/>
      <c r="AF28" s="203">
        <f t="shared" si="4"/>
        <v>18</v>
      </c>
      <c r="AG28" s="203" t="str">
        <f t="shared" si="0"/>
        <v/>
      </c>
      <c r="AH28" s="192" t="str">
        <f t="shared" si="1"/>
        <v/>
      </c>
      <c r="AI28" s="229" t="str">
        <f t="shared" si="2"/>
        <v>Bye</v>
      </c>
      <c r="AJ28" s="203"/>
      <c r="AK28" s="203">
        <f t="shared" si="3"/>
        <v>0</v>
      </c>
      <c r="AL28" s="229">
        <f t="shared" si="5"/>
        <v>0</v>
      </c>
      <c r="AM28" s="181"/>
      <c r="AN28" s="192"/>
      <c r="AO28" s="192"/>
      <c r="AP28" s="192"/>
      <c r="AQ28" s="192"/>
      <c r="AR28" s="192"/>
      <c r="AS28" s="192"/>
      <c r="AT28" s="192"/>
      <c r="AU28" s="192"/>
      <c r="AV28" s="192"/>
      <c r="AW28" s="192"/>
      <c r="AX28" s="192"/>
      <c r="AY28" s="181"/>
      <c r="AZ28" s="181"/>
      <c r="BA28" s="181"/>
      <c r="BB28" s="181"/>
      <c r="BC28" s="181"/>
      <c r="BD28" s="181"/>
      <c r="BE28" s="181"/>
      <c r="BF28" s="181"/>
      <c r="BG28" s="181"/>
      <c r="BH28" s="181"/>
      <c r="BI28" s="181"/>
      <c r="BJ28" s="181"/>
      <c r="BK28" s="181"/>
      <c r="BL28" s="181"/>
      <c r="BM28" s="181"/>
      <c r="BN28" s="181"/>
      <c r="BO28" s="181"/>
      <c r="BP28" s="181"/>
      <c r="BQ28" s="181"/>
      <c r="BR28" s="181"/>
      <c r="BS28" s="181"/>
      <c r="BT28" s="181"/>
      <c r="BU28" s="181"/>
      <c r="BV28" s="181"/>
      <c r="BW28" s="181"/>
      <c r="BX28" s="181"/>
      <c r="BY28" s="181"/>
      <c r="BZ28" s="181"/>
      <c r="CA28" s="181"/>
      <c r="CB28" s="181"/>
      <c r="CC28" s="181"/>
      <c r="CD28" s="181"/>
      <c r="CE28" s="181"/>
      <c r="CF28" s="181"/>
      <c r="CG28" s="181"/>
      <c r="CH28" s="181"/>
      <c r="CI28" s="181"/>
      <c r="CJ28" s="181"/>
      <c r="CK28" s="181"/>
      <c r="CL28" s="181"/>
      <c r="CM28" s="181"/>
      <c r="CN28" s="181"/>
      <c r="CO28" s="181"/>
      <c r="CP28" s="181"/>
      <c r="CQ28" s="181"/>
      <c r="CR28" s="181"/>
      <c r="CS28" s="181"/>
      <c r="CT28" s="181"/>
      <c r="CU28" s="181"/>
      <c r="CV28" s="181"/>
      <c r="CW28" s="181"/>
      <c r="CX28" s="181"/>
      <c r="CY28" s="181"/>
      <c r="CZ28" s="181"/>
      <c r="DA28" s="181"/>
      <c r="DB28" s="181"/>
      <c r="DC28" s="181"/>
      <c r="DD28" s="181"/>
      <c r="DE28" s="181"/>
      <c r="DF28" s="181"/>
      <c r="DG28" s="181"/>
      <c r="DH28" s="181"/>
      <c r="DI28" s="181"/>
      <c r="DJ28" s="181"/>
      <c r="DK28" s="181"/>
      <c r="DL28" s="181"/>
      <c r="DM28" s="181"/>
      <c r="DN28" s="181"/>
      <c r="DO28" s="181"/>
    </row>
    <row r="29" spans="2:119" ht="16.2" thickTop="1" x14ac:dyDescent="0.3">
      <c r="B29" s="192"/>
      <c r="C29" s="192"/>
      <c r="D29" s="192"/>
      <c r="E29" s="164" t="str">
        <f>IF(Q29="","",IF(Q29=3,1,0))</f>
        <v/>
      </c>
      <c r="F29" s="164" t="str">
        <f>IF(Q29="","",IF(Q29&lt;3,1,0))</f>
        <v/>
      </c>
      <c r="G29" s="192"/>
      <c r="H29" s="192" t="str">
        <f>IF(I12&lt;&gt;"",2,"")</f>
        <v/>
      </c>
      <c r="I29" s="192" t="str">
        <f>IF(ISNUMBER(H29),VLOOKUP(H29,H9:I12,2,TRUE),"")</f>
        <v/>
      </c>
      <c r="J29" s="192"/>
      <c r="K29" s="192" t="str">
        <f>VLOOKUP(I29,I9:L12,3,FALSE)</f>
        <v/>
      </c>
      <c r="L29" s="253"/>
      <c r="M29" s="254"/>
      <c r="N29" s="254"/>
      <c r="O29" s="152"/>
      <c r="P29" s="153"/>
      <c r="Q29" s="255" t="str">
        <f>IF(L29="","",IF(AND(L29-L30&gt;1,L29&gt;10),1,0)+IF(AND(M29-M30&gt;1,M29&gt;10),1,0)+IF(AND(N29-N30&gt;1,N29&gt;10),1,0)+IF(AND(O29-O30&gt;1,O29&gt;10),1,0)+IF(AND(P29-P30&gt;1,P29&gt;10),1,0))</f>
        <v/>
      </c>
      <c r="R29" s="203" t="str">
        <f>IF(AND(I29="",I30=""),"",ABS(VLOOKUP(I29,I9:L12,4,FALSE)-VLOOKUP(I30,I9:L12,4,FALSE)))</f>
        <v/>
      </c>
      <c r="S29" s="256" t="str">
        <f>IF(R30="","",IF(Q29=3,+R30,-R30))</f>
        <v/>
      </c>
      <c r="T29" s="192"/>
      <c r="U29" s="235"/>
      <c r="V29" s="235"/>
      <c r="W29" s="235"/>
      <c r="X29" s="235"/>
      <c r="Y29" s="235"/>
      <c r="Z29" s="235"/>
      <c r="AA29" s="243">
        <v>1</v>
      </c>
      <c r="AB29" s="222" t="str">
        <f>IF(AND(COUNTBLANK(I9:I12)=0,Group_players=4,M9=M11,M11=M12),IF(V16="","",IF(COUNTIF(V16:V19,V16)=3,"Tied",IF(AND(COUNTIF(V16:V19,V16)=1,V18&lt;&gt;U19),IF(M9=2,IF(SMALL(V16:V19,1)=V16,1,IF(SMALL(V16:V19,2)=V16,2,IF(SMALL(V16:V19,3)=V16,3))),IF(M9=1,IF(SMALL(V16:V19,1)=V16,2,IF(SMALL(V16:V19,2)=V16,3,IF(SMALL(V16:V19,3)=V16,4))),"")),IF(COUNTIF(V16:V19,V16)=1,IF(V16&lt;V18,IF(M9=2,1,2),IF(M9=2,3,4)),IF(COUNTIF(V16:V19,V16)=2,IF(V16=V18,IF(V16&lt;V19,IF(M9=2,IF(Q20=3,1,2),IF(M9=1,IF(Q20=3,2,3))),IF(V16&gt;V19,IF(M9=2,IF(Q20=3,2,3),IF(M9=1,IF(Q20=3,3,4))))),IF(V16=V19,IF(V16&lt;V18,IF(M9=2,IF(Q26=3,1,2),IF(M9=1,IF(Q26=3,2,3))),IF(V16&gt;V17,IF(M9=2,IF(Q26=3,2,3),IF(M9=1,IF(Q26=3,3,4)))))))))))),"")</f>
        <v/>
      </c>
      <c r="AC29" s="203"/>
      <c r="AD29" s="192"/>
      <c r="AE29" s="192"/>
      <c r="AF29" s="203">
        <f t="shared" si="4"/>
        <v>19</v>
      </c>
      <c r="AG29" s="203" t="str">
        <f t="shared" si="0"/>
        <v/>
      </c>
      <c r="AH29" s="192" t="str">
        <f t="shared" si="1"/>
        <v/>
      </c>
      <c r="AI29" s="229" t="str">
        <f t="shared" si="2"/>
        <v>Bye</v>
      </c>
      <c r="AJ29" s="203"/>
      <c r="AK29" s="203">
        <f t="shared" si="3"/>
        <v>0</v>
      </c>
      <c r="AL29" s="229">
        <f t="shared" si="5"/>
        <v>0</v>
      </c>
      <c r="AM29" s="181"/>
      <c r="AN29" s="192"/>
      <c r="AO29" s="192"/>
      <c r="AP29" s="192"/>
      <c r="AQ29" s="192"/>
      <c r="AR29" s="192"/>
      <c r="AS29" s="192"/>
      <c r="AT29" s="192"/>
      <c r="AU29" s="192"/>
      <c r="AV29" s="192"/>
      <c r="AW29" s="192"/>
      <c r="AX29" s="192"/>
      <c r="AY29" s="181"/>
      <c r="AZ29" s="181"/>
      <c r="BA29" s="181"/>
      <c r="BB29" s="181"/>
      <c r="BC29" s="181"/>
      <c r="BD29" s="181"/>
      <c r="BE29" s="181"/>
      <c r="BF29" s="181"/>
      <c r="BG29" s="181"/>
      <c r="BH29" s="181"/>
      <c r="BI29" s="181"/>
      <c r="BJ29" s="181"/>
      <c r="BK29" s="181"/>
      <c r="BL29" s="181"/>
      <c r="BM29" s="181"/>
      <c r="BN29" s="181"/>
      <c r="BO29" s="181"/>
      <c r="BP29" s="181"/>
      <c r="BQ29" s="181"/>
      <c r="BR29" s="181"/>
      <c r="BS29" s="181"/>
      <c r="BT29" s="181"/>
      <c r="BU29" s="181"/>
      <c r="BV29" s="181"/>
      <c r="BW29" s="181"/>
      <c r="BX29" s="181"/>
      <c r="BY29" s="181"/>
      <c r="BZ29" s="181"/>
      <c r="CA29" s="181"/>
      <c r="CB29" s="181"/>
      <c r="CC29" s="181"/>
      <c r="CD29" s="181"/>
      <c r="CE29" s="181"/>
      <c r="CF29" s="181"/>
      <c r="CG29" s="181"/>
      <c r="CH29" s="181"/>
      <c r="CI29" s="181"/>
      <c r="CJ29" s="181"/>
      <c r="CK29" s="181"/>
      <c r="CL29" s="181"/>
      <c r="CM29" s="181"/>
      <c r="CN29" s="181"/>
      <c r="CO29" s="181"/>
      <c r="CP29" s="181"/>
      <c r="CQ29" s="181"/>
      <c r="CR29" s="181"/>
      <c r="CS29" s="181"/>
      <c r="CT29" s="181"/>
      <c r="CU29" s="181"/>
      <c r="CV29" s="181"/>
      <c r="CW29" s="181"/>
      <c r="CX29" s="181"/>
      <c r="CY29" s="181"/>
      <c r="CZ29" s="181"/>
      <c r="DA29" s="181"/>
      <c r="DB29" s="181"/>
      <c r="DC29" s="181"/>
      <c r="DD29" s="181"/>
      <c r="DE29" s="181"/>
      <c r="DF29" s="181"/>
      <c r="DG29" s="181"/>
      <c r="DH29" s="181"/>
      <c r="DI29" s="181"/>
      <c r="DJ29" s="181"/>
      <c r="DK29" s="181"/>
      <c r="DL29" s="181"/>
      <c r="DM29" s="181"/>
      <c r="DN29" s="181"/>
      <c r="DO29" s="181"/>
    </row>
    <row r="30" spans="2:119" ht="16.2" thickBot="1" x14ac:dyDescent="0.35">
      <c r="B30" s="192"/>
      <c r="C30" s="192"/>
      <c r="D30" s="192"/>
      <c r="E30" s="164" t="str">
        <f>IF(Q30="","",IF(Q30=3,1,0))</f>
        <v/>
      </c>
      <c r="F30" s="164" t="str">
        <f>IF(Q30="","",IF(Q30&lt;3,1,0))</f>
        <v/>
      </c>
      <c r="G30" s="192"/>
      <c r="H30" s="192" t="str">
        <f>IF(I12&lt;&gt;"",3,"")</f>
        <v/>
      </c>
      <c r="I30" s="192" t="str">
        <f>IF(ISNUMBER(H30),VLOOKUP(H30,H9:I12,2,TRUE),"")</f>
        <v/>
      </c>
      <c r="J30" s="192"/>
      <c r="K30" s="192" t="str">
        <f>VLOOKUP(I30,I9:L12,3,FALSE)</f>
        <v/>
      </c>
      <c r="L30" s="155"/>
      <c r="M30" s="259"/>
      <c r="N30" s="259"/>
      <c r="O30" s="156"/>
      <c r="P30" s="157"/>
      <c r="Q30" s="260" t="str">
        <f>IF(L30="","",IF(AND(L30-L29&gt;1,L30&gt;10),1,0)+IF(AND(M30-M29&gt;1,M30&gt;10),1,0)+IF(AND(N30-N29&gt;1,N30&gt;10),1,0)+IF(AND(O30-O29&gt;1,O30&gt;10),1,0)+IF(AND(P30-P29&gt;1,P30&gt;10),1,0))</f>
        <v/>
      </c>
      <c r="R30" s="203" t="str">
        <f>IF(AND(Q29&lt;&gt;3,Q30&lt;&gt;3),"",IF(Q29=3,IF(VLOOKUP(I29,I9:L11,4,FALSE)&gt;VLOOKUP(I30,I9:L12,4,FALSE),VLOOKUP(R29,Point_dif,2,FALSE),VLOOKUP(R29,Point_dif,3,FALSE)),IF(Q30=3,IF(VLOOKUP(I30,I9:L11,4,FALSE)&gt;VLOOKUP(I29,I9:L12,4,FALSE),VLOOKUP(R29,Point_dif,2,FALSE),VLOOKUP(R29,Point_dif,3,FALSE)))))</f>
        <v/>
      </c>
      <c r="S30" s="256" t="str">
        <f>IF(R30="","",IF(Q30=3,+R30,-R30))</f>
        <v/>
      </c>
      <c r="T30" s="192"/>
      <c r="U30" s="159"/>
      <c r="V30" s="266"/>
      <c r="W30" s="266"/>
      <c r="X30" s="266"/>
      <c r="Y30" s="192"/>
      <c r="Z30" s="203"/>
      <c r="AA30" s="246">
        <v>3</v>
      </c>
      <c r="AB30" s="222" t="str">
        <f>IF(AND(COUNTBLANK(I9:I12)=0,Group_players=4,M9=M11,M11=M12),IF(V18="","",IF(COUNTIF(V16:V19,V18)=3,"Tied",IF(AND(COUNTIF(V16:V19,V18)=1,V16&lt;&gt;V19),IF(M11=2,IF(SMALL(V16:V19,1)=V18,1,IF(SMALL(V16:V19,2)=V18,2,IF(SMALL(V16:V19,3)=V18,3))),IF(M11=1,IF(SMALL(V16:V19,1)=V18,2,IF(SMALL(V16:V19,2)=V18,3,IF(SMALL(V16:V19,3)=V18,4))),"")),IF(COUNTIF(V16:V19,V18)=1,IF(V18&lt;V16,IF(M11=2,1,2),IF(M11=2,3,4)),IF(COUNTIF(V16:V19,V18)=2,IF(V18=V16,IF(V18&lt;V19,IF(M11=2,IF(Q21=3,1,2),IF(M11=1,IF(Q21=3,2,3))),IF(V18&gt;V19,IF(M11=2,IF(Q21=3,2,3),IF(M11=1,IF(Q21=3,3,4))))),IF(V18=V19,IF(V18&lt;V16,IF(M11=2,IF(Q35=3,1,2),IF(M11=1,IF(Q35=3,2,3))),IF(V18&gt;V16,IF(M11=2,IF(Q35=3,2,3),IF(M11=1,IF(Q35=3,3,4)))))))))))),"")</f>
        <v/>
      </c>
      <c r="AC30" s="203"/>
      <c r="AD30" s="203"/>
      <c r="AE30" s="203"/>
      <c r="AF30" s="203">
        <f t="shared" si="4"/>
        <v>20</v>
      </c>
      <c r="AG30" s="203" t="str">
        <f t="shared" si="0"/>
        <v/>
      </c>
      <c r="AH30" s="192" t="str">
        <f t="shared" si="1"/>
        <v/>
      </c>
      <c r="AI30" s="229" t="str">
        <f t="shared" si="2"/>
        <v>Bye</v>
      </c>
      <c r="AJ30" s="203"/>
      <c r="AK30" s="203">
        <f t="shared" si="3"/>
        <v>0</v>
      </c>
      <c r="AL30" s="229">
        <f t="shared" si="5"/>
        <v>0</v>
      </c>
      <c r="AM30" s="181"/>
      <c r="AN30" s="192"/>
      <c r="AO30" s="192"/>
      <c r="AP30" s="192"/>
      <c r="AQ30" s="192"/>
      <c r="AR30" s="192"/>
      <c r="AS30" s="192"/>
      <c r="AT30" s="192"/>
      <c r="AU30" s="192"/>
      <c r="AV30" s="192"/>
      <c r="AW30" s="192"/>
      <c r="AX30" s="192"/>
      <c r="AY30" s="181"/>
      <c r="AZ30" s="181"/>
      <c r="BA30" s="181"/>
      <c r="BB30" s="181"/>
      <c r="BC30" s="181"/>
      <c r="BD30" s="181"/>
      <c r="BE30" s="181"/>
      <c r="BF30" s="181"/>
      <c r="BG30" s="181"/>
      <c r="BH30" s="181"/>
      <c r="BI30" s="181"/>
      <c r="BJ30" s="181"/>
      <c r="BK30" s="181"/>
      <c r="BL30" s="181"/>
      <c r="BM30" s="181"/>
      <c r="BN30" s="181"/>
      <c r="BO30" s="181"/>
      <c r="BP30" s="181"/>
      <c r="BQ30" s="181"/>
      <c r="BR30" s="181"/>
      <c r="BS30" s="181"/>
      <c r="BT30" s="181"/>
      <c r="BU30" s="181"/>
      <c r="BV30" s="181"/>
      <c r="BW30" s="181"/>
      <c r="BX30" s="181"/>
      <c r="BY30" s="181"/>
      <c r="BZ30" s="181"/>
      <c r="CA30" s="181"/>
      <c r="CB30" s="181"/>
      <c r="CC30" s="181"/>
      <c r="CD30" s="181"/>
      <c r="CE30" s="181"/>
      <c r="CF30" s="181"/>
      <c r="CG30" s="181"/>
      <c r="CH30" s="181"/>
      <c r="CI30" s="181"/>
      <c r="CJ30" s="181"/>
      <c r="CK30" s="181"/>
      <c r="CL30" s="181"/>
      <c r="CM30" s="181"/>
      <c r="CN30" s="181"/>
      <c r="CO30" s="181"/>
      <c r="CP30" s="181"/>
      <c r="CQ30" s="181"/>
      <c r="CR30" s="181"/>
      <c r="CS30" s="181"/>
      <c r="CT30" s="181"/>
      <c r="CU30" s="181"/>
      <c r="CV30" s="181"/>
      <c r="CW30" s="181"/>
      <c r="CX30" s="181"/>
      <c r="CY30" s="181"/>
      <c r="CZ30" s="181"/>
      <c r="DA30" s="181"/>
      <c r="DB30" s="181"/>
      <c r="DC30" s="181"/>
      <c r="DD30" s="181"/>
      <c r="DE30" s="181"/>
      <c r="DF30" s="181"/>
      <c r="DG30" s="181"/>
      <c r="DH30" s="181"/>
      <c r="DI30" s="181"/>
      <c r="DJ30" s="181"/>
      <c r="DK30" s="181"/>
      <c r="DL30" s="181"/>
      <c r="DM30" s="181"/>
      <c r="DN30" s="181"/>
      <c r="DO30" s="181"/>
    </row>
    <row r="31" spans="2:119" ht="16.8" thickTop="1" thickBot="1" x14ac:dyDescent="0.35">
      <c r="B31" s="192"/>
      <c r="C31" s="192"/>
      <c r="D31" s="192"/>
      <c r="E31" s="164"/>
      <c r="F31" s="164"/>
      <c r="G31" s="192"/>
      <c r="H31" s="192"/>
      <c r="I31" s="249" t="s">
        <v>119</v>
      </c>
      <c r="J31" s="249"/>
      <c r="K31" s="249"/>
      <c r="L31" s="250" t="s">
        <v>115</v>
      </c>
      <c r="M31" s="250" t="s">
        <v>116</v>
      </c>
      <c r="N31" s="250" t="s">
        <v>117</v>
      </c>
      <c r="O31" s="250" t="s">
        <v>118</v>
      </c>
      <c r="P31" s="250" t="s">
        <v>119</v>
      </c>
      <c r="Q31" s="250" t="s">
        <v>120</v>
      </c>
      <c r="R31" s="250"/>
      <c r="S31" s="251"/>
      <c r="T31" s="247"/>
      <c r="U31" s="235"/>
      <c r="V31" s="235"/>
      <c r="W31" s="235"/>
      <c r="X31" s="235"/>
      <c r="Y31" s="235"/>
      <c r="Z31" s="235"/>
      <c r="AA31" s="240">
        <v>4</v>
      </c>
      <c r="AB31" s="241" t="str">
        <f>IF(AND(COUNTBLANK(I9:I12)=0,Group_players=4,M9=M11,M11=M12),IF(V19="","",IF(COUNTIF(V16:V19,V19)=3,"Tied",IF(AND(COUNTIF(V16:V19,V19)=1,V18&lt;&gt;V16),IF(M12=2,IF(SMALL(V16:V19,1)=V19,1,IF(SMALL(V16:V19,2)=V19,2,IF(SMALL(V16:V19,3)=V19,3))),IF(M12=1,IF(SMALL(V16:V19,1)=V19,2,IF(SMALL(V16:V19,2)=V19,3,IF(SMALL(V16:V19,3)=V19,4))),"")),IF(COUNTIF(V16:V19,V19)=1,IF(V19&lt;V16,IF(M12=2,1,2),IF(M12=2,3,4)),IF(COUNTIF(V16:V19,V19)=2,IF(V19=V16,IF(V19&lt;V18,IF(M12=2,IF(Q27=3,1,2),IF(M12=1,IF(Q27=3,2,3))),IF(V19&gt;V18,IF(M12=2,IF(Q27=3,2,3),IF(M12=1,IF(Q27=3,3,4))))),IF(V19=V18,IF(V19&lt;V16,IF(M12=2,IF(Q36=3,1,2),IF(M12=1,IF(Q36=3,2,3))),IF(V19&gt;V16,IF(M12=2,IF(Q36=3,2,3),IF(M12=1,IF(Q36=3,3,4)))))))))))),"")</f>
        <v/>
      </c>
      <c r="AC31" s="203"/>
      <c r="AD31" s="192"/>
      <c r="AE31" s="203"/>
      <c r="AF31" s="203">
        <f t="shared" si="4"/>
        <v>21</v>
      </c>
      <c r="AG31" s="203" t="str">
        <f t="shared" si="0"/>
        <v/>
      </c>
      <c r="AH31" s="192" t="str">
        <f t="shared" si="1"/>
        <v/>
      </c>
      <c r="AI31" s="229" t="str">
        <f t="shared" si="2"/>
        <v>Bye</v>
      </c>
      <c r="AJ31" s="203"/>
      <c r="AK31" s="203">
        <f t="shared" si="3"/>
        <v>0</v>
      </c>
      <c r="AL31" s="229">
        <f t="shared" si="5"/>
        <v>0</v>
      </c>
      <c r="AM31" s="181"/>
      <c r="AN31" s="192"/>
      <c r="AO31" s="192"/>
      <c r="AP31" s="192"/>
      <c r="AQ31" s="192"/>
      <c r="AR31" s="192"/>
      <c r="AS31" s="192"/>
      <c r="AT31" s="192"/>
      <c r="AU31" s="192"/>
      <c r="AV31" s="192"/>
      <c r="AW31" s="192"/>
      <c r="AX31" s="192"/>
      <c r="AY31" s="181"/>
      <c r="AZ31" s="181"/>
      <c r="BA31" s="181"/>
      <c r="BB31" s="181"/>
      <c r="BC31" s="181"/>
      <c r="BD31" s="181"/>
      <c r="BE31" s="181"/>
      <c r="BF31" s="181"/>
      <c r="BG31" s="181"/>
      <c r="BH31" s="181"/>
      <c r="BI31" s="181"/>
      <c r="BJ31" s="181"/>
      <c r="BK31" s="181"/>
      <c r="BL31" s="181"/>
      <c r="BM31" s="181"/>
      <c r="BN31" s="181"/>
      <c r="BO31" s="181"/>
      <c r="BP31" s="181"/>
      <c r="BQ31" s="181"/>
      <c r="BR31" s="181"/>
      <c r="BS31" s="181"/>
      <c r="BT31" s="181"/>
      <c r="BU31" s="181"/>
      <c r="BV31" s="181"/>
      <c r="BW31" s="181"/>
      <c r="BX31" s="181"/>
      <c r="BY31" s="181"/>
      <c r="BZ31" s="181"/>
      <c r="CA31" s="181"/>
      <c r="CB31" s="181"/>
      <c r="CC31" s="181"/>
      <c r="CD31" s="181"/>
      <c r="CE31" s="181"/>
      <c r="CF31" s="181"/>
      <c r="CG31" s="181"/>
      <c r="CH31" s="181"/>
      <c r="CI31" s="181"/>
      <c r="CJ31" s="181"/>
      <c r="CK31" s="181"/>
      <c r="CL31" s="181"/>
      <c r="CM31" s="181"/>
      <c r="CN31" s="181"/>
      <c r="CO31" s="181"/>
      <c r="CP31" s="181"/>
      <c r="CQ31" s="181"/>
      <c r="CR31" s="181"/>
      <c r="CS31" s="181"/>
      <c r="CT31" s="181"/>
      <c r="CU31" s="181"/>
      <c r="CV31" s="181"/>
      <c r="CW31" s="181"/>
      <c r="CX31" s="181"/>
      <c r="CY31" s="181"/>
      <c r="CZ31" s="181"/>
      <c r="DA31" s="181"/>
      <c r="DB31" s="181"/>
      <c r="DC31" s="181"/>
      <c r="DD31" s="181"/>
      <c r="DE31" s="181"/>
      <c r="DF31" s="181"/>
      <c r="DG31" s="181"/>
      <c r="DH31" s="181"/>
      <c r="DI31" s="181"/>
      <c r="DJ31" s="181"/>
      <c r="DK31" s="181"/>
      <c r="DL31" s="181"/>
      <c r="DM31" s="181"/>
      <c r="DN31" s="181"/>
      <c r="DO31" s="181"/>
    </row>
    <row r="32" spans="2:119" ht="16.2" thickTop="1" x14ac:dyDescent="0.3">
      <c r="B32" s="192"/>
      <c r="C32" s="192"/>
      <c r="D32" s="192"/>
      <c r="E32" s="164" t="str">
        <f>IF(Q32="","",IF(Q32=3,1,0))</f>
        <v/>
      </c>
      <c r="F32" s="164" t="str">
        <f>IF(Q32="","",IF(Q32&lt;3,1,0))</f>
        <v/>
      </c>
      <c r="G32" s="192"/>
      <c r="H32" s="192" t="str">
        <f>IF(I12&lt;&gt;"",1,"")</f>
        <v/>
      </c>
      <c r="I32" s="192" t="str">
        <f>IF(ISNUMBER(H32),VLOOKUP(H32,H9:I12,2,TRUE),"")</f>
        <v/>
      </c>
      <c r="J32" s="192"/>
      <c r="K32" s="192" t="str">
        <f>VLOOKUP(I32,I9:L12,3,FALSE)</f>
        <v/>
      </c>
      <c r="L32" s="253"/>
      <c r="M32" s="254"/>
      <c r="N32" s="254"/>
      <c r="O32" s="152"/>
      <c r="P32" s="153"/>
      <c r="Q32" s="255" t="str">
        <f>IF(L32="","",IF(AND(L32-L33&gt;1,L32&gt;10),1,0)+IF(AND(M32-M33&gt;1,M32&gt;10),1,0)+IF(AND(N32-N33&gt;1,N32&gt;10),1,0)+IF(AND(O32-O33&gt;1,O32&gt;10),1,0)+IF(AND(P32-P33&gt;1,P32&gt;10),1,0))</f>
        <v/>
      </c>
      <c r="R32" s="203" t="str">
        <f>IF(AND(I32="",I33=""),"",ABS(VLOOKUP(I32,I9:L12,4,FALSE)-VLOOKUP(I33,I9:L12,4,FALSE)))</f>
        <v/>
      </c>
      <c r="S32" s="256" t="str">
        <f>IF(R33="","",IF(Q32=3,+R33,-R33))</f>
        <v/>
      </c>
      <c r="T32" s="247"/>
      <c r="U32" s="235"/>
      <c r="V32" s="235"/>
      <c r="W32" s="235"/>
      <c r="X32" s="235"/>
      <c r="Y32" s="235"/>
      <c r="Z32" s="235"/>
      <c r="AA32" s="243">
        <v>1</v>
      </c>
      <c r="AB32" s="222" t="str">
        <f>IF(AND(COUNTBLANK(I9:I12)=0,Group_players=4,M9=M10,M10=M12),IF(W16="","",IF(COUNTIF(W16:W19,W16)=3,"Tied",IF(AND(COUNTIF(W16:W19,W16)=1,W17&lt;&gt;W18),IF(M9=2,IF(SMALL(W16:W19,1)=W16,1,IF(SMALL(W16:W19,2)=W16,2,IF(SMALL(W16:W19,3)=W16,3))),IF(M9=1,IF(SMALL(W16:W19,1)=W16,2,IF(SMALL(W16:W19,2)=W16,3,IF(SMALL(W16:W19,3)=W16,4))),"")),IF(COUNTIF(W16:W19,W16)=1,IF(W16&lt;W17,IF(M9=2,1,2),IF(M9=2,3,4)),IF(COUNTIF(W16:W19,W16)=2,IF(W16=W17,IF(W16&lt;W19,IF(M9=2,IF(Q32=3,1,2),IF(M9=1,IF(Q32=3,2,3))),IF(W16&gt;W19,IF(M9=2,IF(Q32=3,2,3),IF(M9=1,IF(Q32=3,3,4))))),IF(W16=W19,IF(W16&lt;W17,IF(M9=2,IF(Q26=3,1,2),IF(M9=1,IF(Q26=3,2,3))),IF(W16&gt;W17,IF(M9=2,IF(Q26=3,2,3),IF(M9=1,IF(Q26=3,3,4)))))))))))),"")</f>
        <v/>
      </c>
      <c r="AC32" s="203"/>
      <c r="AD32" s="203"/>
      <c r="AE32" s="203"/>
      <c r="AF32" s="203">
        <f t="shared" si="4"/>
        <v>22</v>
      </c>
      <c r="AG32" s="203" t="str">
        <f t="shared" si="0"/>
        <v/>
      </c>
      <c r="AH32" s="192" t="str">
        <f t="shared" si="1"/>
        <v/>
      </c>
      <c r="AI32" s="229" t="str">
        <f t="shared" si="2"/>
        <v>Bye</v>
      </c>
      <c r="AJ32" s="203"/>
      <c r="AK32" s="203">
        <f t="shared" si="3"/>
        <v>0</v>
      </c>
      <c r="AL32" s="229">
        <f t="shared" si="5"/>
        <v>0</v>
      </c>
      <c r="AM32" s="181"/>
      <c r="AN32" s="192"/>
      <c r="AO32" s="192"/>
      <c r="AP32" s="192"/>
      <c r="AQ32" s="192"/>
      <c r="AR32" s="192"/>
      <c r="AS32" s="192"/>
      <c r="AT32" s="192"/>
      <c r="AU32" s="192"/>
      <c r="AV32" s="192"/>
      <c r="AW32" s="192"/>
      <c r="AX32" s="192"/>
      <c r="AY32" s="181"/>
      <c r="AZ32" s="181"/>
      <c r="BA32" s="181"/>
      <c r="BB32" s="181"/>
      <c r="BC32" s="181"/>
      <c r="BD32" s="181"/>
      <c r="BE32" s="181"/>
      <c r="BF32" s="181"/>
      <c r="BG32" s="181"/>
      <c r="BH32" s="181"/>
      <c r="BI32" s="181"/>
      <c r="BJ32" s="181"/>
      <c r="BK32" s="181"/>
      <c r="BL32" s="181"/>
      <c r="BM32" s="181"/>
      <c r="BN32" s="181"/>
      <c r="BO32" s="181"/>
      <c r="BP32" s="181"/>
      <c r="BQ32" s="181"/>
      <c r="BR32" s="181"/>
      <c r="BS32" s="181"/>
      <c r="BT32" s="181"/>
      <c r="BU32" s="181"/>
      <c r="BV32" s="181"/>
      <c r="BW32" s="181"/>
      <c r="BX32" s="181"/>
      <c r="BY32" s="181"/>
      <c r="BZ32" s="181"/>
      <c r="CA32" s="181"/>
      <c r="CB32" s="181"/>
      <c r="CC32" s="181"/>
      <c r="CD32" s="181"/>
      <c r="CE32" s="181"/>
      <c r="CF32" s="181"/>
      <c r="CG32" s="181"/>
      <c r="CH32" s="181"/>
      <c r="CI32" s="181"/>
      <c r="CJ32" s="181"/>
      <c r="CK32" s="181"/>
      <c r="CL32" s="181"/>
      <c r="CM32" s="181"/>
      <c r="CN32" s="181"/>
      <c r="CO32" s="181"/>
      <c r="CP32" s="181"/>
      <c r="CQ32" s="181"/>
      <c r="CR32" s="181"/>
      <c r="CS32" s="181"/>
      <c r="CT32" s="181"/>
      <c r="CU32" s="181"/>
      <c r="CV32" s="181"/>
      <c r="CW32" s="181"/>
      <c r="CX32" s="181"/>
      <c r="CY32" s="181"/>
      <c r="CZ32" s="181"/>
      <c r="DA32" s="181"/>
      <c r="DB32" s="181"/>
      <c r="DC32" s="181"/>
      <c r="DD32" s="181"/>
      <c r="DE32" s="181"/>
      <c r="DF32" s="181"/>
      <c r="DG32" s="181"/>
      <c r="DH32" s="181"/>
      <c r="DI32" s="181"/>
      <c r="DJ32" s="181"/>
      <c r="DK32" s="181"/>
      <c r="DL32" s="181"/>
      <c r="DM32" s="181"/>
      <c r="DN32" s="181"/>
      <c r="DO32" s="181"/>
    </row>
    <row r="33" spans="2:119" ht="16.2" thickBot="1" x14ac:dyDescent="0.35">
      <c r="B33" s="192"/>
      <c r="C33" s="192"/>
      <c r="D33" s="192"/>
      <c r="E33" s="164" t="str">
        <f>IF(Q33="","",IF(Q33=3,1,0))</f>
        <v/>
      </c>
      <c r="F33" s="164" t="str">
        <f>IF(Q33="","",IF(Q33&lt;3,1,0))</f>
        <v/>
      </c>
      <c r="G33" s="192"/>
      <c r="H33" s="192" t="str">
        <f>IF(I12&lt;&gt;"",2,"")</f>
        <v/>
      </c>
      <c r="I33" s="192" t="str">
        <f>IF(ISNUMBER(H33),VLOOKUP(H33,H9:I12,2,TRUE),"")</f>
        <v/>
      </c>
      <c r="J33" s="192"/>
      <c r="K33" s="192" t="str">
        <f>VLOOKUP(I33,I9:L12,3,FALSE)</f>
        <v/>
      </c>
      <c r="L33" s="155"/>
      <c r="M33" s="259"/>
      <c r="N33" s="259"/>
      <c r="O33" s="156"/>
      <c r="P33" s="157"/>
      <c r="Q33" s="260" t="str">
        <f>IF(L33="","",IF(AND(L33-L32&gt;1,L33&gt;10),1,0)+IF(AND(M33-M32&gt;1,M33&gt;10),1,0)+IF(AND(N33-N32&gt;1,N33&gt;10),1,0)+IF(AND(O33-O32&gt;1,O33&gt;10),1,0)+IF(AND(P33-P32&gt;1,P33&gt;10),1,0))</f>
        <v/>
      </c>
      <c r="R33" s="203" t="str">
        <f>IF(AND(Q32&lt;&gt;3,Q33&lt;&gt;3),"",IF(Q32=3,IF(VLOOKUP(I32,I9:L12,4,FALSE)&gt;VLOOKUP(I33,I9:L12,4,FALSE),VLOOKUP(R32,Point_dif,2,FALSE),VLOOKUP(R32,Point_dif,3,FALSE)),IF(Q33=3,IF(VLOOKUP(I33,I9:L12,4,FALSE)&gt;VLOOKUP(I33,I9:L12,4,FALSE),VLOOKUP(R32,Point_dif,2,FALSE),VLOOKUP(R32,Point_dif,3,FALSE)))))</f>
        <v/>
      </c>
      <c r="S33" s="256" t="str">
        <f>IF(R33="","",IF(Q33=3,+R33,-R33))</f>
        <v/>
      </c>
      <c r="T33" s="247"/>
      <c r="U33" s="235"/>
      <c r="V33" s="235"/>
      <c r="W33" s="235"/>
      <c r="X33" s="235"/>
      <c r="Y33" s="235"/>
      <c r="Z33" s="235"/>
      <c r="AA33" s="246">
        <v>2</v>
      </c>
      <c r="AB33" s="222" t="str">
        <f>IF(AND(COUNTBLANK(I9:I12)=0,Group_players=4,M9=M10,M10=M12),IF(W17="","",IF(COUNTIF(W16:W19,W17)=3,"Tied",IF(AND(COUNTIF(W16:W19,W17)=1,W16&lt;&gt;W18),IF(M10=2,IF(SMALL(W16:W19,1)=W17,1,IF(SMALL(W16:W19,2)=W17,2,IF(SMALL(W16:W19,3)=W17,3))),IF(M10=1,IF(SMALL(W16:W19,1)=W17,2,IF(SMALL(W16:W19,2)=W17,3,IF(SMALL(W16:W19,3)=W17,4))),"")),IF(COUNTIF(W16:W19,W17)=1,IF(W17&lt;W16,IF(M10=2,1,2),IF(M10=2,3,4)),IF(COUNTIF(W16:W19,W17)=2,IF(W17=W16,IF(W17&lt;W19,IF(M10=2,IF(Q33=3,1,2),IF(M10=1,IF(Q33=3,2,3))),IF(W17&gt;W19,IF(M10=2,IF(Q33=3,2,3),IF(M10=1,IF(Q33=3,3,4))))),IF(W17=W19,IF(W17&lt;W16,IF(M10=2,IF(Q23=3,1,2),IF(M10=1,IF(Q23=3,2,3))),IF(W17&gt;W16,IF(M10=2,IF(Q23=3,2,3),IF(M10=1,IF(Q23=3,3,4)))))))))))),"")</f>
        <v/>
      </c>
      <c r="AC33" s="203"/>
      <c r="AD33" s="203"/>
      <c r="AE33" s="203"/>
      <c r="AF33" s="203">
        <f t="shared" si="4"/>
        <v>23</v>
      </c>
      <c r="AG33" s="203" t="str">
        <f t="shared" si="0"/>
        <v/>
      </c>
      <c r="AH33" s="192" t="str">
        <f t="shared" si="1"/>
        <v/>
      </c>
      <c r="AI33" s="229" t="str">
        <f t="shared" si="2"/>
        <v>Bye</v>
      </c>
      <c r="AJ33" s="203"/>
      <c r="AK33" s="203">
        <f t="shared" si="3"/>
        <v>0</v>
      </c>
      <c r="AL33" s="229">
        <f t="shared" si="5"/>
        <v>0</v>
      </c>
      <c r="AM33" s="181"/>
      <c r="AN33" s="192"/>
      <c r="AO33" s="192"/>
      <c r="AP33" s="192"/>
      <c r="AQ33" s="192"/>
      <c r="AR33" s="192"/>
      <c r="AS33" s="192"/>
      <c r="AT33" s="192"/>
      <c r="AU33" s="192"/>
      <c r="AV33" s="192"/>
      <c r="AW33" s="192"/>
      <c r="AX33" s="192"/>
      <c r="AY33" s="181"/>
      <c r="AZ33" s="181"/>
      <c r="BA33" s="181"/>
      <c r="BB33" s="181"/>
      <c r="BC33" s="181"/>
      <c r="BD33" s="181"/>
      <c r="BE33" s="181"/>
      <c r="BF33" s="181"/>
      <c r="BG33" s="181"/>
      <c r="BH33" s="181"/>
      <c r="BI33" s="181"/>
      <c r="BJ33" s="181"/>
      <c r="BK33" s="181"/>
      <c r="BL33" s="181"/>
      <c r="BM33" s="181"/>
      <c r="BN33" s="181"/>
      <c r="BO33" s="181"/>
      <c r="BP33" s="181"/>
      <c r="BQ33" s="181"/>
      <c r="BR33" s="181"/>
      <c r="BS33" s="181"/>
      <c r="BT33" s="181"/>
      <c r="BU33" s="181"/>
      <c r="BV33" s="181"/>
      <c r="BW33" s="181"/>
      <c r="BX33" s="181"/>
      <c r="BY33" s="181"/>
      <c r="BZ33" s="181"/>
      <c r="CA33" s="181"/>
      <c r="CB33" s="181"/>
      <c r="CC33" s="181"/>
      <c r="CD33" s="181"/>
      <c r="CE33" s="181"/>
      <c r="CF33" s="181"/>
      <c r="CG33" s="181"/>
      <c r="CH33" s="181"/>
      <c r="CI33" s="181"/>
      <c r="CJ33" s="181"/>
      <c r="CK33" s="181"/>
      <c r="CL33" s="181"/>
      <c r="CM33" s="181"/>
      <c r="CN33" s="181"/>
      <c r="CO33" s="181"/>
      <c r="CP33" s="181"/>
      <c r="CQ33" s="181"/>
      <c r="CR33" s="181"/>
      <c r="CS33" s="181"/>
      <c r="CT33" s="181"/>
      <c r="CU33" s="181"/>
      <c r="CV33" s="181"/>
      <c r="CW33" s="181"/>
      <c r="CX33" s="181"/>
      <c r="CY33" s="181"/>
      <c r="CZ33" s="181"/>
      <c r="DA33" s="181"/>
      <c r="DB33" s="181"/>
      <c r="DC33" s="181"/>
      <c r="DD33" s="181"/>
      <c r="DE33" s="181"/>
      <c r="DF33" s="181"/>
      <c r="DG33" s="181"/>
      <c r="DH33" s="181"/>
      <c r="DI33" s="181"/>
      <c r="DJ33" s="181"/>
      <c r="DK33" s="181"/>
      <c r="DL33" s="181"/>
      <c r="DM33" s="181"/>
      <c r="DN33" s="181"/>
      <c r="DO33" s="181"/>
    </row>
    <row r="34" spans="2:119" ht="16.8" thickTop="1" thickBot="1" x14ac:dyDescent="0.35">
      <c r="B34" s="192"/>
      <c r="C34" s="192"/>
      <c r="D34" s="192"/>
      <c r="E34" s="164"/>
      <c r="F34" s="164"/>
      <c r="G34" s="192"/>
      <c r="H34" s="192"/>
      <c r="I34" s="249" t="s">
        <v>121</v>
      </c>
      <c r="J34" s="249"/>
      <c r="K34" s="249"/>
      <c r="L34" s="250" t="s">
        <v>115</v>
      </c>
      <c r="M34" s="250" t="s">
        <v>116</v>
      </c>
      <c r="N34" s="250" t="s">
        <v>117</v>
      </c>
      <c r="O34" s="250" t="s">
        <v>118</v>
      </c>
      <c r="P34" s="250" t="s">
        <v>119</v>
      </c>
      <c r="Q34" s="250" t="s">
        <v>120</v>
      </c>
      <c r="R34" s="250"/>
      <c r="S34" s="251"/>
      <c r="T34" s="247"/>
      <c r="U34" s="235"/>
      <c r="V34" s="235"/>
      <c r="W34" s="235"/>
      <c r="X34" s="235"/>
      <c r="Y34" s="235"/>
      <c r="Z34" s="235"/>
      <c r="AA34" s="240">
        <v>4</v>
      </c>
      <c r="AB34" s="241" t="str">
        <f>IF(AND(COUNTBLANK(I9:I12)=0,Group_players=4,M9=M10,M10=M12),IF(W19="","",IF(COUNTIF(W16:W19,W19)=3,"Tied",IF(AND(COUNTIF(W16:W19,W19)=1,W16&lt;&gt;W17),IF(M12=2,IF(SMALL(W16:W19,1)=W19,1,IF(SMALL(W16:W19,2)=W19,2,IF(SMALL(W16:W19,3)=W19,3))),IF(M12=1,IF(SMALL(W16:W19,1)=W19,2,IF(SMALL(W16:W19,2)=W19,3,IF(SMALL(W16:W19,3)=W19,4))),"")),IF(COUNTIF(W16:W19,W19)=1,IF(W19&lt;W16,IF(M12=2,1,2),IF(M12=2,3,4)),IF(COUNTIF(W16:W19,W19)=2,IF(W19=W16,IF(W19&lt;W17,IF(M12=2,IF(Q27=3,1,2),IF(M12=1,IF(Q27=3,2,3))),IF(W19&gt;W18,IF(M12=2,IF(Q27=3,2,3),IF(M12=1,IF(Q27=3,3,4))))),IF(W19=W17,IF(W19&lt;W16,IF(M12=2,IF(Q24=3,1,2),IF(M12=1,IF(Q24=3,2,3))),IF(W19&gt;W16,IF(M12=2,IF(Q24=3,2,3),IF(M12=1,IF(Q24=3,3,4)))))))))))),"")</f>
        <v/>
      </c>
      <c r="AC34" s="203"/>
      <c r="AD34" s="203"/>
      <c r="AE34" s="203"/>
      <c r="AF34" s="203">
        <f t="shared" si="4"/>
        <v>24</v>
      </c>
      <c r="AG34" s="203" t="str">
        <f t="shared" si="0"/>
        <v/>
      </c>
      <c r="AH34" s="192" t="str">
        <f t="shared" si="1"/>
        <v/>
      </c>
      <c r="AI34" s="229" t="str">
        <f t="shared" si="2"/>
        <v>Bye</v>
      </c>
      <c r="AJ34" s="203"/>
      <c r="AK34" s="203">
        <f t="shared" si="3"/>
        <v>0</v>
      </c>
      <c r="AL34" s="229">
        <f t="shared" si="5"/>
        <v>0</v>
      </c>
      <c r="AM34" s="181"/>
      <c r="AN34" s="192"/>
      <c r="AO34" s="192"/>
      <c r="AP34" s="192"/>
      <c r="AQ34" s="192"/>
      <c r="AR34" s="192"/>
      <c r="AS34" s="192"/>
      <c r="AT34" s="192"/>
      <c r="AU34" s="192"/>
      <c r="AV34" s="192"/>
      <c r="AW34" s="192"/>
      <c r="AX34" s="192"/>
      <c r="AY34" s="181"/>
      <c r="AZ34" s="181"/>
      <c r="BA34" s="181"/>
      <c r="BB34" s="181"/>
      <c r="BC34" s="181"/>
      <c r="BD34" s="181"/>
      <c r="BE34" s="181"/>
      <c r="BF34" s="181"/>
      <c r="BG34" s="181"/>
      <c r="BH34" s="181"/>
      <c r="BI34" s="181"/>
      <c r="BJ34" s="181"/>
      <c r="BK34" s="181"/>
      <c r="BL34" s="181"/>
      <c r="BM34" s="181"/>
      <c r="BN34" s="181"/>
      <c r="BO34" s="181"/>
      <c r="BP34" s="181"/>
      <c r="BQ34" s="181"/>
      <c r="BR34" s="181"/>
      <c r="BS34" s="181"/>
      <c r="BT34" s="181"/>
      <c r="BU34" s="181"/>
      <c r="BV34" s="181"/>
      <c r="BW34" s="181"/>
      <c r="BX34" s="181"/>
      <c r="BY34" s="181"/>
      <c r="BZ34" s="181"/>
      <c r="CA34" s="181"/>
      <c r="CB34" s="181"/>
      <c r="CC34" s="181"/>
      <c r="CD34" s="181"/>
      <c r="CE34" s="181"/>
      <c r="CF34" s="181"/>
      <c r="CG34" s="181"/>
      <c r="CH34" s="181"/>
      <c r="CI34" s="181"/>
      <c r="CJ34" s="181"/>
      <c r="CK34" s="181"/>
      <c r="CL34" s="181"/>
      <c r="CM34" s="181"/>
      <c r="CN34" s="181"/>
      <c r="CO34" s="181"/>
      <c r="CP34" s="181"/>
      <c r="CQ34" s="181"/>
      <c r="CR34" s="181"/>
      <c r="CS34" s="181"/>
      <c r="CT34" s="181"/>
      <c r="CU34" s="181"/>
      <c r="CV34" s="181"/>
      <c r="CW34" s="181"/>
      <c r="CX34" s="181"/>
      <c r="CY34" s="181"/>
      <c r="CZ34" s="181"/>
      <c r="DA34" s="181"/>
      <c r="DB34" s="181"/>
      <c r="DC34" s="181"/>
      <c r="DD34" s="181"/>
      <c r="DE34" s="181"/>
      <c r="DF34" s="181"/>
      <c r="DG34" s="181"/>
      <c r="DH34" s="181"/>
      <c r="DI34" s="181"/>
      <c r="DJ34" s="181"/>
      <c r="DK34" s="181"/>
      <c r="DL34" s="181"/>
      <c r="DM34" s="181"/>
      <c r="DN34" s="181"/>
      <c r="DO34" s="181"/>
    </row>
    <row r="35" spans="2:119" ht="16.5" customHeight="1" thickTop="1" x14ac:dyDescent="0.3">
      <c r="B35" s="192"/>
      <c r="C35" s="192"/>
      <c r="D35" s="192"/>
      <c r="E35" s="164" t="str">
        <f>IF(Q35="","",IF(Q35=3,1,0))</f>
        <v/>
      </c>
      <c r="F35" s="164" t="str">
        <f>IF(Q35="","",IF(Q35&lt;3,1,0))</f>
        <v/>
      </c>
      <c r="G35" s="192"/>
      <c r="H35" s="192" t="str">
        <f>IF(I12&lt;&gt;"",3,"")</f>
        <v/>
      </c>
      <c r="I35" s="192" t="str">
        <f>IF(ISNUMBER(H35),VLOOKUP(H35,H9:I12,2,TRUE),"")</f>
        <v/>
      </c>
      <c r="J35" s="192"/>
      <c r="K35" s="192" t="str">
        <f>VLOOKUP(I35,I9:L12,3,FALSE)</f>
        <v/>
      </c>
      <c r="L35" s="253"/>
      <c r="M35" s="254"/>
      <c r="N35" s="254"/>
      <c r="O35" s="152"/>
      <c r="P35" s="153"/>
      <c r="Q35" s="255" t="str">
        <f>IF(L35="","",IF(AND(L35-L36&gt;1,L35&gt;10),1,0)+IF(AND(M35-M36&gt;1,M35&gt;10),1,0)+IF(AND(N35-N36&gt;1,N35&gt;10),1,0)+IF(AND(O35-O36&gt;1,O35&gt;10),1,0)+IF(AND(P35-P36&gt;1,P35&gt;10),1,0))</f>
        <v/>
      </c>
      <c r="R35" s="203" t="str">
        <f>IF(AND(I35="",I36=""),"",ABS(VLOOKUP(I35,I9:L12,4,FALSE)-VLOOKUP(I36,I9:L12,4,FALSE)))</f>
        <v/>
      </c>
      <c r="S35" s="256" t="str">
        <f>IF(R36="","",IF(Q35=3,+R36,-R36))</f>
        <v/>
      </c>
      <c r="T35" s="247"/>
      <c r="U35" s="264"/>
      <c r="V35" s="242"/>
      <c r="W35" s="192"/>
      <c r="X35" s="264"/>
      <c r="Y35" s="192"/>
      <c r="Z35" s="192"/>
      <c r="AA35" s="243">
        <v>2</v>
      </c>
      <c r="AB35" s="222" t="str">
        <f>IF(AND(COUNTBLANK(I9:I12)=0,Group_players=4,M10=M11,M11=M12),IF(X17="","",IF(COUNTIF(X16:X19,X17)=3,"Tied",IF(AND(COUNTIF(X16:X19,X17)=1,X18&lt;&gt;X19),IF(M10=2,IF(SMALL(X16:X19,1)=X17,1,IF(SMALL(X16:X19,2)=X17,2,IF(SMALL(X16:X19,3)=X17,3))),IF(M10=1,IF(SMALL(X16:X19,1)=X17,2,IF(SMALL(X16:X19,2)=X17,3,IF(SMALL(X16:X19,3)=X17,4))),"")),IF(COUNTIF(X16:X19,X17)=1,IF(X17&lt;X19,IF(M10=2,1,2),IF(M10=1,4)),IF(COUNTIF(X16:X19,X17)=2,IF(X17=X18,IF(X17&lt;X19,IF(M10=2,IF(Q29=3,1,2),IF(M10=1,IF(Q29=3,2,3))),IF(X17&gt;X19,IF(M10=2,IF(Q29=3,2,3),IF(M10=1,IF(Q29=3,3,4))))),IF(X17=X19,IF(X17&lt;X18,IF(M10=2,IF(Q23=3,1,2),IF(M10=1,IF(Q23=3,2,3))),IF(X17&gt;X18,IF(M10=2,IF(Q23=3,2,3),IF(M10=1,IF(Q23=3,3,4)))))))))))),"")</f>
        <v/>
      </c>
      <c r="AC35" s="203"/>
      <c r="AD35" s="203"/>
      <c r="AE35" s="203"/>
      <c r="AF35" s="203">
        <f t="shared" si="4"/>
        <v>25</v>
      </c>
      <c r="AG35" s="203" t="str">
        <f t="shared" si="0"/>
        <v/>
      </c>
      <c r="AH35" s="192" t="str">
        <f t="shared" si="1"/>
        <v/>
      </c>
      <c r="AI35" s="229" t="str">
        <f t="shared" si="2"/>
        <v>Bye</v>
      </c>
      <c r="AJ35" s="203"/>
      <c r="AK35" s="203">
        <f t="shared" si="3"/>
        <v>0</v>
      </c>
      <c r="AL35" s="229">
        <f t="shared" si="5"/>
        <v>0</v>
      </c>
      <c r="AM35" s="181"/>
      <c r="AN35" s="192"/>
      <c r="AO35" s="192"/>
      <c r="AP35" s="192"/>
      <c r="AQ35" s="192"/>
      <c r="AR35" s="192"/>
      <c r="AS35" s="192"/>
      <c r="AT35" s="192"/>
      <c r="AU35" s="192"/>
      <c r="AV35" s="192"/>
      <c r="AW35" s="192"/>
      <c r="AX35" s="192"/>
      <c r="AY35" s="181"/>
      <c r="AZ35" s="181"/>
      <c r="BA35" s="181"/>
      <c r="BB35" s="181"/>
      <c r="BC35" s="181"/>
      <c r="BD35" s="181"/>
      <c r="BE35" s="181"/>
      <c r="BF35" s="181"/>
      <c r="BG35" s="181"/>
      <c r="BH35" s="181"/>
      <c r="BI35" s="181"/>
      <c r="BJ35" s="181"/>
      <c r="BK35" s="181"/>
      <c r="BL35" s="181"/>
      <c r="BM35" s="181"/>
      <c r="BN35" s="181"/>
      <c r="BO35" s="181"/>
      <c r="BP35" s="181"/>
      <c r="BQ35" s="181"/>
      <c r="BR35" s="181"/>
      <c r="BS35" s="181"/>
      <c r="BT35" s="181"/>
      <c r="BU35" s="181"/>
      <c r="BV35" s="181"/>
      <c r="BW35" s="181"/>
      <c r="BX35" s="181"/>
      <c r="BY35" s="181"/>
      <c r="BZ35" s="181"/>
      <c r="CA35" s="181"/>
      <c r="CB35" s="181"/>
      <c r="CC35" s="181"/>
      <c r="CD35" s="181"/>
      <c r="CE35" s="181"/>
      <c r="CF35" s="181"/>
      <c r="CG35" s="181"/>
      <c r="CH35" s="181"/>
      <c r="CI35" s="181"/>
      <c r="CJ35" s="181"/>
      <c r="CK35" s="181"/>
      <c r="CL35" s="181"/>
      <c r="CM35" s="181"/>
      <c r="CN35" s="181"/>
      <c r="CO35" s="181"/>
      <c r="CP35" s="181"/>
      <c r="CQ35" s="181"/>
      <c r="CR35" s="181"/>
      <c r="CS35" s="181"/>
      <c r="CT35" s="181"/>
      <c r="CU35" s="181"/>
      <c r="CV35" s="181"/>
      <c r="CW35" s="181"/>
      <c r="CX35" s="181"/>
      <c r="CY35" s="181"/>
      <c r="CZ35" s="181"/>
      <c r="DA35" s="181"/>
      <c r="DB35" s="181"/>
      <c r="DC35" s="181"/>
      <c r="DD35" s="181"/>
      <c r="DE35" s="181"/>
      <c r="DF35" s="181"/>
      <c r="DG35" s="181"/>
      <c r="DH35" s="181"/>
      <c r="DI35" s="181"/>
      <c r="DJ35" s="181"/>
      <c r="DK35" s="181"/>
      <c r="DL35" s="181"/>
      <c r="DM35" s="181"/>
      <c r="DN35" s="181"/>
      <c r="DO35" s="181"/>
    </row>
    <row r="36" spans="2:119" ht="16.2" thickBot="1" x14ac:dyDescent="0.35">
      <c r="B36" s="192"/>
      <c r="C36" s="192"/>
      <c r="D36" s="192"/>
      <c r="E36" s="164" t="str">
        <f>IF(Q36="","",IF(Q36=3,1,0))</f>
        <v/>
      </c>
      <c r="F36" s="164" t="str">
        <f>IF(Q36="","",IF(Q36&lt;3,1,0))</f>
        <v/>
      </c>
      <c r="G36" s="192"/>
      <c r="H36" s="192" t="str">
        <f>IF(I12&lt;&gt;"",4,"")</f>
        <v/>
      </c>
      <c r="I36" s="192" t="str">
        <f>IF(ISNUMBER(H36),VLOOKUP(H36,H9:I12,2,TRUE),"")</f>
        <v/>
      </c>
      <c r="J36" s="192"/>
      <c r="K36" s="192" t="str">
        <f>VLOOKUP(I36,I9:L12,3,FALSE)</f>
        <v/>
      </c>
      <c r="L36" s="155"/>
      <c r="M36" s="259"/>
      <c r="N36" s="259"/>
      <c r="O36" s="156"/>
      <c r="P36" s="157"/>
      <c r="Q36" s="260" t="str">
        <f>IF(L36="","",IF(AND(L36-L35&gt;1,L36&gt;10),1,0)+IF(AND(M36-M35&gt;1,M36&gt;10),1,0)+IF(AND(N36-N35&gt;1,N36&gt;10),1,0)+IF(AND(O36-O35&gt;1,O36&gt;10),1,0)+IF(AND(P36-P35&gt;1,P36&gt;10),1,0))</f>
        <v/>
      </c>
      <c r="R36" s="267" t="str">
        <f>IF(AND(Q35&lt;&gt;3,Q36&lt;&gt;3),"",IF(Q35=3,IF(VLOOKUP(I35,I9:L12,4,FALSE)&gt;VLOOKUP(I36,I9:L12,4,FALSE),VLOOKUP(R35,Point_dif,2,FALSE),VLOOKUP(R35,Point_dif,3,FALSE)),IF(Q36=3,IF(VLOOKUP(I36,I9:L12,4,FALSE)&gt;VLOOKUP(I35,I9:L12,4,FALSE),VLOOKUP(R35,Point_dif,2,FALSE),VLOOKUP(R35,Point_dif,3,FALSE)))))</f>
        <v/>
      </c>
      <c r="S36" s="260" t="str">
        <f>IF(R36="","",IF(Q36=3,+R36,-R36))</f>
        <v/>
      </c>
      <c r="T36" s="247"/>
      <c r="U36" s="235"/>
      <c r="V36" s="235"/>
      <c r="W36" s="235"/>
      <c r="X36" s="235"/>
      <c r="Y36" s="235"/>
      <c r="Z36" s="235"/>
      <c r="AA36" s="246">
        <v>3</v>
      </c>
      <c r="AB36" s="222" t="str">
        <f>IF(AND(COUNTBLANK(I9:I12)=0,Group_players=4,Group_players=4,M10=M11,M11=M12),IF(X18="","",IF(COUNTIF(X16:X19,X18)=3,"Tied",IF(AND(COUNTIF(X16:X19,X18)=1,X17&lt;&gt;X19),IF(M11=2,IF(SMALL(X16:X19,1)=X18,1,IF(SMALL(X16:X19,2)=X18,2,IF(SMALL(X16:X19,3)=X18,3))),IF(M11=1,IF(SMALL(X16:X19,1)=X18,2,IF(SMALL(X16:X19,2)=X18,3,IF(SMALL(X16:X19,3)=X18,4))),"")),IF(COUNTIF(X16:X19,X18)=1,IF(X18&lt;X17,IF(M11=2,1,2),IF(M11=2,3,4)),IF(COUNTIF(X16:X19,X18)=2,IF(X18=X17,IF(X18&lt;X19,IF(M11=2,IF(Q30=3,1,2),IF(M11=1,IF(Q30=3,2,3))),IF(X18&gt;X19,IF(M11=2,IF(Q30=3,2,3),IF(M11=1,IF(Q30=3,3,4))))),IF(X18=X19,IF(X18&lt;X17,IF(M11=2,IF(Q35=3,1,2),IF(M11=1,IF(Q35=3,2,3))),IF(X18&gt;X17,IF(M11=2,IF(Q35=3,2,3),IF(M11=1,IF(Q35=3,3,4)))))))))))),"")</f>
        <v/>
      </c>
      <c r="AC36" s="203"/>
      <c r="AD36" s="203"/>
      <c r="AE36" s="203"/>
      <c r="AF36" s="203">
        <f t="shared" si="4"/>
        <v>26</v>
      </c>
      <c r="AG36" s="203" t="str">
        <f t="shared" si="0"/>
        <v/>
      </c>
      <c r="AH36" s="192" t="str">
        <f t="shared" si="1"/>
        <v/>
      </c>
      <c r="AI36" s="229" t="str">
        <f t="shared" si="2"/>
        <v>Bye</v>
      </c>
      <c r="AJ36" s="203"/>
      <c r="AK36" s="203">
        <f t="shared" si="3"/>
        <v>0</v>
      </c>
      <c r="AL36" s="229">
        <f t="shared" si="5"/>
        <v>0</v>
      </c>
      <c r="AM36" s="181"/>
      <c r="AN36" s="192"/>
      <c r="AO36" s="192"/>
      <c r="AP36" s="192"/>
      <c r="AQ36" s="192"/>
      <c r="AR36" s="192"/>
      <c r="AS36" s="192"/>
      <c r="AT36" s="192"/>
      <c r="AU36" s="192"/>
      <c r="AV36" s="192"/>
      <c r="AW36" s="192"/>
      <c r="AX36" s="192"/>
      <c r="AY36" s="181"/>
      <c r="AZ36" s="181"/>
      <c r="BA36" s="181"/>
      <c r="BB36" s="181"/>
      <c r="BC36" s="181"/>
      <c r="BD36" s="181"/>
      <c r="BE36" s="181"/>
      <c r="BF36" s="181"/>
      <c r="BG36" s="181"/>
      <c r="BH36" s="181"/>
      <c r="BI36" s="181"/>
      <c r="BJ36" s="181"/>
      <c r="BK36" s="181"/>
      <c r="BL36" s="181"/>
      <c r="BM36" s="181"/>
      <c r="BN36" s="181"/>
      <c r="BO36" s="181"/>
      <c r="BP36" s="181"/>
      <c r="BQ36" s="181"/>
      <c r="BR36" s="181"/>
      <c r="BS36" s="181"/>
      <c r="BT36" s="181"/>
      <c r="BU36" s="181"/>
      <c r="BV36" s="181"/>
      <c r="BW36" s="181"/>
      <c r="BX36" s="181"/>
      <c r="BY36" s="181"/>
      <c r="BZ36" s="181"/>
      <c r="CA36" s="181"/>
      <c r="CB36" s="181"/>
      <c r="CC36" s="181"/>
      <c r="CD36" s="181"/>
      <c r="CE36" s="181"/>
      <c r="CF36" s="181"/>
      <c r="CG36" s="181"/>
      <c r="CH36" s="181"/>
      <c r="CI36" s="181"/>
      <c r="CJ36" s="181"/>
      <c r="CK36" s="181"/>
      <c r="CL36" s="181"/>
      <c r="CM36" s="181"/>
      <c r="CN36" s="181"/>
      <c r="CO36" s="181"/>
      <c r="CP36" s="181"/>
      <c r="CQ36" s="181"/>
      <c r="CR36" s="181"/>
      <c r="CS36" s="181"/>
      <c r="CT36" s="181"/>
      <c r="CU36" s="181"/>
      <c r="CV36" s="181"/>
      <c r="CW36" s="181"/>
      <c r="CX36" s="181"/>
      <c r="CY36" s="181"/>
      <c r="CZ36" s="181"/>
      <c r="DA36" s="181"/>
      <c r="DB36" s="181"/>
      <c r="DC36" s="181"/>
      <c r="DD36" s="181"/>
      <c r="DE36" s="181"/>
      <c r="DF36" s="181"/>
      <c r="DG36" s="181"/>
      <c r="DH36" s="181"/>
      <c r="DI36" s="181"/>
      <c r="DJ36" s="181"/>
      <c r="DK36" s="181"/>
      <c r="DL36" s="181"/>
      <c r="DM36" s="181"/>
      <c r="DN36" s="181"/>
      <c r="DO36" s="181"/>
    </row>
    <row r="37" spans="2:119" ht="16.8" thickTop="1" thickBot="1" x14ac:dyDescent="0.35">
      <c r="B37" s="192"/>
      <c r="C37" s="192"/>
      <c r="D37" s="192"/>
      <c r="E37" s="192"/>
      <c r="F37" s="192"/>
      <c r="G37" s="192"/>
      <c r="H37" s="192"/>
      <c r="I37" s="192"/>
      <c r="J37" s="192"/>
      <c r="K37" s="192"/>
      <c r="L37" s="192"/>
      <c r="M37" s="192"/>
      <c r="N37" s="192"/>
      <c r="O37" s="268"/>
      <c r="P37" s="192"/>
      <c r="Q37" s="192"/>
      <c r="R37" s="247"/>
      <c r="S37" s="247"/>
      <c r="T37" s="247"/>
      <c r="U37" s="235"/>
      <c r="V37" s="235"/>
      <c r="W37" s="235"/>
      <c r="X37" s="235"/>
      <c r="Y37" s="235"/>
      <c r="Z37" s="235"/>
      <c r="AA37" s="261">
        <v>4</v>
      </c>
      <c r="AB37" s="233" t="str">
        <f>IF(AND(COUNTBLANK(I9:I12)=0,Group_players=4,M10=M11,M11=M12),IF(X19="","",IF(COUNTIF(X16:X19,X19)=3,"Tied",IF(AND(COUNTIF(X16:X19,X19)=1,X18&lt;&gt;X17),IF(M12=2,IF(SMALL(X16:X19,1)=X19,1,IF(SMALL(X16:X19,2)=X19,2,IF(SMALL(X16:X19,3)=X19,3))),IF(M12=1,IF(SMALL(X16:X19,1)=X19,2,IF(SMALL(X16:X19,2)=X19,3,IF(SMALL(X16:X19,3)=X19,4))),"")),IF(COUNTIF(X16:X19,X19)=1,IF(X19&lt;X17,IF(M12=2,1,2),IF(M12=2,3,4)),IF(COUNTIF(X16:X19,X19)=2,IF(X19=X17,IF(X19&lt;X18,IF(M12=2,IF(Q24=3,1,2),IF(M12=1,IF(Q24=3,2,3))),IF(X19&gt;X18,IF(M12=2,IF(Q24=3,2,3),IF(M12=1,IF(Q24=3,3,4))))),IF(X19=X18,IF(X19&lt;X17,IF(M12=2,IF(Q36=3,1,2),IF(M12=1,IF(Q36=3,2,3))),IF(X19&gt;X17,IF(M12=2,IF(Q36=3,2,3),IF(M12=1,IF(Q36=3,3,4)))))))))))),"")</f>
        <v/>
      </c>
      <c r="AC37" s="203"/>
      <c r="AD37" s="203"/>
      <c r="AE37" s="203"/>
      <c r="AF37" s="203">
        <f t="shared" si="4"/>
        <v>27</v>
      </c>
      <c r="AG37" s="203" t="str">
        <f t="shared" si="0"/>
        <v/>
      </c>
      <c r="AH37" s="192" t="str">
        <f t="shared" si="1"/>
        <v/>
      </c>
      <c r="AI37" s="229" t="str">
        <f t="shared" si="2"/>
        <v>Bye</v>
      </c>
      <c r="AJ37" s="203"/>
      <c r="AK37" s="203">
        <f t="shared" si="3"/>
        <v>0</v>
      </c>
      <c r="AL37" s="229">
        <f t="shared" si="5"/>
        <v>0</v>
      </c>
      <c r="AM37" s="181"/>
      <c r="AN37" s="192"/>
      <c r="AO37" s="192"/>
      <c r="AP37" s="192"/>
      <c r="AQ37" s="192"/>
      <c r="AR37" s="192"/>
      <c r="AS37" s="192"/>
      <c r="AT37" s="192"/>
      <c r="AU37" s="192"/>
      <c r="AV37" s="192"/>
      <c r="AW37" s="192"/>
      <c r="AX37" s="192"/>
      <c r="AY37" s="181"/>
      <c r="AZ37" s="181"/>
      <c r="BA37" s="181"/>
      <c r="BB37" s="181"/>
      <c r="BC37" s="181"/>
      <c r="BD37" s="181"/>
      <c r="BE37" s="181"/>
      <c r="BF37" s="181"/>
      <c r="BG37" s="181"/>
      <c r="BH37" s="181"/>
      <c r="BI37" s="181"/>
      <c r="BJ37" s="181"/>
      <c r="BK37" s="181"/>
      <c r="BL37" s="181"/>
      <c r="BM37" s="181"/>
      <c r="BN37" s="181"/>
      <c r="BO37" s="181"/>
      <c r="BP37" s="181"/>
      <c r="BQ37" s="181"/>
      <c r="BR37" s="181"/>
      <c r="BS37" s="181"/>
      <c r="BT37" s="181"/>
      <c r="BU37" s="181"/>
      <c r="BV37" s="181"/>
      <c r="BW37" s="181"/>
      <c r="BX37" s="181"/>
      <c r="BY37" s="181"/>
      <c r="BZ37" s="181"/>
      <c r="CA37" s="181"/>
      <c r="CB37" s="181"/>
      <c r="CC37" s="181"/>
      <c r="CD37" s="181"/>
      <c r="CE37" s="181"/>
      <c r="CF37" s="181"/>
      <c r="CG37" s="181"/>
      <c r="CH37" s="181"/>
      <c r="CI37" s="181"/>
      <c r="CJ37" s="181"/>
      <c r="CK37" s="181"/>
      <c r="CL37" s="181"/>
      <c r="CM37" s="181"/>
      <c r="CN37" s="181"/>
      <c r="CO37" s="181"/>
      <c r="CP37" s="181"/>
      <c r="CQ37" s="181"/>
      <c r="CR37" s="181"/>
      <c r="CS37" s="181"/>
      <c r="CT37" s="181"/>
      <c r="CU37" s="181"/>
      <c r="CV37" s="181"/>
      <c r="CW37" s="181"/>
      <c r="CX37" s="181"/>
      <c r="CY37" s="181"/>
      <c r="CZ37" s="181"/>
      <c r="DA37" s="181"/>
      <c r="DB37" s="181"/>
      <c r="DC37" s="181"/>
      <c r="DD37" s="181"/>
      <c r="DE37" s="181"/>
      <c r="DF37" s="181"/>
      <c r="DG37" s="181"/>
      <c r="DH37" s="181"/>
      <c r="DI37" s="181"/>
      <c r="DJ37" s="181"/>
      <c r="DK37" s="181"/>
      <c r="DL37" s="181"/>
      <c r="DM37" s="181"/>
      <c r="DN37" s="181"/>
      <c r="DO37" s="181"/>
    </row>
    <row r="38" spans="2:119" ht="16.2" thickTop="1" x14ac:dyDescent="0.3">
      <c r="B38" s="192"/>
      <c r="C38" s="192"/>
      <c r="D38" s="192"/>
      <c r="E38" s="192"/>
      <c r="F38" s="192"/>
      <c r="G38" s="192"/>
      <c r="H38" s="192"/>
      <c r="I38" s="192"/>
      <c r="J38" s="192"/>
      <c r="K38" s="192"/>
      <c r="L38" s="192"/>
      <c r="M38" s="192"/>
      <c r="N38" s="192"/>
      <c r="O38" s="192"/>
      <c r="P38" s="192"/>
      <c r="Q38" s="192"/>
      <c r="R38" s="192"/>
      <c r="S38" s="192"/>
      <c r="T38" s="203"/>
      <c r="U38" s="235"/>
      <c r="V38" s="235"/>
      <c r="W38" s="235"/>
      <c r="X38" s="235"/>
      <c r="Y38" s="235"/>
      <c r="Z38" s="235"/>
      <c r="AA38" s="192"/>
      <c r="AB38" s="192"/>
      <c r="AC38" s="192"/>
      <c r="AD38" s="192"/>
      <c r="AE38" s="192"/>
      <c r="AF38" s="203">
        <f t="shared" si="4"/>
        <v>28</v>
      </c>
      <c r="AG38" s="203" t="str">
        <f t="shared" si="0"/>
        <v/>
      </c>
      <c r="AH38" s="192" t="str">
        <f t="shared" si="1"/>
        <v/>
      </c>
      <c r="AI38" s="229" t="str">
        <f t="shared" si="2"/>
        <v>Bye</v>
      </c>
      <c r="AJ38" s="203"/>
      <c r="AK38" s="203">
        <f t="shared" si="3"/>
        <v>0</v>
      </c>
      <c r="AL38" s="229">
        <f t="shared" si="5"/>
        <v>0</v>
      </c>
      <c r="AM38" s="181"/>
      <c r="AN38" s="192"/>
      <c r="AO38" s="192"/>
      <c r="AP38" s="192"/>
      <c r="AQ38" s="192"/>
      <c r="AR38" s="192"/>
      <c r="AS38" s="192"/>
      <c r="AT38" s="192"/>
      <c r="AU38" s="192"/>
      <c r="AV38" s="192"/>
      <c r="AW38" s="192"/>
      <c r="AX38" s="192"/>
      <c r="AY38" s="181"/>
      <c r="AZ38" s="181"/>
      <c r="BA38" s="181"/>
      <c r="BB38" s="181"/>
      <c r="BC38" s="181"/>
      <c r="BD38" s="181"/>
      <c r="BE38" s="181"/>
      <c r="BF38" s="181"/>
      <c r="BG38" s="181"/>
      <c r="BH38" s="181"/>
      <c r="BI38" s="181"/>
      <c r="BJ38" s="181"/>
      <c r="BK38" s="181"/>
      <c r="BL38" s="181"/>
      <c r="BM38" s="181"/>
      <c r="BN38" s="181"/>
      <c r="BO38" s="181"/>
      <c r="BP38" s="181"/>
      <c r="BQ38" s="181"/>
      <c r="BR38" s="181"/>
      <c r="BS38" s="181"/>
      <c r="BT38" s="181"/>
      <c r="BU38" s="181"/>
      <c r="BV38" s="181"/>
      <c r="BW38" s="181"/>
      <c r="BX38" s="181"/>
      <c r="BY38" s="181"/>
      <c r="BZ38" s="181"/>
      <c r="CA38" s="181"/>
      <c r="CB38" s="181"/>
      <c r="CC38" s="181"/>
      <c r="CD38" s="181"/>
      <c r="CE38" s="181"/>
      <c r="CF38" s="181"/>
      <c r="CG38" s="181"/>
      <c r="CH38" s="181"/>
      <c r="CI38" s="181"/>
      <c r="CJ38" s="181"/>
      <c r="CK38" s="181"/>
      <c r="CL38" s="181"/>
      <c r="CM38" s="181"/>
      <c r="CN38" s="181"/>
      <c r="CO38" s="181"/>
      <c r="CP38" s="181"/>
      <c r="CQ38" s="181"/>
      <c r="CR38" s="181"/>
      <c r="CS38" s="181"/>
      <c r="CT38" s="181"/>
      <c r="CU38" s="181"/>
      <c r="CV38" s="181"/>
      <c r="CW38" s="181"/>
      <c r="CX38" s="181"/>
      <c r="CY38" s="181"/>
      <c r="CZ38" s="181"/>
      <c r="DA38" s="181"/>
      <c r="DB38" s="181"/>
      <c r="DC38" s="181"/>
      <c r="DD38" s="181"/>
      <c r="DE38" s="181"/>
      <c r="DF38" s="181"/>
      <c r="DG38" s="181"/>
      <c r="DH38" s="181"/>
      <c r="DI38" s="181"/>
      <c r="DJ38" s="181"/>
      <c r="DK38" s="181"/>
      <c r="DL38" s="181"/>
      <c r="DM38" s="181"/>
      <c r="DN38" s="181"/>
      <c r="DO38" s="181"/>
    </row>
    <row r="39" spans="2:119" ht="15.6" x14ac:dyDescent="0.3">
      <c r="B39" s="192"/>
      <c r="C39" s="192"/>
      <c r="D39" s="192"/>
      <c r="E39" s="192"/>
      <c r="F39" s="192"/>
      <c r="G39" s="192"/>
      <c r="H39" s="192"/>
      <c r="I39" s="192"/>
      <c r="J39" s="192"/>
      <c r="K39" s="192"/>
      <c r="L39" s="192"/>
      <c r="M39" s="192"/>
      <c r="N39" s="192"/>
      <c r="O39" s="192"/>
      <c r="P39" s="192"/>
      <c r="Q39" s="192"/>
      <c r="R39" s="192"/>
      <c r="S39" s="192"/>
      <c r="T39" s="192"/>
      <c r="U39" s="235"/>
      <c r="V39" s="235"/>
      <c r="W39" s="235"/>
      <c r="X39" s="235"/>
      <c r="Y39" s="235"/>
      <c r="Z39" s="235"/>
      <c r="AA39" s="192"/>
      <c r="AB39" s="192"/>
      <c r="AC39" s="192"/>
      <c r="AD39" s="192"/>
      <c r="AE39" s="192"/>
      <c r="AF39" s="203">
        <f t="shared" si="4"/>
        <v>29</v>
      </c>
      <c r="AG39" s="203" t="str">
        <f t="shared" si="0"/>
        <v/>
      </c>
      <c r="AH39" s="192" t="str">
        <f t="shared" si="1"/>
        <v/>
      </c>
      <c r="AI39" s="229" t="str">
        <f t="shared" si="2"/>
        <v>Bye</v>
      </c>
      <c r="AJ39" s="203"/>
      <c r="AK39" s="203">
        <f t="shared" si="3"/>
        <v>0</v>
      </c>
      <c r="AL39" s="229">
        <f t="shared" si="5"/>
        <v>0</v>
      </c>
      <c r="AM39" s="181"/>
      <c r="AN39" s="192"/>
      <c r="AO39" s="192"/>
      <c r="AP39" s="192"/>
      <c r="AQ39" s="192"/>
      <c r="AR39" s="192"/>
      <c r="AS39" s="192"/>
      <c r="AT39" s="192"/>
      <c r="AU39" s="192"/>
      <c r="AV39" s="192"/>
      <c r="AW39" s="192"/>
      <c r="AX39" s="192"/>
      <c r="AY39" s="181"/>
      <c r="AZ39" s="181"/>
      <c r="BA39" s="181"/>
      <c r="BB39" s="181"/>
      <c r="BC39" s="181"/>
      <c r="BD39" s="181"/>
      <c r="BE39" s="181"/>
      <c r="BF39" s="181"/>
      <c r="BG39" s="181"/>
      <c r="BH39" s="181"/>
      <c r="BI39" s="181"/>
      <c r="BJ39" s="181"/>
      <c r="BK39" s="181"/>
      <c r="BL39" s="181"/>
      <c r="BM39" s="181"/>
      <c r="BN39" s="181"/>
      <c r="BO39" s="181"/>
      <c r="BP39" s="181"/>
      <c r="BQ39" s="181"/>
      <c r="BR39" s="181"/>
      <c r="BS39" s="181"/>
      <c r="BT39" s="181"/>
      <c r="BU39" s="181"/>
      <c r="BV39" s="181"/>
      <c r="BW39" s="181"/>
      <c r="BX39" s="181"/>
      <c r="BY39" s="181"/>
      <c r="BZ39" s="181"/>
      <c r="CA39" s="181"/>
      <c r="CB39" s="181"/>
      <c r="CC39" s="181"/>
      <c r="CD39" s="181"/>
      <c r="CE39" s="181"/>
      <c r="CF39" s="181"/>
      <c r="CG39" s="181"/>
      <c r="CH39" s="181"/>
      <c r="CI39" s="181"/>
      <c r="CJ39" s="181"/>
      <c r="CK39" s="181"/>
      <c r="CL39" s="181"/>
      <c r="CM39" s="181"/>
      <c r="CN39" s="181"/>
      <c r="CO39" s="181"/>
      <c r="CP39" s="181"/>
      <c r="CQ39" s="181"/>
      <c r="CR39" s="181"/>
      <c r="CS39" s="181"/>
      <c r="CT39" s="181"/>
      <c r="CU39" s="181"/>
      <c r="CV39" s="181"/>
      <c r="CW39" s="181"/>
      <c r="CX39" s="181"/>
      <c r="CY39" s="181"/>
      <c r="CZ39" s="181"/>
      <c r="DA39" s="181"/>
      <c r="DB39" s="181"/>
      <c r="DC39" s="181"/>
      <c r="DD39" s="181"/>
      <c r="DE39" s="181"/>
      <c r="DF39" s="181"/>
      <c r="DG39" s="181"/>
      <c r="DH39" s="181"/>
      <c r="DI39" s="181"/>
      <c r="DJ39" s="181"/>
      <c r="DK39" s="181"/>
      <c r="DL39" s="181"/>
      <c r="DM39" s="181"/>
      <c r="DN39" s="181"/>
      <c r="DO39" s="181"/>
    </row>
    <row r="40" spans="2:119" x14ac:dyDescent="0.3">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269"/>
      <c r="AA40" s="192"/>
      <c r="AB40" s="192"/>
      <c r="AC40" s="192"/>
      <c r="AD40" s="192"/>
      <c r="AE40" s="192"/>
      <c r="AF40" s="203">
        <f t="shared" si="4"/>
        <v>30</v>
      </c>
      <c r="AG40" s="203" t="str">
        <f t="shared" si="0"/>
        <v/>
      </c>
      <c r="AH40" s="192" t="str">
        <f t="shared" si="1"/>
        <v/>
      </c>
      <c r="AI40" s="229" t="str">
        <f t="shared" si="2"/>
        <v>Bye</v>
      </c>
      <c r="AJ40" s="203"/>
      <c r="AK40" s="203">
        <f t="shared" si="3"/>
        <v>0</v>
      </c>
      <c r="AL40" s="229">
        <f t="shared" si="5"/>
        <v>0</v>
      </c>
      <c r="AM40" s="181"/>
      <c r="AN40" s="192"/>
      <c r="AO40" s="192"/>
      <c r="AP40" s="192"/>
      <c r="AQ40" s="192"/>
      <c r="AR40" s="192"/>
      <c r="AS40" s="192"/>
      <c r="AT40" s="192"/>
      <c r="AU40" s="192"/>
      <c r="AV40" s="192"/>
      <c r="AW40" s="192"/>
      <c r="AX40" s="192"/>
    </row>
    <row r="41" spans="2:119" ht="17.25" customHeight="1" x14ac:dyDescent="0.3">
      <c r="B41" s="192"/>
      <c r="C41" s="192"/>
      <c r="D41" s="192"/>
      <c r="E41" s="192"/>
      <c r="F41" s="192"/>
      <c r="G41" s="192"/>
      <c r="H41" s="192"/>
      <c r="I41" s="192"/>
      <c r="J41" s="192"/>
      <c r="K41" s="192"/>
      <c r="L41" s="192"/>
      <c r="M41" s="192"/>
      <c r="N41" s="192"/>
      <c r="O41" s="192"/>
      <c r="P41" s="192"/>
      <c r="Q41" s="192"/>
      <c r="R41" s="192"/>
      <c r="S41" s="192"/>
      <c r="T41" s="192"/>
      <c r="U41" s="235"/>
      <c r="V41" s="235"/>
      <c r="W41" s="266"/>
      <c r="X41" s="264"/>
      <c r="Y41" s="192"/>
      <c r="Z41" s="208"/>
      <c r="AA41" s="192"/>
      <c r="AB41" s="192"/>
      <c r="AC41" s="192"/>
      <c r="AD41" s="192"/>
      <c r="AE41" s="192"/>
      <c r="AF41" s="203">
        <f t="shared" si="4"/>
        <v>31</v>
      </c>
      <c r="AG41" s="203" t="str">
        <f t="shared" si="0"/>
        <v/>
      </c>
      <c r="AH41" s="192" t="str">
        <f t="shared" si="1"/>
        <v/>
      </c>
      <c r="AI41" s="229" t="str">
        <f t="shared" si="2"/>
        <v>Bye</v>
      </c>
      <c r="AJ41" s="203"/>
      <c r="AK41" s="203">
        <f t="shared" si="3"/>
        <v>0</v>
      </c>
      <c r="AL41" s="229">
        <f t="shared" si="5"/>
        <v>0</v>
      </c>
      <c r="AM41" s="181"/>
      <c r="AN41" s="192"/>
      <c r="AO41" s="192"/>
      <c r="AP41" s="192"/>
      <c r="AQ41" s="192"/>
      <c r="AR41" s="192"/>
      <c r="AS41" s="192"/>
      <c r="AT41" s="192"/>
      <c r="AU41" s="192"/>
      <c r="AV41" s="192"/>
      <c r="AW41" s="192"/>
      <c r="AX41" s="192"/>
    </row>
    <row r="42" spans="2:119" ht="15.6" x14ac:dyDescent="0.3">
      <c r="B42" s="192"/>
      <c r="C42" s="192"/>
      <c r="D42" s="192"/>
      <c r="E42" s="192"/>
      <c r="F42" s="192"/>
      <c r="G42" s="192"/>
      <c r="H42" s="192"/>
      <c r="I42" s="192"/>
      <c r="J42" s="192"/>
      <c r="K42" s="192"/>
      <c r="L42" s="192"/>
      <c r="M42" s="192"/>
      <c r="N42" s="192"/>
      <c r="O42" s="192"/>
      <c r="P42" s="192"/>
      <c r="Q42" s="192"/>
      <c r="R42" s="192"/>
      <c r="S42" s="192"/>
      <c r="T42" s="192"/>
      <c r="U42" s="235"/>
      <c r="V42" s="235"/>
      <c r="W42" s="266"/>
      <c r="X42" s="266"/>
      <c r="Y42" s="192"/>
      <c r="Z42" s="192"/>
      <c r="AA42" s="192"/>
      <c r="AB42" s="192"/>
      <c r="AC42" s="192"/>
      <c r="AD42" s="192"/>
      <c r="AE42" s="192"/>
      <c r="AF42" s="203">
        <f t="shared" si="4"/>
        <v>32</v>
      </c>
      <c r="AG42" s="203" t="str">
        <f t="shared" ref="AG42:AG73" si="6">IF(AF42&gt;Llave,"",IF(Group_players=3,IF(Advancing="Todos",IF(AF42&lt;=Grps,"A",IF(AND(AF42&gt;Grps,AF42&lt;=Grps*2),"B",IF(AND(AF42&gt;Grps*2,AF42&lt;=Tot_Jug),"C",""))),IF(AND(AF42&gt;Grps*3,AF42&lt;=Tot_Jug,AN41&lt;&gt;""),"D",IF(Advancing=2,IF(AF42&lt;=Grps,"A",IF(AND(AF42&gt;Grps,AF42&lt;=Grps*2),"B","")),""))),IF(Group_players=4,IF(Advancing="Todos",IF(AF42&lt;=Grps,"A",IF(AND(AF42&gt;Grps,AF42&lt;=Grps*2),"B",IF(AND(AF42&gt;Grps*2,AF42&lt;=Grps*3),"C",IF(AND(AF42&gt;Grps*3,AF42&lt;=Tot_Jug),"D","")))),IF(Advancing=2,IF(AF42&lt;=Grps,"A",IF(AND(AF42&gt;Grps,AF42&lt;=Grps*2),"B","")),"")),"")))</f>
        <v/>
      </c>
      <c r="AH42" s="192" t="str">
        <f t="shared" si="1"/>
        <v/>
      </c>
      <c r="AI42" s="229" t="str">
        <f t="shared" si="2"/>
        <v>Bye</v>
      </c>
      <c r="AJ42" s="203"/>
      <c r="AK42" s="203">
        <f t="shared" si="3"/>
        <v>0</v>
      </c>
      <c r="AL42" s="229">
        <f t="shared" si="5"/>
        <v>0</v>
      </c>
      <c r="AM42" s="181"/>
      <c r="AN42" s="192"/>
      <c r="AO42" s="192"/>
      <c r="AP42" s="192"/>
      <c r="AQ42" s="192"/>
      <c r="AR42" s="192"/>
      <c r="AS42" s="192"/>
      <c r="AT42" s="192"/>
      <c r="AU42" s="192"/>
      <c r="AV42" s="192"/>
      <c r="AW42" s="192"/>
      <c r="AX42" s="192"/>
    </row>
    <row r="43" spans="2:119" ht="19.350000000000001" customHeight="1" thickBot="1" x14ac:dyDescent="0.4">
      <c r="B43" s="192"/>
      <c r="C43" s="192"/>
      <c r="D43" s="192"/>
      <c r="E43" s="192"/>
      <c r="F43" s="192"/>
      <c r="G43" s="192"/>
      <c r="H43" s="192"/>
      <c r="I43" s="383" t="s">
        <v>122</v>
      </c>
      <c r="J43" s="383"/>
      <c r="K43" s="383"/>
      <c r="L43" s="383"/>
      <c r="M43" s="383"/>
      <c r="N43" s="383"/>
      <c r="O43" s="383"/>
      <c r="P43" s="383"/>
      <c r="Q43" s="383"/>
      <c r="R43" s="383"/>
      <c r="S43" s="192"/>
      <c r="T43" s="192"/>
      <c r="U43" s="375" t="s">
        <v>92</v>
      </c>
      <c r="V43" s="376"/>
      <c r="W43" s="376"/>
      <c r="X43" s="377"/>
      <c r="Y43" s="192"/>
      <c r="Z43" s="192"/>
      <c r="AA43" s="192"/>
      <c r="AB43" s="192"/>
      <c r="AC43" s="192"/>
      <c r="AD43" s="192"/>
      <c r="AE43" s="192"/>
      <c r="AF43" s="203">
        <f t="shared" si="4"/>
        <v>33</v>
      </c>
      <c r="AG43" s="203" t="str">
        <f t="shared" si="6"/>
        <v/>
      </c>
      <c r="AH43" s="192" t="str">
        <f t="shared" ref="AH43:AH74" si="7">IF(AG43="Bye","",IF(Group_players=3,IF(AG43="","",IF(AG43="A",IF(AG42="A",AH42+1,1),IF(AND(AG42="A",AH42=Groups),Groups,IF(AND(AG42="B",AG43="B"),AH42-1,IF(AND(AG43="C",AG42="C"),AH42+1,IF(AG43="C",IF(AND(AG42="B",AG43="C"),IF((Groups*3)-Tot_Jug=0,1,IF(Groups*3-Tot_Jug=1,AH42+1,IF(Groups*3-Tot_Jug=2,AH42+2,99))),IF(AND(AG42="C",AG43="C"),AH42+1)))))))),IF(Group_players=4,IF(AND(AG42&lt;&gt;"A",AG43="A"),1,IF(AND(AG42="A",AG43="A"),AH42+1,IF(AND(AG42="A",AG43="B"),Groups,IF(AND(AG42="B",AG43="B"),AH42-1,IF(AND(AG42="B",AG43="C"),1,IF(AND(AG42="C",AG43="C"),AH42+1,IF(AND(AG42="C",AG43="D",AF43&lt;=Llave),Groups,IF(AND(AG42="D",AG43="D",AF43&lt;=Llave),AH42-1,"")))))))))))</f>
        <v/>
      </c>
      <c r="AI43" s="229" t="str">
        <f t="shared" ref="AI43:AI74" si="8">IF(AND(AF43&lt;=Llave,AG43=""),"Bye",IF(AF43&gt;Tot_Jug,"",IF(AF43&gt;Tot_Jug,"",IF(AG43="A",HLOOKUP(AH43,Group_Results,2,FALSE),IF(AG43="B",HLOOKUP(AH43,Group_Results,3,FALSE),IF(AG43="C",HLOOKUP(AH43,Group_Results,4,FALSE),IF(AG43="D",HLOOKUP(AH43,Group_Results,5,FALSE),"")))))))</f>
        <v>Bye</v>
      </c>
      <c r="AJ43" s="203"/>
      <c r="AK43" s="203">
        <f t="shared" ref="AK43:AK74" si="9">IF(AI43="Bye",0,IF(AI43&lt;&gt;"",IF(AF43&gt;Tot_Jug,"BYE",IF(AG43="A",HLOOKUP(AH43,Group_Points,2,FALSE),IF(AG43="B",HLOOKUP(AH43,Group_Points,3,FALSE),IF(AG43="C",HLOOKUP(AH43,Group_Points,4,FALSE),IF(AG43="D",HLOOKUP(AH43,Group_Points,5,FALSE)))))),""))</f>
        <v>0</v>
      </c>
      <c r="AL43" s="229">
        <f t="shared" si="5"/>
        <v>0</v>
      </c>
      <c r="AM43" s="181"/>
      <c r="AN43" s="192"/>
      <c r="AO43" s="192"/>
      <c r="AP43" s="192"/>
      <c r="AQ43" s="192"/>
      <c r="AR43" s="192"/>
      <c r="AS43" s="192"/>
      <c r="AT43" s="192"/>
      <c r="AU43" s="192"/>
      <c r="AV43" s="192"/>
      <c r="AW43" s="192"/>
      <c r="AX43" s="192"/>
    </row>
    <row r="44" spans="2:119" ht="15" customHeight="1" thickTop="1" thickBot="1" x14ac:dyDescent="0.35">
      <c r="B44" s="192"/>
      <c r="C44" s="192"/>
      <c r="D44" s="192"/>
      <c r="E44" s="192"/>
      <c r="F44" s="192"/>
      <c r="G44" s="192"/>
      <c r="H44" s="192"/>
      <c r="I44" s="384" t="s">
        <v>93</v>
      </c>
      <c r="J44" s="160"/>
      <c r="K44" s="396" t="s">
        <v>94</v>
      </c>
      <c r="L44" s="398" t="s">
        <v>95</v>
      </c>
      <c r="M44" s="390" t="s">
        <v>96</v>
      </c>
      <c r="N44" s="390" t="s">
        <v>97</v>
      </c>
      <c r="O44" s="373" t="s">
        <v>98</v>
      </c>
      <c r="P44" s="373" t="str">
        <f>IF(COUNT(U45:X56)=3,"LM/WM Ratio",IF(COUNT(U45:X56)=6,"LP/WP Ratio",""))</f>
        <v/>
      </c>
      <c r="Q44" s="390" t="s">
        <v>99</v>
      </c>
      <c r="R44" s="392" t="s">
        <v>100</v>
      </c>
      <c r="S44" s="192"/>
      <c r="T44" s="120"/>
      <c r="U44" s="121" t="s">
        <v>101</v>
      </c>
      <c r="V44" s="122" t="s">
        <v>102</v>
      </c>
      <c r="W44" s="122" t="s">
        <v>103</v>
      </c>
      <c r="X44" s="123" t="s">
        <v>104</v>
      </c>
      <c r="Y44" s="380" t="s">
        <v>105</v>
      </c>
      <c r="Z44" s="379"/>
      <c r="AA44" s="378" t="s">
        <v>106</v>
      </c>
      <c r="AB44" s="379"/>
      <c r="AC44" s="192"/>
      <c r="AD44" s="192"/>
      <c r="AE44" s="203"/>
      <c r="AF44" s="203">
        <f t="shared" ref="AF44:AF75" si="10">IF(Llave&gt;AF43,AF43+1,"")</f>
        <v>34</v>
      </c>
      <c r="AG44" s="203" t="str">
        <f t="shared" si="6"/>
        <v/>
      </c>
      <c r="AH44" s="192" t="str">
        <f t="shared" si="7"/>
        <v/>
      </c>
      <c r="AI44" s="229" t="str">
        <f t="shared" si="8"/>
        <v>Bye</v>
      </c>
      <c r="AJ44" s="203"/>
      <c r="AK44" s="203">
        <f t="shared" si="9"/>
        <v>0</v>
      </c>
      <c r="AL44" s="229">
        <f t="shared" si="5"/>
        <v>0</v>
      </c>
      <c r="AM44" s="181"/>
      <c r="AN44" s="192"/>
      <c r="AO44" s="192"/>
      <c r="AP44" s="192"/>
      <c r="AQ44" s="192"/>
      <c r="AR44" s="192"/>
      <c r="AS44" s="192"/>
      <c r="AT44" s="192"/>
      <c r="AU44" s="192"/>
      <c r="AV44" s="192"/>
      <c r="AW44" s="192"/>
      <c r="AX44" s="192"/>
    </row>
    <row r="45" spans="2:119" ht="15" customHeight="1" thickTop="1" thickBot="1" x14ac:dyDescent="0.35">
      <c r="B45" s="192"/>
      <c r="C45" s="192"/>
      <c r="D45" s="192"/>
      <c r="E45" s="192"/>
      <c r="F45" s="192"/>
      <c r="G45" s="192"/>
      <c r="H45" s="192"/>
      <c r="I45" s="385"/>
      <c r="J45" s="161"/>
      <c r="K45" s="397"/>
      <c r="L45" s="399"/>
      <c r="M45" s="391"/>
      <c r="N45" s="391"/>
      <c r="O45" s="374"/>
      <c r="P45" s="374"/>
      <c r="Q45" s="391"/>
      <c r="R45" s="393"/>
      <c r="S45" s="192"/>
      <c r="T45" s="208">
        <v>1</v>
      </c>
      <c r="U45" s="209" t="str">
        <f>IF(M46="","",IF(COUNTIF(M46:M48,M46)=3,IF(COUNTBLANK(I46:I49)=1,(Q58+Q64)/(Q57+Q63),IF(COUNTBLANK(I46:I49)=0,(Q70+Q58)/(Q69+Q57),"")),""))</f>
        <v/>
      </c>
      <c r="V45" s="125" t="str">
        <f>IF(AND(COUNTBLANK(I46:I49)=0,M46=M48,M48=M49),(Q58+Q64)/(Q57+Q63),"")</f>
        <v/>
      </c>
      <c r="W45" s="210" t="str">
        <f>IF(AND(COUNTBLANK(I46:I49)=0,M46=M47,M47=M49),(Q70+Q64)/(Q69+Q63),"")</f>
        <v/>
      </c>
      <c r="X45" s="211"/>
      <c r="Y45" s="169" t="s">
        <v>93</v>
      </c>
      <c r="Z45" s="170" t="s">
        <v>107</v>
      </c>
      <c r="AA45" s="169" t="s">
        <v>93</v>
      </c>
      <c r="AB45" s="170" t="s">
        <v>107</v>
      </c>
      <c r="AC45" s="192"/>
      <c r="AD45" s="192"/>
      <c r="AE45" s="192"/>
      <c r="AF45" s="203">
        <f t="shared" si="10"/>
        <v>35</v>
      </c>
      <c r="AG45" s="203" t="str">
        <f t="shared" si="6"/>
        <v/>
      </c>
      <c r="AH45" s="192" t="str">
        <f t="shared" si="7"/>
        <v/>
      </c>
      <c r="AI45" s="229" t="str">
        <f t="shared" si="8"/>
        <v>Bye</v>
      </c>
      <c r="AJ45" s="203"/>
      <c r="AK45" s="203">
        <f t="shared" si="9"/>
        <v>0</v>
      </c>
      <c r="AL45" s="229">
        <f t="shared" si="5"/>
        <v>0</v>
      </c>
      <c r="AM45" s="181"/>
      <c r="AN45" s="192"/>
      <c r="AO45" s="192"/>
      <c r="AP45" s="192"/>
      <c r="AQ45" s="192"/>
      <c r="AR45" s="192"/>
      <c r="AS45" s="192"/>
      <c r="AT45" s="192"/>
      <c r="AU45" s="192"/>
      <c r="AV45" s="192"/>
      <c r="AW45" s="192"/>
      <c r="AX45" s="192"/>
    </row>
    <row r="46" spans="2:119" ht="15" customHeight="1" thickTop="1" thickBot="1" x14ac:dyDescent="0.35">
      <c r="B46" s="192"/>
      <c r="C46" s="192"/>
      <c r="D46" s="192"/>
      <c r="E46" s="192"/>
      <c r="F46" s="192" t="str">
        <f>IF(I46="","",VLOOKUP(I46,Siembra,2,FALSE))</f>
        <v/>
      </c>
      <c r="G46" s="192" t="str">
        <f>O46</f>
        <v/>
      </c>
      <c r="H46" s="192">
        <v>1</v>
      </c>
      <c r="I46" s="128" t="str">
        <f>IF(K46="","",IF(ISNUMBER(Sorteo!$A$17),VLOOKUP(K46,Draw,2,FALSE),""))</f>
        <v/>
      </c>
      <c r="J46" s="129" t="str">
        <f>O46</f>
        <v/>
      </c>
      <c r="K46" s="130" t="str">
        <f>IF(K9="","",IF(Group_players=4,IF(Tablas!BI$3="","",Tablas!BI$3),IF(Group_players=3,IF(Tablas!BI$11="","",Tablas!BI$11),"")))</f>
        <v/>
      </c>
      <c r="L46" s="131" t="str">
        <f>IF(K46="","",VLOOKUP(I46,Siembra,3,FALSE))</f>
        <v/>
      </c>
      <c r="M46" s="132" t="str">
        <f>IF(AND(Q57="",Q58=""),"",IF(I46="","",SUMIFS(E57:E73,I57:I73,I46)))</f>
        <v/>
      </c>
      <c r="N46" s="132" t="str">
        <f>IF(M46="","",IF(I46="","",SUMIFS(F57:F73,I57:I73,I46)))</f>
        <v/>
      </c>
      <c r="O46" s="132" t="str">
        <f>IF(M46="","",IF(COUNTBLANK(I46:I49)=2,IF(M46=1,1,IF(M46=0,2)),IF(COUNTBLANK(I46:I49)=1,IF(M46=2,1,IF(M46=0,3,IF(AND(M46=1,M47&lt;&gt;1),2,IF(COUNTIF(M46:M48,1)&gt;1,Z46)))),IF(COUNTBLANK(I46:I49)=0,IF(COUNTIF(M46:M49,M46)=1,IF(M46=3,1,IF(M46=2,2,IF(M46=1,3,IF(M46=0,4)))),IF(Group_players=3,Z46,IF(COUNTIF(M46:M49,M46)=2,AB46,IF(AND(M46=M47,M47=M48),AB50,IF(AND(M46=M48,M48=M49),AB53,IF(AND(M46=M47,M47=M49),AB56,"")))))),99))))</f>
        <v/>
      </c>
      <c r="P46" s="133" t="str">
        <f>IF(COUNT(U45:X56)=3,IF(ISNUMBER(U45),U45,IF(ISNUMBER(V45),V45,IF(ISNUMBER(W45),W45,IF(X45="","")))),IF(COUNT(U45:X56)=6,IF(ISNUMBER(U53),U53,IF(ISNUMBER(V53),V53,IF(ISNUMBER(W53),W53,IF(ISBLANK(X45),"")))),""))</f>
        <v/>
      </c>
      <c r="Q46" s="132" t="str">
        <f>IF(M46="","",SUMIF(I57:S73,I46,S57:S73))</f>
        <v/>
      </c>
      <c r="R46" s="134" t="str">
        <f>IF(M46="","",L46+Q46)</f>
        <v/>
      </c>
      <c r="S46" s="203"/>
      <c r="T46" s="208">
        <v>2</v>
      </c>
      <c r="U46" s="209" t="str">
        <f>IF(M47="","",IF(COUNTIF(M46:M48,M47)=3,IF(COUNTBLANK(I46:I49)=1,(Q61+Q63)/(Q60+Q64),IF(COUNTBLANK(I46:I49)=0,(Q67+Q69)/(Q66+Q70),"")),""))</f>
        <v/>
      </c>
      <c r="V46" s="135"/>
      <c r="W46" s="212" t="str">
        <f>IF(AND(COUNTBLANK(I46:I49)=0,M47=M46,M46=M49),(Q69+Q61)/(Q70+Q60),"")</f>
        <v/>
      </c>
      <c r="X46" s="213" t="str">
        <f>IF(AND(COUNTBLANK(I46:I49)=0,M47=M48,M48=M49),(Q67+Q61)/(Q66+Q60),"")</f>
        <v/>
      </c>
      <c r="Y46" s="214">
        <v>1</v>
      </c>
      <c r="Z46" s="215" t="str">
        <f>IF(U45="","",IF(OR(Group_players=3,AND(Group_players=4,COUNTBLANK(I46:I49)=1)),IF(COUNTIF(M46:M48,M46)=1,"",IF(AND(U45=U46,U46=U47),Z50,IF(AND(U45&lt;&gt;U46,U45&lt;&gt;U47,U46&lt;&gt;U47),(IF(SMALL(U45:U47,1)=U45,1,IF(SMALL(U45:U47,2)=U45,2,IF(SMALL(U45:U47,3)=U45,3)))),IF(AND(U45&lt;U46,U46=U47),1,IF(AND(U45&gt;U46,U46=U47),3,IF(AND(U45=U46,U45&lt;U47),(IF(Q63=3,1,2)),IF(AND(U45=U46,U45&gt;U47),(IF(Q63=3,2,3)),IF(AND(U45=U47,U45&lt;U46),(IF(Q57=3,1,2)),IF(AND(U45=U47,U45&gt;U46),(IF(Q57=3,2,3)),99))))))))),""))</f>
        <v/>
      </c>
      <c r="AA46" s="216">
        <v>1</v>
      </c>
      <c r="AB46" s="217" t="str">
        <f>IF(COUNTIF(M46:M49,M46)&lt;&gt;2,"",IF(COUNTIF(M46:M49,M46)=1,"",IF(AND(COUNTIF(M46:M49,M46)=2,M46=2),IF(M46=M47,IF(Q69=3,1,2),IF(M46=M48,IF(Q57=3,1,2),IF(M46=M49,IF(Q63=3,1,2)))),IF(AND(COUNTIF(M46:M49,M46)=2,M46=1),IF(M46=M47,IF(Q69=3,3,4),IF(M46=M48,IF(Q57=3,3,4),IF(M46=M49,IF(Q63=3,3,4)))),IF(COUNTIF(M46:M49,M46)=3,AB50)))))</f>
        <v/>
      </c>
      <c r="AC46" s="192"/>
      <c r="AD46" s="192"/>
      <c r="AE46" s="192"/>
      <c r="AF46" s="203">
        <f t="shared" si="10"/>
        <v>36</v>
      </c>
      <c r="AG46" s="203" t="str">
        <f t="shared" si="6"/>
        <v/>
      </c>
      <c r="AH46" s="192" t="str">
        <f t="shared" si="7"/>
        <v/>
      </c>
      <c r="AI46" s="229" t="str">
        <f t="shared" si="8"/>
        <v>Bye</v>
      </c>
      <c r="AJ46" s="203"/>
      <c r="AK46" s="203">
        <f t="shared" si="9"/>
        <v>0</v>
      </c>
      <c r="AL46" s="229">
        <f t="shared" si="5"/>
        <v>0</v>
      </c>
      <c r="AM46" s="181"/>
      <c r="AN46" s="192"/>
      <c r="AO46" s="192"/>
      <c r="AP46" s="192"/>
      <c r="AQ46" s="192"/>
      <c r="AR46" s="192"/>
      <c r="AS46" s="192"/>
      <c r="AT46" s="192"/>
      <c r="AU46" s="192"/>
      <c r="AV46" s="192"/>
      <c r="AW46" s="192"/>
      <c r="AX46" s="192"/>
    </row>
    <row r="47" spans="2:119" ht="15" customHeight="1" thickTop="1" thickBot="1" x14ac:dyDescent="0.35">
      <c r="B47" s="192"/>
      <c r="C47" s="192"/>
      <c r="D47" s="192"/>
      <c r="E47" s="192"/>
      <c r="F47" s="192" t="str">
        <f>IF(I47="","",VLOOKUP(I47,Siembra,2,FALSE))</f>
        <v/>
      </c>
      <c r="G47" s="192" t="str">
        <f>O47</f>
        <v/>
      </c>
      <c r="H47" s="192">
        <v>2</v>
      </c>
      <c r="I47" s="128" t="str">
        <f>IF(K47="","",IF(ISNUMBER(Sorteo!$A$17),VLOOKUP(K47,Draw,2,FALSE),""))</f>
        <v/>
      </c>
      <c r="J47" s="129" t="str">
        <f>O47</f>
        <v/>
      </c>
      <c r="K47" s="136" t="str">
        <f>IF(K9="","",IF(Group_players=4,IF(Tablas!BI$4="","",Tablas!BI$4),IF(Group_players=3,IF(Tablas!BI$12="","",Tablas!BI$12),"")))</f>
        <v/>
      </c>
      <c r="L47" s="137" t="str">
        <f>IF(K47="","",VLOOKUP(I47,Siembra,3,FALSE))</f>
        <v/>
      </c>
      <c r="M47" s="132" t="str">
        <f>IF(AND(L57="",L58=""),"",IF(I47="","",SUMIFS(E57:E74,I57:I74,I47)))</f>
        <v/>
      </c>
      <c r="N47" s="138" t="str">
        <f>IF(M47="","",IF(I47="","",SUMIFS(F57:F73,I57:I73,I47)))</f>
        <v/>
      </c>
      <c r="O47" s="132" t="str">
        <f>IF(M47="","",IF(COUNTBLANK(I47:I49)=2,IF(M47=1,1,IF(M47=0,2)),IF(COUNTBLANK(I46:I49)=1,IF(M47=2,1,IF(M47=0,3,IF(AND(M47=1,M48&lt;&gt;1),2,IF(COUNTIF(M46:M49,1)&gt;1,Z47)))),IF(COUNTBLANK(I46:I49)=0,IF(COUNTIF(M46:M49,M47)=1,IF(M47=3,1,IF(M47=2,2,IF(M47=1,3,IF(M47=0,4)))),IF(Group_players=3,Z47,IF(COUNTIF(M46:M49,M47)=2,AB47,IF(AND(M47=M46,M46=M48),AB51,IF(AND(M47=M46,M46=M49),AB57,IF(AND(M47=M48,M48=M49),AB59,""))))))))))</f>
        <v/>
      </c>
      <c r="P47" s="133" t="str">
        <f>IF(COUNT(U45:X56)=3,IF(ISNUMBER(U46),U46,IF(ISNUMBER(W46),W46,IF(ISNUMBER(X46),X46,IF(X46="","")))),IF(COUNT(U45:X56)=6,IF(ISNUMBER(U54),U54,IF(ISNUMBER(W54),W54,IF(ISNUMBER(X54),X54,IF(ISBLANK(X53),"")))),""))</f>
        <v/>
      </c>
      <c r="Q47" s="138" t="str">
        <f>IF(M47="","",SUMIF(I57:S73,I47,S57:$S73))</f>
        <v/>
      </c>
      <c r="R47" s="139" t="str">
        <f>IF(M47="","",L47+Q47)</f>
        <v/>
      </c>
      <c r="S47" s="203"/>
      <c r="T47" s="208">
        <v>3</v>
      </c>
      <c r="U47" s="209" t="str">
        <f>IF(M48="","",IF(COUNTIF(M46:M48,M48)=3,IF(COUNTBLANK(I46:I49)=1,(Q57+Q60)/(Q58+Q61),IF(COUNTBLANK(I46:I49)=0,(Q57+Q66)/(Q58+Q67),"")),""))</f>
        <v/>
      </c>
      <c r="V47" s="125" t="str">
        <f>IF(AND(COUNTBLANK(I46:I49)=0,M48=M49,M49=M46),(Q57+Q73)/(Q58+Q72),"")</f>
        <v/>
      </c>
      <c r="W47" s="218"/>
      <c r="X47" s="213" t="str">
        <f>IF(AND(COUNTBLANK(I46:I49)=0,M48=M49,M49=M47),(Q66+Q73)/(Q67+Q72),"")</f>
        <v/>
      </c>
      <c r="Y47" s="219">
        <v>2</v>
      </c>
      <c r="Z47" s="220" t="str">
        <f>IF(U46="","",IF(OR(Group_players=3,AND(Group_players=4,COUNTBLANK(I46:I49)=1)),IF(COUNTIF(M46:M48,M47)=1,"",IF(AND(U46=U45,U46=U47),Z51,IF(AND(U46&lt;&gt;U45,U46&lt;&gt;U47,U45&lt;&gt;U47),(IF(SMALL(U45:U47,1)=U46,1,IF(SMALL(U45:U47,2)=U46,2,IF(SMALL(U45:U47,3)=U46,3)))),IF(AND(U46&lt;U45,U45=U47),1,IF(AND(U46&gt;U45,U45=U47),3,IF(AND(U46=U45,U46&lt;U47),(IF(Q64=3,1,2)),IF(AND(U46=U45,U46&gt;U47),(IF(Q64=3,2,3)),IF(AND(U46=U47,U46&lt;U45),(IF(Q60=3,1,2)),IF(AND(U46=U47,U46&gt;U45),(IF(Q60=3,2,3)),99))))))))),""))</f>
        <v/>
      </c>
      <c r="AA47" s="221">
        <v>2</v>
      </c>
      <c r="AB47" s="222" t="str">
        <f>IF(COUNTIF(M46:M49,M47)&lt;&gt;2,"",IF(COUNTIF(M46:M49,M47)=1,"",IF(AND(COUNTIF(M46:M49,M47)=2,M47=2),IF(M47=M46,IF(Q70=3,1,2),IF(M47=M48,IF(Q66=3,1,2),IF(M47=M49,IF(Q60=3,1,2)))),IF(AND(COUNTIF(M46:M49,M47)=2,M47=1),IF(M47=M46,IF(Q70=3,3,4),IF(M47=M48,IF(Q66=3,3,4),IF(M47=M49,IF(Q60=3,3,4)))),AB52))))</f>
        <v/>
      </c>
      <c r="AC47" s="192"/>
      <c r="AD47" s="192"/>
      <c r="AE47" s="192"/>
      <c r="AF47" s="203">
        <f t="shared" si="10"/>
        <v>37</v>
      </c>
      <c r="AG47" s="203" t="str">
        <f t="shared" si="6"/>
        <v/>
      </c>
      <c r="AH47" s="192" t="str">
        <f t="shared" si="7"/>
        <v/>
      </c>
      <c r="AI47" s="229" t="str">
        <f t="shared" si="8"/>
        <v>Bye</v>
      </c>
      <c r="AJ47" s="203"/>
      <c r="AK47" s="203">
        <f t="shared" si="9"/>
        <v>0</v>
      </c>
      <c r="AL47" s="229">
        <f t="shared" si="5"/>
        <v>0</v>
      </c>
      <c r="AM47" s="181"/>
      <c r="AN47" s="192"/>
      <c r="AO47" s="192"/>
      <c r="AP47" s="192"/>
      <c r="AQ47" s="192"/>
      <c r="AR47" s="192"/>
      <c r="AS47" s="192"/>
      <c r="AT47" s="192"/>
      <c r="AU47" s="192"/>
      <c r="AV47" s="192"/>
      <c r="AW47" s="192"/>
      <c r="AX47" s="192"/>
    </row>
    <row r="48" spans="2:119" ht="15" customHeight="1" thickBot="1" x14ac:dyDescent="0.35">
      <c r="B48" s="192"/>
      <c r="C48" s="192"/>
      <c r="D48" s="192"/>
      <c r="E48" s="192"/>
      <c r="F48" s="192" t="str">
        <f>IF(I48="","",VLOOKUP(I48,Siembra,2,FALSE))</f>
        <v/>
      </c>
      <c r="G48" s="192" t="str">
        <f>O48</f>
        <v/>
      </c>
      <c r="H48" s="192">
        <v>3</v>
      </c>
      <c r="I48" s="128" t="str">
        <f>IF(K48="","",IF(ISNUMBER(Sorteo!$A$17),VLOOKUP(K48,Draw,2,FALSE),""))</f>
        <v/>
      </c>
      <c r="J48" s="129" t="str">
        <f>O48</f>
        <v/>
      </c>
      <c r="K48" s="136" t="str">
        <f>IF(K9="","",IF(Group_players=4,IF(Tablas!BI$5="","",Tablas!BI$5),IF(Group_players=3,IF(Tablas!BI$13="","",Tablas!BI$13),"")))</f>
        <v/>
      </c>
      <c r="L48" s="137" t="str">
        <f>IF(I48="","",VLOOKUP(I48,Siembra,3,FALSE))</f>
        <v/>
      </c>
      <c r="M48" s="132" t="str">
        <f>IF(AND(L58="",L57=""),"",IF(I48="","",SUMIFS(E57:E75,I57:I75,I48)))</f>
        <v/>
      </c>
      <c r="N48" s="138" t="str">
        <f>IF(M48="","",IF(I48="","",SUMIFS(F57:F73,I57:I73,I48)))</f>
        <v/>
      </c>
      <c r="O48" s="132" t="str">
        <f>IF(M48="","",IF(COUNTBLANK(I46:I49)=1,IF(M48=2,1,IF(M48=0,3,IF(AND(M48=1,M48&lt;&gt;M46),2,IF(COUNTIF(M46:M49,1)&gt;1,Z48)))),IF(COUNTBLANK(I46:I49)=0,IF(COUNTIF(M46:M49,M48)=1,IF(M48=3,1,IF(M48=2,2,IF(M48=1,3,IF(M48=0,4)))),IF(Group_players=3,Z48,IF(COUNTIF(M46:M49,M48)=2,AB48,IF(AND(M48=M46,M46=M47),AB52,IF(AND(M48=M46,M46=M49),AB54,IF(AND(M48=M47,M47=M49),AB60,"")))))))))</f>
        <v/>
      </c>
      <c r="P48" s="133" t="str">
        <f>IF(COUNT(U45:X56)=3,IF(ISNUMBER(U47),U47,IF(ISNUMBER(V47),V47,IF(ISNUMBER(X47),X47,IF(W47="","")))),IF(COUNT(U45:X56)=6,IF(ISNUMBER(U55),U55,IF(ISNUMBER(V55),V55,IF(ISNUMBER(X55),X55,""))),""))</f>
        <v/>
      </c>
      <c r="Q48" s="138" t="str">
        <f>IF(M48="","",SUMIF(I57:S73,I48,S57:S73))</f>
        <v/>
      </c>
      <c r="R48" s="139" t="str">
        <f>IF(M48="","",L48+Q48)</f>
        <v/>
      </c>
      <c r="S48" s="203"/>
      <c r="T48" s="208">
        <v>4</v>
      </c>
      <c r="U48" s="223"/>
      <c r="V48" s="140" t="str">
        <f>IF(AND(COUNTBLANK(I46:I49)=0,M49=M46,M46=M48),(Q63+Q72)/(Q64+Q73),"")</f>
        <v/>
      </c>
      <c r="W48" s="224" t="str">
        <f>IF(AND(COUNTBLANK(I46:I49)=0,M49=M46,M46=M47),(Q63+Q60)/(Q64+Q61),"")</f>
        <v/>
      </c>
      <c r="X48" s="225" t="str">
        <f>IF(AND(COUNTBLANK(I46:I49)=0,M49=M47,M47=M48),(Q60+Q72)/(Q61+Q73),"")</f>
        <v/>
      </c>
      <c r="Y48" s="226">
        <v>3</v>
      </c>
      <c r="Z48" s="227" t="str">
        <f>IF(U47="","",IF(OR(Group_players=3,AND(Group_players=4,COUNTBLANK(I46:I49)=1)),IF(COUNTIF(M46:M48,M48)=1,"",IF(AND(U47=U45,U47=U46),Z52,IF(AND(U47&lt;&gt;U46,U46&lt;&gt;U45,U47&lt;&gt;U45),(IF(SMALL(U45:U47,1)=U47,1,IF(SMALL(U45:U47,2)=U47,2,IF(SMALL(U45:U47,3)=U47,3)))),IF(AND(U47&lt;U46,U46=U45),1,IF(AND(U47&gt;U46,U46=U45),3,IF(AND(U47=U46,U47&lt;U45),(IF(Q61=3,1,2)),IF(AND(U47=U46,U47&gt;U45),(IF(Q61=3,2,3)),IF(AND(U47=U45,U47&lt;U46),(IF(Q58=3,1,2)),IF(AND(U47=U45,U47&gt;U46),(IF(Q58=3,2,3)),99))))))))),""))</f>
        <v/>
      </c>
      <c r="AA48" s="221">
        <v>3</v>
      </c>
      <c r="AB48" s="222" t="str">
        <f>IF(COUNTIF(M46:M49,M48)&lt;&gt;2,"",IF(COUNTIF(M46:M49,M48)=1,"",IF(AND(COUNTIF(M46:M49,M48)=2,M48=2),IF(M48=M46,IF(Q58=3,1,2),IF(M48=M47,IF(Q67=3,1,2),IF(M48=M49,IF(Q72=3,1,2)))),IF(AND(COUNTIF(M46:M49,M48)=2,M48=1),IF(M48=M46,IF(Q58=3,3,4),IF(M48=M47,IF(Q67=3,3,4),IF(M48=M49,IF(Q72=3,3,4)))),AB52))))</f>
        <v/>
      </c>
      <c r="AC48" s="192"/>
      <c r="AD48" s="192"/>
      <c r="AE48" s="192"/>
      <c r="AF48" s="203">
        <f t="shared" si="10"/>
        <v>38</v>
      </c>
      <c r="AG48" s="203" t="str">
        <f t="shared" si="6"/>
        <v/>
      </c>
      <c r="AH48" s="192" t="str">
        <f t="shared" si="7"/>
        <v/>
      </c>
      <c r="AI48" s="229" t="str">
        <f t="shared" si="8"/>
        <v>Bye</v>
      </c>
      <c r="AJ48" s="203"/>
      <c r="AK48" s="203">
        <f t="shared" si="9"/>
        <v>0</v>
      </c>
      <c r="AL48" s="229">
        <f t="shared" si="5"/>
        <v>0</v>
      </c>
      <c r="AM48" s="181"/>
      <c r="AN48" s="192"/>
      <c r="AO48" s="192"/>
      <c r="AP48" s="192"/>
      <c r="AQ48" s="192"/>
      <c r="AR48" s="192"/>
      <c r="AS48" s="192"/>
      <c r="AT48" s="192"/>
      <c r="AU48" s="192"/>
      <c r="AV48" s="192"/>
      <c r="AW48" s="192"/>
      <c r="AX48" s="192"/>
    </row>
    <row r="49" spans="2:118" ht="15" customHeight="1" thickTop="1" thickBot="1" x14ac:dyDescent="0.35">
      <c r="B49" s="192"/>
      <c r="C49" s="192"/>
      <c r="D49" s="192"/>
      <c r="E49" s="192"/>
      <c r="F49" s="192" t="str">
        <f>IF(I49="","",VLOOKUP(I49,Siembra,2,FALSE))</f>
        <v/>
      </c>
      <c r="G49" s="192" t="str">
        <f>O49</f>
        <v/>
      </c>
      <c r="H49" s="192">
        <v>4</v>
      </c>
      <c r="I49" s="141" t="str">
        <f>IF(K49="","",IF(ISNUMBER(Sorteo!$A$17),VLOOKUP(K49,Draw,2,FALSE),""))</f>
        <v/>
      </c>
      <c r="J49" s="142" t="str">
        <f>O49</f>
        <v/>
      </c>
      <c r="K49" s="143" t="str">
        <f>IF(K9="","",IF(Group_players=4,IF(Tablas!BI$6="","",Tablas!BI$6),""))</f>
        <v/>
      </c>
      <c r="L49" s="144" t="str">
        <f>IF(K49="","",VLOOKUP(I49,Siembra,3,FALSE))</f>
        <v/>
      </c>
      <c r="M49" s="145" t="str">
        <f>IF(AND(Q60="",Q61=""),"",IF(I49="","",SUMIFS(E57:E76,I57:I76,I49)))</f>
        <v/>
      </c>
      <c r="N49" s="145" t="str">
        <f>IF(M49="","",IF(I49="","",SUMIFS(F57:F73,I57:I73,I49)))</f>
        <v/>
      </c>
      <c r="O49" s="145" t="str">
        <f>IF(M49="","",IF(COUNTIF(M46:M49,M49)=1,IF(M49=3,1,IF(M49=2,2,IF(M49=1,3,IF(M49=0,4)))),IF(COUNTIF(M46:M49,M49)=2,AB49,IF(AND(M49=M46,M46=M48),AB55,IF(AND(M49=M46,M46=M47),AB58,IF(AND(M49=M47,M47=M48),AB61,""))))))</f>
        <v/>
      </c>
      <c r="P49" s="146" t="str">
        <f>IF(COUNT(U45:X56)=3,IF(ISNUMBER(V48),V48,IF(ISNUMBER(W48),W48,IF(ISNUMBER(X48),X48,IF(X48="","")))),IF(COUNT(U45:X56)=6,IF(ISNUMBER(V56),V56,IF(ISNUMBER(W56),W56,IF(ISNUMBER(X56),X56,""))),""))</f>
        <v/>
      </c>
      <c r="Q49" s="145" t="str">
        <f>IF(M49="","",SUMIF(I57:S73,I49,S57:$S73))</f>
        <v/>
      </c>
      <c r="R49" s="147" t="str">
        <f>IF(M49="","",L49+Q49)</f>
        <v/>
      </c>
      <c r="S49" s="203"/>
      <c r="T49" s="192"/>
      <c r="U49" s="192"/>
      <c r="V49" s="192"/>
      <c r="W49" s="192"/>
      <c r="X49" s="192"/>
      <c r="Y49" s="230" t="s">
        <v>93</v>
      </c>
      <c r="Z49" s="231" t="s">
        <v>110</v>
      </c>
      <c r="AA49" s="232">
        <v>4</v>
      </c>
      <c r="AB49" s="233" t="str">
        <f>IF(COUNTIF(M46:M49,M49)&lt;&gt;2,"",IF(COUNTIF(M46:M49,M49)=1,"",IF(AND(COUNTIF(M46:M49,M49)=2,M49=2),IF(M49=M46,IF(Q64=3,1,2),IF(M49=M47,IF(Q61=3,1,2),IF(M49=M48,IF(Q73=3,1,2)))),IF(AND(COUNTIF(M46:M49,M49)=2,M49=1),IF(M49=M46,IF(Q64=3,3,4),IF(M49=M47,IF(Q61=3,3,4),IF(M49=M48,IF(Q73=3,3,4)))),AB55))))</f>
        <v/>
      </c>
      <c r="AC49" s="192"/>
      <c r="AD49" s="192"/>
      <c r="AE49" s="192"/>
      <c r="AF49" s="203">
        <f t="shared" si="10"/>
        <v>39</v>
      </c>
      <c r="AG49" s="203" t="str">
        <f t="shared" si="6"/>
        <v/>
      </c>
      <c r="AH49" s="192" t="str">
        <f t="shared" si="7"/>
        <v/>
      </c>
      <c r="AI49" s="229" t="str">
        <f t="shared" si="8"/>
        <v>Bye</v>
      </c>
      <c r="AJ49" s="203"/>
      <c r="AK49" s="203">
        <f t="shared" si="9"/>
        <v>0</v>
      </c>
      <c r="AL49" s="229">
        <f t="shared" si="5"/>
        <v>0</v>
      </c>
      <c r="AM49" s="181"/>
      <c r="AN49" s="192"/>
      <c r="AO49" s="192"/>
      <c r="AP49" s="192"/>
      <c r="AQ49" s="192"/>
      <c r="AR49" s="192"/>
      <c r="AS49" s="192"/>
      <c r="AT49" s="192"/>
      <c r="AU49" s="192"/>
      <c r="AV49" s="192"/>
      <c r="AW49" s="192"/>
      <c r="AX49" s="192"/>
    </row>
    <row r="50" spans="2:118" ht="15" customHeight="1" thickTop="1" x14ac:dyDescent="0.3">
      <c r="B50" s="192"/>
      <c r="C50" s="192"/>
      <c r="D50" s="192"/>
      <c r="E50" s="192"/>
      <c r="F50" s="192"/>
      <c r="G50" s="192"/>
      <c r="H50" s="192"/>
      <c r="I50" s="192"/>
      <c r="J50" s="192"/>
      <c r="K50" s="192"/>
      <c r="L50" s="192"/>
      <c r="M50" s="192"/>
      <c r="N50" s="192"/>
      <c r="O50" s="192"/>
      <c r="P50" s="192"/>
      <c r="Q50" s="192"/>
      <c r="R50" s="192"/>
      <c r="S50" s="192"/>
      <c r="T50" s="208"/>
      <c r="U50" s="192"/>
      <c r="V50" s="148"/>
      <c r="W50" s="148"/>
      <c r="X50" s="234"/>
      <c r="Y50" s="214">
        <v>1</v>
      </c>
      <c r="Z50" s="215" t="str">
        <f>IF(U53="","",IF(OR(Group_players=3,AND(Group_players=4,COUNTBLANK(I46:I49)=1)),IF(COUNTIF(M46:M48,M46)=1,"",IF(COUNTIF(U45:U47,U45)=3,IF(AND(U53=U54,U54=U55),"Tied",IF(AND(U53&lt;&gt;U54,U53&lt;&gt;U55,U54&lt;&gt;U55),(IF(SMALL(U53:U55,1)=U53,1,IF(SMALL(U53:U55,2)=U53,2,IF(SMALL(U53:U55,3)=U53,3)))),IF(AND(U53&lt;U54,U54=U55),1,IF(AND(U53&gt;U54,U54=U55),3,IF(AND(U53=U54,U53&lt;U55),(IF(Q63=3,1,2)),IF(AND(U53=U54,U53&gt;U55),(IF(Q63=3,2,3)),IF(AND(U53=U55,U53&lt;U54),(IF(Q57=3,1,2)),IF(AND(U53=U55,U53&gt;U54),(IF(Q57=3,2,3)),99)))))))),"")),""))</f>
        <v/>
      </c>
      <c r="AA50" s="208">
        <v>1</v>
      </c>
      <c r="AB50" s="222" t="str">
        <f>IF(AND(COUNTBLANK(I46:I49)=0,Group_players=4,M46=M47,M47=M48),IF(COUNTIF(U45:U48,U45)=3,AB63,IF(AND(COUNTIF(U45:U48,U45)=1,U46&lt;&gt;U47),IF(M46=2,IF(SMALL(U45:U48,1)=U45,1,IF(SMALL(U45:U48,2)=U45,2,IF(SMALL(U45:U48,3)=U45,3))),IF(M46=1,IF(SMALL(U45:U48,1)=U45,2,IF(SMALL(U45:U48,2)=U45,3,IF(SMALL(U45:U48,3)=U45,4))),"")),IF(COUNTIF(U45:U48,U45)=1,IF(U45&lt;U46,IF(M46=2,1,2),IF(M46=2,3,4)),IF(COUNTIF(U45:U48,U45)=2,IF(U45=U46,IF(U45&lt;U47,IF(M46=2,IF(Q69=3,1,2),IF(M46=1,IF(Q69=3,2,3))),IF(U45&gt;U47,IF(M46=2,IF(Q69=3,2,3),IF(M46=1,IF(Q69=3,3,4))))),IF(U45=U47,IF(U45&lt;U46,IF(M46=2,IF(Q57=3,1,2),IF(M46=1,IF(Q57=3,2,3))),IF(U45&gt;U46,IF(M46=2,IF(Q57=3,2,3),IF(M46=1,IF(Q57=3,3,4))))))),"")))),"")</f>
        <v/>
      </c>
      <c r="AC50" s="192"/>
      <c r="AD50" s="192"/>
      <c r="AE50" s="269"/>
      <c r="AF50" s="203">
        <f t="shared" si="10"/>
        <v>40</v>
      </c>
      <c r="AG50" s="203" t="str">
        <f t="shared" si="6"/>
        <v/>
      </c>
      <c r="AH50" s="192" t="str">
        <f t="shared" si="7"/>
        <v/>
      </c>
      <c r="AI50" s="229" t="str">
        <f t="shared" si="8"/>
        <v>Bye</v>
      </c>
      <c r="AJ50" s="203"/>
      <c r="AK50" s="203">
        <f t="shared" si="9"/>
        <v>0</v>
      </c>
      <c r="AL50" s="229">
        <f t="shared" si="5"/>
        <v>0</v>
      </c>
      <c r="AM50" s="181"/>
      <c r="AN50" s="192"/>
      <c r="AO50" s="192"/>
      <c r="AP50" s="192"/>
      <c r="AQ50" s="192"/>
      <c r="AR50" s="192"/>
      <c r="AS50" s="192"/>
      <c r="AT50" s="192"/>
      <c r="AU50" s="192"/>
      <c r="AV50" s="192"/>
      <c r="AW50" s="192"/>
      <c r="AX50" s="192"/>
    </row>
    <row r="51" spans="2:118" ht="15" customHeight="1" thickBot="1" x14ac:dyDescent="0.35">
      <c r="B51" s="192"/>
      <c r="C51" s="192"/>
      <c r="D51" s="192"/>
      <c r="E51" s="192"/>
      <c r="F51" s="192"/>
      <c r="G51" s="192"/>
      <c r="H51" s="192"/>
      <c r="I51" s="269"/>
      <c r="J51" s="269"/>
      <c r="K51" s="192"/>
      <c r="L51" s="192"/>
      <c r="M51" s="192"/>
      <c r="N51" s="192"/>
      <c r="O51" s="192"/>
      <c r="P51" s="192"/>
      <c r="Q51" s="229"/>
      <c r="R51" s="192"/>
      <c r="S51" s="192"/>
      <c r="T51" s="208"/>
      <c r="U51" s="368" t="s">
        <v>111</v>
      </c>
      <c r="V51" s="369"/>
      <c r="W51" s="369"/>
      <c r="X51" s="369"/>
      <c r="Y51" s="236">
        <v>2</v>
      </c>
      <c r="Z51" s="220" t="str">
        <f>IF(U46="","",IF(OR(Group_players=3,AND(Group_players=4,COUNTBLANK(I46:I49)=1)),IF(COUNTIF(M46:M48,M47)=1,"",IF(COUNTIF(U45:U47,U46)=3,IF(AND(U54=U53,U54=U55),"Tied",IF(AND(U54&lt;&gt;U53,U54&lt;&gt;U55,U53&lt;&gt;U55),(IF(SMALL(U53:U55,1)=U54,1,IF(SMALL(U53:U55,2)=U54,2,IF(SMALL(U53:U55,3)=U54,3)))),IF(AND(U54&lt;U53,U53=U55),1,IF(AND(U54&gt;U53,U53=U55),3,IF(AND(U54=U53,U54&lt;U55),(IF(Q64=3,1,2)),IF(AND(U54=U53,U54&gt;U55),(IF(Q64=3,2,3)),IF(AND(U54=U55,U54&lt;U53),(IF(Q60=3,1,2)),IF(AND(U54=U55,U54&gt;U53),(IF(Q60=3,2,3)),99)))))))),"")),""))</f>
        <v/>
      </c>
      <c r="AA51" s="208">
        <v>2</v>
      </c>
      <c r="AB51" s="222" t="str">
        <f>IF(AND(COUNTBLANK(I46:I49)=0,Group_players=4,M46=M47,M47=M48),IF(COUNTIF(U45:U48,U46)=3,AB64,IF(AND(COUNTIF(U45:U48,U46)=1,U45&lt;&gt;U47),IF(M47=2,IF(SMALL(U45:U48,1)=U46,1,IF(SMALL(U45:U48,2)=U46,2,IF(SMALL(U45:U48,3)=U46,3))),IF(M47=1,IF(SMALL(U45:U48,1)=U46,2,IF(SMALL(U45:U48,2)=U46,3,IF(SMALL(U45:U48,3)=U46,4))),"")),IF(COUNTIF(U45:U47,U46)=1,IF(U46&lt;U45,IF(M47=2,1,2),IF(M47=2,3,99)),IF(COUNTIF(U45:U48,U46)=2,IF(U46=U45,IF(U46&lt;U47,IF(M47=2,IF(Q70=3,1,2),IF(M47=1,IF(Q70=3,2,3))),IF(U46&gt;U47,IF(M47=2,IF(Q70=3,2,3),IF(M47=1,IF(Q70=3,3,4))))),IF(U46=U47,IF(U46&lt;U45,IF(M47=2,IF(Q66=3,1,2),IF(M47=1,IF(Q66=3,2,3))),IF(U46&gt;U45,IF(M47=2,IF(Q66=3,2,3),IF(M47=1,IF(Q66=3,3,4))))))),"")))),"")</f>
        <v/>
      </c>
      <c r="AC51" s="192"/>
      <c r="AD51" s="192"/>
      <c r="AE51" s="192"/>
      <c r="AF51" s="203">
        <f t="shared" si="10"/>
        <v>41</v>
      </c>
      <c r="AG51" s="203" t="str">
        <f t="shared" si="6"/>
        <v/>
      </c>
      <c r="AH51" s="192" t="str">
        <f t="shared" si="7"/>
        <v/>
      </c>
      <c r="AI51" s="229" t="str">
        <f t="shared" si="8"/>
        <v>Bye</v>
      </c>
      <c r="AJ51" s="203"/>
      <c r="AK51" s="203">
        <f t="shared" si="9"/>
        <v>0</v>
      </c>
      <c r="AL51" s="229">
        <f t="shared" si="5"/>
        <v>0</v>
      </c>
      <c r="AM51" s="181"/>
      <c r="AN51" s="192"/>
      <c r="AO51" s="192"/>
      <c r="AP51" s="192"/>
      <c r="AQ51" s="192"/>
      <c r="AR51" s="192"/>
      <c r="AS51" s="192"/>
      <c r="AT51" s="192"/>
      <c r="AU51" s="192"/>
      <c r="AV51" s="192"/>
      <c r="AW51" s="192"/>
      <c r="AX51" s="192"/>
    </row>
    <row r="52" spans="2:118" ht="15" customHeight="1" thickTop="1" thickBot="1" x14ac:dyDescent="0.35">
      <c r="B52" s="192"/>
      <c r="C52" s="192"/>
      <c r="D52" s="192"/>
      <c r="E52" s="192"/>
      <c r="F52" s="192"/>
      <c r="G52" s="192"/>
      <c r="H52" s="192"/>
      <c r="I52" s="192"/>
      <c r="J52" s="192"/>
      <c r="K52" s="192"/>
      <c r="L52" s="192"/>
      <c r="M52" s="192"/>
      <c r="N52" s="192"/>
      <c r="O52" s="192"/>
      <c r="P52" s="192"/>
      <c r="Q52" s="229"/>
      <c r="R52" s="192"/>
      <c r="S52" s="192"/>
      <c r="T52" s="120"/>
      <c r="U52" s="121" t="s">
        <v>101</v>
      </c>
      <c r="V52" s="122" t="s">
        <v>102</v>
      </c>
      <c r="W52" s="122" t="s">
        <v>103</v>
      </c>
      <c r="X52" s="123" t="s">
        <v>104</v>
      </c>
      <c r="Y52" s="238">
        <v>3</v>
      </c>
      <c r="Z52" s="239" t="str">
        <f>IF(U47="","",IF(OR(Group_players=3,AND(Group_players=4,COUNTBLANK(I46:I49)=1)),IF(COUNTIF(M46:M48,M48)=1,"",IF(COUNTIF(U45:U47,U47)=3,IF(AND(U55=U53,U55=U54),"Tied",IF(AND(U55&lt;&gt;U54,U54&lt;&gt;U53,U55&lt;&gt;U53),(IF(SMALL(U53:U55,1)=U55,1,IF(SMALL(U53:U55,2)=U55,2,IF(SMALL(U53:U55,3)=U55,3)))),IF(AND(U55&lt;U54,U54=U53),1,IF(AND(U55&gt;U54,U54=U53),3,IF(AND(U55=U54,U55&lt;U53),(IF(Q61=3,1,2)),IF(AND(U55=U54,U55&gt;U53),(IF(Q61=3,2,3)),IF(AND(U55=U53,U55&lt;U54),(IF(Q58=3,1,2)),IF(AND(U55=U53,U55&gt;U54),(IF(Q58=3,2,3)),99)))))))),"")),""))</f>
        <v/>
      </c>
      <c r="AA52" s="240">
        <v>3</v>
      </c>
      <c r="AB52" s="241" t="str">
        <f>IF(AND(COUNTBLANK(I46:I49)=0,Group_players=4,M46=M47,M47=M48),IF(COUNTIF(U45:U48,U47)=3,AB65,IF(AND(COUNTIF(U45:U48,U47)=1,U45&lt;&gt;U46),IF(M46=2,IF(SMALL(U45:U48,1)=U47,1,IF(SMALL(U45:U48,2)=U47,2,IF(SMALL(U45:U48,3)=U47,3))),IF(M48=1,IF(SMALL(U45:U48,1)=U47,2,IF(SMALL(U45:U48,2)=U47,3,IF(SMALL(U45:U48,3)=U47,4))),"")),IF(COUNTIF(U45:U48,U47)=1,IF(U47&lt;U46,IF(M48=2,1,2),IF(M48=2,3,4)),IF(COUNTIF(U45:U48,U47)=2,IF(U47=U46,IF(U47&lt;U45,IF(M48=2,IF(Q67=3,1,2),IF(M48=1,IF(Q67=3,2,3))),IF(U47&gt;U45,IF(M48=2,IF(Q67=3,2,3),IF(M48=1,IF(Q67=3,3,4))))),IF(U47=U45,IF(U47&lt;U46,IF(M48=2,IF(Q58=3,1,2),IF(M48=1,IF(Q58=3,2,3))),IF(U47&gt;U46,IF(M48=2,IF(Q58=3,2,3),IF(M48=1,IF(Q58=3,3,4))))))),"")))),"")</f>
        <v/>
      </c>
      <c r="AC52" s="192"/>
      <c r="AD52" s="192"/>
      <c r="AE52" s="192"/>
      <c r="AF52" s="203">
        <f t="shared" si="10"/>
        <v>42</v>
      </c>
      <c r="AG52" s="203" t="str">
        <f t="shared" si="6"/>
        <v/>
      </c>
      <c r="AH52" s="192" t="str">
        <f t="shared" si="7"/>
        <v/>
      </c>
      <c r="AI52" s="229" t="str">
        <f t="shared" si="8"/>
        <v>Bye</v>
      </c>
      <c r="AJ52" s="203"/>
      <c r="AK52" s="203">
        <f t="shared" si="9"/>
        <v>0</v>
      </c>
      <c r="AL52" s="229">
        <f t="shared" si="5"/>
        <v>0</v>
      </c>
      <c r="AM52" s="181"/>
      <c r="AN52" s="192"/>
      <c r="AO52" s="192"/>
      <c r="AP52" s="192"/>
      <c r="AQ52" s="192"/>
      <c r="AR52" s="192"/>
      <c r="AS52" s="192"/>
      <c r="AT52" s="192"/>
      <c r="AU52" s="192"/>
      <c r="AV52" s="192"/>
      <c r="AW52" s="192"/>
      <c r="AX52" s="192"/>
    </row>
    <row r="53" spans="2:118" ht="15" customHeight="1" thickTop="1" thickBot="1" x14ac:dyDescent="0.35">
      <c r="B53" s="192"/>
      <c r="C53" s="192"/>
      <c r="D53" s="192"/>
      <c r="E53" s="192"/>
      <c r="F53" s="192"/>
      <c r="G53" s="192"/>
      <c r="H53" s="192"/>
      <c r="I53" s="192"/>
      <c r="J53" s="192"/>
      <c r="K53" s="192"/>
      <c r="L53" s="192"/>
      <c r="M53" s="192"/>
      <c r="N53" s="192"/>
      <c r="O53" s="192"/>
      <c r="P53" s="192"/>
      <c r="Q53" s="229"/>
      <c r="R53" s="192"/>
      <c r="S53" s="192"/>
      <c r="T53" s="208">
        <v>1</v>
      </c>
      <c r="U53" s="209" t="str">
        <f>IF(U45="","",IF(OR(U45&lt;&gt;U46,U45&lt;&gt;U47),"",IF(COUNTIF(M46:M48,M46)=1,"",IF(COUNTBLANK(I46:I49)=1,(SUM(L58:P58)+SUM(L64:P64))/(SUM(L57:P57)+SUM(L63:P63)),IF(COUNTBLANK(I46:I49)=0,(SUM(L70:P70)+SUM(L58:P58))/(SUM(L69:P69)+SUM(L57:P57)),"")))))</f>
        <v/>
      </c>
      <c r="V53" s="125" t="str">
        <f>IF(V45="","",IF(OR(V45&lt;&gt;V47,V45&lt;&gt;V48),"",IF(AND(COUNTBLANK(I46:I49)=0,M46=M48,M48=M49),(SUM(L58:P58)+SUM(L64:P64))/(SUM(L57:P57)+SUM(L63:P63)),"")))</f>
        <v/>
      </c>
      <c r="W53" s="210" t="str">
        <f>IF(W45="","",IF(OR(W45&lt;&gt;W46,W45&lt;&gt;W48),"",IF(AND(COUNTBLANK(I46:I49)=0,M46=M47,M47=M49),(SUM(L70:P70)+SUM(L64:P64))/(SUM(L69:P69)+SUM(L63:P63)),"")))</f>
        <v/>
      </c>
      <c r="X53" s="211"/>
      <c r="Y53" s="242"/>
      <c r="Z53" s="242"/>
      <c r="AA53" s="243">
        <v>1</v>
      </c>
      <c r="AB53" s="244" t="str">
        <f>IF(AND(COUNTBLANK(I46:I49)=0,Group_players=4,M46=M48,M48=M49),IF(COUNTIF(V45:V48,V45)=3,AB66,IF(AND(COUNTIF(V45:V48,V45)=1,V47&lt;&gt;U56),IF(M46=2,IF(SMALL(V45:V48,1)=V45,1,IF(SMALL(V45:V48,2)=V45,2,IF(SMALL(V45:V48,3)=V45,3))),IF(M46=1,IF(SMALL(V45:V48,1)=V45,2,IF(SMALL(V45:V48,2)=V45,3,IF(SMALL(V45:V48,3)=V45,4))),"")),IF(COUNTIF(V45:V48,V45)=1,IF(V45&lt;V47,IF(M46=2,1,2),IF(M46=2,3,4)),IF(COUNTIF(V45:V48,V45)=2,IF(V45=V47,IF(V45&lt;V48,IF(M46=2,IF(Q57=3,1,2),IF(M46=1,IF(Q57=3,2,3))),IF(V45&gt;V48,IF(M46=2,IF(Q57=3,2,3),IF(M46=1,IF(Q57=3,3,4))))),IF(V45=V48,IF(V45&lt;V47,IF(M46=2,IF(Q63=3,1,2),IF(M46=1,IF(Q63=3,2,3))),IF(V45&gt;V46,IF(M46=2,IF(Q63=3,2,3),IF(M46=1,IF(Q63=3,3,4))))))),"")))),"")</f>
        <v/>
      </c>
      <c r="AC53" s="192"/>
      <c r="AD53" s="192"/>
      <c r="AE53" s="192"/>
      <c r="AF53" s="203">
        <f t="shared" si="10"/>
        <v>43</v>
      </c>
      <c r="AG53" s="203" t="str">
        <f t="shared" si="6"/>
        <v/>
      </c>
      <c r="AH53" s="192" t="str">
        <f t="shared" si="7"/>
        <v/>
      </c>
      <c r="AI53" s="229" t="str">
        <f t="shared" si="8"/>
        <v>Bye</v>
      </c>
      <c r="AJ53" s="203"/>
      <c r="AK53" s="203">
        <f t="shared" si="9"/>
        <v>0</v>
      </c>
      <c r="AL53" s="229">
        <f t="shared" si="5"/>
        <v>0</v>
      </c>
      <c r="AM53" s="181"/>
      <c r="AN53" s="192"/>
      <c r="AO53" s="192"/>
      <c r="AP53" s="192"/>
      <c r="AQ53" s="192"/>
      <c r="AR53" s="192"/>
      <c r="AS53" s="192"/>
      <c r="AT53" s="192"/>
      <c r="AU53" s="192"/>
      <c r="AV53" s="192"/>
      <c r="AW53" s="192"/>
      <c r="AX53" s="192"/>
    </row>
    <row r="54" spans="2:118" ht="15" customHeight="1" thickTop="1" thickBot="1" x14ac:dyDescent="0.35">
      <c r="B54" s="192"/>
      <c r="C54" s="192"/>
      <c r="D54" s="192"/>
      <c r="E54" s="117"/>
      <c r="F54" s="117"/>
      <c r="G54" s="117"/>
      <c r="H54" s="192"/>
      <c r="I54" s="192"/>
      <c r="J54" s="192"/>
      <c r="K54" s="192"/>
      <c r="L54" s="192"/>
      <c r="M54" s="192"/>
      <c r="N54" s="192"/>
      <c r="O54" s="192"/>
      <c r="P54" s="192"/>
      <c r="Q54" s="229"/>
      <c r="R54" s="192"/>
      <c r="S54" s="394" t="s">
        <v>112</v>
      </c>
      <c r="T54" s="208">
        <v>2</v>
      </c>
      <c r="U54" s="209" t="str">
        <f>IF(U45="","",IF(OR(U46&lt;&gt;U45,U46&lt;&gt;U47),"",IF(COUNTIF(M46:M48,M47)=1,"",IF(COUNTBLANK(I46:I49)=1,(SUM(L61:P61)+SUM(L63:P63))/(SUM(L60:P60)+SUM(L64:P64)),IF(COUNTBLANK(I46:I49)=0,(SUM(L69:P69)+SUM(L67:P67))/(SUM(L70:P70)+SUM(L66:P66)))))))</f>
        <v/>
      </c>
      <c r="V54" s="135"/>
      <c r="W54" s="212" t="str">
        <f>IF(W45="","",IF(OR(W46&lt;&gt;W45,W46&lt;&gt;W48),"",IF(AND(COUNTBLANK(I46:I49)=0,M46=M47,M47=M49),(SUM(L61:P61)+SUM(L69:P69))/(SUM(L70:P70)+SUM(L60:P60)),"")))</f>
        <v/>
      </c>
      <c r="X54" s="245" t="str">
        <f>IF(X46="","",IF(OR(X46&lt;&gt;X47,X46&lt;&gt;X48),"",IF(AND(COUNTBLANK(I46:I49)=0,M47=M48,M48=M49),(SUM(L67:P67)+SUM(L61:P61))/(SUM(L66:P66)+SUM(L60:P60)),"")))</f>
        <v/>
      </c>
      <c r="Y54" s="242"/>
      <c r="Z54" s="203"/>
      <c r="AA54" s="246">
        <v>3</v>
      </c>
      <c r="AB54" s="222" t="str">
        <f>IF(AND(COUNTBLANK(I46:I49)=0,Group_players=4,M46=M48,M48=M49),IF(COUNTIF(V45:V48,V47)=3,AB67,IF(AND(COUNTIF(V45:V48,V47)=1,V45&lt;&gt;V48),IF(M48=2,IF(SMALL(V45:V48,1)=V47,1,IF(SMALL(V45:V48,2)=V47,2,IF(SMALL(V45:V48,3)=V47,3))),IF(M48=1,IF(SMALL(V45:V48,1)=V47,2,IF(SMALL(V45:V48,2)=V47,3,IF(SMALL(V45:V48,3)=V47,4))),"")),IF(COUNTIF(V45:V48,V47)=1,IF(V47&lt;V45,IF(M48=2,1,2),IF(M48=2,3,4)),IF(COUNTIF(V45:V48,V47)=2,IF(V47=V45,IF(V47&lt;V48,IF(M48=2,IF(Q58=3,1,2),IF(M48=1,IF(Q58=3,2,3))),IF(V47&gt;V48,IF(M48=2,IF(Q58=3,2,3),IF(M48=1,IF(Q58=3,3,4))))),IF(V47=V48,IF(V47&lt;V45,IF(M48=2,IF(Q72=3,1,2),IF(M48=1,IF(Q72=3,2,3))),IF(V47&gt;V45,IF(M48=2,IF(Q72=3,2,3),IF(M48=1,IF(Q72=3,3,4))))))),"")))),"")</f>
        <v/>
      </c>
      <c r="AC54" s="192"/>
      <c r="AD54" s="192"/>
      <c r="AE54" s="192"/>
      <c r="AF54" s="203">
        <f t="shared" si="10"/>
        <v>44</v>
      </c>
      <c r="AG54" s="203" t="str">
        <f t="shared" si="6"/>
        <v/>
      </c>
      <c r="AH54" s="192" t="str">
        <f t="shared" si="7"/>
        <v/>
      </c>
      <c r="AI54" s="229" t="str">
        <f t="shared" si="8"/>
        <v>Bye</v>
      </c>
      <c r="AJ54" s="203"/>
      <c r="AK54" s="203">
        <f t="shared" si="9"/>
        <v>0</v>
      </c>
      <c r="AL54" s="229">
        <f t="shared" si="5"/>
        <v>0</v>
      </c>
      <c r="AM54" s="181"/>
      <c r="AN54" s="192"/>
      <c r="AO54" s="192"/>
      <c r="AP54" s="192"/>
      <c r="AQ54" s="192"/>
      <c r="AR54" s="192"/>
      <c r="AS54" s="192"/>
      <c r="AT54" s="192"/>
      <c r="AU54" s="192"/>
      <c r="AV54" s="192"/>
      <c r="AW54" s="192"/>
      <c r="AX54" s="192"/>
    </row>
    <row r="55" spans="2:118" ht="15" customHeight="1" thickTop="1" thickBot="1" x14ac:dyDescent="0.35">
      <c r="B55" s="192"/>
      <c r="C55" s="192"/>
      <c r="D55" s="192"/>
      <c r="E55" s="117"/>
      <c r="F55" s="117"/>
      <c r="G55" s="117"/>
      <c r="H55" s="192"/>
      <c r="I55" s="192"/>
      <c r="J55" s="192"/>
      <c r="K55" s="192"/>
      <c r="L55" s="192"/>
      <c r="M55" s="192"/>
      <c r="N55" s="192"/>
      <c r="O55" s="192"/>
      <c r="P55" s="192"/>
      <c r="Q55" s="192"/>
      <c r="R55" s="247"/>
      <c r="S55" s="395"/>
      <c r="T55" s="208">
        <v>3</v>
      </c>
      <c r="U55" s="209" t="str">
        <f>IF(U45="","",IF(OR(U47&lt;&gt;U45,U47&lt;&gt;U46),"",IF(COUNTIF(M46:M48,M48)=1,"",IF(COUNTBLANK(I46:I49)=1,(SUM(L57:P57)+SUM(L60:P60))/(SUM(L58:P58)+SUM(L61:P61)),IF(COUNTBLANK(I46:I49)=0,(SUM(L57:P57)+SUM(L66:P66))/(SUM(L58:P58)+SUM(L67:P67)))))))</f>
        <v/>
      </c>
      <c r="V55" s="125" t="str">
        <f>IF(V45="","",IF(OR(V47&lt;&gt;V45,V47&lt;&gt;V48),"",IF(AND(COUNTBLANK(I46:I49)=0,M46=M48,M48=M49),(SUM(L57:P57)+SUM(L73:P73))/(SUM(L58:P58)+SUM(L72:P72)),"")))</f>
        <v/>
      </c>
      <c r="W55" s="218"/>
      <c r="X55" s="245" t="str">
        <f>IF(X46="","",IF(OR(X47&lt;&gt;X46,X47&lt;&gt;X48),"",IF(AND(COUNTBLANK(I46:I49)=0,M47=M48,M48=M49),(SUM(L66:P66)+SUM(L73:P73))/(SUM(L67:P67)+SUM(L72:P72)),"")))</f>
        <v/>
      </c>
      <c r="Y55" s="208"/>
      <c r="Z55" s="203"/>
      <c r="AA55" s="240">
        <v>4</v>
      </c>
      <c r="AB55" s="222" t="str">
        <f>IF(AND(COUNTBLANK(I46:I49)=0,Group_players=4,M46=M48,M48=M49),IF(COUNTIF(V45:V48,V48)=3,AB68,IF(AND(COUNTIF(V45:V48,V48)=1,V47&lt;&gt;V45),IF(M49=2,IF(SMALL(V45:V48,1)=V48,1,IF(SMALL(V45:V48,2)=V48,2,IF(SMALL(V45:V48,3)=V48,3))),IF(M49=1,IF(SMALL(V45:V48,1)=V48,2,IF(SMALL(V45:V48,2)=V48,3,IF(SMALL(V45:V48,3)=V48,4))),"")),IF(COUNTIF(V45:V48,V48)=1,IF(V48&lt;V45,IF(M49=2,1,2),IF(M49=2,3,4)),IF(COUNTIF(V45:V48,V48)=2,IF(V48=V45,IF(V48&lt;V47,IF(M49=2,IF(Q64=3,1,2),IF(M49=1,IF(Q64=3,2,3))),IF(V48&gt;V47,IF(M49=2,IF(Q64=3,2,3),IF(M49=1,IF(Q64=3,3,4))))),IF(V48=V47,IF(V48&lt;V45,IF(M49=2,IF(Q73=3,1,2),IF(M49=1,IF(Q73=3,2,3))),IF(V48&gt;V45,IF(M49=2,IF(Q73=3,2,3),IF(M49=1,IF(Q73=3,3,4))))))),"")))),"")</f>
        <v/>
      </c>
      <c r="AC55" s="192"/>
      <c r="AD55" s="192"/>
      <c r="AE55" s="192"/>
      <c r="AF55" s="203">
        <f t="shared" si="10"/>
        <v>45</v>
      </c>
      <c r="AG55" s="203" t="str">
        <f t="shared" si="6"/>
        <v/>
      </c>
      <c r="AH55" s="192" t="str">
        <f t="shared" si="7"/>
        <v/>
      </c>
      <c r="AI55" s="229" t="str">
        <f t="shared" si="8"/>
        <v>Bye</v>
      </c>
      <c r="AJ55" s="203"/>
      <c r="AK55" s="203">
        <f t="shared" si="9"/>
        <v>0</v>
      </c>
      <c r="AL55" s="229">
        <f t="shared" si="5"/>
        <v>0</v>
      </c>
      <c r="AM55" s="181"/>
      <c r="AN55" s="192"/>
      <c r="AO55" s="192"/>
      <c r="AP55" s="192"/>
      <c r="AQ55" s="192"/>
      <c r="AR55" s="192"/>
      <c r="AS55" s="192"/>
      <c r="AT55" s="192"/>
      <c r="AU55" s="192"/>
      <c r="AV55" s="192"/>
      <c r="AW55" s="192"/>
      <c r="AX55" s="192"/>
    </row>
    <row r="56" spans="2:118" ht="15" customHeight="1" thickTop="1" thickBot="1" x14ac:dyDescent="0.35">
      <c r="B56" s="192"/>
      <c r="C56" s="192"/>
      <c r="D56" s="192"/>
      <c r="E56" s="168" t="s">
        <v>113</v>
      </c>
      <c r="F56" s="168" t="s">
        <v>114</v>
      </c>
      <c r="G56" s="117"/>
      <c r="H56" s="192"/>
      <c r="I56" s="249" t="s">
        <v>115</v>
      </c>
      <c r="J56" s="249"/>
      <c r="K56" s="249"/>
      <c r="L56" s="250" t="s">
        <v>115</v>
      </c>
      <c r="M56" s="250" t="s">
        <v>116</v>
      </c>
      <c r="N56" s="250" t="s">
        <v>117</v>
      </c>
      <c r="O56" s="250" t="s">
        <v>118</v>
      </c>
      <c r="P56" s="250" t="s">
        <v>119</v>
      </c>
      <c r="Q56" s="250" t="s">
        <v>120</v>
      </c>
      <c r="R56" s="250"/>
      <c r="S56" s="251"/>
      <c r="T56" s="208">
        <v>4</v>
      </c>
      <c r="U56" s="223"/>
      <c r="V56" s="140" t="str">
        <f>IF(V45="","",IF(OR(V48&lt;&gt;V45,V48&lt;&gt;V47),"",IF(AND(COUNTBLANK(I46:I49)=0,M46=M48,M48=M49),(SUM(L63:P63)+SUM(L72:P72))/(SUM(L64:P64)+SUM(L73:P73)),"")))</f>
        <v/>
      </c>
      <c r="W56" s="224" t="str">
        <f>IF(W45="","",IF(OR(W48&lt;&gt;W45,W48&lt;&gt;W46),"",IF(AND(COUNTBLANK(I46:I49)=0,M46=M47,M47=M49),(SUM(L63:P63)+SUM(L60:P60))/(SUM(L64:P64)+SUM(L61:P61)),"")))</f>
        <v/>
      </c>
      <c r="X56" s="252" t="str">
        <f>IF(X46="","",IF(OR(X48&lt;&gt;X46,X48&lt;&gt;X47),"",IF(AND(COUNTBLANK(I46:I49)=0,M47=M48,M48=M49),(SUM(L60:P60)+SUM(L72:P72))/(SUM(L61:P61)+SUM(L73:P73)),"")))</f>
        <v/>
      </c>
      <c r="Y56" s="192"/>
      <c r="Z56" s="203"/>
      <c r="AA56" s="243">
        <v>1</v>
      </c>
      <c r="AB56" s="151" t="str">
        <f>IF(AND(COUNTBLANK(I46:I49)=0,Group_players=4,M46=M47,M47=M49),IF(COUNTIF(W45:W48,W45)=3,AB69,IF(AND(COUNTIF(W45:W48,W45)=1,W46&lt;&gt;W48),IF(M46=2,IF(SMALL(W45:W48,1)=W45,1,IF(SMALL(W45:W48,2)=W45,2,IF(SMALL(W45:W48,3)=W45,3))),IF(M46=1,IF(SMALL(W45:W48,1)=W45,2,IF(SMALL(W45:W48,2)=W45,3,IF(SMALL(W45:W48,3)=W45,4))),"")),IF(COUNTIF(W45:W48,W45)=1,IF(W45&lt;W46,IF(M46=2,1,2),IF(M46=2,3,4)),IF(COUNTIF(W45:W48,W45)=2,IF(W45=W46,IF(W45&lt;W48,IF(M46=2,IF(Q69=3,1,2),IF(M46=1,IF(Q69=3,2,3))),IF(W45&gt;W48,IF(M46=2,IF(Q69=3,2,3),IF(M46=1,IF(Q69=3,3,4))))),IF(W45=W48,IF(W45&lt;W46,IF(M46=2,IF(Q63=3,1,2),IF(M46=1,IF(Q63=3,2,3))),IF(W45&gt;W46,IF(M46=2,IF(Q63=3,2,3),IF(M46=1,IF(Q63=3,3,4))))))),"")))),"")</f>
        <v/>
      </c>
      <c r="AC56" s="192"/>
      <c r="AD56" s="192"/>
      <c r="AE56" s="192"/>
      <c r="AF56" s="203">
        <f t="shared" si="10"/>
        <v>46</v>
      </c>
      <c r="AG56" s="203" t="str">
        <f t="shared" si="6"/>
        <v/>
      </c>
      <c r="AH56" s="192" t="str">
        <f t="shared" si="7"/>
        <v/>
      </c>
      <c r="AI56" s="229" t="str">
        <f t="shared" si="8"/>
        <v>Bye</v>
      </c>
      <c r="AJ56" s="203"/>
      <c r="AK56" s="203">
        <f t="shared" si="9"/>
        <v>0</v>
      </c>
      <c r="AL56" s="229">
        <f t="shared" si="5"/>
        <v>0</v>
      </c>
      <c r="AM56" s="181"/>
      <c r="AN56" s="192"/>
      <c r="AO56" s="192"/>
      <c r="AP56" s="192"/>
      <c r="AQ56" s="192"/>
      <c r="AR56" s="192"/>
      <c r="AS56" s="192"/>
      <c r="AT56" s="192"/>
      <c r="AU56" s="192"/>
      <c r="AV56" s="192"/>
      <c r="AW56" s="192"/>
      <c r="AX56" s="192"/>
      <c r="AY56" s="181"/>
      <c r="AZ56" s="181"/>
      <c r="BA56" s="181"/>
      <c r="BB56" s="181"/>
      <c r="BC56" s="181"/>
      <c r="BD56" s="181"/>
      <c r="BE56" s="181"/>
      <c r="BF56" s="181"/>
      <c r="BG56" s="181"/>
      <c r="BH56" s="181"/>
      <c r="BI56" s="181"/>
      <c r="BJ56" s="181"/>
      <c r="BK56" s="181"/>
      <c r="BL56" s="181"/>
      <c r="BM56" s="181"/>
      <c r="BN56" s="181"/>
      <c r="BO56" s="181"/>
      <c r="BP56" s="181"/>
      <c r="BQ56" s="181"/>
      <c r="BR56" s="181"/>
      <c r="BS56" s="181"/>
      <c r="BT56" s="181"/>
      <c r="BU56" s="181"/>
      <c r="BV56" s="181"/>
      <c r="BW56" s="181"/>
      <c r="BX56" s="181"/>
      <c r="BY56" s="181"/>
      <c r="BZ56" s="181"/>
      <c r="CA56" s="181"/>
      <c r="CB56" s="181"/>
      <c r="CC56" s="181"/>
      <c r="CD56" s="181"/>
      <c r="CE56" s="181"/>
      <c r="CF56" s="181"/>
      <c r="CG56" s="181"/>
      <c r="CH56" s="181"/>
      <c r="CI56" s="181"/>
      <c r="CJ56" s="181"/>
      <c r="CK56" s="181"/>
      <c r="CL56" s="181"/>
      <c r="CM56" s="181"/>
      <c r="CN56" s="181"/>
      <c r="CO56" s="181"/>
      <c r="CP56" s="181"/>
      <c r="CQ56" s="181"/>
      <c r="CR56" s="181"/>
      <c r="CS56" s="181"/>
      <c r="CT56" s="181"/>
      <c r="CU56" s="181"/>
      <c r="CV56" s="181"/>
      <c r="CW56" s="181"/>
      <c r="CX56" s="181"/>
      <c r="CY56" s="181"/>
      <c r="CZ56" s="181"/>
      <c r="DA56" s="181"/>
      <c r="DB56" s="181"/>
      <c r="DC56" s="181"/>
      <c r="DD56" s="181"/>
      <c r="DE56" s="181"/>
      <c r="DF56" s="181"/>
      <c r="DG56" s="181"/>
      <c r="DH56" s="181"/>
      <c r="DI56" s="181"/>
      <c r="DJ56" s="181"/>
      <c r="DK56" s="181"/>
      <c r="DL56" s="181"/>
      <c r="DM56" s="181"/>
      <c r="DN56" s="9"/>
    </row>
    <row r="57" spans="2:118" ht="15" customHeight="1" thickTop="1" x14ac:dyDescent="0.3">
      <c r="B57" s="192"/>
      <c r="C57" s="192"/>
      <c r="D57" s="192"/>
      <c r="E57" s="164" t="str">
        <f>IF(Q57="","",IF(Q57=3,1,0))</f>
        <v/>
      </c>
      <c r="F57" s="164" t="str">
        <f>IF(Q57="","",IF(Q57&lt;3,1,0))</f>
        <v/>
      </c>
      <c r="G57" s="192"/>
      <c r="H57" s="192" t="str">
        <f>IF(I46="","",1)</f>
        <v/>
      </c>
      <c r="I57" s="192" t="str">
        <f>IF(ISNUMBER(H57),VLOOKUP(H57,H46:I49,2,TRUE),"")</f>
        <v/>
      </c>
      <c r="J57" s="192"/>
      <c r="K57" s="192" t="str">
        <f>VLOOKUP(I57,I46:L49,3,FALSE)</f>
        <v/>
      </c>
      <c r="L57" s="253"/>
      <c r="M57" s="254"/>
      <c r="N57" s="254"/>
      <c r="O57" s="152"/>
      <c r="P57" s="153"/>
      <c r="Q57" s="255" t="str">
        <f>IF(L57="","",IF(AND(L57-L58&gt;1,L57&gt;10),1,0)+IF(AND(M57-M58&gt;1,M57&gt;10),1,0)+IF(AND(N57-N58&gt;1,N57&gt;10),1,0)+IF(AND(O57-O58&gt;1,O57&gt;10),1,0)+IF(AND(P57-P58&gt;1,P57&gt;10),1,0))</f>
        <v/>
      </c>
      <c r="R57" s="203" t="str">
        <f>IF(AND(I57="",I58=""),"",ABS(VLOOKUP(I57,I46:L49,4,FALSE)-VLOOKUP(I58,I46:L49,4,FALSE)))</f>
        <v/>
      </c>
      <c r="S57" s="256" t="str">
        <f>IF(R58="","",IF(Q57=3,+R58,-R58))</f>
        <v/>
      </c>
      <c r="T57" s="257"/>
      <c r="U57" s="258"/>
      <c r="V57" s="258"/>
      <c r="W57" s="258"/>
      <c r="X57" s="258"/>
      <c r="Y57" s="192"/>
      <c r="Z57" s="203"/>
      <c r="AA57" s="246">
        <v>2</v>
      </c>
      <c r="AB57" s="154" t="str">
        <f>IF(AND(COUNTBLANK(I46:I49)=0,Group_players=4,M46=M47,M47=M49),IF(COUNTIF(W45:W48,W46)=3,AB70,IF(AND(COUNTIF(W45:W48,W46)=1,W45&lt;&gt;W47),IF(M47=2,IF(SMALL(W45:W48,1)=W46,1,IF(SMALL(W45:W48,2)=W46,2,IF(SMALL(W45:W48,3)=W46,3))),IF(M47=1,IF(SMALL(W45:W48,1)=W46,2,IF(SMALL(W45:W48,2)=W46,3,IF(SMALL(W45:W48,3)=W46,4))),"")),IF(COUNTIF(W45:W48,W46)=1,IF(W46&lt;W45,IF(M47=2,1,2),IF(M47=2,3,4)),IF(COUNTIF(W45:W48,W46)=2,IF(W46=W45,IF(W46&lt;W48,IF(M47=2,IF(Q70=3,1,2),IF(M47=1,IF(Q70=3,2,3))),IF(W46&gt;W48,IF(M47=2,IF(Q70=3,2,3),IF(M47=1,IF(Q70=3,3,4))))),IF(W46=W48,IF(W46&lt;W45,IF(M47=2,IF(Q60=3,1,2),IF(M47=1,IF(Q60=3,2,3))),IF(W46&gt;W45,IF(M47=2,IF(Q60=3,2,3),IF(M47=1,IF(Q60=3,3,4))))))),"")))),"")</f>
        <v/>
      </c>
      <c r="AC57" s="192"/>
      <c r="AD57" s="192"/>
      <c r="AE57" s="192"/>
      <c r="AF57" s="203">
        <f t="shared" si="10"/>
        <v>47</v>
      </c>
      <c r="AG57" s="203" t="str">
        <f t="shared" si="6"/>
        <v/>
      </c>
      <c r="AH57" s="192" t="str">
        <f t="shared" si="7"/>
        <v/>
      </c>
      <c r="AI57" s="229" t="str">
        <f t="shared" si="8"/>
        <v>Bye</v>
      </c>
      <c r="AJ57" s="203"/>
      <c r="AK57" s="203">
        <f t="shared" si="9"/>
        <v>0</v>
      </c>
      <c r="AL57" s="229">
        <f t="shared" si="5"/>
        <v>0</v>
      </c>
      <c r="AM57" s="181"/>
      <c r="AN57" s="192"/>
      <c r="AO57" s="192"/>
      <c r="AP57" s="192"/>
      <c r="AQ57" s="192"/>
      <c r="AR57" s="192"/>
      <c r="AS57" s="192"/>
      <c r="AT57" s="192"/>
      <c r="AU57" s="192"/>
      <c r="AV57" s="192"/>
      <c r="AW57" s="192"/>
      <c r="AX57" s="192"/>
      <c r="AY57" s="181"/>
      <c r="AZ57" s="181"/>
      <c r="BA57" s="181"/>
      <c r="BB57" s="181"/>
      <c r="BC57" s="181"/>
      <c r="BD57" s="181"/>
      <c r="BE57" s="181"/>
      <c r="BF57" s="181"/>
      <c r="BG57" s="181"/>
      <c r="BH57" s="181"/>
      <c r="BI57" s="181"/>
      <c r="BJ57" s="181"/>
      <c r="BK57" s="181"/>
      <c r="BL57" s="181"/>
      <c r="BM57" s="181"/>
      <c r="BN57" s="181"/>
      <c r="BO57" s="181"/>
      <c r="BP57" s="181"/>
      <c r="BQ57" s="181"/>
      <c r="BR57" s="181"/>
      <c r="BS57" s="181"/>
      <c r="BT57" s="181"/>
      <c r="BU57" s="181"/>
      <c r="BV57" s="181"/>
      <c r="BW57" s="181"/>
      <c r="BX57" s="181"/>
      <c r="BY57" s="181"/>
      <c r="BZ57" s="181"/>
      <c r="CA57" s="181"/>
      <c r="CB57" s="181"/>
      <c r="CC57" s="181"/>
      <c r="CD57" s="181"/>
      <c r="CE57" s="181"/>
      <c r="CF57" s="181"/>
      <c r="CG57" s="181"/>
      <c r="CH57" s="181"/>
      <c r="CI57" s="181"/>
      <c r="CJ57" s="181"/>
      <c r="CK57" s="181"/>
      <c r="CL57" s="181"/>
      <c r="CM57" s="181"/>
      <c r="CN57" s="181"/>
      <c r="CO57" s="181"/>
      <c r="CP57" s="181"/>
      <c r="CQ57" s="181"/>
      <c r="CR57" s="181"/>
      <c r="CS57" s="181"/>
      <c r="CT57" s="181"/>
      <c r="CU57" s="181"/>
      <c r="CV57" s="181"/>
      <c r="CW57" s="181"/>
      <c r="CX57" s="181"/>
      <c r="CY57" s="181"/>
      <c r="CZ57" s="181"/>
      <c r="DA57" s="181"/>
      <c r="DB57" s="181"/>
      <c r="DC57" s="181"/>
      <c r="DD57" s="181"/>
      <c r="DE57" s="181"/>
      <c r="DF57" s="181"/>
      <c r="DG57" s="181"/>
      <c r="DH57" s="181"/>
      <c r="DI57" s="181"/>
      <c r="DJ57" s="181"/>
      <c r="DK57" s="181"/>
      <c r="DL57" s="181"/>
      <c r="DM57" s="181"/>
      <c r="DN57" s="181"/>
    </row>
    <row r="58" spans="2:118" ht="15" customHeight="1" thickBot="1" x14ac:dyDescent="0.35">
      <c r="B58" s="192"/>
      <c r="C58" s="192"/>
      <c r="D58" s="192"/>
      <c r="E58" s="164" t="str">
        <f>IF(Q58="","",IF(Q58=3,1,0))</f>
        <v/>
      </c>
      <c r="F58" s="164" t="str">
        <f>IF(Q58="","",IF(Q58&lt;3,1,0))</f>
        <v/>
      </c>
      <c r="G58" s="192"/>
      <c r="H58" s="192" t="str">
        <f>IF(I47="","",IF(I48="",2,3))</f>
        <v/>
      </c>
      <c r="I58" s="192" t="str">
        <f>IF(ISNUMBER(H58),VLOOKUP(H58,H46:I49,2,TRUE),"")</f>
        <v/>
      </c>
      <c r="J58" s="192"/>
      <c r="K58" s="192" t="str">
        <f>VLOOKUP(I58,I46:L49,3,FALSE)</f>
        <v/>
      </c>
      <c r="L58" s="155"/>
      <c r="M58" s="259"/>
      <c r="N58" s="259"/>
      <c r="O58" s="156"/>
      <c r="P58" s="157"/>
      <c r="Q58" s="260" t="str">
        <f>IF(L58="","",IF(AND(L58-L57&gt;1,L58&gt;10),1,0)+IF(AND(M58-M57&gt;1,M58&gt;10),1,0)+IF(AND(N58-N57&gt;1,N58&gt;10),1,0)+IF(AND(O58-O57&gt;1,O58&gt;10),1,0)+IF(AND(P58-P57&gt;1,P58&gt;10),1,0))</f>
        <v/>
      </c>
      <c r="R58" s="203" t="str">
        <f>IF(AND(Q57&lt;&gt;3,Q58&lt;&gt;3),"",IF(Q57=3,IF(VLOOKUP(I57,I46:L48,4,FALSE)&gt;VLOOKUP(I58,I46:L49,4,FALSE),VLOOKUP(R57,Point_dif,2,FALSE),VLOOKUP(R57,Point_dif,3,FALSE)),IF(Q58=3,IF(VLOOKUP(I58,I46:L48,4,FALSE)&gt;VLOOKUP(I57,I46:L49,4,FALSE),VLOOKUP(R57,Point_dif,2,FALSE),VLOOKUP(R57,Point_dif,3,FALSE)))))</f>
        <v/>
      </c>
      <c r="S58" s="256" t="str">
        <f>IF(R58="","",IF(Q58=3,+R58,-R58))</f>
        <v/>
      </c>
      <c r="T58" s="192"/>
      <c r="U58" s="235"/>
      <c r="V58" s="235"/>
      <c r="W58" s="235"/>
      <c r="X58" s="235"/>
      <c r="Y58" s="235"/>
      <c r="Z58" s="235"/>
      <c r="AA58" s="240">
        <v>4</v>
      </c>
      <c r="AB58" s="158" t="str">
        <f>IF(AND(COUNTBLANK(I46:I49)=0,Group_players=4,M46=M47,M47=M49),IF(COUNTIF(W45:W48,W48)=3,AB71,IF(AND(COUNTIF(W45:W48,W48)=1,W45&lt;&gt;W46),IF(M49=2,IF(SMALL(W45:W48,1)=W48,1,IF(SMALL(W45:W48,2)=W48,2,IF(SMALL(W45:W48,3)=W48,3))),IF(M49=1,IF(SMALL(W45:W48,1)=W48,2,IF(SMALL(W45:W48,2)=W48,3,IF(SMALL(W45:W48,3)=W48,4))),"")),IF(COUNTIF(W45:W48,W48)=1,IF(W48&lt;W45,IF(M49=2,1,2),IF(M49=2,3,4)),IF(COUNTIF(W45:W48,W48)=2,IF(W48=W45,IF(W48&lt;W46,IF(M49=2,IF(Q64=3,1,2),IF(M49=1,IF(Q64=3,2,3))),IF(W48&gt;W47,IF(M49=2,IF(Q64=3,2,3),IF(M49=1,IF(Q64=3,3,4))))),IF(W48=W46,IF(W48&lt;W45,IF(M49=2,IF(Q61=3,1,2),IF(M49=1,IF(Q61=3,2,3))),IF(W48&gt;W45,IF(M49=2,IF(Q61=3,2,3),IF(M49=1,IF(Q61=3,3,4))))))),"")))),"")</f>
        <v/>
      </c>
      <c r="AC58" s="192"/>
      <c r="AD58" s="192"/>
      <c r="AE58" s="192"/>
      <c r="AF58" s="203">
        <f t="shared" si="10"/>
        <v>48</v>
      </c>
      <c r="AG58" s="203" t="str">
        <f t="shared" si="6"/>
        <v/>
      </c>
      <c r="AH58" s="192" t="str">
        <f t="shared" si="7"/>
        <v/>
      </c>
      <c r="AI58" s="229" t="str">
        <f t="shared" si="8"/>
        <v>Bye</v>
      </c>
      <c r="AJ58" s="203"/>
      <c r="AK58" s="203">
        <f t="shared" si="9"/>
        <v>0</v>
      </c>
      <c r="AL58" s="229">
        <f t="shared" si="5"/>
        <v>0</v>
      </c>
      <c r="AM58" s="181"/>
      <c r="AN58" s="192"/>
      <c r="AO58" s="192"/>
      <c r="AP58" s="192"/>
      <c r="AQ58" s="192"/>
      <c r="AR58" s="192"/>
      <c r="AS58" s="192"/>
      <c r="AT58" s="192"/>
      <c r="AU58" s="192"/>
      <c r="AV58" s="192"/>
      <c r="AW58" s="192"/>
      <c r="AX58" s="192"/>
      <c r="AY58" s="181"/>
      <c r="AZ58" s="181"/>
      <c r="BA58" s="181"/>
      <c r="BB58" s="181"/>
      <c r="BC58" s="181"/>
      <c r="BD58" s="181"/>
      <c r="BE58" s="181"/>
      <c r="BF58" s="181"/>
      <c r="BG58" s="181"/>
      <c r="BH58" s="181"/>
      <c r="BI58" s="181"/>
      <c r="BJ58" s="181"/>
      <c r="BK58" s="181"/>
      <c r="BL58" s="181"/>
      <c r="BM58" s="181"/>
      <c r="BN58" s="181"/>
      <c r="BO58" s="181"/>
      <c r="BP58" s="181"/>
      <c r="BQ58" s="181"/>
      <c r="BR58" s="181"/>
      <c r="BS58" s="181"/>
      <c r="BT58" s="181"/>
      <c r="BU58" s="181"/>
      <c r="BV58" s="181"/>
      <c r="BW58" s="181"/>
      <c r="BX58" s="181"/>
      <c r="BY58" s="181"/>
      <c r="BZ58" s="181"/>
      <c r="CA58" s="181"/>
      <c r="CB58" s="181"/>
      <c r="CC58" s="181"/>
      <c r="CD58" s="181"/>
      <c r="CE58" s="181"/>
      <c r="CF58" s="181"/>
      <c r="CG58" s="181"/>
      <c r="CH58" s="181"/>
      <c r="CI58" s="181"/>
      <c r="CJ58" s="181"/>
      <c r="CK58" s="181"/>
      <c r="CL58" s="181"/>
      <c r="CM58" s="181"/>
      <c r="CN58" s="181"/>
      <c r="CO58" s="181"/>
      <c r="CP58" s="181"/>
      <c r="CQ58" s="181"/>
      <c r="CR58" s="181"/>
      <c r="CS58" s="181"/>
      <c r="CT58" s="181"/>
      <c r="CU58" s="181"/>
      <c r="CV58" s="181"/>
      <c r="CW58" s="181"/>
      <c r="CX58" s="181"/>
      <c r="CY58" s="181"/>
      <c r="CZ58" s="181"/>
      <c r="DA58" s="181"/>
      <c r="DB58" s="181"/>
      <c r="DC58" s="181"/>
      <c r="DD58" s="181"/>
      <c r="DE58" s="181"/>
      <c r="DF58" s="181"/>
      <c r="DG58" s="181"/>
      <c r="DH58" s="181"/>
      <c r="DI58" s="181"/>
      <c r="DJ58" s="181"/>
      <c r="DK58" s="181"/>
      <c r="DL58" s="181"/>
      <c r="DM58" s="181"/>
      <c r="DN58" s="181"/>
    </row>
    <row r="59" spans="2:118" ht="15" customHeight="1" thickTop="1" thickBot="1" x14ac:dyDescent="0.35">
      <c r="B59" s="192"/>
      <c r="C59" s="192"/>
      <c r="D59" s="192"/>
      <c r="E59" s="164"/>
      <c r="F59" s="164"/>
      <c r="G59" s="192"/>
      <c r="H59" s="192"/>
      <c r="I59" s="249" t="s">
        <v>116</v>
      </c>
      <c r="J59" s="249"/>
      <c r="K59" s="249"/>
      <c r="L59" s="250" t="s">
        <v>115</v>
      </c>
      <c r="M59" s="250" t="s">
        <v>116</v>
      </c>
      <c r="N59" s="250" t="s">
        <v>117</v>
      </c>
      <c r="O59" s="250" t="s">
        <v>118</v>
      </c>
      <c r="P59" s="250" t="s">
        <v>119</v>
      </c>
      <c r="Q59" s="250" t="s">
        <v>120</v>
      </c>
      <c r="R59" s="250"/>
      <c r="S59" s="251"/>
      <c r="T59" s="192"/>
      <c r="U59" s="235"/>
      <c r="V59" s="235"/>
      <c r="W59" s="235"/>
      <c r="X59" s="235"/>
      <c r="Y59" s="235"/>
      <c r="Z59" s="235"/>
      <c r="AA59" s="243">
        <v>2</v>
      </c>
      <c r="AB59" s="151" t="str">
        <f>IF(AND(COUNTBLANK(I46:I49)=0,Group_players=4,M47=M48,M48=M49),IF(COUNTIF(X45:X48,X46)=3,AB72,IF(AND(COUNTIF(X45:X48,X46)=1,X47&lt;&gt;X48),IF(M47=2,IF(SMALL(X45:X48,1)=X46,1,IF(SMALL(X45:X48,2)=X46,2,IF(SMALL(X45:X48,3)=X46,3))),IF(M47=1,IF(SMALL(X45:X48,1)=X46,2,IF(SMALL(X45:X48,2)=X46,3,IF(SMALL(X45:X48,3)=X46,4))),"")),IF(COUNTIF(X45:X48,X46)=1,IF(X46&lt;X48,IF(M47=2,1,2),IF(M47=1,3,3)),IF(COUNTIF(X45:X48,X46)=2,IF(X46=X47,IF(X46&lt;X48,IF(M47=2,IF(Q66=3,1,2),IF(M47=1,IF(Q66=3,2,3))),IF(X46&gt;X48,IF(M47=2,IF(Q66=3,2,3),IF(M47=1,IF(Q66=3,3,4))))),IF(X46=X48,IF(X46&lt;X47,IF(M47=2,IF(Q60=3,1,2),IF(M47=1,IF(Q60=3,2,3))),IF(X46&gt;X47,IF(M47=2,IF(Q60=3,2,3),IF(M47=1,IF(Q60=3,3,4))))))),"")))),"")</f>
        <v/>
      </c>
      <c r="AC59" s="192"/>
      <c r="AD59" s="192"/>
      <c r="AE59" s="192"/>
      <c r="AF59" s="203">
        <f t="shared" si="10"/>
        <v>49</v>
      </c>
      <c r="AG59" s="203" t="str">
        <f t="shared" si="6"/>
        <v/>
      </c>
      <c r="AH59" s="192" t="str">
        <f t="shared" si="7"/>
        <v/>
      </c>
      <c r="AI59" s="229" t="str">
        <f t="shared" si="8"/>
        <v>Bye</v>
      </c>
      <c r="AJ59" s="203"/>
      <c r="AK59" s="203">
        <f t="shared" si="9"/>
        <v>0</v>
      </c>
      <c r="AL59" s="229">
        <f t="shared" si="5"/>
        <v>0</v>
      </c>
      <c r="AM59" s="181"/>
      <c r="AN59" s="192"/>
      <c r="AO59" s="192"/>
      <c r="AP59" s="192"/>
      <c r="AQ59" s="192"/>
      <c r="AR59" s="192"/>
      <c r="AS59" s="192"/>
      <c r="AT59" s="192"/>
      <c r="AU59" s="192"/>
      <c r="AV59" s="192"/>
      <c r="AW59" s="192"/>
      <c r="AX59" s="192"/>
      <c r="AY59" s="181"/>
      <c r="AZ59" s="181"/>
      <c r="BA59" s="181"/>
      <c r="BB59" s="181"/>
      <c r="BC59" s="181"/>
      <c r="BD59" s="181"/>
      <c r="BE59" s="181"/>
      <c r="BF59" s="181"/>
      <c r="BG59" s="181"/>
      <c r="BH59" s="181"/>
      <c r="BI59" s="181"/>
      <c r="BJ59" s="181"/>
      <c r="BK59" s="181"/>
      <c r="BL59" s="181"/>
      <c r="BM59" s="181"/>
      <c r="BN59" s="181"/>
      <c r="BO59" s="181"/>
      <c r="BP59" s="181"/>
      <c r="BQ59" s="181"/>
      <c r="BR59" s="181"/>
      <c r="BS59" s="181"/>
      <c r="BT59" s="181"/>
      <c r="BU59" s="181"/>
      <c r="BV59" s="181"/>
      <c r="BW59" s="181"/>
      <c r="BX59" s="181"/>
      <c r="BY59" s="181"/>
      <c r="BZ59" s="181"/>
      <c r="CA59" s="181"/>
      <c r="CB59" s="181"/>
      <c r="CC59" s="181"/>
      <c r="CD59" s="181"/>
      <c r="CE59" s="181"/>
      <c r="CF59" s="181"/>
      <c r="CG59" s="181"/>
      <c r="CH59" s="181"/>
      <c r="CI59" s="181"/>
      <c r="CJ59" s="181"/>
      <c r="CK59" s="181"/>
      <c r="CL59" s="181"/>
      <c r="CM59" s="181"/>
      <c r="CN59" s="181"/>
      <c r="CO59" s="181"/>
      <c r="CP59" s="181"/>
      <c r="CQ59" s="181"/>
      <c r="CR59" s="181"/>
      <c r="CS59" s="181"/>
      <c r="CT59" s="181"/>
      <c r="CU59" s="181"/>
      <c r="CV59" s="181"/>
      <c r="CW59" s="181"/>
      <c r="CX59" s="181"/>
      <c r="CY59" s="181"/>
      <c r="CZ59" s="181"/>
      <c r="DA59" s="181"/>
      <c r="DB59" s="181"/>
      <c r="DC59" s="181"/>
      <c r="DD59" s="181"/>
      <c r="DE59" s="181"/>
      <c r="DF59" s="181"/>
      <c r="DG59" s="181"/>
      <c r="DH59" s="181"/>
      <c r="DI59" s="181"/>
      <c r="DJ59" s="181"/>
      <c r="DK59" s="181"/>
      <c r="DL59" s="181"/>
      <c r="DM59" s="181"/>
      <c r="DN59" s="181"/>
    </row>
    <row r="60" spans="2:118" ht="15" customHeight="1" thickTop="1" x14ac:dyDescent="0.3">
      <c r="B60" s="192"/>
      <c r="C60" s="192"/>
      <c r="D60" s="192"/>
      <c r="E60" s="164" t="str">
        <f>IF(Q60="","",IF(Q60=3,1,0))</f>
        <v/>
      </c>
      <c r="F60" s="164" t="str">
        <f>IF(Q60="","",IF(Q60&lt;3,1,0))</f>
        <v/>
      </c>
      <c r="G60" s="192"/>
      <c r="H60" s="192" t="str">
        <f>IF(I48="","",2)</f>
        <v/>
      </c>
      <c r="I60" s="192" t="str">
        <f>IF(ISNUMBER(H60),VLOOKUP(H60,H46:I49,2,TRUE),"")</f>
        <v/>
      </c>
      <c r="J60" s="192"/>
      <c r="K60" s="192" t="str">
        <f>VLOOKUP(I60,I46:L49,3,FALSE)</f>
        <v/>
      </c>
      <c r="L60" s="253"/>
      <c r="M60" s="253"/>
      <c r="N60" s="253"/>
      <c r="O60" s="152"/>
      <c r="P60" s="153"/>
      <c r="Q60" s="255" t="str">
        <f>IF(L60="","",IF(AND(L60-L61&gt;1,L60&gt;10),1,0)+IF(AND(M60-M61&gt;1,M60&gt;10),1,0)+IF(AND(N60-N61&gt;1,N60&gt;10),1,0)+IF(AND(O60-O61&gt;1,O60&gt;10),1,0)+IF(AND(P60-P61&gt;1,P60&gt;10),1,0))</f>
        <v/>
      </c>
      <c r="R60" s="203" t="str">
        <f>IF(AND(I60="",I61=""),"",ABS(VLOOKUP(I60,I46:L49,4,FALSE)-VLOOKUP(I61,I46:L49,4,FALSE)))</f>
        <v/>
      </c>
      <c r="S60" s="256" t="str">
        <f>IF(R61="","",IF(Q60=3,+R61,-R61))</f>
        <v/>
      </c>
      <c r="T60" s="192"/>
      <c r="U60" s="235"/>
      <c r="V60" s="235"/>
      <c r="W60" s="235"/>
      <c r="X60" s="235"/>
      <c r="Y60" s="235"/>
      <c r="Z60" s="235"/>
      <c r="AA60" s="246">
        <v>3</v>
      </c>
      <c r="AB60" s="154" t="str">
        <f>IF(AND(COUNTBLANK(I46:I49)=0,Group_players=4,M47=M48,M48=M49),IF(COUNTIF(X45:X48,X47)=3,AB73,IF(AND(COUNTIF(X45:X48,X47)=1,X46&lt;&gt;X48),IF(M48=2,IF(SMALL(X45:X48,1)=X47,1,IF(SMALL(X45:X48,2)=X47,2,IF(SMALL(X45:X48,3)=X47,3))),IF(M48=1,IF(SMALL(X45:X48,1)=X47,2,IF(SMALL(X45:X48,2)=X47,3,IF(SMALL(X45:X48,3)=X47,4))),"")),IF(COUNTIF(X45:X48,X47)=1,IF(X47&lt;X46,IF(M48=2,1,2),IF(M48=2,3,4)),IF(COUNTIF(X45:X48,X47)=2,IF(X47=X46,IF(X47&lt;X48,IF(M48=2,IF(Q67=3,1,2),IF(M48=1,IF(Q67=3,2,3))),IF(X47&gt;X48,IF(M48=2,IF(Q67=3,2,3),IF(M48=1,IF(Q67=3,3,4))))),IF(X47=X48,IF(X47&lt;X46,IF(M48=2,IF(Q72=3,1,2),IF(M48=1,IF(Q72=3,2,3))),IF(X47&gt;X46,IF(M48=2,IF(Q72=3,2,3),IF(M48=1,IF(Q72=3,3,4))))))),"")))),"")</f>
        <v/>
      </c>
      <c r="AC60" s="192"/>
      <c r="AD60" s="192"/>
      <c r="AE60" s="192"/>
      <c r="AF60" s="203">
        <f t="shared" si="10"/>
        <v>50</v>
      </c>
      <c r="AG60" s="203" t="str">
        <f t="shared" si="6"/>
        <v/>
      </c>
      <c r="AH60" s="192" t="str">
        <f t="shared" si="7"/>
        <v/>
      </c>
      <c r="AI60" s="229" t="str">
        <f t="shared" si="8"/>
        <v>Bye</v>
      </c>
      <c r="AJ60" s="203"/>
      <c r="AK60" s="203">
        <f t="shared" si="9"/>
        <v>0</v>
      </c>
      <c r="AL60" s="229">
        <f t="shared" si="5"/>
        <v>0</v>
      </c>
      <c r="AM60" s="181"/>
      <c r="AN60" s="192"/>
      <c r="AO60" s="192"/>
      <c r="AP60" s="192"/>
      <c r="AQ60" s="192"/>
      <c r="AR60" s="192"/>
      <c r="AS60" s="192"/>
      <c r="AT60" s="192"/>
      <c r="AU60" s="192"/>
      <c r="AV60" s="192"/>
      <c r="AW60" s="192"/>
      <c r="AX60" s="192"/>
      <c r="AY60" s="181"/>
      <c r="AZ60" s="181"/>
      <c r="BA60" s="181"/>
      <c r="BB60" s="181"/>
      <c r="BC60" s="181"/>
      <c r="BD60" s="181"/>
      <c r="BE60" s="181"/>
      <c r="BF60" s="181"/>
      <c r="BG60" s="181"/>
      <c r="BH60" s="181"/>
      <c r="BI60" s="181"/>
      <c r="BJ60" s="181"/>
      <c r="BK60" s="181"/>
      <c r="BL60" s="181"/>
      <c r="BM60" s="181"/>
      <c r="BN60" s="181"/>
      <c r="BO60" s="181"/>
      <c r="BP60" s="181"/>
      <c r="BQ60" s="181"/>
      <c r="BR60" s="181"/>
      <c r="BS60" s="181"/>
      <c r="BT60" s="181"/>
      <c r="BU60" s="181"/>
      <c r="BV60" s="181"/>
      <c r="BW60" s="181"/>
      <c r="BX60" s="181"/>
      <c r="BY60" s="181"/>
      <c r="BZ60" s="181"/>
      <c r="CA60" s="181"/>
      <c r="CB60" s="181"/>
      <c r="CC60" s="181"/>
      <c r="CD60" s="181"/>
      <c r="CE60" s="181"/>
      <c r="CF60" s="181"/>
      <c r="CG60" s="181"/>
      <c r="CH60" s="181"/>
      <c r="CI60" s="181"/>
      <c r="CJ60" s="181"/>
      <c r="CK60" s="181"/>
      <c r="CL60" s="181"/>
      <c r="CM60" s="181"/>
      <c r="CN60" s="181"/>
      <c r="CO60" s="181"/>
      <c r="CP60" s="181"/>
      <c r="CQ60" s="181"/>
      <c r="CR60" s="181"/>
      <c r="CS60" s="181"/>
      <c r="CT60" s="181"/>
      <c r="CU60" s="181"/>
      <c r="CV60" s="181"/>
      <c r="CW60" s="181"/>
      <c r="CX60" s="181"/>
      <c r="CY60" s="181"/>
      <c r="CZ60" s="181"/>
      <c r="DA60" s="181"/>
      <c r="DB60" s="181"/>
      <c r="DC60" s="181"/>
      <c r="DD60" s="181"/>
      <c r="DE60" s="181"/>
      <c r="DF60" s="181"/>
      <c r="DG60" s="181"/>
      <c r="DH60" s="181"/>
      <c r="DI60" s="181"/>
      <c r="DJ60" s="181"/>
      <c r="DK60" s="181"/>
      <c r="DL60" s="181"/>
      <c r="DM60" s="181"/>
      <c r="DN60" s="181"/>
    </row>
    <row r="61" spans="2:118" ht="15" customHeight="1" thickBot="1" x14ac:dyDescent="0.35">
      <c r="B61" s="192"/>
      <c r="C61" s="192"/>
      <c r="D61" s="192"/>
      <c r="E61" s="164" t="str">
        <f>IF(Q61="","",IF(Q61=3,1,0))</f>
        <v/>
      </c>
      <c r="F61" s="164" t="str">
        <f>IF(Q61="","",IF(Q61&lt;3,1,0))</f>
        <v/>
      </c>
      <c r="G61" s="192"/>
      <c r="H61" s="192" t="str">
        <f>IF(I48="","",IF(I49="",3,4))</f>
        <v/>
      </c>
      <c r="I61" s="192" t="str">
        <f>IF(ISNUMBER(H61),VLOOKUP(H61,H46:I49,2,TRUE),"")</f>
        <v/>
      </c>
      <c r="J61" s="192"/>
      <c r="K61" s="192" t="str">
        <f>VLOOKUP(I61,I46:L49,3,FALSE)</f>
        <v/>
      </c>
      <c r="L61" s="155"/>
      <c r="M61" s="155"/>
      <c r="N61" s="155"/>
      <c r="O61" s="156"/>
      <c r="P61" s="157"/>
      <c r="Q61" s="260" t="str">
        <f>IF(L61="","",IF(AND(L61-L60&gt;1,L61&gt;10),1,0)+IF(AND(M61-M60&gt;1,M61&gt;10),1,0)+IF(AND(N61-N60&gt;1,N61&gt;10),1,0)+IF(AND(O61-O60&gt;1,O61&gt;10),1,0)+IF(AND(P61-P60&gt;1,P61&gt;10),1,0))</f>
        <v/>
      </c>
      <c r="R61" s="203" t="str">
        <f>IF(AND(Q60&lt;&gt;3,Q61&lt;&gt;3),"",IF(Q60=3,IF(VLOOKUP(I60,I46:L49,4,FALSE)&gt;VLOOKUP(I61,I46:L49,4,FALSE),VLOOKUP(R60,Point_dif,2,FALSE),VLOOKUP(R60,Point_dif,3,FALSE)),IF(Q61=3,IF(VLOOKUP(I61,I46:L49,4,FALSE)&gt;VLOOKUP(I60,I46:L49,4,FALSE),VLOOKUP(R60,Point_dif,2,FALSE),VLOOKUP(R60,Point_dif,3,FALSE)))))</f>
        <v/>
      </c>
      <c r="S61" s="256" t="str">
        <f>IF(R61="","",IF(Q61=3,+R61,-R61))</f>
        <v/>
      </c>
      <c r="T61" s="192"/>
      <c r="U61" s="235"/>
      <c r="V61" s="235"/>
      <c r="W61" s="235"/>
      <c r="X61" s="235"/>
      <c r="Y61" s="235"/>
      <c r="Z61" s="235"/>
      <c r="AA61" s="261">
        <v>4</v>
      </c>
      <c r="AB61" s="158" t="str">
        <f>IF(AND(COUNTBLANK(I46:I49)=0,Group_players=4,M47=M48,M48=M49),IF(COUNTIF(X45:X48,X48)=3,AB74,IF(AND(COUNTIF(X45:X48,X48)=1,X47&lt;&gt;X46),IF(M49=2,IF(SMALL(X45:X48,1)=X48,1,IF(SMALL(X45:X48,2)=X48,2,IF(SMALL(X45:X48,3)=X48,3))),IF(M49=1,IF(SMALL(X45:X48,1)=X48,2,IF(SMALL(X45:X48,2)=X48,3,IF(SMALL(X45:X48,3)=X48,4))),"")),IF(COUNTIF(X45:X48,X48)=1,IF(X48&lt;X46,IF(M49=2,1,2),IF(M49=2,3,4)),IF(COUNTIF(X45:X48,X48)=2,IF(X48=X46,IF(X48&lt;X47,IF(M49=2,IF(Q61=3,1,2),IF(M49=1,IF(Q61=3,2,3))),IF(X48&gt;X47,IF(M49=2,IF(Q61=3,2,3),IF(M49=1,IF(Q61=3,3,4))))),IF(X48=X47,IF(X48&lt;X46,IF(M49=2,IF(Q73=3,1,2),IF(M49=1,IF(Q73=3,2,3))),IF(X48&gt;X46,IF(M49=2,IF(Q73=3,2,3),IF(M49=1,IF(Q73=3,3,4))))))),"")))),"")</f>
        <v/>
      </c>
      <c r="AC61" s="192"/>
      <c r="AD61" s="192"/>
      <c r="AE61" s="192"/>
      <c r="AF61" s="203">
        <f t="shared" si="10"/>
        <v>51</v>
      </c>
      <c r="AG61" s="203" t="str">
        <f t="shared" si="6"/>
        <v/>
      </c>
      <c r="AH61" s="192" t="str">
        <f t="shared" si="7"/>
        <v/>
      </c>
      <c r="AI61" s="229" t="str">
        <f t="shared" si="8"/>
        <v>Bye</v>
      </c>
      <c r="AJ61" s="203"/>
      <c r="AK61" s="203">
        <f t="shared" si="9"/>
        <v>0</v>
      </c>
      <c r="AL61" s="229">
        <f t="shared" si="5"/>
        <v>0</v>
      </c>
      <c r="AM61" s="181"/>
      <c r="AN61" s="192"/>
      <c r="AO61" s="192"/>
      <c r="AP61" s="192"/>
      <c r="AQ61" s="192"/>
      <c r="AR61" s="192"/>
      <c r="AS61" s="192"/>
      <c r="AT61" s="192"/>
      <c r="AU61" s="192"/>
      <c r="AV61" s="192"/>
      <c r="AW61" s="192"/>
      <c r="AX61" s="192"/>
      <c r="AY61" s="181"/>
      <c r="AZ61" s="181"/>
      <c r="BA61" s="181"/>
      <c r="BB61" s="181"/>
      <c r="BC61" s="181"/>
      <c r="BD61" s="181"/>
      <c r="BE61" s="181"/>
      <c r="BF61" s="181"/>
      <c r="BG61" s="181"/>
      <c r="BH61" s="181"/>
      <c r="BI61" s="181"/>
      <c r="BJ61" s="181"/>
      <c r="BK61" s="181"/>
      <c r="BL61" s="181"/>
      <c r="BM61" s="181"/>
      <c r="BN61" s="181"/>
      <c r="BO61" s="181"/>
      <c r="BP61" s="181"/>
      <c r="BQ61" s="181"/>
      <c r="BR61" s="181"/>
      <c r="BS61" s="181"/>
      <c r="BT61" s="181"/>
      <c r="BU61" s="181"/>
      <c r="BV61" s="181"/>
      <c r="BW61" s="181"/>
      <c r="BX61" s="181"/>
      <c r="BY61" s="181"/>
      <c r="BZ61" s="181"/>
      <c r="CA61" s="181"/>
      <c r="CB61" s="181"/>
      <c r="CC61" s="181"/>
      <c r="CD61" s="181"/>
      <c r="CE61" s="181"/>
      <c r="CF61" s="181"/>
      <c r="CG61" s="181"/>
      <c r="CH61" s="181"/>
      <c r="CI61" s="181"/>
      <c r="CJ61" s="181"/>
      <c r="CK61" s="181"/>
      <c r="CL61" s="181"/>
      <c r="CM61" s="181"/>
      <c r="CN61" s="181"/>
      <c r="CO61" s="181"/>
      <c r="CP61" s="181"/>
      <c r="CQ61" s="181"/>
      <c r="CR61" s="181"/>
      <c r="CS61" s="181"/>
      <c r="CT61" s="181"/>
      <c r="CU61" s="181"/>
      <c r="CV61" s="181"/>
      <c r="CW61" s="181"/>
      <c r="CX61" s="181"/>
      <c r="CY61" s="181"/>
      <c r="CZ61" s="181"/>
      <c r="DA61" s="181"/>
      <c r="DB61" s="181"/>
      <c r="DC61" s="181"/>
      <c r="DD61" s="181"/>
      <c r="DE61" s="181"/>
      <c r="DF61" s="181"/>
      <c r="DG61" s="181"/>
      <c r="DH61" s="181"/>
      <c r="DI61" s="181"/>
      <c r="DJ61" s="181"/>
      <c r="DK61" s="181"/>
      <c r="DL61" s="181"/>
      <c r="DM61" s="181"/>
      <c r="DN61" s="181"/>
    </row>
    <row r="62" spans="2:118" ht="15" customHeight="1" thickTop="1" thickBot="1" x14ac:dyDescent="0.35">
      <c r="B62" s="192"/>
      <c r="C62" s="192"/>
      <c r="D62" s="192"/>
      <c r="E62" s="164"/>
      <c r="F62" s="164"/>
      <c r="G62" s="192"/>
      <c r="H62" s="192"/>
      <c r="I62" s="249" t="s">
        <v>117</v>
      </c>
      <c r="J62" s="249"/>
      <c r="K62" s="249"/>
      <c r="L62" s="250" t="s">
        <v>115</v>
      </c>
      <c r="M62" s="250" t="s">
        <v>116</v>
      </c>
      <c r="N62" s="250" t="s">
        <v>117</v>
      </c>
      <c r="O62" s="250" t="s">
        <v>118</v>
      </c>
      <c r="P62" s="250" t="s">
        <v>119</v>
      </c>
      <c r="Q62" s="250" t="s">
        <v>120</v>
      </c>
      <c r="R62" s="250"/>
      <c r="S62" s="251"/>
      <c r="T62" s="263"/>
      <c r="U62" s="264"/>
      <c r="V62" s="242"/>
      <c r="W62" s="242"/>
      <c r="X62" s="264"/>
      <c r="Y62" s="192"/>
      <c r="Z62" s="203"/>
      <c r="AA62" s="126" t="s">
        <v>93</v>
      </c>
      <c r="AB62" s="265" t="s">
        <v>110</v>
      </c>
      <c r="AC62" s="192"/>
      <c r="AD62" s="192"/>
      <c r="AE62" s="192"/>
      <c r="AF62" s="203">
        <f t="shared" si="10"/>
        <v>52</v>
      </c>
      <c r="AG62" s="203" t="str">
        <f t="shared" si="6"/>
        <v/>
      </c>
      <c r="AH62" s="192" t="str">
        <f t="shared" si="7"/>
        <v/>
      </c>
      <c r="AI62" s="229" t="str">
        <f t="shared" si="8"/>
        <v>Bye</v>
      </c>
      <c r="AJ62" s="203"/>
      <c r="AK62" s="203">
        <f t="shared" si="9"/>
        <v>0</v>
      </c>
      <c r="AL62" s="229">
        <f t="shared" si="5"/>
        <v>0</v>
      </c>
      <c r="AM62" s="181"/>
      <c r="AN62" s="192"/>
      <c r="AO62" s="192"/>
      <c r="AP62" s="192"/>
      <c r="AQ62" s="192"/>
      <c r="AR62" s="192"/>
      <c r="AS62" s="192"/>
      <c r="AT62" s="192"/>
      <c r="AU62" s="192"/>
      <c r="AV62" s="192"/>
      <c r="AW62" s="192"/>
      <c r="AX62" s="192"/>
      <c r="AY62" s="181"/>
      <c r="AZ62" s="181"/>
      <c r="BA62" s="181"/>
      <c r="BB62" s="181"/>
      <c r="BC62" s="181"/>
      <c r="BD62" s="181"/>
      <c r="BE62" s="181"/>
      <c r="BF62" s="181"/>
      <c r="BG62" s="181"/>
      <c r="BH62" s="181"/>
      <c r="BI62" s="181"/>
      <c r="BJ62" s="181"/>
      <c r="BK62" s="181"/>
      <c r="BL62" s="181"/>
      <c r="BM62" s="181"/>
      <c r="BN62" s="181"/>
      <c r="BO62" s="181"/>
      <c r="BP62" s="181"/>
      <c r="BQ62" s="181"/>
      <c r="BR62" s="181"/>
      <c r="BS62" s="181"/>
      <c r="BT62" s="181"/>
      <c r="BU62" s="181"/>
      <c r="BV62" s="181"/>
      <c r="BW62" s="181"/>
      <c r="BX62" s="181"/>
      <c r="BY62" s="181"/>
      <c r="BZ62" s="181"/>
      <c r="CA62" s="181"/>
      <c r="CB62" s="181"/>
      <c r="CC62" s="181"/>
      <c r="CD62" s="181"/>
      <c r="CE62" s="181"/>
      <c r="CF62" s="181"/>
      <c r="CG62" s="181"/>
      <c r="CH62" s="181"/>
      <c r="CI62" s="181"/>
      <c r="CJ62" s="181"/>
      <c r="CK62" s="181"/>
      <c r="CL62" s="181"/>
      <c r="CM62" s="181"/>
      <c r="CN62" s="181"/>
      <c r="CO62" s="181"/>
      <c r="CP62" s="181"/>
      <c r="CQ62" s="181"/>
      <c r="CR62" s="181"/>
      <c r="CS62" s="181"/>
      <c r="CT62" s="181"/>
      <c r="CU62" s="181"/>
      <c r="CV62" s="181"/>
      <c r="CW62" s="181"/>
      <c r="CX62" s="181"/>
      <c r="CY62" s="181"/>
      <c r="CZ62" s="181"/>
      <c r="DA62" s="181"/>
      <c r="DB62" s="181"/>
      <c r="DC62" s="181"/>
      <c r="DD62" s="181"/>
      <c r="DE62" s="181"/>
      <c r="DF62" s="181"/>
      <c r="DG62" s="181"/>
      <c r="DH62" s="181"/>
      <c r="DI62" s="181"/>
      <c r="DJ62" s="181"/>
      <c r="DK62" s="181"/>
      <c r="DL62" s="181"/>
      <c r="DM62" s="181"/>
      <c r="DN62" s="181"/>
    </row>
    <row r="63" spans="2:118" ht="15" customHeight="1" thickTop="1" x14ac:dyDescent="0.3">
      <c r="B63" s="192"/>
      <c r="C63" s="192"/>
      <c r="D63" s="192"/>
      <c r="E63" s="164" t="str">
        <f>IF(Q63="","",IF(Q63=3,1,0))</f>
        <v/>
      </c>
      <c r="F63" s="164" t="str">
        <f>IF(Q63="","",IF(Q63&lt;3,1,0))</f>
        <v/>
      </c>
      <c r="G63" s="192"/>
      <c r="H63" s="192" t="str">
        <f>IF(I48&lt;&gt;"",1,"")</f>
        <v/>
      </c>
      <c r="I63" s="192" t="str">
        <f>IF(ISNUMBER(H63),VLOOKUP(H63,H46:I49,2,TRUE),"")</f>
        <v/>
      </c>
      <c r="J63" s="192"/>
      <c r="K63" s="192" t="str">
        <f>VLOOKUP(I63,I46:L49,3,FALSE)</f>
        <v/>
      </c>
      <c r="L63" s="253"/>
      <c r="M63" s="253"/>
      <c r="N63" s="253"/>
      <c r="O63" s="152"/>
      <c r="P63" s="153"/>
      <c r="Q63" s="255" t="str">
        <f>IF(L63="","",IF(AND(L63-L64&gt;1,L63&gt;10),1,0)+IF(AND(M63-M64&gt;1,M63&gt;10),1,0)+IF(AND(N63-N64&gt;1,N63&gt;10),1,0)+IF(AND(O63-O64&gt;1,O63&gt;10),1,0)+IF(AND(P63-P64&gt;1,P63&gt;10),1,0))</f>
        <v/>
      </c>
      <c r="R63" s="203" t="str">
        <f>IF(AND(I63="",I64=""),"",ABS(VLOOKUP(I63,I46:L49,4,FALSE)-VLOOKUP(I64,I46:L49,4,FALSE)))</f>
        <v/>
      </c>
      <c r="S63" s="256" t="str">
        <f>IF(R64="","",IF(Q63=3,+R64,-R64))</f>
        <v/>
      </c>
      <c r="T63" s="192"/>
      <c r="U63" s="235"/>
      <c r="V63" s="235"/>
      <c r="W63" s="235"/>
      <c r="X63" s="235"/>
      <c r="Y63" s="235"/>
      <c r="Z63" s="235"/>
      <c r="AA63" s="243">
        <v>1</v>
      </c>
      <c r="AB63" s="222" t="str">
        <f>IF(AND(COUNTBLANK(I46:I49)=0,Group_players=4,M46=M47,M47=M48),IF(U53="","",IF(COUNTIF(U53:U56,U53)=3,"Tied",IF(AND(COUNTIF(U53:U56,U53)=1,U54&lt;&gt;U55),IF(M46=2,IF(SMALL(U53:U56,1)=U53,1,IF(SMALL(U53:U56,2)=U53,2,IF(SMALL(U53:U56,3)=U53,3))),IF(M46=1,IF(SMALL(U53:U56,1)=U53,2,IF(SMALL(U53:U56,2)=U53,3,IF(SMALL(U53:U56,3)=U53,4))),"")),IF(COUNTIF(U53:U56,U53)=1,IF(U53&lt;U54,IF(M46=2,1,2),IF(M46=2,3,4)),IF(COUNTIF(U53:U56,U53)=2,IF(U53=U54,IF(U53&lt;U55,IF(M46=2,IF(Q69=3,1,2),IF(M46=1,IF(Q69=3,2,3))),IF(U53&gt;U55,IF(M46=2,IF(Q69=3,2,3),IF(M46=1,IF(Q69=3,3,4))))),IF(U53=U55,IF(U53&lt;U54,IF(M46=2,IF(Q57=3,1,2),IF(M46=1,IF(Q57=3,2,3))),IF(U53&gt;U54,IF(M46=2,IF(Q57=3,2,3),IF(M46=1,IF(Q57=3,3,4)))))))))))),"")</f>
        <v/>
      </c>
      <c r="AC63" s="192"/>
      <c r="AD63" s="192"/>
      <c r="AE63" s="192"/>
      <c r="AF63" s="203">
        <f t="shared" si="10"/>
        <v>53</v>
      </c>
      <c r="AG63" s="203" t="str">
        <f t="shared" si="6"/>
        <v/>
      </c>
      <c r="AH63" s="192" t="str">
        <f t="shared" si="7"/>
        <v/>
      </c>
      <c r="AI63" s="229" t="str">
        <f t="shared" si="8"/>
        <v>Bye</v>
      </c>
      <c r="AJ63" s="203"/>
      <c r="AK63" s="203">
        <f t="shared" si="9"/>
        <v>0</v>
      </c>
      <c r="AL63" s="229">
        <f t="shared" si="5"/>
        <v>0</v>
      </c>
      <c r="AM63" s="181"/>
      <c r="AN63" s="192"/>
      <c r="AO63" s="192"/>
      <c r="AP63" s="192"/>
      <c r="AQ63" s="192"/>
      <c r="AR63" s="192"/>
      <c r="AS63" s="192"/>
      <c r="AT63" s="192"/>
      <c r="AU63" s="192"/>
      <c r="AV63" s="192"/>
      <c r="AW63" s="192"/>
      <c r="AX63" s="192"/>
      <c r="AY63" s="181"/>
      <c r="AZ63" s="181"/>
      <c r="BA63" s="181"/>
      <c r="BB63" s="181"/>
      <c r="BC63" s="181"/>
      <c r="BD63" s="181"/>
      <c r="BE63" s="181"/>
      <c r="BF63" s="181"/>
      <c r="BG63" s="181"/>
      <c r="BH63" s="181"/>
      <c r="BI63" s="181"/>
      <c r="BJ63" s="181"/>
      <c r="BK63" s="181"/>
      <c r="BL63" s="181"/>
      <c r="BM63" s="181"/>
      <c r="BN63" s="181"/>
      <c r="BO63" s="181"/>
      <c r="BP63" s="181"/>
      <c r="BQ63" s="181"/>
      <c r="BR63" s="181"/>
      <c r="BS63" s="181"/>
      <c r="BT63" s="181"/>
      <c r="BU63" s="181"/>
      <c r="BV63" s="181"/>
      <c r="BW63" s="181"/>
      <c r="BX63" s="181"/>
      <c r="BY63" s="181"/>
      <c r="BZ63" s="181"/>
      <c r="CA63" s="181"/>
      <c r="CB63" s="181"/>
      <c r="CC63" s="181"/>
      <c r="CD63" s="181"/>
      <c r="CE63" s="181"/>
      <c r="CF63" s="181"/>
      <c r="CG63" s="181"/>
      <c r="CH63" s="181"/>
      <c r="CI63" s="181"/>
      <c r="CJ63" s="181"/>
      <c r="CK63" s="181"/>
      <c r="CL63" s="181"/>
      <c r="CM63" s="181"/>
      <c r="CN63" s="181"/>
      <c r="CO63" s="181"/>
      <c r="CP63" s="181"/>
      <c r="CQ63" s="181"/>
      <c r="CR63" s="181"/>
      <c r="CS63" s="181"/>
      <c r="CT63" s="181"/>
      <c r="CU63" s="181"/>
      <c r="CV63" s="181"/>
      <c r="CW63" s="181"/>
      <c r="CX63" s="181"/>
      <c r="CY63" s="181"/>
      <c r="CZ63" s="181"/>
      <c r="DA63" s="181"/>
      <c r="DB63" s="181"/>
      <c r="DC63" s="181"/>
      <c r="DD63" s="181"/>
      <c r="DE63" s="181"/>
      <c r="DF63" s="181"/>
      <c r="DG63" s="181"/>
      <c r="DH63" s="181"/>
      <c r="DI63" s="181"/>
      <c r="DJ63" s="181"/>
      <c r="DK63" s="181"/>
      <c r="DL63" s="181"/>
      <c r="DM63" s="181"/>
      <c r="DN63" s="181"/>
    </row>
    <row r="64" spans="2:118" ht="15" customHeight="1" thickBot="1" x14ac:dyDescent="0.35">
      <c r="B64" s="192"/>
      <c r="C64" s="192"/>
      <c r="D64" s="192"/>
      <c r="E64" s="164" t="str">
        <f>IF(Q64="","",IF(Q64=3,1,0))</f>
        <v/>
      </c>
      <c r="F64" s="164" t="str">
        <f>IF(Q64="","",IF(Q64&lt;3,1,0))</f>
        <v/>
      </c>
      <c r="G64" s="192"/>
      <c r="H64" s="192" t="str">
        <f>IF(I48="","",IF(I49&lt;&gt;"",4,2))</f>
        <v/>
      </c>
      <c r="I64" s="192" t="str">
        <f>IF(ISNUMBER(H64),VLOOKUP(H64,H46:I49,2,TRUE),"")</f>
        <v/>
      </c>
      <c r="J64" s="192"/>
      <c r="K64" s="192" t="str">
        <f>VLOOKUP(I64,I46:L49,3,FALSE)</f>
        <v/>
      </c>
      <c r="L64" s="155"/>
      <c r="M64" s="155"/>
      <c r="N64" s="155"/>
      <c r="O64" s="156"/>
      <c r="P64" s="157"/>
      <c r="Q64" s="260" t="str">
        <f>IF(L64="","",IF(AND(L64-L63&gt;1,L64&gt;10),1,0)+IF(AND(M64-M63&gt;1,M64&gt;10),1,0)+IF(AND(N64-N63&gt;1,N64&gt;10),1,0)+IF(AND(O64-O63&gt;1,O64&gt;10),1,0)+IF(AND(P64-P63&gt;1,P64&gt;10),1,0))</f>
        <v/>
      </c>
      <c r="R64" s="203" t="str">
        <f>IF(AND(Q63&lt;&gt;3,Q64&lt;&gt;3),"",IF(Q63=3,IF(VLOOKUP(I63,I46:L48,4,FALSE)&gt;VLOOKUP(I64,I46:L49,4,FALSE),VLOOKUP(R63,Point_dif,2,FALSE),VLOOKUP(R63,Point_dif,3,FALSE)),IF(Q64=3,IF(VLOOKUP(I64,I46:L49,4,FALSE)&gt;VLOOKUP(I63,I46:L49,4,FALSE),VLOOKUP(R63,Point_dif,2,FALSE),VLOOKUP(R63,Point_dif,3,FALSE)))))</f>
        <v/>
      </c>
      <c r="S64" s="256" t="str">
        <f>IF(R64="","",IF(Q64=3,+R64,-R64))</f>
        <v/>
      </c>
      <c r="T64" s="192"/>
      <c r="U64" s="235"/>
      <c r="V64" s="235"/>
      <c r="W64" s="235"/>
      <c r="X64" s="235"/>
      <c r="Y64" s="235"/>
      <c r="Z64" s="235"/>
      <c r="AA64" s="246">
        <v>2</v>
      </c>
      <c r="AB64" s="222" t="str">
        <f>IF(AND(COUNTBLANK(I46:I49)=0,Group_players=4,M46=M47,M47=M48),IF(U54="","",IF(COUNTIF(U53:U56,U54)=3,"Tied",IF(AND(COUNTIF(U53:U56,U54)=1,U53&lt;&gt;U55),IF(M47=2,IF(SMALL(U53:U56,1)=U54,1,IF(SMALL(U53:U56,2)=U54,2,IF(SMALL(U53:U56,3)=U54,3))),IF(M47=1,IF(SMALL(U53:U56,1)=U54,2,IF(SMALL(U53:U56,2)=U54,3,IF(SMALL(U53:U56,3)=U54,4))),"")),IF(COUNTIF(U53:U56,U54)=1,IF(U54&lt;U53,IF(M47=2,1,2),IF(M47=2,3,4)),IF(COUNTIF(U53:U56,U54)=2,IF(U54=U53,IF(U54&lt;U55,IF(M47=2,IF(Q70=3,1,2),IF(M47=1,IF(Q70=3,2,3))),IF(U54&gt;U55,IF(M47=2,IF(Q70=3,2,3),IF(M47=1,IF(Q70=3,3,4))))),IF(U54=U55,IF(U54&lt;U53,IF(M47=2,IF(Q66=3,1,2),IF(M47=1,IF(Q66=3,2,3))),IF(U54&gt;U53,IF(M47=2,IF(Q66=3,2,3),IF(M47=1,IF(Q66=3,3,4)))))))))))),"")</f>
        <v/>
      </c>
      <c r="AC64" s="192"/>
      <c r="AD64" s="192"/>
      <c r="AE64" s="192"/>
      <c r="AF64" s="203">
        <f t="shared" si="10"/>
        <v>54</v>
      </c>
      <c r="AG64" s="203" t="str">
        <f t="shared" si="6"/>
        <v/>
      </c>
      <c r="AH64" s="192" t="str">
        <f t="shared" si="7"/>
        <v/>
      </c>
      <c r="AI64" s="229" t="str">
        <f t="shared" si="8"/>
        <v>Bye</v>
      </c>
      <c r="AJ64" s="203"/>
      <c r="AK64" s="203">
        <f t="shared" si="9"/>
        <v>0</v>
      </c>
      <c r="AL64" s="229">
        <f t="shared" si="5"/>
        <v>0</v>
      </c>
      <c r="AM64" s="181"/>
      <c r="AN64" s="192"/>
      <c r="AO64" s="192"/>
      <c r="AP64" s="192"/>
      <c r="AQ64" s="192"/>
      <c r="AR64" s="192"/>
      <c r="AS64" s="192"/>
      <c r="AT64" s="192"/>
      <c r="AU64" s="192"/>
      <c r="AV64" s="192"/>
      <c r="AW64" s="192"/>
      <c r="AX64" s="192"/>
      <c r="AY64" s="181"/>
      <c r="AZ64" s="181"/>
      <c r="BA64" s="181"/>
      <c r="BB64" s="181"/>
      <c r="BC64" s="181"/>
      <c r="BD64" s="181"/>
      <c r="BE64" s="181"/>
      <c r="BF64" s="181"/>
      <c r="BG64" s="181"/>
      <c r="BH64" s="181"/>
      <c r="BI64" s="181"/>
      <c r="BJ64" s="181"/>
      <c r="BK64" s="181"/>
      <c r="BL64" s="181"/>
      <c r="BM64" s="181"/>
      <c r="BN64" s="181"/>
      <c r="BO64" s="181"/>
      <c r="BP64" s="181"/>
      <c r="BQ64" s="181"/>
      <c r="BR64" s="181"/>
      <c r="BS64" s="181"/>
      <c r="BT64" s="181"/>
      <c r="BU64" s="181"/>
      <c r="BV64" s="181"/>
      <c r="BW64" s="181"/>
      <c r="BX64" s="181"/>
      <c r="BY64" s="181"/>
      <c r="BZ64" s="181"/>
      <c r="CA64" s="181"/>
      <c r="CB64" s="181"/>
      <c r="CC64" s="181"/>
      <c r="CD64" s="181"/>
      <c r="CE64" s="181"/>
      <c r="CF64" s="181"/>
      <c r="CG64" s="181"/>
      <c r="CH64" s="181"/>
      <c r="CI64" s="181"/>
      <c r="CJ64" s="181"/>
      <c r="CK64" s="181"/>
      <c r="CL64" s="181"/>
      <c r="CM64" s="181"/>
      <c r="CN64" s="181"/>
      <c r="CO64" s="181"/>
      <c r="CP64" s="181"/>
      <c r="CQ64" s="181"/>
      <c r="CR64" s="181"/>
      <c r="CS64" s="181"/>
      <c r="CT64" s="181"/>
      <c r="CU64" s="181"/>
      <c r="CV64" s="181"/>
      <c r="CW64" s="181"/>
      <c r="CX64" s="181"/>
      <c r="CY64" s="181"/>
      <c r="CZ64" s="181"/>
      <c r="DA64" s="181"/>
      <c r="DB64" s="181"/>
      <c r="DC64" s="181"/>
      <c r="DD64" s="181"/>
      <c r="DE64" s="181"/>
      <c r="DF64" s="181"/>
      <c r="DG64" s="181"/>
      <c r="DH64" s="181"/>
      <c r="DI64" s="181"/>
      <c r="DJ64" s="181"/>
      <c r="DK64" s="181"/>
      <c r="DL64" s="181"/>
      <c r="DM64" s="181"/>
      <c r="DN64" s="181"/>
    </row>
    <row r="65" spans="2:118" ht="15" customHeight="1" thickTop="1" thickBot="1" x14ac:dyDescent="0.35">
      <c r="B65" s="192"/>
      <c r="C65" s="192"/>
      <c r="D65" s="192"/>
      <c r="E65" s="164"/>
      <c r="F65" s="164"/>
      <c r="G65" s="192"/>
      <c r="H65" s="192"/>
      <c r="I65" s="249" t="s">
        <v>118</v>
      </c>
      <c r="J65" s="249"/>
      <c r="K65" s="249"/>
      <c r="L65" s="250" t="s">
        <v>115</v>
      </c>
      <c r="M65" s="250" t="s">
        <v>116</v>
      </c>
      <c r="N65" s="250" t="s">
        <v>117</v>
      </c>
      <c r="O65" s="250" t="s">
        <v>118</v>
      </c>
      <c r="P65" s="250" t="s">
        <v>119</v>
      </c>
      <c r="Q65" s="250" t="s">
        <v>120</v>
      </c>
      <c r="R65" s="250"/>
      <c r="S65" s="251"/>
      <c r="T65" s="192"/>
      <c r="U65" s="235"/>
      <c r="V65" s="235"/>
      <c r="W65" s="235"/>
      <c r="X65" s="235"/>
      <c r="Y65" s="235"/>
      <c r="Z65" s="235"/>
      <c r="AA65" s="240">
        <v>3</v>
      </c>
      <c r="AB65" s="241" t="str">
        <f>IF(AND(COUNTBLANK(I46:I49)=0,Group_players=4,M46=M47,M47=M48),IF(U55="","",IF(COUNTIF(U53:U56,U55)=3,"Tied",IF(AND(COUNTIF(U53:U56,U55)=1,U53&lt;&gt;U54),IF(M46=2,IF(SMALL(U53:U56,1)=U55,1,IF(SMALL(U53:U56,2)=U55,2,IF(SMALL(U53:U56,3)=U55,3))),IF(M48=1,IF(SMALL(U53:U56,1)=U55,2,IF(SMALL(U53:U56,2)=U55,3,IF(SMALL(U53:U56,3)=U55,4))),"")),IF(COUNTIF(U53:U56,U55)=1,IF(U55&lt;U54,IF(M48=2,1,2),IF(M48=2,3,4)),IF(COUNTIF(U53:U56,U55)=2,IF(U55=U54,IF(U55&lt;U53,IF(M48=2,IF(Q67=3,1,2),IF(M48=1,IF(Q67=3,2,3))),IF(U55&gt;U53,IF(M48=2,IF(Q67=3,2,3),IF(M48=1,IF(Q67=3,3,4))))),IF(U55=U53,IF(U55&lt;U54,IF(M48=2,IF(Q58=3,1,2),IF(M48=1,IF(Q58=3,2,3))),IF(U55&gt;U54,IF(M48=2,IF(Q58=3,2,3),IF(M48=1,IF(Q58=3,3,4)))))))))))),"")</f>
        <v/>
      </c>
      <c r="AC65" s="192"/>
      <c r="AD65" s="192"/>
      <c r="AE65" s="192"/>
      <c r="AF65" s="203">
        <f t="shared" si="10"/>
        <v>55</v>
      </c>
      <c r="AG65" s="203" t="str">
        <f t="shared" si="6"/>
        <v/>
      </c>
      <c r="AH65" s="192" t="str">
        <f t="shared" si="7"/>
        <v/>
      </c>
      <c r="AI65" s="229" t="str">
        <f t="shared" si="8"/>
        <v>Bye</v>
      </c>
      <c r="AJ65" s="203"/>
      <c r="AK65" s="203">
        <f t="shared" si="9"/>
        <v>0</v>
      </c>
      <c r="AL65" s="229">
        <f t="shared" si="5"/>
        <v>0</v>
      </c>
      <c r="AM65" s="181"/>
      <c r="AN65" s="192"/>
      <c r="AO65" s="192"/>
      <c r="AP65" s="192"/>
      <c r="AQ65" s="192"/>
      <c r="AR65" s="192"/>
      <c r="AS65" s="192"/>
      <c r="AT65" s="192"/>
      <c r="AU65" s="192"/>
      <c r="AV65" s="192"/>
      <c r="AW65" s="192"/>
      <c r="AX65" s="192"/>
      <c r="AY65" s="181"/>
      <c r="AZ65" s="181"/>
      <c r="BA65" s="181"/>
      <c r="BB65" s="181"/>
      <c r="BC65" s="181"/>
      <c r="BD65" s="181"/>
      <c r="BE65" s="181"/>
      <c r="BF65" s="181"/>
      <c r="BG65" s="181"/>
      <c r="BH65" s="181"/>
      <c r="BI65" s="181"/>
      <c r="BJ65" s="181"/>
      <c r="BK65" s="181"/>
      <c r="BL65" s="181"/>
      <c r="BM65" s="181"/>
      <c r="BN65" s="181"/>
      <c r="BO65" s="181"/>
      <c r="BP65" s="181"/>
      <c r="BQ65" s="181"/>
      <c r="BR65" s="181"/>
      <c r="BS65" s="181"/>
      <c r="BT65" s="181"/>
      <c r="BU65" s="181"/>
      <c r="BV65" s="181"/>
      <c r="BW65" s="181"/>
      <c r="BX65" s="181"/>
      <c r="BY65" s="181"/>
      <c r="BZ65" s="181"/>
      <c r="CA65" s="181"/>
      <c r="CB65" s="181"/>
      <c r="CC65" s="181"/>
      <c r="CD65" s="181"/>
      <c r="CE65" s="181"/>
      <c r="CF65" s="181"/>
      <c r="CG65" s="181"/>
      <c r="CH65" s="181"/>
      <c r="CI65" s="181"/>
      <c r="CJ65" s="181"/>
      <c r="CK65" s="181"/>
      <c r="CL65" s="181"/>
      <c r="CM65" s="181"/>
      <c r="CN65" s="181"/>
      <c r="CO65" s="181"/>
      <c r="CP65" s="181"/>
      <c r="CQ65" s="181"/>
      <c r="CR65" s="181"/>
      <c r="CS65" s="181"/>
      <c r="CT65" s="181"/>
      <c r="CU65" s="181"/>
      <c r="CV65" s="181"/>
      <c r="CW65" s="181"/>
      <c r="CX65" s="181"/>
      <c r="CY65" s="181"/>
      <c r="CZ65" s="181"/>
      <c r="DA65" s="181"/>
      <c r="DB65" s="181"/>
      <c r="DC65" s="181"/>
      <c r="DD65" s="181"/>
      <c r="DE65" s="181"/>
      <c r="DF65" s="181"/>
      <c r="DG65" s="181"/>
      <c r="DH65" s="181"/>
      <c r="DI65" s="181"/>
      <c r="DJ65" s="181"/>
      <c r="DK65" s="181"/>
      <c r="DL65" s="181"/>
      <c r="DM65" s="181"/>
      <c r="DN65" s="9"/>
    </row>
    <row r="66" spans="2:118" ht="15" customHeight="1" thickTop="1" x14ac:dyDescent="0.3">
      <c r="B66" s="192"/>
      <c r="C66" s="192"/>
      <c r="D66" s="192"/>
      <c r="E66" s="164" t="str">
        <f>IF(Q66="","",IF(Q66=3,1,0))</f>
        <v/>
      </c>
      <c r="F66" s="164" t="str">
        <f>IF(Q66="","",IF(Q66&lt;3,1,0))</f>
        <v/>
      </c>
      <c r="G66" s="192"/>
      <c r="H66" s="192" t="str">
        <f>IF(I49&lt;&gt;"",2,"")</f>
        <v/>
      </c>
      <c r="I66" s="192" t="str">
        <f>IF(ISNUMBER(H66),VLOOKUP(H66,H46:I49,2,TRUE),"")</f>
        <v/>
      </c>
      <c r="J66" s="192"/>
      <c r="K66" s="192" t="str">
        <f>VLOOKUP(I66,I46:L49,3,FALSE)</f>
        <v/>
      </c>
      <c r="L66" s="253"/>
      <c r="M66" s="254"/>
      <c r="N66" s="254"/>
      <c r="O66" s="152"/>
      <c r="P66" s="153"/>
      <c r="Q66" s="255" t="str">
        <f>IF(L66="","",IF(AND(L66-L67&gt;1,L66&gt;10),1,0)+IF(AND(M66-M67&gt;1,M66&gt;10),1,0)+IF(AND(N66-N67&gt;1,N66&gt;10),1,0)+IF(AND(O66-O67&gt;1,O66&gt;10),1,0)+IF(AND(P66-P67&gt;1,P66&gt;10),1,0))</f>
        <v/>
      </c>
      <c r="R66" s="203" t="str">
        <f>IF(AND(I66="",I67=""),"",ABS(VLOOKUP(I66,I46:L49,4,FALSE)-VLOOKUP(I67,I46:L49,4,FALSE)))</f>
        <v/>
      </c>
      <c r="S66" s="256" t="str">
        <f>IF(R67="","",IF(Q66=3,+R67,-R67))</f>
        <v/>
      </c>
      <c r="T66" s="192"/>
      <c r="U66" s="235"/>
      <c r="V66" s="235"/>
      <c r="W66" s="235"/>
      <c r="X66" s="235"/>
      <c r="Y66" s="235"/>
      <c r="Z66" s="235"/>
      <c r="AA66" s="243">
        <v>1</v>
      </c>
      <c r="AB66" s="222" t="str">
        <f>IF(AND(COUNTBLANK(I46:I49)=0,Group_players=4,M46=M48,M48=M49),IF(V53="","",IF(COUNTIF(V53:V56,V53)=3,"Tied",IF(AND(COUNTIF(V53:V56,V53)=1,V55&lt;&gt;U56),IF(M46=2,IF(SMALL(V53:V56,1)=V53,1,IF(SMALL(V53:V56,2)=V53,2,IF(SMALL(V53:V56,3)=V53,3))),IF(M46=1,IF(SMALL(V53:V56,1)=V53,2,IF(SMALL(V53:V56,2)=V53,3,IF(SMALL(V53:V56,3)=V53,4))),"")),IF(COUNTIF(V53:V56,V53)=1,IF(V53&lt;V55,IF(M46=2,1,2),IF(M46=2,3,4)),IF(COUNTIF(V53:V56,V53)=2,IF(V53=V55,IF(V53&lt;V56,IF(M46=2,IF(Q57=3,1,2),IF(M46=1,IF(Q57=3,2,3))),IF(V53&gt;V56,IF(M46=2,IF(Q57=3,2,3),IF(M46=1,IF(Q57=3,3,4))))),IF(V53=V56,IF(V53&lt;V55,IF(M46=2,IF(Q63=3,1,2),IF(M46=1,IF(Q63=3,2,3))),IF(V53&gt;V54,IF(M46=2,IF(Q63=3,2,3),IF(M46=1,IF(Q63=3,3,4)))))))))))),"")</f>
        <v/>
      </c>
      <c r="AC66" s="192"/>
      <c r="AD66" s="192"/>
      <c r="AE66" s="192"/>
      <c r="AF66" s="203">
        <f t="shared" si="10"/>
        <v>56</v>
      </c>
      <c r="AG66" s="203" t="str">
        <f t="shared" si="6"/>
        <v/>
      </c>
      <c r="AH66" s="192" t="str">
        <f t="shared" si="7"/>
        <v/>
      </c>
      <c r="AI66" s="229" t="str">
        <f t="shared" si="8"/>
        <v>Bye</v>
      </c>
      <c r="AJ66" s="203"/>
      <c r="AK66" s="203">
        <f t="shared" si="9"/>
        <v>0</v>
      </c>
      <c r="AL66" s="229">
        <f t="shared" si="5"/>
        <v>0</v>
      </c>
      <c r="AM66" s="181"/>
      <c r="AN66" s="192"/>
      <c r="AO66" s="192"/>
      <c r="AP66" s="192"/>
      <c r="AQ66" s="192"/>
      <c r="AR66" s="192"/>
      <c r="AS66" s="192"/>
      <c r="AT66" s="192"/>
      <c r="AU66" s="192"/>
      <c r="AV66" s="192"/>
      <c r="AW66" s="192"/>
      <c r="AX66" s="192"/>
      <c r="AY66" s="181"/>
      <c r="AZ66" s="181"/>
      <c r="BA66" s="181"/>
      <c r="BB66" s="181"/>
      <c r="BC66" s="181"/>
      <c r="BD66" s="181"/>
      <c r="BE66" s="181"/>
      <c r="BF66" s="181"/>
      <c r="BG66" s="181"/>
      <c r="BH66" s="181"/>
      <c r="BI66" s="181"/>
      <c r="BJ66" s="181"/>
      <c r="BK66" s="181"/>
      <c r="BL66" s="181"/>
      <c r="BM66" s="181"/>
      <c r="BN66" s="181"/>
      <c r="BO66" s="181"/>
      <c r="BP66" s="181"/>
      <c r="BQ66" s="181"/>
      <c r="BR66" s="181"/>
      <c r="BS66" s="181"/>
      <c r="BT66" s="181"/>
      <c r="BU66" s="181"/>
      <c r="BV66" s="181"/>
      <c r="BW66" s="181"/>
      <c r="BX66" s="181"/>
      <c r="BY66" s="181"/>
      <c r="BZ66" s="181"/>
      <c r="CA66" s="181"/>
      <c r="CB66" s="181"/>
      <c r="CC66" s="181"/>
      <c r="CD66" s="181"/>
      <c r="CE66" s="181"/>
      <c r="CF66" s="181"/>
      <c r="CG66" s="181"/>
      <c r="CH66" s="181"/>
      <c r="CI66" s="181"/>
      <c r="CJ66" s="181"/>
      <c r="CK66" s="181"/>
      <c r="CL66" s="181"/>
      <c r="CM66" s="181"/>
      <c r="CN66" s="181"/>
      <c r="CO66" s="181"/>
      <c r="CP66" s="181"/>
      <c r="CQ66" s="181"/>
      <c r="CR66" s="181"/>
      <c r="CS66" s="181"/>
      <c r="CT66" s="181"/>
      <c r="CU66" s="181"/>
      <c r="CV66" s="181"/>
      <c r="CW66" s="181"/>
      <c r="CX66" s="181"/>
      <c r="CY66" s="181"/>
      <c r="CZ66" s="181"/>
      <c r="DA66" s="181"/>
      <c r="DB66" s="181"/>
      <c r="DC66" s="181"/>
      <c r="DD66" s="181"/>
      <c r="DE66" s="181"/>
      <c r="DF66" s="181"/>
      <c r="DG66" s="181"/>
      <c r="DH66" s="181"/>
      <c r="DI66" s="181"/>
      <c r="DJ66" s="181"/>
      <c r="DK66" s="181"/>
      <c r="DL66" s="181"/>
      <c r="DM66" s="181"/>
      <c r="DN66" s="181"/>
    </row>
    <row r="67" spans="2:118" ht="15" customHeight="1" thickBot="1" x14ac:dyDescent="0.35">
      <c r="B67" s="192"/>
      <c r="C67" s="192"/>
      <c r="D67" s="192"/>
      <c r="E67" s="164" t="str">
        <f>IF(Q67="","",IF(Q67=3,1,0))</f>
        <v/>
      </c>
      <c r="F67" s="164" t="str">
        <f>IF(Q67="","",IF(Q67&lt;3,1,0))</f>
        <v/>
      </c>
      <c r="G67" s="192"/>
      <c r="H67" s="192" t="str">
        <f>IF(I49&lt;&gt;"",3,"")</f>
        <v/>
      </c>
      <c r="I67" s="192" t="str">
        <f>IF(ISNUMBER(H67),VLOOKUP(H67,H46:I49,2,TRUE),"")</f>
        <v/>
      </c>
      <c r="J67" s="192"/>
      <c r="K67" s="192" t="str">
        <f>VLOOKUP(I67,I46:L49,3,FALSE)</f>
        <v/>
      </c>
      <c r="L67" s="155"/>
      <c r="M67" s="259"/>
      <c r="N67" s="259"/>
      <c r="O67" s="156"/>
      <c r="P67" s="157"/>
      <c r="Q67" s="260" t="str">
        <f>IF(L67="","",IF(AND(L67-L66&gt;1,L67&gt;10),1,0)+IF(AND(M67-M66&gt;1,M67&gt;10),1,0)+IF(AND(N67-N66&gt;1,N67&gt;10),1,0)+IF(AND(O67-O66&gt;1,O67&gt;10),1,0)+IF(AND(P67-P66&gt;1,P67&gt;10),1,0))</f>
        <v/>
      </c>
      <c r="R67" s="203" t="str">
        <f>IF(AND(Q66&lt;&gt;3,Q67&lt;&gt;3),"",IF(Q66=3,IF(VLOOKUP(I66,I46:L48,4,FALSE)&gt;VLOOKUP(I67,I46:L49,4,FALSE),VLOOKUP(R66,Point_dif,2,FALSE),VLOOKUP(R66,Point_dif,3,FALSE)),IF(Q67=3,IF(VLOOKUP(I67,I46:L48,4,FALSE)&gt;VLOOKUP(I66,I46:L49,4,FALSE),VLOOKUP(R66,Point_dif,2,FALSE),VLOOKUP(R66,Point_dif,3,FALSE)))))</f>
        <v/>
      </c>
      <c r="S67" s="256" t="str">
        <f>IF(R67="","",IF(Q67=3,+R67,-R67))</f>
        <v/>
      </c>
      <c r="T67" s="192"/>
      <c r="U67" s="159"/>
      <c r="V67" s="266"/>
      <c r="W67" s="266"/>
      <c r="X67" s="266"/>
      <c r="Y67" s="192"/>
      <c r="Z67" s="203"/>
      <c r="AA67" s="246">
        <v>3</v>
      </c>
      <c r="AB67" s="222" t="str">
        <f>IF(AND(COUNTBLANK(I46:I49)=0,Group_players=4,M46=M48,M48=M49),IF(V55="","",IF(COUNTIF(V53:V56,V55)=3,"Tied",IF(AND(COUNTIF(V53:V56,V55)=1,V53&lt;&gt;V56),IF(M48=2,IF(SMALL(V53:V56,1)=V55,1,IF(SMALL(V53:V56,2)=V55,2,IF(SMALL(V53:V56,3)=V55,3))),IF(M48=1,IF(SMALL(V53:V56,1)=V55,2,IF(SMALL(V53:V56,2)=V55,3,IF(SMALL(V53:V56,3)=V55,4))),"")),IF(COUNTIF(V53:V56,V55)=1,IF(V55&lt;V53,IF(M48=2,1,2),IF(M48=2,3,4)),IF(COUNTIF(V53:V56,V55)=2,IF(V55=V53,IF(V55&lt;V56,IF(M48=2,IF(Q58=3,1,2),IF(M48=1,IF(Q58=3,2,3))),IF(V55&gt;V56,IF(M48=2,IF(Q58=3,2,3),IF(M48=1,IF(Q58=3,3,4))))),IF(V55=V56,IF(V55&lt;V53,IF(M48=2,IF(Q72=3,1,2),IF(M48=1,IF(Q72=3,2,3))),IF(V55&gt;V53,IF(M48=2,IF(Q72=3,2,3),IF(M48=1,IF(Q72=3,3,4)))))))))))),"")</f>
        <v/>
      </c>
      <c r="AC67" s="192"/>
      <c r="AD67" s="192"/>
      <c r="AE67" s="192"/>
      <c r="AF67" s="203">
        <f t="shared" si="10"/>
        <v>57</v>
      </c>
      <c r="AG67" s="203" t="str">
        <f t="shared" si="6"/>
        <v/>
      </c>
      <c r="AH67" s="192" t="str">
        <f t="shared" si="7"/>
        <v/>
      </c>
      <c r="AI67" s="229" t="str">
        <f t="shared" si="8"/>
        <v>Bye</v>
      </c>
      <c r="AJ67" s="203"/>
      <c r="AK67" s="203">
        <f t="shared" si="9"/>
        <v>0</v>
      </c>
      <c r="AL67" s="229">
        <f t="shared" si="5"/>
        <v>0</v>
      </c>
      <c r="AM67" s="203"/>
      <c r="AN67" s="192"/>
      <c r="AO67" s="192"/>
      <c r="AP67" s="192"/>
      <c r="AQ67" s="192"/>
      <c r="AR67" s="192"/>
      <c r="AS67" s="192"/>
      <c r="AT67" s="192"/>
      <c r="AU67" s="192"/>
      <c r="AV67" s="192"/>
      <c r="AW67" s="192"/>
      <c r="AX67" s="192"/>
      <c r="AY67" s="181"/>
      <c r="AZ67" s="181"/>
      <c r="BA67" s="181"/>
      <c r="BB67" s="181"/>
      <c r="BC67" s="181"/>
      <c r="BD67" s="181"/>
      <c r="BE67" s="181"/>
      <c r="BF67" s="181"/>
      <c r="BG67" s="181"/>
      <c r="BH67" s="181"/>
      <c r="BI67" s="181"/>
      <c r="BJ67" s="181"/>
      <c r="BK67" s="181"/>
      <c r="BL67" s="181"/>
      <c r="BM67" s="181"/>
      <c r="BN67" s="181"/>
      <c r="BO67" s="181"/>
      <c r="BP67" s="181"/>
      <c r="BQ67" s="181"/>
      <c r="BR67" s="181"/>
      <c r="BS67" s="181"/>
      <c r="BT67" s="181"/>
      <c r="BU67" s="181"/>
      <c r="BV67" s="181"/>
      <c r="BW67" s="181"/>
      <c r="BX67" s="181"/>
      <c r="BY67" s="181"/>
      <c r="BZ67" s="181"/>
      <c r="CA67" s="181"/>
      <c r="CB67" s="181"/>
      <c r="CC67" s="181"/>
      <c r="CD67" s="181"/>
      <c r="CE67" s="181"/>
      <c r="CF67" s="181"/>
      <c r="CG67" s="181"/>
      <c r="CH67" s="181"/>
      <c r="CI67" s="181"/>
      <c r="CJ67" s="181"/>
      <c r="CK67" s="181"/>
      <c r="CL67" s="181"/>
      <c r="CM67" s="181"/>
      <c r="CN67" s="181"/>
      <c r="CO67" s="181"/>
      <c r="CP67" s="181"/>
      <c r="CQ67" s="181"/>
      <c r="CR67" s="181"/>
      <c r="CS67" s="181"/>
      <c r="CT67" s="181"/>
      <c r="CU67" s="181"/>
      <c r="CV67" s="181"/>
      <c r="CW67" s="181"/>
      <c r="CX67" s="181"/>
      <c r="CY67" s="181"/>
      <c r="CZ67" s="181"/>
      <c r="DA67" s="181"/>
      <c r="DB67" s="181"/>
      <c r="DC67" s="181"/>
      <c r="DD67" s="181"/>
      <c r="DE67" s="181"/>
      <c r="DF67" s="181"/>
      <c r="DG67" s="181"/>
      <c r="DH67" s="181"/>
      <c r="DI67" s="181"/>
      <c r="DJ67" s="181"/>
      <c r="DK67" s="181"/>
      <c r="DL67" s="181"/>
      <c r="DM67" s="181"/>
      <c r="DN67" s="181"/>
    </row>
    <row r="68" spans="2:118" ht="15" customHeight="1" thickTop="1" thickBot="1" x14ac:dyDescent="0.35">
      <c r="B68" s="192"/>
      <c r="C68" s="192"/>
      <c r="D68" s="192"/>
      <c r="E68" s="164"/>
      <c r="F68" s="164"/>
      <c r="G68" s="192"/>
      <c r="H68" s="192"/>
      <c r="I68" s="249" t="s">
        <v>119</v>
      </c>
      <c r="J68" s="249"/>
      <c r="K68" s="249"/>
      <c r="L68" s="250" t="s">
        <v>115</v>
      </c>
      <c r="M68" s="250" t="s">
        <v>116</v>
      </c>
      <c r="N68" s="250" t="s">
        <v>117</v>
      </c>
      <c r="O68" s="250" t="s">
        <v>118</v>
      </c>
      <c r="P68" s="250" t="s">
        <v>119</v>
      </c>
      <c r="Q68" s="250" t="s">
        <v>120</v>
      </c>
      <c r="R68" s="250"/>
      <c r="S68" s="251"/>
      <c r="T68" s="247"/>
      <c r="U68" s="235"/>
      <c r="V68" s="235"/>
      <c r="W68" s="235"/>
      <c r="X68" s="235"/>
      <c r="Y68" s="235"/>
      <c r="Z68" s="235"/>
      <c r="AA68" s="240">
        <v>4</v>
      </c>
      <c r="AB68" s="241" t="str">
        <f>IF(AND(COUNTBLANK(I46:I49)=0,Group_players=4,M46=M48,M48=M49),IF(V56="","",IF(COUNTIF(V53:V56,V56)=3,"Tied",IF(AND(COUNTIF(V53:V56,V56)=1,V55&lt;&gt;V53),IF(M49=2,IF(SMALL(V53:V56,1)=V56,1,IF(SMALL(V53:V56,2)=V56,2,IF(SMALL(V53:V56,3)=V56,3))),IF(M49=1,IF(SMALL(V53:V56,1)=V56,2,IF(SMALL(V53:V56,2)=V56,3,IF(SMALL(V53:V56,3)=V56,4))),"")),IF(COUNTIF(V53:V56,V56)=1,IF(V56&lt;V53,IF(M49=2,1,2),IF(M49=2,3,4)),IF(COUNTIF(V53:V56,V56)=2,IF(V56=V53,IF(V56&lt;V55,IF(M49=2,IF(Q64=3,1,2),IF(M49=1,IF(Q64=3,2,3))),IF(V56&gt;V55,IF(M49=2,IF(Q64=3,2,3),IF(M49=1,IF(Q64=3,3,4))))),IF(V56=V55,IF(V56&lt;V53,IF(M49=2,IF(Q73=3,1,2),IF(M49=1,IF(Q73=3,2,3))),IF(V56&gt;V53,IF(M49=2,IF(Q73=3,2,3),IF(M49=1,IF(Q73=3,3,4)))))))))))),"")</f>
        <v/>
      </c>
      <c r="AC68" s="192"/>
      <c r="AD68" s="192"/>
      <c r="AE68" s="192"/>
      <c r="AF68" s="203">
        <f t="shared" si="10"/>
        <v>58</v>
      </c>
      <c r="AG68" s="203" t="str">
        <f t="shared" si="6"/>
        <v/>
      </c>
      <c r="AH68" s="192" t="str">
        <f t="shared" si="7"/>
        <v/>
      </c>
      <c r="AI68" s="229" t="str">
        <f t="shared" si="8"/>
        <v>Bye</v>
      </c>
      <c r="AJ68" s="203"/>
      <c r="AK68" s="203">
        <f t="shared" si="9"/>
        <v>0</v>
      </c>
      <c r="AL68" s="229">
        <f t="shared" si="5"/>
        <v>0</v>
      </c>
      <c r="AM68" s="203"/>
      <c r="AN68" s="192"/>
      <c r="AO68" s="192"/>
      <c r="AP68" s="192"/>
      <c r="AQ68" s="192"/>
      <c r="AR68" s="192"/>
      <c r="AS68" s="192"/>
      <c r="AT68" s="192"/>
      <c r="AU68" s="192"/>
      <c r="AV68" s="192"/>
      <c r="AW68" s="192"/>
      <c r="AX68" s="192"/>
      <c r="AY68" s="181"/>
      <c r="AZ68" s="181"/>
      <c r="BA68" s="181"/>
      <c r="BB68" s="181"/>
      <c r="BC68" s="181"/>
      <c r="BD68" s="181"/>
      <c r="BE68" s="181"/>
      <c r="BF68" s="181"/>
      <c r="BG68" s="181"/>
      <c r="BH68" s="181"/>
      <c r="BI68" s="181"/>
      <c r="BJ68" s="181"/>
      <c r="BK68" s="181"/>
      <c r="BL68" s="181"/>
      <c r="BM68" s="181"/>
      <c r="BN68" s="181"/>
      <c r="BO68" s="181"/>
      <c r="BP68" s="181"/>
      <c r="BQ68" s="181"/>
      <c r="BR68" s="181"/>
      <c r="BS68" s="181"/>
      <c r="BT68" s="181"/>
      <c r="BU68" s="181"/>
      <c r="BV68" s="181"/>
      <c r="BW68" s="181"/>
      <c r="BX68" s="181"/>
      <c r="BY68" s="181"/>
      <c r="BZ68" s="181"/>
      <c r="CA68" s="181"/>
      <c r="CB68" s="181"/>
      <c r="CC68" s="181"/>
      <c r="CD68" s="181"/>
      <c r="CE68" s="181"/>
      <c r="CF68" s="181"/>
      <c r="CG68" s="181"/>
      <c r="CH68" s="181"/>
      <c r="CI68" s="181"/>
      <c r="CJ68" s="181"/>
      <c r="CK68" s="181"/>
      <c r="CL68" s="181"/>
      <c r="CM68" s="181"/>
      <c r="CN68" s="181"/>
      <c r="CO68" s="181"/>
      <c r="CP68" s="181"/>
      <c r="CQ68" s="181"/>
      <c r="CR68" s="181"/>
      <c r="CS68" s="181"/>
      <c r="CT68" s="181"/>
      <c r="CU68" s="181"/>
      <c r="CV68" s="181"/>
      <c r="CW68" s="181"/>
      <c r="CX68" s="181"/>
      <c r="CY68" s="181"/>
      <c r="CZ68" s="181"/>
      <c r="DA68" s="181"/>
      <c r="DB68" s="181"/>
      <c r="DC68" s="181"/>
      <c r="DD68" s="181"/>
      <c r="DE68" s="181"/>
      <c r="DF68" s="181"/>
      <c r="DG68" s="181"/>
      <c r="DH68" s="181"/>
      <c r="DI68" s="181"/>
      <c r="DJ68" s="181"/>
      <c r="DK68" s="181"/>
      <c r="DL68" s="181"/>
      <c r="DM68" s="181"/>
      <c r="DN68" s="181"/>
    </row>
    <row r="69" spans="2:118" ht="15" customHeight="1" thickTop="1" x14ac:dyDescent="0.3">
      <c r="B69" s="192"/>
      <c r="C69" s="192"/>
      <c r="D69" s="192"/>
      <c r="E69" s="164" t="str">
        <f>IF(Q69="","",IF(Q69=3,1,0))</f>
        <v/>
      </c>
      <c r="F69" s="164" t="str">
        <f>IF(Q69="","",IF(Q69&lt;3,1,0))</f>
        <v/>
      </c>
      <c r="G69" s="192"/>
      <c r="H69" s="192" t="str">
        <f>IF(I49&lt;&gt;"",1,"")</f>
        <v/>
      </c>
      <c r="I69" s="192" t="str">
        <f>IF(ISNUMBER(H69),VLOOKUP(H69,H46:I49,2,TRUE),"")</f>
        <v/>
      </c>
      <c r="J69" s="192"/>
      <c r="K69" s="192" t="str">
        <f>VLOOKUP(I69,I46:L49,3,FALSE)</f>
        <v/>
      </c>
      <c r="L69" s="253"/>
      <c r="M69" s="254"/>
      <c r="N69" s="254"/>
      <c r="O69" s="152"/>
      <c r="P69" s="153"/>
      <c r="Q69" s="255" t="str">
        <f>IF(L69="","",IF(AND(L69-L70&gt;1,L69&gt;10),1,0)+IF(AND(M69-M70&gt;1,M69&gt;10),1,0)+IF(AND(N69-N70&gt;1,N69&gt;10),1,0)+IF(AND(O69-O70&gt;1,O69&gt;10),1,0)+IF(AND(P69-P70&gt;1,P69&gt;10),1,0))</f>
        <v/>
      </c>
      <c r="R69" s="203" t="str">
        <f>IF(AND(I69="",I70=""),"",ABS(VLOOKUP(I69,I46:L49,4,FALSE)-VLOOKUP(I70,I46:L49,4,FALSE)))</f>
        <v/>
      </c>
      <c r="S69" s="256" t="str">
        <f>IF(R70="","",IF(Q69=3,+R70,-R70))</f>
        <v/>
      </c>
      <c r="T69" s="247"/>
      <c r="U69" s="235"/>
      <c r="V69" s="235"/>
      <c r="W69" s="235"/>
      <c r="X69" s="235"/>
      <c r="Y69" s="235"/>
      <c r="Z69" s="235"/>
      <c r="AA69" s="243">
        <v>1</v>
      </c>
      <c r="AB69" s="222" t="str">
        <f>IF(AND(COUNTBLANK(I46:I49)=0,Group_players=4,M46=M47,M47=M49),IF(W53="","",IF(COUNTIF(W53:W56,W53)=3,"Tied",IF(AND(COUNTIF(W53:W56,W53)=1,W54&lt;&gt;W55),IF(M46=2,IF(SMALL(W53:W56,1)=W53,1,IF(SMALL(W53:W56,2)=W53,2,IF(SMALL(W53:W56,3)=W53,3))),IF(M46=1,IF(SMALL(W53:W56,1)=W53,2,IF(SMALL(W53:W56,2)=W53,3,IF(SMALL(W53:W56,3)=W53,4))),"")),IF(COUNTIF(W53:W56,W53)=1,IF(W53&lt;W54,IF(M46=2,1,2),IF(M46=2,3,4)),IF(COUNTIF(W53:W56,W53)=2,IF(W53=W54,IF(W53&lt;W56,IF(M46=2,IF(Q69=3,1,2),IF(M46=1,IF(Q69=3,2,3))),IF(W53&gt;W56,IF(M46=2,IF(Q69=3,2,3),IF(M46=1,IF(Q69=3,3,4))))),IF(W53=W56,IF(W53&lt;W54,IF(M46=2,IF(Q63=3,1,2),IF(M46=1,IF(Q63=3,2,3))),IF(W53&gt;W54,IF(M46=2,IF(Q63=3,2,3),IF(M46=1,IF(Q63=3,3,4)))))))))))),"")</f>
        <v/>
      </c>
      <c r="AC69" s="192"/>
      <c r="AD69" s="192"/>
      <c r="AE69" s="192"/>
      <c r="AF69" s="203">
        <f t="shared" si="10"/>
        <v>59</v>
      </c>
      <c r="AG69" s="203" t="str">
        <f t="shared" si="6"/>
        <v/>
      </c>
      <c r="AH69" s="192" t="str">
        <f t="shared" si="7"/>
        <v/>
      </c>
      <c r="AI69" s="229" t="str">
        <f t="shared" si="8"/>
        <v>Bye</v>
      </c>
      <c r="AJ69" s="203"/>
      <c r="AK69" s="203">
        <f t="shared" si="9"/>
        <v>0</v>
      </c>
      <c r="AL69" s="229">
        <f t="shared" si="5"/>
        <v>0</v>
      </c>
      <c r="AM69" s="203"/>
      <c r="AN69" s="192"/>
      <c r="AO69" s="192"/>
      <c r="AP69" s="192"/>
      <c r="AQ69" s="192"/>
      <c r="AR69" s="192"/>
      <c r="AS69" s="192"/>
      <c r="AT69" s="192"/>
      <c r="AU69" s="192"/>
      <c r="AV69" s="192"/>
      <c r="AW69" s="192"/>
      <c r="AX69" s="192"/>
      <c r="AY69" s="181"/>
      <c r="AZ69" s="181"/>
      <c r="BA69" s="181"/>
      <c r="BB69" s="181"/>
      <c r="BC69" s="181"/>
      <c r="BD69" s="181"/>
      <c r="BE69" s="181"/>
      <c r="BF69" s="181"/>
      <c r="BG69" s="181"/>
      <c r="BH69" s="181"/>
      <c r="BI69" s="181"/>
      <c r="BJ69" s="181"/>
      <c r="BK69" s="181"/>
      <c r="BL69" s="181"/>
      <c r="BM69" s="181"/>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row>
    <row r="70" spans="2:118" ht="15" customHeight="1" thickBot="1" x14ac:dyDescent="0.35">
      <c r="B70" s="192"/>
      <c r="C70" s="192"/>
      <c r="D70" s="192"/>
      <c r="E70" s="164" t="str">
        <f>IF(Q70="","",IF(Q70=3,1,0))</f>
        <v/>
      </c>
      <c r="F70" s="164" t="str">
        <f>IF(Q70="","",IF(Q70&lt;3,1,0))</f>
        <v/>
      </c>
      <c r="G70" s="192"/>
      <c r="H70" s="192" t="str">
        <f>IF(I49&lt;&gt;"",2,"")</f>
        <v/>
      </c>
      <c r="I70" s="192" t="str">
        <f>IF(ISNUMBER(H70),VLOOKUP(H70,H46:I49,2,TRUE),"")</f>
        <v/>
      </c>
      <c r="J70" s="192"/>
      <c r="K70" s="192" t="str">
        <f>VLOOKUP(I70,I46:L49,3,FALSE)</f>
        <v/>
      </c>
      <c r="L70" s="155"/>
      <c r="M70" s="259"/>
      <c r="N70" s="259"/>
      <c r="O70" s="156"/>
      <c r="P70" s="157"/>
      <c r="Q70" s="260" t="str">
        <f>IF(L70="","",IF(AND(L70-L69&gt;1,L70&gt;10),1,0)+IF(AND(M70-M69&gt;1,M70&gt;10),1,0)+IF(AND(N70-N69&gt;1,N70&gt;10),1,0)+IF(AND(O70-O69&gt;1,O70&gt;10),1,0)+IF(AND(P70-P69&gt;1,P70&gt;10),1,0))</f>
        <v/>
      </c>
      <c r="R70" s="203" t="str">
        <f>IF(AND(Q69&lt;&gt;3,Q70&lt;&gt;3),"",IF(Q69=3,IF(VLOOKUP(I69,I46:L49,4,FALSE)&gt;VLOOKUP(I70,I46:L49,4,FALSE),VLOOKUP(R69,Point_dif,2,FALSE),VLOOKUP(R69,Point_dif,3,FALSE)),IF(Q70=3,IF(VLOOKUP(I70,I46:L49,4,FALSE)&gt;VLOOKUP(I70,I46:L49,4,FALSE),VLOOKUP(R69,Point_dif,2,FALSE),VLOOKUP(R69,Point_dif,3,FALSE)))))</f>
        <v/>
      </c>
      <c r="S70" s="256" t="str">
        <f>IF(R70="","",IF(Q70=3,+R70,-R70))</f>
        <v/>
      </c>
      <c r="T70" s="247"/>
      <c r="U70" s="235"/>
      <c r="V70" s="235"/>
      <c r="W70" s="235"/>
      <c r="X70" s="235"/>
      <c r="Y70" s="235"/>
      <c r="Z70" s="235"/>
      <c r="AA70" s="246">
        <v>2</v>
      </c>
      <c r="AB70" s="222" t="str">
        <f>IF(AND(COUNTBLANK(I46:I49)=0,Group_players=4,M46=M47,M47=M49),IF(W54="","",IF(COUNTIF(W53:W56,W54)=3,"Tied",IF(AND(COUNTIF(W53:W56,W54)=1,W53&lt;&gt;W55),IF(M47=2,IF(SMALL(W53:W56,1)=W54,1,IF(SMALL(W53:W56,2)=W54,2,IF(SMALL(W53:W56,3)=W54,3))),IF(M47=1,IF(SMALL(W53:W56,1)=W54,2,IF(SMALL(W53:W56,2)=W54,3,IF(SMALL(W53:W56,3)=W54,4))),"")),IF(COUNTIF(W53:W56,W54)=1,IF(W54&lt;W53,IF(M47=2,1,2),IF(M47=2,3,4)),IF(COUNTIF(W53:W56,W54)=2,IF(W54=W53,IF(W54&lt;W56,IF(M47=2,IF(Q70=3,1,2),IF(M47=1,IF(Q70=3,2,3))),IF(W54&gt;W56,IF(M47=2,IF(Q70=3,2,3),IF(M47=1,IF(Q70=3,3,4))))),IF(W54=W56,IF(W54&lt;W53,IF(M47=2,IF(Q60=3,1,2),IF(M47=1,IF(Q60=3,2,3))),IF(W54&gt;W53,IF(M47=2,IF(Q60=3,2,3),IF(M47=1,IF(Q60=3,3,4)))))))))))),"")</f>
        <v/>
      </c>
      <c r="AC70" s="192"/>
      <c r="AD70" s="192"/>
      <c r="AE70" s="192"/>
      <c r="AF70" s="203">
        <f t="shared" si="10"/>
        <v>60</v>
      </c>
      <c r="AG70" s="203" t="str">
        <f t="shared" si="6"/>
        <v/>
      </c>
      <c r="AH70" s="192" t="str">
        <f t="shared" si="7"/>
        <v/>
      </c>
      <c r="AI70" s="229" t="str">
        <f t="shared" si="8"/>
        <v>Bye</v>
      </c>
      <c r="AJ70" s="203"/>
      <c r="AK70" s="203">
        <f t="shared" si="9"/>
        <v>0</v>
      </c>
      <c r="AL70" s="229">
        <f t="shared" si="5"/>
        <v>0</v>
      </c>
      <c r="AM70" s="203"/>
      <c r="AN70" s="192"/>
      <c r="AO70" s="192"/>
      <c r="AP70" s="192"/>
      <c r="AQ70" s="192"/>
      <c r="AR70" s="192"/>
      <c r="AS70" s="192"/>
      <c r="AT70" s="192"/>
      <c r="AU70" s="192"/>
      <c r="AV70" s="192"/>
      <c r="AW70" s="192"/>
      <c r="AX70" s="192"/>
      <c r="AY70" s="181"/>
      <c r="AZ70" s="181"/>
      <c r="BA70" s="181"/>
      <c r="BB70" s="181"/>
      <c r="BC70" s="181"/>
      <c r="BD70" s="181"/>
      <c r="BE70" s="181"/>
      <c r="BF70" s="181"/>
      <c r="BG70" s="181"/>
      <c r="BH70" s="181"/>
      <c r="BI70" s="181"/>
      <c r="BJ70" s="181"/>
      <c r="BK70" s="181"/>
      <c r="BL70" s="181"/>
      <c r="BM70" s="181"/>
      <c r="BN70" s="181"/>
      <c r="BO70" s="181"/>
      <c r="BP70" s="181"/>
      <c r="BQ70" s="181"/>
      <c r="BR70" s="181"/>
      <c r="BS70" s="181"/>
      <c r="BT70" s="181"/>
      <c r="BU70" s="181"/>
      <c r="BV70" s="181"/>
      <c r="BW70" s="181"/>
      <c r="BX70" s="181"/>
      <c r="BY70" s="181"/>
      <c r="BZ70" s="181"/>
      <c r="CA70" s="181"/>
      <c r="CB70" s="181"/>
      <c r="CC70" s="181"/>
      <c r="CD70" s="181"/>
      <c r="CE70" s="181"/>
      <c r="CF70" s="181"/>
      <c r="CG70" s="181"/>
      <c r="CH70" s="181"/>
      <c r="CI70" s="181"/>
      <c r="CJ70" s="181"/>
      <c r="CK70" s="181"/>
      <c r="CL70" s="181"/>
      <c r="CM70" s="181"/>
      <c r="CN70" s="181"/>
      <c r="CO70" s="181"/>
      <c r="CP70" s="181"/>
      <c r="CQ70" s="181"/>
      <c r="CR70" s="181"/>
      <c r="CS70" s="181"/>
      <c r="CT70" s="181"/>
      <c r="CU70" s="181"/>
      <c r="CV70" s="181"/>
      <c r="CW70" s="181"/>
      <c r="CX70" s="181"/>
      <c r="CY70" s="181"/>
      <c r="CZ70" s="181"/>
      <c r="DA70" s="181"/>
      <c r="DB70" s="181"/>
      <c r="DC70" s="181"/>
      <c r="DD70" s="181"/>
      <c r="DE70" s="181"/>
      <c r="DF70" s="181"/>
      <c r="DG70" s="181"/>
      <c r="DH70" s="181"/>
      <c r="DI70" s="181"/>
      <c r="DJ70" s="181"/>
      <c r="DK70" s="181"/>
      <c r="DL70" s="181"/>
      <c r="DM70" s="181"/>
      <c r="DN70" s="181"/>
    </row>
    <row r="71" spans="2:118" ht="15" customHeight="1" thickTop="1" thickBot="1" x14ac:dyDescent="0.35">
      <c r="B71" s="192"/>
      <c r="C71" s="192"/>
      <c r="D71" s="192"/>
      <c r="E71" s="164"/>
      <c r="F71" s="164"/>
      <c r="G71" s="192"/>
      <c r="H71" s="192"/>
      <c r="I71" s="249" t="s">
        <v>121</v>
      </c>
      <c r="J71" s="249"/>
      <c r="K71" s="249"/>
      <c r="L71" s="250" t="s">
        <v>115</v>
      </c>
      <c r="M71" s="250" t="s">
        <v>116</v>
      </c>
      <c r="N71" s="250" t="s">
        <v>117</v>
      </c>
      <c r="O71" s="250" t="s">
        <v>118</v>
      </c>
      <c r="P71" s="250" t="s">
        <v>119</v>
      </c>
      <c r="Q71" s="250" t="s">
        <v>120</v>
      </c>
      <c r="R71" s="250"/>
      <c r="S71" s="251"/>
      <c r="T71" s="247"/>
      <c r="U71" s="235"/>
      <c r="V71" s="235"/>
      <c r="W71" s="235"/>
      <c r="X71" s="235"/>
      <c r="Y71" s="235"/>
      <c r="Z71" s="235"/>
      <c r="AA71" s="240">
        <v>4</v>
      </c>
      <c r="AB71" s="241" t="str">
        <f>IF(AND(COUNTBLANK(I46:I49)=0,Group_players=4,M46=M47,M47=M49),IF(W56="","",IF(COUNTIF(W53:W56,W56)=3,"Tied",IF(AND(COUNTIF(W53:W56,W56)=1,W53&lt;&gt;W54),IF(M49=2,IF(SMALL(W53:W56,1)=W56,1,IF(SMALL(W53:W56,2)=W56,2,IF(SMALL(W53:W56,3)=W56,3))),IF(M49=1,IF(SMALL(W53:W56,1)=W56,2,IF(SMALL(W53:W56,2)=W56,3,IF(SMALL(W53:W56,3)=W56,4))),"")),IF(COUNTIF(W53:W56,W56)=1,IF(W56&lt;W53,IF(M49=2,1,2),IF(M49=2,3,4)),IF(COUNTIF(W53:W56,W56)=2,IF(W56=W53,IF(W56&lt;W54,IF(M49=2,IF(Q64=3,1,2),IF(M49=1,IF(Q64=3,2,3))),IF(W56&gt;W55,IF(M49=2,IF(Q64=3,2,3),IF(M49=1,IF(Q64=3,3,4))))),IF(W56=W54,IF(W56&lt;W53,IF(M49=2,IF(Q61=3,1,2),IF(M49=1,IF(Q61=3,2,3))),IF(W56&gt;W53,IF(M49=2,IF(Q61=3,2,3),IF(M49=1,IF(Q61=3,3,4)))))))))))),"")</f>
        <v/>
      </c>
      <c r="AC71" s="192"/>
      <c r="AD71" s="192"/>
      <c r="AE71" s="192"/>
      <c r="AF71" s="203">
        <f t="shared" si="10"/>
        <v>61</v>
      </c>
      <c r="AG71" s="203" t="str">
        <f t="shared" si="6"/>
        <v/>
      </c>
      <c r="AH71" s="192" t="str">
        <f t="shared" si="7"/>
        <v/>
      </c>
      <c r="AI71" s="229" t="str">
        <f t="shared" si="8"/>
        <v>Bye</v>
      </c>
      <c r="AJ71" s="203"/>
      <c r="AK71" s="203">
        <f t="shared" si="9"/>
        <v>0</v>
      </c>
      <c r="AL71" s="229">
        <f t="shared" si="5"/>
        <v>0</v>
      </c>
      <c r="AM71" s="203"/>
      <c r="AN71" s="192"/>
      <c r="AO71" s="192"/>
      <c r="AP71" s="192"/>
      <c r="AQ71" s="192"/>
      <c r="AR71" s="192"/>
      <c r="AS71" s="192"/>
      <c r="AT71" s="192"/>
      <c r="AU71" s="192"/>
      <c r="AV71" s="192"/>
      <c r="AW71" s="192"/>
      <c r="AX71" s="192"/>
      <c r="AY71" s="181"/>
      <c r="AZ71" s="181"/>
      <c r="BA71" s="181"/>
      <c r="BB71" s="181"/>
      <c r="BC71" s="181"/>
      <c r="BD71" s="181"/>
      <c r="BE71" s="181"/>
      <c r="BF71" s="181"/>
      <c r="BG71" s="181"/>
      <c r="BH71" s="181"/>
      <c r="BI71" s="181"/>
      <c r="BJ71" s="181"/>
      <c r="BK71" s="181"/>
      <c r="BL71" s="181"/>
      <c r="BM71" s="181"/>
      <c r="BN71" s="181"/>
      <c r="BO71" s="181"/>
      <c r="BP71" s="181"/>
      <c r="BQ71" s="181"/>
      <c r="BR71" s="181"/>
      <c r="BS71" s="181"/>
      <c r="BT71" s="181"/>
      <c r="BU71" s="181"/>
      <c r="BV71" s="181"/>
      <c r="BW71" s="181"/>
      <c r="BX71" s="181"/>
      <c r="BY71" s="181"/>
      <c r="BZ71" s="181"/>
      <c r="CA71" s="181"/>
      <c r="CB71" s="181"/>
      <c r="CC71" s="181"/>
      <c r="CD71" s="181"/>
      <c r="CE71" s="181"/>
      <c r="CF71" s="181"/>
      <c r="CG71" s="181"/>
      <c r="CH71" s="181"/>
      <c r="CI71" s="181"/>
      <c r="CJ71" s="181"/>
      <c r="CK71" s="181"/>
      <c r="CL71" s="181"/>
      <c r="CM71" s="181"/>
      <c r="CN71" s="181"/>
      <c r="CO71" s="181"/>
      <c r="CP71" s="181"/>
      <c r="CQ71" s="181"/>
      <c r="CR71" s="181"/>
      <c r="CS71" s="181"/>
      <c r="CT71" s="181"/>
      <c r="CU71" s="181"/>
      <c r="CV71" s="181"/>
      <c r="CW71" s="181"/>
      <c r="CX71" s="181"/>
      <c r="CY71" s="181"/>
      <c r="CZ71" s="181"/>
      <c r="DA71" s="181"/>
      <c r="DB71" s="181"/>
      <c r="DC71" s="181"/>
      <c r="DD71" s="181"/>
      <c r="DE71" s="181"/>
      <c r="DF71" s="181"/>
      <c r="DG71" s="181"/>
      <c r="DH71" s="181"/>
      <c r="DI71" s="181"/>
      <c r="DJ71" s="181"/>
      <c r="DK71" s="181"/>
      <c r="DL71" s="181"/>
      <c r="DM71" s="181"/>
      <c r="DN71" s="181"/>
    </row>
    <row r="72" spans="2:118" ht="15" customHeight="1" thickTop="1" x14ac:dyDescent="0.3">
      <c r="B72" s="192"/>
      <c r="C72" s="192"/>
      <c r="D72" s="192"/>
      <c r="E72" s="164" t="str">
        <f>IF(Q72="","",IF(Q72=3,1,0))</f>
        <v/>
      </c>
      <c r="F72" s="164" t="str">
        <f>IF(Q72="","",IF(Q72&lt;3,1,0))</f>
        <v/>
      </c>
      <c r="G72" s="192"/>
      <c r="H72" s="192" t="str">
        <f>IF(I49&lt;&gt;"",3,"")</f>
        <v/>
      </c>
      <c r="I72" s="192" t="str">
        <f>IF(ISNUMBER(H72),VLOOKUP(H72,H46:I49,2,TRUE),"")</f>
        <v/>
      </c>
      <c r="J72" s="192"/>
      <c r="K72" s="192" t="str">
        <f>VLOOKUP(I72,I46:L49,3,FALSE)</f>
        <v/>
      </c>
      <c r="L72" s="253"/>
      <c r="M72" s="254"/>
      <c r="N72" s="254"/>
      <c r="O72" s="152"/>
      <c r="P72" s="153"/>
      <c r="Q72" s="255" t="str">
        <f>IF(L72="","",IF(AND(L72-L73&gt;1,L72&gt;10),1,0)+IF(AND(M72-M73&gt;1,M72&gt;10),1,0)+IF(AND(N72-N73&gt;1,N72&gt;10),1,0)+IF(AND(O72-O73&gt;1,O72&gt;10),1,0)+IF(AND(P72-P73&gt;1,P72&gt;10),1,0))</f>
        <v/>
      </c>
      <c r="R72" s="203" t="str">
        <f>IF(AND(I72="",I73=""),"",ABS(VLOOKUP(I72,I46:L49,4,FALSE)-VLOOKUP(I73,I46:L49,4,FALSE)))</f>
        <v/>
      </c>
      <c r="S72" s="256" t="str">
        <f>IF(R73="","",IF(Q72=3,+R73,-R73))</f>
        <v/>
      </c>
      <c r="T72" s="247"/>
      <c r="U72" s="264"/>
      <c r="V72" s="242"/>
      <c r="W72" s="192"/>
      <c r="X72" s="264"/>
      <c r="Y72" s="192"/>
      <c r="Z72" s="192"/>
      <c r="AA72" s="243">
        <v>2</v>
      </c>
      <c r="AB72" s="222" t="str">
        <f>IF(AND(COUNTBLANK(I46:I49)=0,Group_players=4,M47=M48,M48=M49),IF(X54="","",IF(COUNTIF(X53:X56,X54)=3,"Tied",IF(AND(COUNTIF(X53:X56,X54)=1,X55&lt;&gt;X56),IF(M47=2,IF(SMALL(X53:X56,1)=X54,1,IF(SMALL(X53:X56,2)=X54,2,IF(SMALL(X53:X56,3)=X54,3))),IF(M47=1,IF(SMALL(X53:X56,1)=X54,2,IF(SMALL(X53:X56,2)=X54,3,IF(SMALL(X53:X56,3)=X54,4))),"")),IF(COUNTIF(X53:X56,X54)=1,IF(X54&lt;X56,IF(M47=2,1,2),IF(M47=1,4)),IF(COUNTIF(X53:X56,X54)=2,IF(X54=X55,IF(X54&lt;X56,IF(M47=2,IF(Q66=3,1,2),IF(M47=1,IF(Q66=3,2,3))),IF(X54&gt;X56,IF(M47=2,IF(Q66=3,2,3),IF(M47=1,IF(Q66=3,3,4))))),IF(X54=X56,IF(X54&lt;X55,IF(M47=2,IF(Q60=3,1,2),IF(M47=1,IF(Q60=3,2,3))),IF(X54&gt;X55,IF(M47=2,IF(Q60=3,2,3),IF(M47=1,IF(Q60=3,3,4)))))))))))),"")</f>
        <v/>
      </c>
      <c r="AC72" s="192"/>
      <c r="AD72" s="192"/>
      <c r="AE72" s="192"/>
      <c r="AF72" s="203">
        <f t="shared" si="10"/>
        <v>62</v>
      </c>
      <c r="AG72" s="203" t="str">
        <f t="shared" si="6"/>
        <v/>
      </c>
      <c r="AH72" s="192" t="str">
        <f t="shared" si="7"/>
        <v/>
      </c>
      <c r="AI72" s="229" t="str">
        <f t="shared" si="8"/>
        <v>Bye</v>
      </c>
      <c r="AJ72" s="203"/>
      <c r="AK72" s="203">
        <f t="shared" si="9"/>
        <v>0</v>
      </c>
      <c r="AL72" s="229">
        <f t="shared" si="5"/>
        <v>0</v>
      </c>
      <c r="AM72" s="203"/>
      <c r="AN72" s="192"/>
      <c r="AO72" s="192"/>
      <c r="AP72" s="192"/>
      <c r="AQ72" s="192"/>
      <c r="AR72" s="192"/>
      <c r="AS72" s="192"/>
      <c r="AT72" s="192"/>
      <c r="AU72" s="192"/>
      <c r="AV72" s="192"/>
      <c r="AW72" s="192"/>
      <c r="AX72" s="192"/>
    </row>
    <row r="73" spans="2:118" ht="15" customHeight="1" thickBot="1" x14ac:dyDescent="0.35">
      <c r="B73" s="192"/>
      <c r="C73" s="192"/>
      <c r="D73" s="192"/>
      <c r="E73" s="164" t="str">
        <f>IF(Q73="","",IF(Q73=3,1,0))</f>
        <v/>
      </c>
      <c r="F73" s="164" t="str">
        <f>IF(Q73="","",IF(Q73&lt;3,1,0))</f>
        <v/>
      </c>
      <c r="G73" s="192"/>
      <c r="H73" s="192" t="str">
        <f>IF(I49&lt;&gt;"",4,"")</f>
        <v/>
      </c>
      <c r="I73" s="192" t="str">
        <f>IF(ISNUMBER(H73),VLOOKUP(H73,H46:I49,2,TRUE),"")</f>
        <v/>
      </c>
      <c r="J73" s="192"/>
      <c r="K73" s="192" t="str">
        <f>VLOOKUP(I73,I46:L49,3,FALSE)</f>
        <v/>
      </c>
      <c r="L73" s="155"/>
      <c r="M73" s="259"/>
      <c r="N73" s="259"/>
      <c r="O73" s="156"/>
      <c r="P73" s="157"/>
      <c r="Q73" s="260" t="str">
        <f>IF(L73="","",IF(AND(L73-L72&gt;1,L73&gt;10),1,0)+IF(AND(M73-M72&gt;1,M73&gt;10),1,0)+IF(AND(N73-N72&gt;1,N73&gt;10),1,0)+IF(AND(O73-O72&gt;1,O73&gt;10),1,0)+IF(AND(P73-P72&gt;1,P73&gt;10),1,0))</f>
        <v/>
      </c>
      <c r="R73" s="203" t="str">
        <f>IF(AND(Q72&lt;&gt;3,Q73&lt;&gt;3),"",IF(Q72=3,IF(VLOOKUP(I72,I46:L49,4,FALSE)&gt;VLOOKUP(I73,I46:L49,4,FALSE),VLOOKUP(R72,Point_dif,2,FALSE),VLOOKUP(R72,Point_dif,3,FALSE)),IF(Q73=3,IF(VLOOKUP(I73,I46:L49,4,FALSE)&gt;VLOOKUP(I72,I46:L49,4,FALSE),VLOOKUP(R72,Point_dif,2,FALSE),VLOOKUP(R72,Point_dif,3,FALSE)))))</f>
        <v/>
      </c>
      <c r="S73" s="260" t="str">
        <f>IF(R73="","",IF(Q73=3,+R73,-R73))</f>
        <v/>
      </c>
      <c r="T73" s="247"/>
      <c r="U73" s="235"/>
      <c r="V73" s="235"/>
      <c r="W73" s="235"/>
      <c r="X73" s="235"/>
      <c r="Y73" s="235"/>
      <c r="Z73" s="235"/>
      <c r="AA73" s="246">
        <v>3</v>
      </c>
      <c r="AB73" s="222" t="str">
        <f>IF(AND(COUNTBLANK(I46:I49)=0,Group_players=4,Group_players=4,M47=M48,M48=M49),IF(X55="","",IF(COUNTIF(X53:X56,X55)=3,"Tied",IF(AND(COUNTIF(X53:X56,X55)=1,X54&lt;&gt;X56),IF(M48=2,IF(SMALL(X53:X56,1)=X55,1,IF(SMALL(X53:X56,2)=X55,2,IF(SMALL(X53:X56,3)=X55,3))),IF(M48=1,IF(SMALL(X53:X56,1)=X55,2,IF(SMALL(X53:X56,2)=X55,3,IF(SMALL(X53:X56,3)=X55,4))),"")),IF(COUNTIF(X53:X56,X55)=1,IF(X55&lt;X54,IF(M48=2,1,2),IF(M48=2,3,4)),IF(COUNTIF(X53:X56,X55)=2,IF(X55=X54,IF(X55&lt;X56,IF(M48=2,IF(Q67=3,1,2),IF(M48=1,IF(Q67=3,2,3))),IF(X55&gt;X56,IF(M48=2,IF(Q67=3,2,3),IF(M48=1,IF(Q67=3,3,4))))),IF(X55=X56,IF(X55&lt;X54,IF(M48=2,IF(Q72=3,1,2),IF(M48=1,IF(Q72=3,2,3))),IF(X55&gt;X54,IF(M48=2,IF(Q72=3,2,3),IF(M48=1,IF(Q72=3,3,4)))))))))))),"")</f>
        <v/>
      </c>
      <c r="AC73" s="192"/>
      <c r="AD73" s="192"/>
      <c r="AE73" s="192"/>
      <c r="AF73" s="203">
        <f t="shared" si="10"/>
        <v>63</v>
      </c>
      <c r="AG73" s="203" t="str">
        <f t="shared" si="6"/>
        <v/>
      </c>
      <c r="AH73" s="192" t="str">
        <f t="shared" si="7"/>
        <v/>
      </c>
      <c r="AI73" s="229" t="str">
        <f t="shared" si="8"/>
        <v>Bye</v>
      </c>
      <c r="AJ73" s="203"/>
      <c r="AK73" s="203">
        <f t="shared" si="9"/>
        <v>0</v>
      </c>
      <c r="AL73" s="229">
        <f t="shared" si="5"/>
        <v>0</v>
      </c>
      <c r="AM73" s="203"/>
      <c r="AN73" s="192"/>
      <c r="AO73" s="192"/>
      <c r="AP73" s="192"/>
      <c r="AQ73" s="192"/>
      <c r="AR73" s="192"/>
      <c r="AS73" s="192"/>
      <c r="AT73" s="192"/>
      <c r="AU73" s="192"/>
      <c r="AV73" s="192"/>
      <c r="AW73" s="192"/>
      <c r="AX73" s="192"/>
    </row>
    <row r="74" spans="2:118" ht="15" customHeight="1" thickTop="1" thickBot="1" x14ac:dyDescent="0.35">
      <c r="B74" s="192"/>
      <c r="C74" s="192"/>
      <c r="D74" s="192"/>
      <c r="E74" s="192"/>
      <c r="F74" s="192"/>
      <c r="G74" s="192"/>
      <c r="H74" s="192"/>
      <c r="I74" s="192"/>
      <c r="J74" s="192"/>
      <c r="K74" s="192"/>
      <c r="L74" s="192"/>
      <c r="M74" s="192"/>
      <c r="N74" s="192"/>
      <c r="O74" s="268"/>
      <c r="P74" s="192"/>
      <c r="Q74" s="192"/>
      <c r="R74" s="247"/>
      <c r="S74" s="247"/>
      <c r="T74" s="247"/>
      <c r="U74" s="235"/>
      <c r="V74" s="235"/>
      <c r="W74" s="235"/>
      <c r="X74" s="235"/>
      <c r="Y74" s="235"/>
      <c r="Z74" s="235"/>
      <c r="AA74" s="261">
        <v>4</v>
      </c>
      <c r="AB74" s="233" t="str">
        <f>IF(AND(COUNTBLANK(I46:I49)=0,Group_players=4,M47=M48,M48=M49),IF(X56="","",IF(COUNTIF(X53:X56,X56)=3,"Tied",IF(AND(COUNTIF(X53:X56,X56)=1,X55&lt;&gt;X54),IF(M49=2,IF(SMALL(X53:X56,1)=X56,1,IF(SMALL(X53:X56,2)=X56,2,IF(SMALL(X53:X56,3)=X56,3))),IF(M49=1,IF(SMALL(X53:X56,1)=X56,2,IF(SMALL(X53:X56,2)=X56,3,IF(SMALL(X53:X56,3)=X56,4))),"")),IF(COUNTIF(X53:X56,X56)=1,IF(X56&lt;X54,IF(M49=2,1,2),IF(M49=2,3,4)),IF(COUNTIF(X53:X56,X56)=2,IF(X56=X54,IF(X56&lt;X55,IF(M49=2,IF(Q61=3,1,2),IF(M49=1,IF(Q61=3,2,3))),IF(X56&gt;X55,IF(M49=2,IF(Q61=3,2,3),IF(M49=1,IF(Q61=3,3,4))))),IF(X56=X55,IF(X56&lt;X54,IF(M49=2,IF(Q73=3,1,2),IF(M49=1,IF(Q73=3,2,3))),IF(X56&gt;X54,IF(M49=2,IF(Q73=3,2,3),IF(M49=1,IF(Q73=3,3,4)))))))))))),"")</f>
        <v/>
      </c>
      <c r="AC74" s="192"/>
      <c r="AD74" s="192"/>
      <c r="AE74" s="192"/>
      <c r="AF74" s="203">
        <f t="shared" si="10"/>
        <v>64</v>
      </c>
      <c r="AG74" s="203" t="str">
        <f t="shared" ref="AG74:AG105" si="11">IF(AF74&gt;Llave,"",IF(Group_players=3,IF(Advancing="Todos",IF(AF74&lt;=Grps,"A",IF(AND(AF74&gt;Grps,AF74&lt;=Grps*2),"B",IF(AND(AF74&gt;Grps*2,AF74&lt;=Tot_Jug),"C",""))),IF(AND(AF74&gt;Grps*3,AF74&lt;=Tot_Jug,AN73&lt;&gt;""),"D",IF(Advancing=2,IF(AF74&lt;=Grps,"A",IF(AND(AF74&gt;Grps,AF74&lt;=Grps*2),"B","")),""))),IF(Group_players=4,IF(Advancing="Todos",IF(AF74&lt;=Grps,"A",IF(AND(AF74&gt;Grps,AF74&lt;=Grps*2),"B",IF(AND(AF74&gt;Grps*2,AF74&lt;=Grps*3),"C",IF(AND(AF74&gt;Grps*3,AF74&lt;=Tot_Jug),"D","")))),IF(Advancing=2,IF(AF74&lt;=Grps,"A",IF(AND(AF74&gt;Grps,AF74&lt;=Grps*2),"B","")),"")),"")))</f>
        <v/>
      </c>
      <c r="AH74" s="192" t="str">
        <f t="shared" si="7"/>
        <v/>
      </c>
      <c r="AI74" s="229" t="str">
        <f t="shared" si="8"/>
        <v>Bye</v>
      </c>
      <c r="AJ74" s="203"/>
      <c r="AK74" s="203">
        <f t="shared" si="9"/>
        <v>0</v>
      </c>
      <c r="AL74" s="229">
        <f t="shared" si="5"/>
        <v>0</v>
      </c>
      <c r="AM74" s="203"/>
      <c r="AN74" s="192"/>
      <c r="AO74" s="192"/>
      <c r="AP74" s="192"/>
      <c r="AQ74" s="192"/>
      <c r="AR74" s="192"/>
      <c r="AS74" s="192"/>
      <c r="AT74" s="192"/>
      <c r="AU74" s="192"/>
      <c r="AV74" s="192"/>
      <c r="AW74" s="192"/>
      <c r="AX74" s="192"/>
    </row>
    <row r="75" spans="2:118" ht="15" customHeight="1" thickTop="1" x14ac:dyDescent="0.3">
      <c r="B75" s="192"/>
      <c r="C75" s="192"/>
      <c r="D75" s="192"/>
      <c r="E75" s="192"/>
      <c r="F75" s="192"/>
      <c r="G75" s="192"/>
      <c r="H75" s="192"/>
      <c r="I75" s="192"/>
      <c r="J75" s="192"/>
      <c r="K75" s="192"/>
      <c r="L75" s="192"/>
      <c r="M75" s="192"/>
      <c r="N75" s="192"/>
      <c r="O75" s="192"/>
      <c r="P75" s="192"/>
      <c r="Q75" s="192"/>
      <c r="R75" s="192"/>
      <c r="S75" s="192"/>
      <c r="T75" s="203"/>
      <c r="U75" s="192"/>
      <c r="V75" s="192"/>
      <c r="W75" s="192"/>
      <c r="X75" s="192"/>
      <c r="Y75" s="192"/>
      <c r="Z75" s="192"/>
      <c r="AA75" s="192"/>
      <c r="AB75" s="192"/>
      <c r="AC75" s="192"/>
      <c r="AD75" s="192"/>
      <c r="AE75" s="192"/>
      <c r="AF75" s="203">
        <f t="shared" si="10"/>
        <v>65</v>
      </c>
      <c r="AG75" s="203" t="str">
        <f t="shared" si="11"/>
        <v/>
      </c>
      <c r="AH75" s="192" t="str">
        <f t="shared" ref="AH75:AH106" si="12">IF(AG75="Bye","",IF(Group_players=3,IF(AG75="","",IF(AG75="A",IF(AG74="A",AH74+1,1),IF(AND(AG74="A",AH74=Groups),Groups,IF(AND(AG74="B",AG75="B"),AH74-1,IF(AND(AG75="C",AG74="C"),AH74+1,IF(AG75="C",IF(AND(AG74="B",AG75="C"),IF((Groups*3)-Tot_Jug=0,1,IF(Groups*3-Tot_Jug=1,AH74+1,IF(Groups*3-Tot_Jug=2,AH74+2,99))),IF(AND(AG74="C",AG75="C"),AH74+1)))))))),IF(Group_players=4,IF(AND(AG74&lt;&gt;"A",AG75="A"),1,IF(AND(AG74="A",AG75="A"),AH74+1,IF(AND(AG74="A",AG75="B"),Groups,IF(AND(AG74="B",AG75="B"),AH74-1,IF(AND(AG74="B",AG75="C"),1,IF(AND(AG74="C",AG75="C"),AH74+1,IF(AND(AG74="C",AG75="D",AF75&lt;=Llave),Groups,IF(AND(AG74="D",AG75="D",AF75&lt;=Llave),AH74-1,"")))))))))))</f>
        <v/>
      </c>
      <c r="AI75" s="229" t="str">
        <f t="shared" ref="AI75:AI106" si="13">IF(AND(AF75&lt;=Llave,AG75=""),"Bye",IF(AF75&gt;Tot_Jug,"",IF(AF75&gt;Tot_Jug,"",IF(AG75="A",HLOOKUP(AH75,Group_Results,2,FALSE),IF(AG75="B",HLOOKUP(AH75,Group_Results,3,FALSE),IF(AG75="C",HLOOKUP(AH75,Group_Results,4,FALSE),IF(AG75="D",HLOOKUP(AH75,Group_Results,5,FALSE),"")))))))</f>
        <v>Bye</v>
      </c>
      <c r="AJ75" s="203"/>
      <c r="AK75" s="203">
        <f t="shared" ref="AK75:AK106" si="14">IF(AI75="Bye",0,IF(AI75&lt;&gt;"",IF(AF75&gt;Tot_Jug,"BYE",IF(AG75="A",HLOOKUP(AH75,Group_Points,2,FALSE),IF(AG75="B",HLOOKUP(AH75,Group_Points,3,FALSE),IF(AG75="C",HLOOKUP(AH75,Group_Points,4,FALSE),IF(AG75="D",HLOOKUP(AH75,Group_Points,5,FALSE)))))),""))</f>
        <v>0</v>
      </c>
      <c r="AL75" s="229">
        <f t="shared" si="5"/>
        <v>0</v>
      </c>
      <c r="AM75" s="203"/>
      <c r="AN75" s="192"/>
      <c r="AO75" s="192"/>
      <c r="AP75" s="192"/>
      <c r="AQ75" s="192"/>
      <c r="AR75" s="192"/>
      <c r="AS75" s="192"/>
      <c r="AT75" s="192"/>
      <c r="AU75" s="192"/>
      <c r="AV75" s="192"/>
      <c r="AW75" s="192"/>
      <c r="AX75" s="192"/>
    </row>
    <row r="76" spans="2:118" ht="15" customHeight="1" x14ac:dyDescent="0.3">
      <c r="B76" s="192"/>
      <c r="C76" s="192"/>
      <c r="D76" s="192"/>
      <c r="E76" s="192"/>
      <c r="F76" s="192"/>
      <c r="G76" s="192"/>
      <c r="H76" s="192"/>
      <c r="I76" s="192"/>
      <c r="J76" s="192"/>
      <c r="K76" s="192"/>
      <c r="L76" s="192"/>
      <c r="M76" s="192"/>
      <c r="N76" s="192"/>
      <c r="O76" s="192"/>
      <c r="P76" s="192"/>
      <c r="Q76" s="192"/>
      <c r="R76" s="192"/>
      <c r="S76" s="192"/>
      <c r="T76" s="192"/>
      <c r="U76" s="192"/>
      <c r="V76" s="192"/>
      <c r="W76" s="192"/>
      <c r="X76" s="192"/>
      <c r="Y76" s="192"/>
      <c r="Z76" s="192"/>
      <c r="AA76" s="192"/>
      <c r="AB76" s="192"/>
      <c r="AC76" s="192"/>
      <c r="AD76" s="192"/>
      <c r="AE76" s="192"/>
      <c r="AF76" s="203">
        <f t="shared" ref="AF76:AF107" si="15">IF(Llave&gt;AF75,AF75+1,"")</f>
        <v>66</v>
      </c>
      <c r="AG76" s="203" t="str">
        <f t="shared" si="11"/>
        <v/>
      </c>
      <c r="AH76" s="192" t="str">
        <f t="shared" si="12"/>
        <v/>
      </c>
      <c r="AI76" s="229" t="str">
        <f t="shared" si="13"/>
        <v>Bye</v>
      </c>
      <c r="AJ76" s="203"/>
      <c r="AK76" s="203">
        <f t="shared" si="14"/>
        <v>0</v>
      </c>
      <c r="AL76" s="229">
        <f t="shared" ref="AL76:AL138" si="16">ABS(AK76)</f>
        <v>0</v>
      </c>
      <c r="AM76" s="203"/>
      <c r="AN76" s="192"/>
      <c r="AO76" s="192"/>
      <c r="AP76" s="192"/>
      <c r="AQ76" s="192"/>
      <c r="AR76" s="192"/>
      <c r="AS76" s="192"/>
      <c r="AT76" s="192"/>
      <c r="AU76" s="192"/>
      <c r="AV76" s="192"/>
      <c r="AW76" s="192"/>
      <c r="AX76" s="192"/>
    </row>
    <row r="77" spans="2:118" ht="15" customHeight="1" x14ac:dyDescent="0.3">
      <c r="B77" s="192"/>
      <c r="C77" s="192"/>
      <c r="D77" s="192"/>
      <c r="E77" s="192"/>
      <c r="F77" s="192"/>
      <c r="G77" s="192"/>
      <c r="H77" s="192"/>
      <c r="I77" s="192"/>
      <c r="J77" s="192"/>
      <c r="K77" s="192"/>
      <c r="L77" s="192"/>
      <c r="M77" s="192"/>
      <c r="N77" s="192"/>
      <c r="O77" s="192"/>
      <c r="P77" s="192"/>
      <c r="Q77" s="192"/>
      <c r="R77" s="192"/>
      <c r="S77" s="192"/>
      <c r="T77" s="192"/>
      <c r="U77" s="192"/>
      <c r="V77" s="192"/>
      <c r="W77" s="192"/>
      <c r="X77" s="192"/>
      <c r="Y77" s="192"/>
      <c r="Z77" s="269"/>
      <c r="AA77" s="192"/>
      <c r="AB77" s="192"/>
      <c r="AC77" s="192"/>
      <c r="AD77" s="192"/>
      <c r="AE77" s="192"/>
      <c r="AF77" s="203">
        <f t="shared" si="15"/>
        <v>67</v>
      </c>
      <c r="AG77" s="203" t="str">
        <f t="shared" si="11"/>
        <v/>
      </c>
      <c r="AH77" s="192" t="str">
        <f t="shared" si="12"/>
        <v/>
      </c>
      <c r="AI77" s="229" t="str">
        <f t="shared" si="13"/>
        <v>Bye</v>
      </c>
      <c r="AJ77" s="203"/>
      <c r="AK77" s="203">
        <f t="shared" si="14"/>
        <v>0</v>
      </c>
      <c r="AL77" s="229">
        <f t="shared" si="16"/>
        <v>0</v>
      </c>
      <c r="AM77" s="203"/>
      <c r="AN77" s="192"/>
      <c r="AO77" s="192"/>
      <c r="AP77" s="192"/>
      <c r="AQ77" s="192"/>
      <c r="AR77" s="192"/>
      <c r="AS77" s="192"/>
      <c r="AT77" s="192"/>
      <c r="AU77" s="192"/>
      <c r="AV77" s="192"/>
      <c r="AW77" s="192"/>
      <c r="AX77" s="192"/>
    </row>
    <row r="78" spans="2:118" ht="15" customHeight="1" x14ac:dyDescent="0.3">
      <c r="B78" s="192"/>
      <c r="C78" s="192"/>
      <c r="D78" s="192"/>
      <c r="E78" s="192"/>
      <c r="F78" s="192"/>
      <c r="G78" s="192"/>
      <c r="H78" s="192"/>
      <c r="I78" s="192"/>
      <c r="J78" s="192"/>
      <c r="K78" s="192"/>
      <c r="L78" s="192"/>
      <c r="M78" s="192"/>
      <c r="N78" s="192"/>
      <c r="O78" s="192"/>
      <c r="P78" s="192"/>
      <c r="Q78" s="192"/>
      <c r="R78" s="192"/>
      <c r="S78" s="192"/>
      <c r="T78" s="192"/>
      <c r="U78" s="192"/>
      <c r="V78" s="192"/>
      <c r="W78" s="192"/>
      <c r="X78" s="192"/>
      <c r="Y78" s="192"/>
      <c r="Z78" s="192"/>
      <c r="AA78" s="192"/>
      <c r="AB78" s="192"/>
      <c r="AC78" s="192"/>
      <c r="AD78" s="192"/>
      <c r="AE78" s="192"/>
      <c r="AF78" s="203">
        <f t="shared" si="15"/>
        <v>68</v>
      </c>
      <c r="AG78" s="203" t="str">
        <f t="shared" si="11"/>
        <v/>
      </c>
      <c r="AH78" s="192" t="str">
        <f t="shared" si="12"/>
        <v/>
      </c>
      <c r="AI78" s="229" t="str">
        <f t="shared" si="13"/>
        <v>Bye</v>
      </c>
      <c r="AJ78" s="203"/>
      <c r="AK78" s="203">
        <f t="shared" si="14"/>
        <v>0</v>
      </c>
      <c r="AL78" s="229">
        <f t="shared" si="16"/>
        <v>0</v>
      </c>
      <c r="AM78" s="203"/>
      <c r="AN78" s="192"/>
      <c r="AO78" s="192"/>
      <c r="AP78" s="192"/>
      <c r="AQ78" s="192"/>
      <c r="AR78" s="192"/>
      <c r="AS78" s="192"/>
      <c r="AT78" s="192"/>
      <c r="AU78" s="192"/>
      <c r="AV78" s="192"/>
      <c r="AW78" s="192"/>
      <c r="AX78" s="192"/>
    </row>
    <row r="79" spans="2:118" ht="15" customHeight="1" x14ac:dyDescent="0.3">
      <c r="B79" s="192"/>
      <c r="C79" s="192"/>
      <c r="D79" s="192"/>
      <c r="E79" s="192"/>
      <c r="F79" s="192"/>
      <c r="G79" s="192"/>
      <c r="H79" s="192"/>
      <c r="I79" s="192"/>
      <c r="J79" s="192"/>
      <c r="K79" s="192"/>
      <c r="L79" s="192"/>
      <c r="M79" s="192"/>
      <c r="N79" s="192"/>
      <c r="O79" s="192"/>
      <c r="P79" s="192"/>
      <c r="Q79" s="192"/>
      <c r="R79" s="192"/>
      <c r="S79" s="192"/>
      <c r="T79" s="192"/>
      <c r="U79" s="192"/>
      <c r="V79" s="192"/>
      <c r="W79" s="192"/>
      <c r="X79" s="192"/>
      <c r="Y79" s="192"/>
      <c r="Z79" s="192"/>
      <c r="AA79" s="192"/>
      <c r="AB79" s="192"/>
      <c r="AC79" s="192"/>
      <c r="AD79" s="192"/>
      <c r="AE79" s="192"/>
      <c r="AF79" s="203">
        <f t="shared" si="15"/>
        <v>69</v>
      </c>
      <c r="AG79" s="203" t="str">
        <f t="shared" si="11"/>
        <v/>
      </c>
      <c r="AH79" s="192" t="str">
        <f t="shared" si="12"/>
        <v/>
      </c>
      <c r="AI79" s="229" t="str">
        <f t="shared" si="13"/>
        <v>Bye</v>
      </c>
      <c r="AJ79" s="203"/>
      <c r="AK79" s="203">
        <f t="shared" si="14"/>
        <v>0</v>
      </c>
      <c r="AL79" s="229">
        <f t="shared" si="16"/>
        <v>0</v>
      </c>
      <c r="AM79" s="203"/>
      <c r="AN79" s="192"/>
      <c r="AO79" s="192"/>
      <c r="AP79" s="192"/>
      <c r="AQ79" s="192"/>
      <c r="AR79" s="192"/>
      <c r="AS79" s="192"/>
      <c r="AT79" s="192"/>
      <c r="AU79" s="192"/>
      <c r="AV79" s="192"/>
      <c r="AW79" s="192"/>
      <c r="AX79" s="192"/>
    </row>
    <row r="80" spans="2:118" ht="15" customHeight="1" thickBot="1" x14ac:dyDescent="0.4">
      <c r="B80" s="192"/>
      <c r="C80" s="192"/>
      <c r="D80" s="192"/>
      <c r="E80" s="192"/>
      <c r="F80" s="192"/>
      <c r="G80" s="192"/>
      <c r="H80" s="192"/>
      <c r="I80" s="383" t="s">
        <v>123</v>
      </c>
      <c r="J80" s="383"/>
      <c r="K80" s="383"/>
      <c r="L80" s="383"/>
      <c r="M80" s="383"/>
      <c r="N80" s="383"/>
      <c r="O80" s="383"/>
      <c r="P80" s="383"/>
      <c r="Q80" s="383"/>
      <c r="R80" s="383"/>
      <c r="S80" s="192"/>
      <c r="T80" s="192"/>
      <c r="U80" s="375" t="s">
        <v>92</v>
      </c>
      <c r="V80" s="376"/>
      <c r="W80" s="376"/>
      <c r="X80" s="377"/>
      <c r="Y80" s="192"/>
      <c r="Z80" s="192"/>
      <c r="AA80" s="192"/>
      <c r="AB80" s="192"/>
      <c r="AC80" s="192"/>
      <c r="AD80" s="192"/>
      <c r="AE80" s="192"/>
      <c r="AF80" s="203">
        <f t="shared" si="15"/>
        <v>70</v>
      </c>
      <c r="AG80" s="203" t="str">
        <f t="shared" si="11"/>
        <v/>
      </c>
      <c r="AH80" s="192" t="str">
        <f t="shared" si="12"/>
        <v/>
      </c>
      <c r="AI80" s="229" t="str">
        <f t="shared" si="13"/>
        <v>Bye</v>
      </c>
      <c r="AJ80" s="203"/>
      <c r="AK80" s="203">
        <f t="shared" si="14"/>
        <v>0</v>
      </c>
      <c r="AL80" s="229">
        <f t="shared" si="16"/>
        <v>0</v>
      </c>
      <c r="AM80" s="203"/>
      <c r="AN80" s="192"/>
      <c r="AO80" s="192"/>
      <c r="AP80" s="192"/>
      <c r="AQ80" s="192"/>
      <c r="AR80" s="192"/>
      <c r="AS80" s="192"/>
      <c r="AT80" s="192"/>
      <c r="AU80" s="192"/>
      <c r="AV80" s="192"/>
      <c r="AW80" s="192"/>
      <c r="AX80" s="192"/>
    </row>
    <row r="81" spans="2:50" ht="15" customHeight="1" thickTop="1" thickBot="1" x14ac:dyDescent="0.35">
      <c r="B81" s="192"/>
      <c r="C81" s="192"/>
      <c r="D81" s="192"/>
      <c r="E81" s="192"/>
      <c r="F81" s="192"/>
      <c r="G81" s="192"/>
      <c r="H81" s="192"/>
      <c r="I81" s="400" t="s">
        <v>93</v>
      </c>
      <c r="J81" s="160"/>
      <c r="K81" s="396" t="s">
        <v>94</v>
      </c>
      <c r="L81" s="398" t="s">
        <v>95</v>
      </c>
      <c r="M81" s="390" t="s">
        <v>96</v>
      </c>
      <c r="N81" s="390" t="s">
        <v>97</v>
      </c>
      <c r="O81" s="373" t="s">
        <v>98</v>
      </c>
      <c r="P81" s="373" t="str">
        <f>IF(COUNT(U82:X93)=3,"LM/WM Ratio",IF(COUNT(U82:X93)=6,"LP/WP Ratio",""))</f>
        <v/>
      </c>
      <c r="Q81" s="390" t="s">
        <v>99</v>
      </c>
      <c r="R81" s="392" t="s">
        <v>100</v>
      </c>
      <c r="S81" s="192"/>
      <c r="T81" s="120"/>
      <c r="U81" s="121" t="s">
        <v>101</v>
      </c>
      <c r="V81" s="122" t="s">
        <v>102</v>
      </c>
      <c r="W81" s="122" t="s">
        <v>103</v>
      </c>
      <c r="X81" s="123" t="s">
        <v>104</v>
      </c>
      <c r="Y81" s="380" t="s">
        <v>105</v>
      </c>
      <c r="Z81" s="379"/>
      <c r="AA81" s="378" t="s">
        <v>106</v>
      </c>
      <c r="AB81" s="379"/>
      <c r="AC81" s="192"/>
      <c r="AD81" s="192"/>
      <c r="AE81" s="203"/>
      <c r="AF81" s="203">
        <f t="shared" si="15"/>
        <v>71</v>
      </c>
      <c r="AG81" s="203" t="str">
        <f t="shared" si="11"/>
        <v/>
      </c>
      <c r="AH81" s="192" t="str">
        <f t="shared" si="12"/>
        <v/>
      </c>
      <c r="AI81" s="229" t="str">
        <f t="shared" si="13"/>
        <v>Bye</v>
      </c>
      <c r="AJ81" s="203"/>
      <c r="AK81" s="203">
        <f t="shared" si="14"/>
        <v>0</v>
      </c>
      <c r="AL81" s="229">
        <f t="shared" si="16"/>
        <v>0</v>
      </c>
      <c r="AM81" s="203"/>
      <c r="AN81" s="192"/>
      <c r="AO81" s="192"/>
      <c r="AP81" s="192"/>
      <c r="AQ81" s="192"/>
      <c r="AR81" s="192"/>
      <c r="AS81" s="192"/>
      <c r="AT81" s="192"/>
      <c r="AU81" s="192"/>
      <c r="AV81" s="192"/>
      <c r="AW81" s="192"/>
      <c r="AX81" s="192"/>
    </row>
    <row r="82" spans="2:50" ht="15" customHeight="1" thickTop="1" thickBot="1" x14ac:dyDescent="0.35">
      <c r="B82" s="192"/>
      <c r="C82" s="192"/>
      <c r="D82" s="192"/>
      <c r="E82" s="192"/>
      <c r="F82" s="192"/>
      <c r="G82" s="192"/>
      <c r="H82" s="192"/>
      <c r="I82" s="401"/>
      <c r="J82" s="161"/>
      <c r="K82" s="397"/>
      <c r="L82" s="399"/>
      <c r="M82" s="391"/>
      <c r="N82" s="391"/>
      <c r="O82" s="374"/>
      <c r="P82" s="374"/>
      <c r="Q82" s="391"/>
      <c r="R82" s="393"/>
      <c r="S82" s="192"/>
      <c r="T82" s="208">
        <v>1</v>
      </c>
      <c r="U82" s="209" t="str">
        <f>IF(M83="","",IF(COUNTIF(M83:M85,M83)=3,IF(COUNTBLANK(I83:I86)=1,(Q95+Q101)/(Q94+Q100),IF(COUNTBLANK(I83:I86)=0,(Q107+Q95)/(Q106+Q94),"")),""))</f>
        <v/>
      </c>
      <c r="V82" s="125" t="str">
        <f>IF(AND(COUNTBLANK(I83:I86)=0,M83=M85,M85=M86),(Q95+Q101)/(Q94+Q100),"")</f>
        <v/>
      </c>
      <c r="W82" s="210" t="str">
        <f>IF(AND(COUNTBLANK(I83:I86)=0,M83=M84,M84=M86),(Q107+Q101)/(Q106+Q100),"")</f>
        <v/>
      </c>
      <c r="X82" s="211"/>
      <c r="Y82" s="169" t="s">
        <v>93</v>
      </c>
      <c r="Z82" s="170" t="s">
        <v>107</v>
      </c>
      <c r="AA82" s="169" t="s">
        <v>93</v>
      </c>
      <c r="AB82" s="170" t="s">
        <v>107</v>
      </c>
      <c r="AC82" s="192"/>
      <c r="AD82" s="192"/>
      <c r="AE82" s="192"/>
      <c r="AF82" s="203">
        <f t="shared" si="15"/>
        <v>72</v>
      </c>
      <c r="AG82" s="203" t="str">
        <f t="shared" si="11"/>
        <v/>
      </c>
      <c r="AH82" s="192" t="str">
        <f t="shared" si="12"/>
        <v/>
      </c>
      <c r="AI82" s="229" t="str">
        <f t="shared" si="13"/>
        <v>Bye</v>
      </c>
      <c r="AJ82" s="203"/>
      <c r="AK82" s="203">
        <f t="shared" si="14"/>
        <v>0</v>
      </c>
      <c r="AL82" s="229">
        <f t="shared" si="16"/>
        <v>0</v>
      </c>
      <c r="AM82" s="203"/>
      <c r="AN82" s="192"/>
      <c r="AO82" s="192"/>
      <c r="AP82" s="192"/>
      <c r="AQ82" s="192"/>
      <c r="AR82" s="192"/>
      <c r="AS82" s="192"/>
      <c r="AT82" s="192"/>
      <c r="AU82" s="192"/>
      <c r="AV82" s="192"/>
      <c r="AW82" s="192"/>
      <c r="AX82" s="192"/>
    </row>
    <row r="83" spans="2:50" ht="15" customHeight="1" thickTop="1" thickBot="1" x14ac:dyDescent="0.35">
      <c r="B83" s="192"/>
      <c r="C83" s="192"/>
      <c r="D83" s="192"/>
      <c r="E83" s="192"/>
      <c r="F83" s="192" t="str">
        <f>IF(I83="","",VLOOKUP(I83,Siembra,2,FALSE))</f>
        <v/>
      </c>
      <c r="G83" s="192" t="str">
        <f>O83</f>
        <v/>
      </c>
      <c r="H83" s="192">
        <v>1</v>
      </c>
      <c r="I83" s="128" t="str">
        <f>IF(K83="","",IF(ISNUMBER(Sorteo!$A$17),VLOOKUP(K83,Draw,2,FALSE),""))</f>
        <v/>
      </c>
      <c r="J83" s="129" t="str">
        <f>O83</f>
        <v/>
      </c>
      <c r="K83" s="130" t="str">
        <f>IF(K9="","",IF(Group_players=4,IF(Tablas!BJ$3="","",Tablas!BJ$3),IF(Group_players=3,IF(Tablas!BJ$11="","",Tablas!BJ$11),"")))</f>
        <v/>
      </c>
      <c r="L83" s="131" t="str">
        <f>IF(K83="","",VLOOKUP(I83,Siembra,3,FALSE))</f>
        <v/>
      </c>
      <c r="M83" s="132" t="str">
        <f>IF(AND(Q94="",Q95=""),"",IF(I83="","",SUMIFS(E94:E110,I94:I110,I83)))</f>
        <v/>
      </c>
      <c r="N83" s="132" t="str">
        <f>IF(M83="","",IF(I83="","",SUMIFS(F94:F110,I94:I110,I83)))</f>
        <v/>
      </c>
      <c r="O83" s="132" t="str">
        <f>IF(M83="","",IF(COUNTBLANK(I83:I86)=2,IF(M83=1,1,IF(M83=0,2)),IF(COUNTBLANK(I83:I86)=1,IF(M83=2,1,IF(M83=0,3,IF(AND(M83=1,M84&lt;&gt;1),2,IF(COUNTIF(M83:M85,1)&gt;1,Z83)))),IF(COUNTBLANK(I83:I86)=0,IF(COUNTIF(M83:M86,M83)=1,IF(M83=3,1,IF(M83=2,2,IF(M83=1,3,IF(M83=0,4)))),IF(Group_players=3,Z83,IF(COUNTIF(M83:M86,M83)=2,AB83,IF(AND(M83=M84,M84=M85),AB87,IF(AND(M83=M85,M85=M86),AB90,IF(AND(M83=M84,M84=M86),AB93,"")))))),99))))</f>
        <v/>
      </c>
      <c r="P83" s="133" t="str">
        <f>IF(COUNT(U82:X93)=3,IF(ISNUMBER(U82),U82,IF(ISNUMBER(V82),V82,IF(ISNUMBER(W82),W82,IF(X82="","")))),IF(COUNT(U82:X93)=6,IF(ISNUMBER(U90),U90,IF(ISNUMBER(V90),V90,IF(ISNUMBER(W90),W90,IF(ISBLANK(X82),"")))),""))</f>
        <v/>
      </c>
      <c r="Q83" s="132" t="str">
        <f>IF(M83="","",SUMIF(I94:S110,I83,S94:S110))</f>
        <v/>
      </c>
      <c r="R83" s="134" t="str">
        <f>IF(M83="","",L83+Q83)</f>
        <v/>
      </c>
      <c r="S83" s="203"/>
      <c r="T83" s="208">
        <v>2</v>
      </c>
      <c r="U83" s="209" t="str">
        <f>IF(M84="","",IF(COUNTIF(M83:M85,M84)=3,IF(COUNTBLANK(I83:I86)=1,(Q98+Q100)/(Q97+Q101),IF(COUNTBLANK(I83:I86)=0,(Q104+Q106)/(Q103+Q107),"")),""))</f>
        <v/>
      </c>
      <c r="V83" s="135"/>
      <c r="W83" s="212" t="str">
        <f>IF(AND(COUNTBLANK(I83:I86)=0,M84=M83,M83=M86),(Q106+Q98)/(Q107+Q97),"")</f>
        <v/>
      </c>
      <c r="X83" s="213" t="str">
        <f>IF(AND(COUNTBLANK(I83:I86)=0,M84=M85,M85=M86),(Q104+Q98)/(Q103+Q97),"")</f>
        <v/>
      </c>
      <c r="Y83" s="214">
        <v>1</v>
      </c>
      <c r="Z83" s="215" t="str">
        <f>IF(U82="","",IF(OR(Group_players=3,AND(Group_players=4,COUNTBLANK(I83:I86)=1)),IF(COUNTIF(M83:M85,M83)=1,"",IF(AND(U82=U83,U83=U84),Z87,IF(AND(U82&lt;&gt;U83,U82&lt;&gt;U84,U83&lt;&gt;U84),(IF(SMALL(U82:U84,1)=U82,1,IF(SMALL(U82:U84,2)=U82,2,IF(SMALL(U82:U84,3)=U82,3)))),IF(AND(U82&lt;U83,U83=U84),1,IF(AND(U82&gt;U83,U83=U84),3,IF(AND(U82=U83,U82&lt;U84),(IF(Q100=3,1,2)),IF(AND(U82=U83,U82&gt;U84),(IF(Q100=3,2,3)),IF(AND(U82=U84,U82&lt;U83),(IF(Q94=3,1,2)),IF(AND(U82=U84,U82&gt;U83),(IF(Q94=3,2,3)),99))))))))),""))</f>
        <v/>
      </c>
      <c r="AA83" s="216">
        <v>1</v>
      </c>
      <c r="AB83" s="217" t="str">
        <f>IF(COUNTIF(M83:M86,M83)&lt;&gt;2,"",IF(COUNTIF(M83:M86,M83)=1,"",IF(AND(COUNTIF(M83:M86,M83)=2,M83=2),IF(M83=M84,IF(Q106=3,1,2),IF(M83=M85,IF(Q94=3,1,2),IF(M83=M86,IF(Q100=3,1,2)))),IF(AND(COUNTIF(M83:M86,M83)=2,M83=1),IF(M83=M84,IF(Q106=3,3,4),IF(M83=M85,IF(Q94=3,3,4),IF(M83=M86,IF(Q100=3,3,4)))),IF(COUNTIF(M83:M86,M83)=3,AB87)))))</f>
        <v/>
      </c>
      <c r="AC83" s="192"/>
      <c r="AD83" s="192"/>
      <c r="AE83" s="192"/>
      <c r="AF83" s="203">
        <f t="shared" si="15"/>
        <v>73</v>
      </c>
      <c r="AG83" s="203" t="str">
        <f t="shared" si="11"/>
        <v/>
      </c>
      <c r="AH83" s="192" t="str">
        <f t="shared" si="12"/>
        <v/>
      </c>
      <c r="AI83" s="229" t="str">
        <f t="shared" si="13"/>
        <v>Bye</v>
      </c>
      <c r="AJ83" s="203"/>
      <c r="AK83" s="203">
        <f t="shared" si="14"/>
        <v>0</v>
      </c>
      <c r="AL83" s="229">
        <f t="shared" si="16"/>
        <v>0</v>
      </c>
      <c r="AM83" s="203"/>
      <c r="AN83" s="192"/>
      <c r="AO83" s="192"/>
      <c r="AP83" s="192"/>
      <c r="AQ83" s="192"/>
      <c r="AR83" s="192"/>
      <c r="AS83" s="192"/>
      <c r="AT83" s="192"/>
      <c r="AU83" s="192"/>
      <c r="AV83" s="192"/>
      <c r="AW83" s="192"/>
      <c r="AX83" s="192"/>
    </row>
    <row r="84" spans="2:50" ht="15" customHeight="1" thickTop="1" thickBot="1" x14ac:dyDescent="0.35">
      <c r="B84" s="192"/>
      <c r="C84" s="192"/>
      <c r="D84" s="192"/>
      <c r="E84" s="192"/>
      <c r="F84" s="192" t="str">
        <f>IF(I84="","",VLOOKUP(I84,Siembra,2,FALSE))</f>
        <v/>
      </c>
      <c r="G84" s="192" t="str">
        <f>O84</f>
        <v/>
      </c>
      <c r="H84" s="192">
        <v>2</v>
      </c>
      <c r="I84" s="128" t="str">
        <f>IF(K84="","",IF(ISNUMBER(Sorteo!$A$17),VLOOKUP(K84,Draw,2,FALSE),""))</f>
        <v/>
      </c>
      <c r="J84" s="129" t="str">
        <f>O84</f>
        <v/>
      </c>
      <c r="K84" s="136" t="str">
        <f>IF(K9="","",IF(Group_players=4,IF(Tablas!BJ$4="","",Tablas!BJ$4),IF(Group_players=3,IF(Tablas!BJ$12="","",Tablas!BJ$12),"")))</f>
        <v/>
      </c>
      <c r="L84" s="137" t="str">
        <f>IF(K84="","",VLOOKUP(I84,Siembra,3,FALSE))</f>
        <v/>
      </c>
      <c r="M84" s="132" t="str">
        <f>IF(AND(L94="",L95=""),"",IF(I84="","",SUMIFS(E94:E111,I94:I111,I84)))</f>
        <v/>
      </c>
      <c r="N84" s="138" t="str">
        <f>IF(M84="","",IF(I84="","",SUMIFS(F94:F110,I94:I110,I84)))</f>
        <v/>
      </c>
      <c r="O84" s="132" t="str">
        <f>IF(M84="","",IF(COUNTBLANK(I84:I86)=2,IF(M84=1,1,IF(M84=0,2)),IF(COUNTBLANK(I83:I86)=1,IF(M84=2,1,IF(M84=0,3,IF(AND(M84=1,M85&lt;&gt;1),2,IF(COUNTIF(M83:M86,1)&gt;1,Z84)))),IF(COUNTBLANK(I83:I86)=0,IF(COUNTIF(M83:M86,M84)=1,IF(M84=3,1,IF(M84=2,2,IF(M84=1,3,IF(M84=0,4)))),IF(Group_players=3,Z84,IF(COUNTIF(M83:M86,M84)=2,AB84,IF(AND(M84=M83,M83=M85),AB88,IF(AND(M84=M83,M83=M86),AB94,IF(AND(M84=M85,M85=M86),AB96,""))))))))))</f>
        <v/>
      </c>
      <c r="P84" s="133" t="str">
        <f>IF(COUNT(U82:X93)=3,IF(ISNUMBER(U83),U83,IF(ISNUMBER(W83),W83,IF(ISNUMBER(X83),X83,IF(X83="","")))),IF(COUNT(U82:X93)=6,IF(ISNUMBER(U91),U91,IF(ISNUMBER(W91),W91,IF(ISNUMBER(X91),X91,IF(ISBLANK(X90),"")))),""))</f>
        <v/>
      </c>
      <c r="Q84" s="138" t="str">
        <f>IF(M84="","",SUMIF(I94:S110,I84,S94:$S110))</f>
        <v/>
      </c>
      <c r="R84" s="139" t="str">
        <f>IF(M84="","",L84+Q84)</f>
        <v/>
      </c>
      <c r="S84" s="203"/>
      <c r="T84" s="208">
        <v>3</v>
      </c>
      <c r="U84" s="209" t="str">
        <f>IF(M85="","",IF(COUNTIF(M83:M85,M85)=3,IF(COUNTBLANK(I83:I86)=1,(Q94+Q97)/(Q95+Q98),IF(COUNTBLANK(I83:I86)=0,(Q94+Q103)/(Q95+Q104),"")),""))</f>
        <v/>
      </c>
      <c r="V84" s="125" t="str">
        <f>IF(AND(COUNTBLANK(I83:I86)=0,M85=M86,M86=M83),(Q94+Q110)/(Q95+Q109),"")</f>
        <v/>
      </c>
      <c r="W84" s="218"/>
      <c r="X84" s="213" t="str">
        <f>IF(AND(COUNTBLANK(I83:I86)=0,M85=M86,M86=M84),(Q103+Q110)/(Q104+Q109),"")</f>
        <v/>
      </c>
      <c r="Y84" s="219">
        <v>2</v>
      </c>
      <c r="Z84" s="220" t="str">
        <f>IF(U83="","",IF(OR(Group_players=3,AND(Group_players=4,COUNTBLANK(I83:I86)=1)),IF(COUNTIF(M83:M85,M84)=1,"",IF(AND(U83=U82,U83=U84),Z88,IF(AND(U83&lt;&gt;U82,U83&lt;&gt;U84,U82&lt;&gt;U84),(IF(SMALL(U82:U84,1)=U83,1,IF(SMALL(U82:U84,2)=U83,2,IF(SMALL(U82:U84,3)=U83,3)))),IF(AND(U83&lt;U82,U82=U84),1,IF(AND(U83&gt;U82,U82=U84),3,IF(AND(U83=U82,U83&lt;U84),(IF(Q101=3,1,2)),IF(AND(U83=U82,U83&gt;U84),(IF(Q101=3,2,3)),IF(AND(U83=U84,U83&lt;U82),(IF(Q97=3,1,2)),IF(AND(U83=U84,U83&gt;U82),(IF(Q97=3,2,3)),99))))))))),""))</f>
        <v/>
      </c>
      <c r="AA84" s="221">
        <v>2</v>
      </c>
      <c r="AB84" s="222" t="str">
        <f>IF(COUNTIF(M83:M86,M84)&lt;&gt;2,"",IF(COUNTIF(M83:M86,M84)=1,"",IF(AND(COUNTIF(M83:M86,M84)=2,M84=2),IF(M84=M83,IF(Q107=3,1,2),IF(M84=M85,IF(Q103=3,1,2),IF(M84=M86,IF(Q97=3,1,2)))),IF(AND(COUNTIF(M83:M86,M84)=2,M84=1),IF(M84=M83,IF(Q107=3,3,4),IF(M84=M85,IF(Q103=3,3,4),IF(M84=M86,IF(Q97=3,3,4)))),AB89))))</f>
        <v/>
      </c>
      <c r="AC84" s="192"/>
      <c r="AD84" s="192"/>
      <c r="AE84" s="192"/>
      <c r="AF84" s="203">
        <f t="shared" si="15"/>
        <v>74</v>
      </c>
      <c r="AG84" s="203" t="str">
        <f t="shared" si="11"/>
        <v/>
      </c>
      <c r="AH84" s="192" t="str">
        <f t="shared" si="12"/>
        <v/>
      </c>
      <c r="AI84" s="229" t="str">
        <f t="shared" si="13"/>
        <v>Bye</v>
      </c>
      <c r="AJ84" s="203"/>
      <c r="AK84" s="203">
        <f t="shared" si="14"/>
        <v>0</v>
      </c>
      <c r="AL84" s="229">
        <f t="shared" si="16"/>
        <v>0</v>
      </c>
      <c r="AM84" s="203"/>
      <c r="AN84" s="192"/>
      <c r="AO84" s="192"/>
      <c r="AP84" s="192"/>
      <c r="AQ84" s="192"/>
      <c r="AR84" s="192"/>
      <c r="AS84" s="192"/>
      <c r="AT84" s="192"/>
      <c r="AU84" s="192"/>
      <c r="AV84" s="192"/>
      <c r="AW84" s="192"/>
      <c r="AX84" s="192"/>
    </row>
    <row r="85" spans="2:50" ht="15" customHeight="1" thickBot="1" x14ac:dyDescent="0.35">
      <c r="B85" s="192"/>
      <c r="C85" s="192"/>
      <c r="D85" s="192"/>
      <c r="E85" s="192"/>
      <c r="F85" s="192" t="str">
        <f>IF(I85="","",VLOOKUP(I85,Siembra,2,FALSE))</f>
        <v/>
      </c>
      <c r="G85" s="192" t="str">
        <f>O85</f>
        <v/>
      </c>
      <c r="H85" s="192">
        <v>3</v>
      </c>
      <c r="I85" s="128" t="str">
        <f>IF(K85="","",IF(ISNUMBER(Sorteo!$A$17),VLOOKUP(K85,Draw,2,FALSE),""))</f>
        <v/>
      </c>
      <c r="J85" s="129" t="str">
        <f>O85</f>
        <v/>
      </c>
      <c r="K85" s="136" t="str">
        <f>IF(K9="","",IF(Group_players=4,IF(Tablas!BJ$5="","",Tablas!BJ$5),IF(Group_players=3,IF(Tablas!BJ$13="","",Tablas!BJ$13),"")))</f>
        <v/>
      </c>
      <c r="L85" s="137" t="str">
        <f>IF(K85="","",VLOOKUP(I85,Siembra,3,FALSE))</f>
        <v/>
      </c>
      <c r="M85" s="132" t="str">
        <f>IF(AND(L95="",L94=""),"",IF(I85="","",SUMIFS(E94:E112,I94:I112,I85)))</f>
        <v/>
      </c>
      <c r="N85" s="138" t="str">
        <f>IF(M85="","",IF(I85="","",SUMIFS(F94:F110,I94:I110,I85)))</f>
        <v/>
      </c>
      <c r="O85" s="132" t="str">
        <f>IF(M85="","",IF(COUNTBLANK(I83:I86)=1,IF(M85=2,1,IF(M85=0,3,IF(AND(M85=1,M85&lt;&gt;M83),2,IF(COUNTIF(M83:M86,1)&gt;1,Z85)))),IF(COUNTBLANK(I83:I86)=0,IF(COUNTIF(M83:M86,M85)=1,IF(M85=3,1,IF(M85=2,2,IF(M85=1,3,IF(M85=0,4)))),IF(Group_players=3,Z85,IF(COUNTIF(M83:M86,M85)=2,AB85,IF(AND(M85=M83,M83=M84),AB89,IF(AND(M85=M83,M83=M86),AB91,IF(AND(M85=M84,M84=M86),AB97,"")))))))))</f>
        <v/>
      </c>
      <c r="P85" s="133" t="str">
        <f>IF(COUNT(U82:X93)=3,IF(ISNUMBER(U84),U84,IF(ISNUMBER(V84),V84,IF(ISNUMBER(X84),X84,IF(W84="","")))),IF(COUNT(U82:X93)=6,IF(ISNUMBER(U92),U92,IF(ISNUMBER(V92),V92,IF(ISNUMBER(X92),X92,""))),""))</f>
        <v/>
      </c>
      <c r="Q85" s="138" t="str">
        <f>IF(M85="","",SUMIF(I94:S110,I85,S94:S110))</f>
        <v/>
      </c>
      <c r="R85" s="139" t="str">
        <f>IF(M85="","",L85+Q85)</f>
        <v/>
      </c>
      <c r="S85" s="203"/>
      <c r="T85" s="208">
        <v>4</v>
      </c>
      <c r="U85" s="223"/>
      <c r="V85" s="140" t="str">
        <f>IF(AND(COUNTBLANK(I83:I86)=0,M86=M83,M83=M85),(Q100+Q109)/(Q101+Q110),"")</f>
        <v/>
      </c>
      <c r="W85" s="224" t="str">
        <f>IF(AND(COUNTBLANK(I83:I86)=0,M86=M83,M83=M84),(Q100+Q97)/(Q101+Q98),"")</f>
        <v/>
      </c>
      <c r="X85" s="225" t="str">
        <f>IF(AND(COUNTBLANK(I83:I86)=0,M86=M84,M84=M85),(Q97+Q109)/(Q98+Q110),"")</f>
        <v/>
      </c>
      <c r="Y85" s="226">
        <v>3</v>
      </c>
      <c r="Z85" s="227" t="str">
        <f>IF(U84="","",IF(OR(Group_players=3,AND(Group_players=4,COUNTBLANK(I83:I86)=1)),IF(COUNTIF(M83:M85,M85)=1,"",IF(AND(U84=U82,U84=U83),Z89,IF(AND(U84&lt;&gt;U83,U83&lt;&gt;U82,U84&lt;&gt;U82),(IF(SMALL(U82:U84,1)=U84,1,IF(SMALL(U82:U84,2)=U84,2,IF(SMALL(U82:U84,3)=U84,3)))),IF(AND(U84&lt;U83,U83=U82),1,IF(AND(U84&gt;U83,U83=U82),3,IF(AND(U84=U83,U84&lt;U82),(IF(Q98=3,1,2)),IF(AND(U84=U83,U84&gt;U82),(IF(Q98=3,2,3)),IF(AND(U84=U82,U84&lt;U83),(IF(Q95=3,1,2)),IF(AND(U84=U82,U84&gt;U83),(IF(Q95=3,2,3)),99))))))))),""))</f>
        <v/>
      </c>
      <c r="AA85" s="221">
        <v>3</v>
      </c>
      <c r="AB85" s="222" t="str">
        <f>IF(COUNTIF(M83:M86,M85)&lt;&gt;2,"",IF(COUNTIF(M83:M86,M85)=1,"",IF(AND(COUNTIF(M83:M86,M85)=2,M85=2),IF(M85=M83,IF(Q95=3,1,2),IF(M85=M84,IF(Q104=3,1,2),IF(M85=M86,IF(Q109=3,1,2)))),IF(AND(COUNTIF(M83:M86,M85)=2,M85=1),IF(M85=M83,IF(Q95=3,3,4),IF(M85=M84,IF(Q104=3,3,4),IF(M85=M86,IF(Q109=3,3,4)))),AB89))))</f>
        <v/>
      </c>
      <c r="AC85" s="192"/>
      <c r="AD85" s="192"/>
      <c r="AE85" s="192"/>
      <c r="AF85" s="203">
        <f t="shared" si="15"/>
        <v>75</v>
      </c>
      <c r="AG85" s="203" t="str">
        <f t="shared" si="11"/>
        <v/>
      </c>
      <c r="AH85" s="192" t="str">
        <f t="shared" si="12"/>
        <v/>
      </c>
      <c r="AI85" s="229" t="str">
        <f t="shared" si="13"/>
        <v>Bye</v>
      </c>
      <c r="AJ85" s="203"/>
      <c r="AK85" s="203">
        <f t="shared" si="14"/>
        <v>0</v>
      </c>
      <c r="AL85" s="229">
        <f t="shared" si="16"/>
        <v>0</v>
      </c>
      <c r="AM85" s="203"/>
      <c r="AN85" s="192"/>
      <c r="AO85" s="192"/>
      <c r="AP85" s="192"/>
      <c r="AQ85" s="192"/>
      <c r="AR85" s="192"/>
      <c r="AS85" s="192"/>
      <c r="AT85" s="192"/>
      <c r="AU85" s="192"/>
      <c r="AV85" s="192"/>
      <c r="AW85" s="192"/>
      <c r="AX85" s="192"/>
    </row>
    <row r="86" spans="2:50" ht="15" customHeight="1" thickTop="1" thickBot="1" x14ac:dyDescent="0.35">
      <c r="B86" s="192"/>
      <c r="C86" s="192"/>
      <c r="D86" s="192"/>
      <c r="E86" s="192"/>
      <c r="F86" s="192" t="str">
        <f>IF(I86="","",VLOOKUP(I86,Siembra,2,FALSE))</f>
        <v/>
      </c>
      <c r="G86" s="192" t="str">
        <f>O86</f>
        <v/>
      </c>
      <c r="H86" s="192">
        <v>4</v>
      </c>
      <c r="I86" s="141" t="str">
        <f>IF(K86="","",IF(ISNUMBER(Sorteo!$A$17),VLOOKUP(K86,Draw,2,FALSE),""))</f>
        <v/>
      </c>
      <c r="J86" s="142" t="str">
        <f>O86</f>
        <v/>
      </c>
      <c r="K86" s="143" t="str">
        <f>IF(K9="","",IF(Group_players=4,IF(Tablas!BJ$6="","",Tablas!BJ$6),""))</f>
        <v/>
      </c>
      <c r="L86" s="144" t="str">
        <f>IF(K86="","",VLOOKUP(I86,Siembra,3,FALSE))</f>
        <v/>
      </c>
      <c r="M86" s="145" t="str">
        <f>IF(AND(Q97="",Q98=""),"",IF(I86="","",SUMIFS(E94:E113,I94:I113,I86)))</f>
        <v/>
      </c>
      <c r="N86" s="145" t="str">
        <f>IF(M86="","",IF(I86="","",SUMIFS(F94:F110,I94:I110,I86)))</f>
        <v/>
      </c>
      <c r="O86" s="145" t="str">
        <f>IF(M86="","",IF(COUNTIF(M83:M86,M86)=1,IF(M86=3,1,IF(M86=2,2,IF(M86=1,3,IF(M86=0,4)))),IF(COUNTIF(M83:M86,M86)=2,AB86,IF(AND(M86=M83,M83=M85),AB92,IF(AND(M86=M83,M83=M84),AB95,IF(AND(M86=M84,M84=M85),AB98,""))))))</f>
        <v/>
      </c>
      <c r="P86" s="146" t="str">
        <f>IF(COUNT(U82:X93)=3,IF(ISNUMBER(V85),V85,IF(ISNUMBER(W85),W85,IF(ISNUMBER(X85),X85,IF(X85="","")))),IF(COUNT(U82:X93)=6,IF(ISNUMBER(V93),V93,IF(ISNUMBER(W93),W93,IF(ISNUMBER(X93),X93,""))),""))</f>
        <v/>
      </c>
      <c r="Q86" s="145" t="str">
        <f>IF(M86="","",SUMIF(I94:S110,I86,S94:$S110))</f>
        <v/>
      </c>
      <c r="R86" s="147" t="str">
        <f>IF(M86="","",L86+Q86)</f>
        <v/>
      </c>
      <c r="S86" s="203"/>
      <c r="T86" s="192"/>
      <c r="U86" s="192"/>
      <c r="V86" s="192"/>
      <c r="W86" s="192"/>
      <c r="X86" s="192"/>
      <c r="Y86" s="230" t="s">
        <v>93</v>
      </c>
      <c r="Z86" s="231" t="s">
        <v>110</v>
      </c>
      <c r="AA86" s="232">
        <v>4</v>
      </c>
      <c r="AB86" s="233" t="str">
        <f>IF(COUNTIF(M83:M86,M86)&lt;&gt;2,"",IF(COUNTIF(M83:M86,M86)=1,"",IF(AND(COUNTIF(M83:M86,M86)=2,M86=2),IF(M86=M83,IF(Q101=3,1,2),IF(M86=M84,IF(Q98=3,1,2),IF(M86=M85,IF(Q110=3,1,2)))),IF(AND(COUNTIF(M83:M86,M86)=2,M86=1),IF(M86=M83,IF(Q101=3,3,4),IF(M86=M84,IF(Q98=3,3,4),IF(M86=M85,IF(Q110=3,3,4)))),AB92))))</f>
        <v/>
      </c>
      <c r="AC86" s="192"/>
      <c r="AD86" s="192"/>
      <c r="AE86" s="192"/>
      <c r="AF86" s="203">
        <f t="shared" si="15"/>
        <v>76</v>
      </c>
      <c r="AG86" s="203" t="str">
        <f t="shared" si="11"/>
        <v/>
      </c>
      <c r="AH86" s="192" t="str">
        <f t="shared" si="12"/>
        <v/>
      </c>
      <c r="AI86" s="229" t="str">
        <f t="shared" si="13"/>
        <v>Bye</v>
      </c>
      <c r="AJ86" s="203"/>
      <c r="AK86" s="203">
        <f t="shared" si="14"/>
        <v>0</v>
      </c>
      <c r="AL86" s="229">
        <f t="shared" si="16"/>
        <v>0</v>
      </c>
      <c r="AM86" s="181"/>
      <c r="AN86" s="192"/>
      <c r="AO86" s="192"/>
      <c r="AP86" s="192"/>
      <c r="AQ86" s="192"/>
      <c r="AR86" s="192"/>
      <c r="AS86" s="192"/>
      <c r="AT86" s="192"/>
      <c r="AU86" s="192"/>
      <c r="AV86" s="192"/>
      <c r="AW86" s="192"/>
      <c r="AX86" s="192"/>
    </row>
    <row r="87" spans="2:50" ht="15" customHeight="1" thickTop="1" x14ac:dyDescent="0.3">
      <c r="B87" s="192"/>
      <c r="C87" s="192"/>
      <c r="D87" s="192"/>
      <c r="E87" s="192"/>
      <c r="F87" s="192"/>
      <c r="G87" s="192"/>
      <c r="H87" s="192"/>
      <c r="I87" s="192"/>
      <c r="J87" s="192"/>
      <c r="K87" s="192"/>
      <c r="L87" s="192"/>
      <c r="M87" s="192"/>
      <c r="N87" s="192"/>
      <c r="O87" s="192"/>
      <c r="P87" s="192"/>
      <c r="Q87" s="192"/>
      <c r="R87" s="192"/>
      <c r="S87" s="192"/>
      <c r="T87" s="208"/>
      <c r="U87" s="192"/>
      <c r="V87" s="148"/>
      <c r="W87" s="148"/>
      <c r="X87" s="234"/>
      <c r="Y87" s="214">
        <v>1</v>
      </c>
      <c r="Z87" s="215" t="str">
        <f>IF(U90="","",IF(OR(Group_players=3,AND(Group_players=4,COUNTBLANK(I83:I86)=1)),IF(COUNTIF(M83:M85,M83)=1,"",IF(COUNTIF(U82:U84,U82)=3,IF(AND(U90=U91,U91=U92),"Tied",IF(AND(U90&lt;&gt;U91,U90&lt;&gt;U92,U91&lt;&gt;U92),(IF(SMALL(U90:U92,1)=U90,1,IF(SMALL(U90:U92,2)=U90,2,IF(SMALL(U90:U92,3)=U90,3)))),IF(AND(U90&lt;U91,U91=U92),1,IF(AND(U90&gt;U91,U91=U92),3,IF(AND(U90=U91,U90&lt;U92),(IF(Q100=3,1,2)),IF(AND(U90=U91,U90&gt;U92),(IF(Q100=3,2,3)),IF(AND(U90=U92,U90&lt;U91),(IF(Q94=3,1,2)),IF(AND(U90=U92,U90&gt;U91),(IF(Q94=3,2,3)),99)))))))),"")),""))</f>
        <v/>
      </c>
      <c r="AA87" s="208">
        <v>1</v>
      </c>
      <c r="AB87" s="222" t="str">
        <f>IF(AND(COUNTBLANK(I83:I86)=0,Group_players=4,M83=M84,M84=M85),IF(COUNTIF(U82:U85,U82)=3,AB100,IF(AND(COUNTIF(U82:U85,U82)=1,U83&lt;&gt;U84),IF(M83=2,IF(SMALL(U82:U85,1)=U82,1,IF(SMALL(U82:U85,2)=U82,2,IF(SMALL(U82:U85,3)=U82,3))),IF(M83=1,IF(SMALL(U82:U85,1)=U82,2,IF(SMALL(U82:U85,2)=U82,3,IF(SMALL(U82:U85,3)=U82,4))),"")),IF(COUNTIF(U82:U85,U82)=1,IF(U82&lt;U83,IF(M83=2,1,2),IF(M83=2,3,4)),IF(COUNTIF(U82:U85,U82)=2,IF(U82=U83,IF(U82&lt;U84,IF(M83=2,IF(Q106=3,1,2),IF(M83=1,IF(Q106=3,2,3))),IF(U82&gt;U84,IF(M83=2,IF(Q106=3,2,3),IF(M83=1,IF(Q106=3,3,4))))),IF(U82=U84,IF(U82&lt;U83,IF(M83=2,IF(Q94=3,1,2),IF(M83=1,IF(Q94=3,2,3))),IF(U82&gt;U83,IF(M83=2,IF(Q94=3,2,3),IF(M83=1,IF(Q94=3,3,4))))))),"")))),"")</f>
        <v/>
      </c>
      <c r="AC87" s="192"/>
      <c r="AD87" s="192"/>
      <c r="AE87" s="269"/>
      <c r="AF87" s="203">
        <f t="shared" si="15"/>
        <v>77</v>
      </c>
      <c r="AG87" s="203" t="str">
        <f t="shared" si="11"/>
        <v/>
      </c>
      <c r="AH87" s="192" t="str">
        <f t="shared" si="12"/>
        <v/>
      </c>
      <c r="AI87" s="229" t="str">
        <f t="shared" si="13"/>
        <v>Bye</v>
      </c>
      <c r="AJ87" s="203"/>
      <c r="AK87" s="203">
        <f t="shared" si="14"/>
        <v>0</v>
      </c>
      <c r="AL87" s="229">
        <f t="shared" si="16"/>
        <v>0</v>
      </c>
      <c r="AM87" s="203"/>
      <c r="AN87" s="192"/>
      <c r="AO87" s="192"/>
      <c r="AP87" s="192"/>
      <c r="AQ87" s="192"/>
      <c r="AR87" s="192"/>
      <c r="AS87" s="192"/>
      <c r="AT87" s="192"/>
      <c r="AU87" s="192"/>
      <c r="AV87" s="192"/>
      <c r="AW87" s="192"/>
      <c r="AX87" s="192"/>
    </row>
    <row r="88" spans="2:50" ht="15" customHeight="1" thickBot="1" x14ac:dyDescent="0.35">
      <c r="B88" s="192"/>
      <c r="C88" s="192"/>
      <c r="D88" s="192"/>
      <c r="E88" s="192"/>
      <c r="F88" s="192"/>
      <c r="G88" s="192"/>
      <c r="H88" s="192"/>
      <c r="I88" s="269"/>
      <c r="J88" s="269"/>
      <c r="K88" s="192"/>
      <c r="L88" s="192"/>
      <c r="M88" s="192"/>
      <c r="N88" s="192"/>
      <c r="O88" s="192"/>
      <c r="P88" s="192"/>
      <c r="Q88" s="229"/>
      <c r="R88" s="192"/>
      <c r="S88" s="192"/>
      <c r="T88" s="208"/>
      <c r="U88" s="368" t="s">
        <v>111</v>
      </c>
      <c r="V88" s="369"/>
      <c r="W88" s="369"/>
      <c r="X88" s="369"/>
      <c r="Y88" s="236">
        <v>2</v>
      </c>
      <c r="Z88" s="220" t="str">
        <f>IF(U83="","",IF(OR(Group_players=3,AND(Group_players=4,COUNTBLANK(I83:I86)=1)),IF(COUNTIF(M83:M85,M84)=1,"",IF(COUNTIF(U82:U84,U83)=3,IF(AND(U91=U90,U91=U92),"Tied",IF(AND(U91&lt;&gt;U90,U91&lt;&gt;U92,U90&lt;&gt;U92),(IF(SMALL(U90:U92,1)=U91,1,IF(SMALL(U90:U92,2)=U91,2,IF(SMALL(U90:U92,3)=U91,3)))),IF(AND(U91&lt;U90,U90=U92),1,IF(AND(U91&gt;U90,U90=U92),3,IF(AND(U91=U90,U91&lt;U92),(IF(Q101=3,1,2)),IF(AND(U91=U90,U91&gt;U92),(IF(Q101=3,2,3)),IF(AND(U91=U92,U91&lt;U90),(IF(Q97=3,1,2)),IF(AND(U91=U92,U91&gt;U90),(IF(Q97=3,2,3)),99)))))))),"")),""))</f>
        <v/>
      </c>
      <c r="AA88" s="208">
        <v>2</v>
      </c>
      <c r="AB88" s="222" t="str">
        <f>IF(AND(COUNTBLANK(I83:I86)=0,Group_players=4,M83=M84,M84=M85),IF(COUNTIF(U82:U85,U83)=3,AB101,IF(AND(COUNTIF(U82:U85,U83)=1,U82&lt;&gt;U84),IF(M84=2,IF(SMALL(U82:U85,1)=U83,1,IF(SMALL(U82:U85,2)=U83,2,IF(SMALL(U82:U85,3)=U83,3))),IF(M84=1,IF(SMALL(U82:U85,1)=U83,2,IF(SMALL(U82:U85,2)=U83,3,IF(SMALL(U82:U85,3)=U83,4))),"")),IF(COUNTIF(U82:U84,U83)=1,IF(U83&lt;U82,IF(M84=2,1,2),IF(M84=2,3,99)),IF(COUNTIF(U82:U85,U83)=2,IF(U83=U82,IF(U83&lt;U84,IF(M84=2,IF(Q107=3,1,2),IF(M84=1,IF(Q107=3,2,3))),IF(U83&gt;U84,IF(M84=2,IF(Q107=3,2,3),IF(M84=1,IF(Q107=3,3,4))))),IF(U83=U84,IF(U83&lt;U82,IF(M84=2,IF(Q103=3,1,2),IF(M84=1,IF(Q103=3,2,3))),IF(U83&gt;U82,IF(M84=2,IF(Q103=3,2,3),IF(M84=1,IF(Q103=3,3,4))))))),"")))),"")</f>
        <v/>
      </c>
      <c r="AC88" s="192"/>
      <c r="AD88" s="192"/>
      <c r="AE88" s="192"/>
      <c r="AF88" s="203">
        <f t="shared" si="15"/>
        <v>78</v>
      </c>
      <c r="AG88" s="203" t="str">
        <f t="shared" si="11"/>
        <v/>
      </c>
      <c r="AH88" s="192" t="str">
        <f t="shared" si="12"/>
        <v/>
      </c>
      <c r="AI88" s="229" t="str">
        <f t="shared" si="13"/>
        <v>Bye</v>
      </c>
      <c r="AJ88" s="203"/>
      <c r="AK88" s="203">
        <f t="shared" si="14"/>
        <v>0</v>
      </c>
      <c r="AL88" s="229">
        <f t="shared" si="16"/>
        <v>0</v>
      </c>
      <c r="AM88" s="203"/>
      <c r="AN88" s="192"/>
      <c r="AO88" s="192"/>
      <c r="AP88" s="192"/>
      <c r="AQ88" s="192"/>
      <c r="AR88" s="192"/>
      <c r="AS88" s="192"/>
      <c r="AT88" s="192"/>
      <c r="AU88" s="192"/>
      <c r="AV88" s="192"/>
      <c r="AW88" s="192"/>
      <c r="AX88" s="192"/>
    </row>
    <row r="89" spans="2:50" ht="15" customHeight="1" thickTop="1" thickBot="1" x14ac:dyDescent="0.35">
      <c r="B89" s="192"/>
      <c r="C89" s="192"/>
      <c r="D89" s="192"/>
      <c r="E89" s="192"/>
      <c r="F89" s="192"/>
      <c r="G89" s="192"/>
      <c r="H89" s="192"/>
      <c r="I89" s="192"/>
      <c r="J89" s="192"/>
      <c r="K89" s="192"/>
      <c r="L89" s="192"/>
      <c r="M89" s="192"/>
      <c r="N89" s="192"/>
      <c r="O89" s="192"/>
      <c r="P89" s="192"/>
      <c r="Q89" s="229"/>
      <c r="R89" s="192"/>
      <c r="S89" s="192"/>
      <c r="T89" s="120"/>
      <c r="U89" s="121" t="s">
        <v>101</v>
      </c>
      <c r="V89" s="122" t="s">
        <v>102</v>
      </c>
      <c r="W89" s="122" t="s">
        <v>103</v>
      </c>
      <c r="X89" s="123" t="s">
        <v>104</v>
      </c>
      <c r="Y89" s="238">
        <v>3</v>
      </c>
      <c r="Z89" s="239" t="str">
        <f>IF(U84="","",IF(OR(Group_players=3,AND(Group_players=4,COUNTBLANK(I83:I86)=1)),IF(COUNTIF(M83:M85,M85)=1,"",IF(COUNTIF(U82:U84,U84)=3,IF(AND(U92=U90,U92=U91),"Tied",IF(AND(U92&lt;&gt;U91,U91&lt;&gt;U90,U92&lt;&gt;U90),(IF(SMALL(U90:U92,1)=U92,1,IF(SMALL(U90:U92,2)=U92,2,IF(SMALL(U90:U92,3)=U92,3)))),IF(AND(U92&lt;U91,U91=U90),1,IF(AND(U92&gt;U91,U91=U90),3,IF(AND(U92=U91,U92&lt;U90),(IF(Q98=3,1,2)),IF(AND(U92=U91,U92&gt;U90),(IF(Q98=3,2,3)),IF(AND(U92=U90,U92&lt;U91),(IF(Q95=3,1,2)),IF(AND(U92=U90,U92&gt;U91),(IF(Q95=3,2,3)),99)))))))),"")),""))</f>
        <v/>
      </c>
      <c r="AA89" s="240">
        <v>3</v>
      </c>
      <c r="AB89" s="241" t="str">
        <f>IF(AND(COUNTBLANK(I83:I86)=0,Group_players=4,M83=M84,M84=M85),IF(COUNTIF(U82:U85,U84)=3,AB102,IF(AND(COUNTIF(U82:U85,U84)=1,U82&lt;&gt;U83),IF(M83=2,IF(SMALL(U82:U85,1)=U84,1,IF(SMALL(U82:U85,2)=U84,2,IF(SMALL(U82:U85,3)=U84,3))),IF(M85=1,IF(SMALL(U82:U85,1)=U84,2,IF(SMALL(U82:U85,2)=U84,3,IF(SMALL(U82:U85,3)=U84,4))),"")),IF(COUNTIF(U82:U85,U84)=1,IF(U84&lt;U83,IF(M85=2,1,2),IF(M85=2,3,4)),IF(COUNTIF(U82:U85,U84)=2,IF(U84=U83,IF(U84&lt;U82,IF(M85=2,IF(Q104=3,1,2),IF(M85=1,IF(Q104=3,2,3))),IF(U84&gt;U82,IF(M85=2,IF(Q104=3,2,3),IF(M85=1,IF(Q104=3,3,4))))),IF(U84=U82,IF(U84&lt;U83,IF(M85=2,IF(Q95=3,1,2),IF(M85=1,IF(Q95=3,2,3))),IF(U84&gt;U83,IF(M85=2,IF(Q95=3,2,3),IF(M85=1,IF(Q95=3,3,4))))))),"")))),"")</f>
        <v/>
      </c>
      <c r="AC89" s="192"/>
      <c r="AD89" s="192"/>
      <c r="AE89" s="192"/>
      <c r="AF89" s="203">
        <f t="shared" si="15"/>
        <v>79</v>
      </c>
      <c r="AG89" s="203" t="str">
        <f t="shared" si="11"/>
        <v/>
      </c>
      <c r="AH89" s="192" t="str">
        <f t="shared" si="12"/>
        <v/>
      </c>
      <c r="AI89" s="229" t="str">
        <f t="shared" si="13"/>
        <v>Bye</v>
      </c>
      <c r="AJ89" s="203"/>
      <c r="AK89" s="203">
        <f t="shared" si="14"/>
        <v>0</v>
      </c>
      <c r="AL89" s="229">
        <f t="shared" si="16"/>
        <v>0</v>
      </c>
      <c r="AM89" s="203"/>
      <c r="AN89" s="192"/>
      <c r="AO89" s="192"/>
      <c r="AP89" s="192"/>
      <c r="AQ89" s="192"/>
      <c r="AR89" s="192"/>
      <c r="AS89" s="192"/>
      <c r="AT89" s="192"/>
      <c r="AU89" s="192"/>
      <c r="AV89" s="192"/>
      <c r="AW89" s="192"/>
      <c r="AX89" s="192"/>
    </row>
    <row r="90" spans="2:50" ht="15" customHeight="1" thickTop="1" thickBot="1" x14ac:dyDescent="0.35">
      <c r="B90" s="192"/>
      <c r="C90" s="192"/>
      <c r="D90" s="192"/>
      <c r="E90" s="192"/>
      <c r="F90" s="192"/>
      <c r="G90" s="192"/>
      <c r="H90" s="192"/>
      <c r="I90" s="192"/>
      <c r="J90" s="192"/>
      <c r="K90" s="192"/>
      <c r="L90" s="192"/>
      <c r="M90" s="192"/>
      <c r="N90" s="192"/>
      <c r="O90" s="192"/>
      <c r="P90" s="192"/>
      <c r="Q90" s="229"/>
      <c r="R90" s="192"/>
      <c r="S90" s="192"/>
      <c r="T90" s="208">
        <v>1</v>
      </c>
      <c r="U90" s="209" t="str">
        <f>IF(U82="","",IF(OR(U82&lt;&gt;U83,U82&lt;&gt;U84),"",IF(COUNTIF(M83:M85,M83)=1,"",IF(COUNTBLANK(I83:I86)=1,(SUM(L95:P95)+SUM(L101:P101))/(SUM(L94:P94)+SUM(L100:P100)),IF(COUNTBLANK(I83:I86)=0,(SUM(L107:P107)+SUM(L95:P95))/(SUM(L106:P106)+SUM(L94:P94)),"")))))</f>
        <v/>
      </c>
      <c r="V90" s="125" t="str">
        <f>IF(V82="","",IF(OR(V82&lt;&gt;V84,V82&lt;&gt;V85),"",IF(AND(COUNTBLANK(I83:I86)=0,M83=M85,M85=M86),(SUM(L95:P95)+SUM(L101:P101))/(SUM(L94:P94)+SUM(L100:P100)),"")))</f>
        <v/>
      </c>
      <c r="W90" s="210" t="str">
        <f>IF(W82="","",IF(OR(W82&lt;&gt;W83,W82&lt;&gt;W85),"",IF(AND(COUNTBLANK(I83:I86)=0,M83=M84,M84=M86),(SUM(L107:P107)+SUM(L101:P101))/(SUM(L106:P106)+SUM(L100:P100)),"")))</f>
        <v/>
      </c>
      <c r="X90" s="211"/>
      <c r="Y90" s="242"/>
      <c r="Z90" s="242"/>
      <c r="AA90" s="243">
        <v>1</v>
      </c>
      <c r="AB90" s="244" t="str">
        <f>IF(AND(COUNTBLANK(I83:I86)=0,Group_players=4,M83=M85,M85=M86),IF(COUNTIF(V82:V85,V82)=3,AB103,IF(AND(COUNTIF(V82:V85,V82)=1,V84&lt;&gt;U93),IF(M83=2,IF(SMALL(V82:V85,1)=V82,1,IF(SMALL(V82:V85,2)=V82,2,IF(SMALL(V82:V85,3)=V82,3))),IF(M83=1,IF(SMALL(V82:V85,1)=V82,2,IF(SMALL(V82:V85,2)=V82,3,IF(SMALL(V82:V85,3)=V82,4))),"")),IF(COUNTIF(V82:V85,V82)=1,IF(V82&lt;V84,IF(M83=2,1,2),IF(M83=2,3,4)),IF(COUNTIF(V82:V85,V82)=2,IF(V82=V84,IF(V82&lt;V85,IF(M83=2,IF(Q94=3,1,2),IF(M83=1,IF(Q94=3,2,3))),IF(V82&gt;V85,IF(M83=2,IF(Q94=3,2,3),IF(M83=1,IF(Q94=3,3,4))))),IF(V82=V85,IF(V82&lt;V84,IF(M83=2,IF(Q100=3,1,2),IF(M83=1,IF(Q100=3,2,3))),IF(V82&gt;V83,IF(M83=2,IF(Q100=3,2,3),IF(M83=1,IF(Q100=3,3,4))))))),"")))),"")</f>
        <v/>
      </c>
      <c r="AC90" s="192"/>
      <c r="AD90" s="192"/>
      <c r="AE90" s="192"/>
      <c r="AF90" s="203">
        <f t="shared" si="15"/>
        <v>80</v>
      </c>
      <c r="AG90" s="203" t="str">
        <f t="shared" si="11"/>
        <v/>
      </c>
      <c r="AH90" s="192" t="str">
        <f t="shared" si="12"/>
        <v/>
      </c>
      <c r="AI90" s="229" t="str">
        <f t="shared" si="13"/>
        <v>Bye</v>
      </c>
      <c r="AJ90" s="203"/>
      <c r="AK90" s="203">
        <f t="shared" si="14"/>
        <v>0</v>
      </c>
      <c r="AL90" s="229">
        <f t="shared" si="16"/>
        <v>0</v>
      </c>
      <c r="AM90" s="203"/>
      <c r="AN90" s="192"/>
      <c r="AO90" s="192"/>
      <c r="AP90" s="192"/>
      <c r="AQ90" s="192"/>
      <c r="AR90" s="192"/>
      <c r="AS90" s="192"/>
      <c r="AT90" s="192"/>
      <c r="AU90" s="192"/>
      <c r="AV90" s="192"/>
      <c r="AW90" s="192"/>
      <c r="AX90" s="192"/>
    </row>
    <row r="91" spans="2:50" ht="15" customHeight="1" thickTop="1" thickBot="1" x14ac:dyDescent="0.35">
      <c r="B91" s="192"/>
      <c r="C91" s="192"/>
      <c r="D91" s="192"/>
      <c r="E91" s="117"/>
      <c r="F91" s="117"/>
      <c r="G91" s="117"/>
      <c r="H91" s="192"/>
      <c r="I91" s="192"/>
      <c r="J91" s="192"/>
      <c r="K91" s="192"/>
      <c r="L91" s="192"/>
      <c r="M91" s="192"/>
      <c r="N91" s="192"/>
      <c r="O91" s="192"/>
      <c r="P91" s="192"/>
      <c r="Q91" s="229"/>
      <c r="R91" s="192"/>
      <c r="S91" s="394" t="s">
        <v>112</v>
      </c>
      <c r="T91" s="208">
        <v>2</v>
      </c>
      <c r="U91" s="209" t="str">
        <f>IF(U82="","",IF(OR(U83&lt;&gt;U82,U83&lt;&gt;U84),"",IF(COUNTIF(M83:M85,M84)=1,"",IF(COUNTBLANK(I83:I86)=1,(SUM(L98:P98)+SUM(L100:P100))/(SUM(L97:P97)+SUM(L101:P101)),IF(COUNTBLANK(I83:I86)=0,(SUM(L106:P106)+SUM(L104:P104))/(SUM(L107:P107)+SUM(L103:P103)))))))</f>
        <v/>
      </c>
      <c r="V91" s="135"/>
      <c r="W91" s="212" t="str">
        <f>IF(W82="","",IF(OR(W83&lt;&gt;W82,W83&lt;&gt;W85),"",IF(AND(COUNTBLANK(I83:I86)=0,M83=M84,M84=M86),(SUM(L98:P98)+SUM(L106:P106))/(SUM(L107:P107)+SUM(L97:P97)),"")))</f>
        <v/>
      </c>
      <c r="X91" s="245" t="str">
        <f>IF(X83="","",IF(OR(X83&lt;&gt;X84,X83&lt;&gt;X85),"",IF(AND(COUNTBLANK(I83:I86)=0,M84=M85,M85=M86),(SUM(L104:P104)+SUM(L98:P98))/(SUM(L103:P103)+SUM(L97:P97)),"")))</f>
        <v/>
      </c>
      <c r="Y91" s="242"/>
      <c r="Z91" s="203"/>
      <c r="AA91" s="246">
        <v>3</v>
      </c>
      <c r="AB91" s="222" t="str">
        <f>IF(AND(COUNTBLANK(I83:I86)=0,Group_players=4,M83=M85,M85=M86),IF(COUNTIF(V82:V85,V84)=3,AB104,IF(AND(COUNTIF(V82:V85,V84)=1,V82&lt;&gt;V85),IF(M85=2,IF(SMALL(V82:V85,1)=V84,1,IF(SMALL(V82:V85,2)=V84,2,IF(SMALL(V82:V85,3)=V84,3))),IF(M85=1,IF(SMALL(V82:V85,1)=V84,2,IF(SMALL(V82:V85,2)=V84,3,IF(SMALL(V82:V85,3)=V84,4))),"")),IF(COUNTIF(V82:V85,V84)=1,IF(V84&lt;V82,IF(M85=2,1,2),IF(M85=2,3,4)),IF(COUNTIF(V82:V85,V84)=2,IF(V84=V82,IF(V84&lt;V85,IF(M85=2,IF(Q95=3,1,2),IF(M85=1,IF(Q95=3,2,3))),IF(V84&gt;V85,IF(M85=2,IF(Q95=3,2,3),IF(M85=1,IF(Q95=3,3,4))))),IF(V84=V85,IF(V84&lt;V82,IF(M85=2,IF(Q109=3,1,2),IF(M85=1,IF(Q109=3,2,3))),IF(V84&gt;V82,IF(M85=2,IF(Q109=3,2,3),IF(M85=1,IF(Q109=3,3,4))))))),"")))),"")</f>
        <v/>
      </c>
      <c r="AC91" s="192"/>
      <c r="AD91" s="192"/>
      <c r="AE91" s="192"/>
      <c r="AF91" s="203">
        <f t="shared" si="15"/>
        <v>81</v>
      </c>
      <c r="AG91" s="203" t="str">
        <f t="shared" si="11"/>
        <v/>
      </c>
      <c r="AH91" s="192" t="str">
        <f t="shared" si="12"/>
        <v/>
      </c>
      <c r="AI91" s="229" t="str">
        <f t="shared" si="13"/>
        <v>Bye</v>
      </c>
      <c r="AJ91" s="247"/>
      <c r="AK91" s="203">
        <f t="shared" si="14"/>
        <v>0</v>
      </c>
      <c r="AL91" s="229">
        <f t="shared" si="16"/>
        <v>0</v>
      </c>
      <c r="AM91" s="203"/>
      <c r="AN91" s="192"/>
      <c r="AO91" s="192"/>
      <c r="AP91" s="192"/>
      <c r="AQ91" s="192"/>
      <c r="AR91" s="192"/>
      <c r="AS91" s="192"/>
      <c r="AT91" s="192"/>
      <c r="AU91" s="192"/>
      <c r="AV91" s="192"/>
      <c r="AW91" s="192"/>
      <c r="AX91" s="192"/>
    </row>
    <row r="92" spans="2:50" ht="15" customHeight="1" thickTop="1" thickBot="1" x14ac:dyDescent="0.35">
      <c r="B92" s="192"/>
      <c r="C92" s="192"/>
      <c r="D92" s="192"/>
      <c r="E92" s="117"/>
      <c r="F92" s="117"/>
      <c r="G92" s="117"/>
      <c r="H92" s="192"/>
      <c r="I92" s="192"/>
      <c r="J92" s="192"/>
      <c r="K92" s="192"/>
      <c r="L92" s="192"/>
      <c r="M92" s="192"/>
      <c r="N92" s="192"/>
      <c r="O92" s="192"/>
      <c r="P92" s="192"/>
      <c r="Q92" s="192"/>
      <c r="R92" s="247"/>
      <c r="S92" s="395"/>
      <c r="T92" s="208">
        <v>3</v>
      </c>
      <c r="U92" s="209" t="str">
        <f>IF(U82="","",IF(OR(U84&lt;&gt;U82,U84&lt;&gt;U83),"",IF(COUNTIF(M83:M85,M85)=1,"",IF(COUNTBLANK(I83:I86)=1,(SUM(L94:P94)+SUM(L97:P97))/(SUM(L95:P95)+SUM(L98:P98)),IF(COUNTBLANK(I83:I86)=0,(SUM(L94:P94)+SUM(L103:P103))/(SUM(L95:P95)+SUM(L104:P104)))))))</f>
        <v/>
      </c>
      <c r="V92" s="125" t="str">
        <f>IF(V82="","",IF(OR(V84&lt;&gt;V82,V84&lt;&gt;V85),"",IF(AND(COUNTBLANK(I83:I86)=0,M83=M85,M85=M86),(SUM(L94:P94)+SUM(L110:P110))/(SUM(L95:P95)+SUM(L109:P109)),"")))</f>
        <v/>
      </c>
      <c r="W92" s="218"/>
      <c r="X92" s="245" t="str">
        <f>IF(X83="","",IF(OR(X84&lt;&gt;X83,X84&lt;&gt;X85),"",IF(AND(COUNTBLANK(I83:I86)=0,M84=M85,M85=M86),(SUM(L103:P103)+SUM(L110:P110))/(SUM(L104:P104)+SUM(L109:P109)),"")))</f>
        <v/>
      </c>
      <c r="Y92" s="208"/>
      <c r="Z92" s="203"/>
      <c r="AA92" s="240">
        <v>4</v>
      </c>
      <c r="AB92" s="222" t="str">
        <f>IF(AND(COUNTBLANK(I83:I86)=0,Group_players=4,M83=M85,M85=M86),IF(COUNTIF(V82:V85,V85)=3,AB105,IF(AND(COUNTIF(V82:V85,V85)=1,V84&lt;&gt;V82),IF(M86=2,IF(SMALL(V82:V85,1)=V85,1,IF(SMALL(V82:V85,2)=V85,2,IF(SMALL(V82:V85,3)=V85,3))),IF(M86=1,IF(SMALL(V82:V85,1)=V85,2,IF(SMALL(V82:V85,2)=V85,3,IF(SMALL(V82:V85,3)=V85,4))),"")),IF(COUNTIF(V82:V85,V85)=1,IF(V85&lt;V82,IF(M86=2,1,2),IF(M86=2,3,4)),IF(COUNTIF(V82:V85,V85)=2,IF(V85=V82,IF(V85&lt;V84,IF(M86=2,IF(Q101=3,1,2),IF(M86=1,IF(Q101=3,2,3))),IF(V85&gt;V84,IF(M86=2,IF(Q101=3,2,3),IF(M86=1,IF(Q101=3,3,4))))),IF(V85=V84,IF(V85&lt;V82,IF(M86=2,IF(Q110=3,1,2),IF(M86=1,IF(Q110=3,2,3))),IF(V85&gt;V82,IF(M86=2,IF(Q110=3,2,3),IF(M86=1,IF(Q110=3,3,4))))))),"")))),"")</f>
        <v/>
      </c>
      <c r="AC92" s="192"/>
      <c r="AD92" s="192"/>
      <c r="AE92" s="192"/>
      <c r="AF92" s="203">
        <f t="shared" si="15"/>
        <v>82</v>
      </c>
      <c r="AG92" s="203" t="str">
        <f t="shared" si="11"/>
        <v/>
      </c>
      <c r="AH92" s="192" t="str">
        <f t="shared" si="12"/>
        <v/>
      </c>
      <c r="AI92" s="229" t="str">
        <f t="shared" si="13"/>
        <v>Bye</v>
      </c>
      <c r="AJ92" s="203"/>
      <c r="AK92" s="203">
        <f t="shared" si="14"/>
        <v>0</v>
      </c>
      <c r="AL92" s="229">
        <f t="shared" si="16"/>
        <v>0</v>
      </c>
      <c r="AM92" s="203"/>
      <c r="AN92" s="192"/>
      <c r="AO92" s="192"/>
      <c r="AP92" s="192"/>
      <c r="AQ92" s="192"/>
      <c r="AR92" s="192"/>
      <c r="AS92" s="192"/>
      <c r="AT92" s="192"/>
      <c r="AU92" s="192"/>
      <c r="AV92" s="192"/>
      <c r="AW92" s="192"/>
      <c r="AX92" s="192"/>
    </row>
    <row r="93" spans="2:50" ht="15" customHeight="1" thickTop="1" thickBot="1" x14ac:dyDescent="0.35">
      <c r="B93" s="192"/>
      <c r="C93" s="192"/>
      <c r="D93" s="192"/>
      <c r="E93" s="168" t="s">
        <v>113</v>
      </c>
      <c r="F93" s="168" t="s">
        <v>114</v>
      </c>
      <c r="G93" s="117"/>
      <c r="H93" s="192"/>
      <c r="I93" s="249" t="s">
        <v>115</v>
      </c>
      <c r="J93" s="249"/>
      <c r="K93" s="249"/>
      <c r="L93" s="250" t="s">
        <v>115</v>
      </c>
      <c r="M93" s="250" t="s">
        <v>116</v>
      </c>
      <c r="N93" s="250" t="s">
        <v>117</v>
      </c>
      <c r="O93" s="250" t="s">
        <v>118</v>
      </c>
      <c r="P93" s="250" t="s">
        <v>119</v>
      </c>
      <c r="Q93" s="250" t="s">
        <v>120</v>
      </c>
      <c r="R93" s="250"/>
      <c r="S93" s="251"/>
      <c r="T93" s="208">
        <v>4</v>
      </c>
      <c r="U93" s="223"/>
      <c r="V93" s="140" t="str">
        <f>IF(V82="","",IF(OR(V85&lt;&gt;V82,V85&lt;&gt;V84),"",IF(AND(COUNTBLANK(I83:I86)=0,M83=M85,M85=M86),(SUM(L100:P100)+SUM(L109:P109))/(SUM(L101:P101)+SUM(L110:P110)),"")))</f>
        <v/>
      </c>
      <c r="W93" s="224" t="str">
        <f>IF(W82="","",IF(OR(W85&lt;&gt;W82,W85&lt;&gt;W83),"",IF(AND(COUNTBLANK(I83:I86)=0,M83=M84,M84=M86),(SUM(L100:P100)+SUM(L97:P97))/(SUM(L101:P101)+SUM(L98:P98)),"")))</f>
        <v/>
      </c>
      <c r="X93" s="252" t="str">
        <f>IF(X83="","",IF(OR(X85&lt;&gt;X83,X85&lt;&gt;X84),"",IF(AND(COUNTBLANK(I83:I86)=0,M84=M85,M85=M86),(SUM(L97:P97)+SUM(L109:P109))/(SUM(L98:P98)+SUM(L110:P110)),"")))</f>
        <v/>
      </c>
      <c r="Y93" s="192"/>
      <c r="Z93" s="203"/>
      <c r="AA93" s="243">
        <v>1</v>
      </c>
      <c r="AB93" s="151" t="str">
        <f>IF(AND(COUNTBLANK(I83:I86)=0,Group_players=4,M83=M84,M84=M86),IF(COUNTIF(W82:W85,W82)=3,AB106,IF(AND(COUNTIF(W82:W85,W82)=1,W83&lt;&gt;W85),IF(M83=2,IF(SMALL(W82:W85,1)=W82,1,IF(SMALL(W82:W85,2)=W82,2,IF(SMALL(W82:W85,3)=W82,3))),IF(M83=1,IF(SMALL(W82:W85,1)=W82,2,IF(SMALL(W82:W85,2)=W82,3,IF(SMALL(W82:W85,3)=W82,4))),"")),IF(COUNTIF(W82:W85,W82)=1,IF(W82&lt;W83,IF(M83=2,1,2),IF(M83=2,3,4)),IF(COUNTIF(W82:W85,W82)=2,IF(W82=W83,IF(W82&lt;W85,IF(M83=2,IF(Q106=3,1,2),IF(M83=1,IF(Q106=3,2,3))),IF(W82&gt;W85,IF(M83=2,IF(Q106=3,2,3),IF(M83=1,IF(Q106=3,3,4))))),IF(W82=W85,IF(W82&lt;W83,IF(M83=2,IF(Q100=3,1,2),IF(M83=1,IF(Q100=3,2,3))),IF(W82&gt;W83,IF(M83=2,IF(Q100=3,2,3),IF(M83=1,IF(Q100=3,3,4))))))),"")))),"")</f>
        <v/>
      </c>
      <c r="AC93" s="192"/>
      <c r="AD93" s="192"/>
      <c r="AE93" s="192"/>
      <c r="AF93" s="203">
        <f t="shared" si="15"/>
        <v>83</v>
      </c>
      <c r="AG93" s="203" t="str">
        <f t="shared" si="11"/>
        <v/>
      </c>
      <c r="AH93" s="192" t="str">
        <f t="shared" si="12"/>
        <v/>
      </c>
      <c r="AI93" s="229" t="str">
        <f t="shared" si="13"/>
        <v>Bye</v>
      </c>
      <c r="AJ93" s="203"/>
      <c r="AK93" s="203">
        <f t="shared" si="14"/>
        <v>0</v>
      </c>
      <c r="AL93" s="229">
        <f t="shared" si="16"/>
        <v>0</v>
      </c>
      <c r="AM93" s="203"/>
      <c r="AN93" s="192"/>
      <c r="AO93" s="192"/>
      <c r="AP93" s="192"/>
      <c r="AQ93" s="192"/>
      <c r="AR93" s="192"/>
      <c r="AS93" s="192"/>
      <c r="AT93" s="192"/>
      <c r="AU93" s="192"/>
      <c r="AV93" s="192"/>
      <c r="AW93" s="192"/>
      <c r="AX93" s="192"/>
    </row>
    <row r="94" spans="2:50" ht="15" customHeight="1" thickTop="1" x14ac:dyDescent="0.3">
      <c r="B94" s="192"/>
      <c r="C94" s="192"/>
      <c r="D94" s="192"/>
      <c r="E94" s="164" t="str">
        <f>IF(Q94="","",IF(Q94=3,1,0))</f>
        <v/>
      </c>
      <c r="F94" s="164" t="str">
        <f>IF(Q94="","",IF(Q94&lt;3,1,0))</f>
        <v/>
      </c>
      <c r="G94" s="192"/>
      <c r="H94" s="192" t="str">
        <f>IF(I83="","",1)</f>
        <v/>
      </c>
      <c r="I94" s="192" t="str">
        <f>IF(ISNUMBER(H94),VLOOKUP(H94,H83:I86,2,TRUE),"")</f>
        <v/>
      </c>
      <c r="J94" s="192"/>
      <c r="K94" s="192" t="str">
        <f>VLOOKUP(I94,I83:L86,3,FALSE)</f>
        <v/>
      </c>
      <c r="L94" s="253"/>
      <c r="M94" s="254"/>
      <c r="N94" s="254"/>
      <c r="O94" s="152"/>
      <c r="P94" s="153"/>
      <c r="Q94" s="255" t="str">
        <f>IF(L94="","",IF(AND(L94-L95&gt;1,L94&gt;10),1,0)+IF(AND(M94-M95&gt;1,M94&gt;10),1,0)+IF(AND(N94-N95&gt;1,N94&gt;10),1,0)+IF(AND(O94-O95&gt;1,O94&gt;10),1,0)+IF(AND(P94-P95&gt;1,P94&gt;10),1,0))</f>
        <v/>
      </c>
      <c r="R94" s="203" t="str">
        <f>IF(AND(I94="",I95=""),"",ABS(VLOOKUP(I94,I83:L86,4,FALSE)-VLOOKUP(I95,I83:L86,4,FALSE)))</f>
        <v/>
      </c>
      <c r="S94" s="256" t="str">
        <f>IF(R95="","",IF(Q94=3,+R95,-R95))</f>
        <v/>
      </c>
      <c r="T94" s="257"/>
      <c r="U94" s="258"/>
      <c r="V94" s="258"/>
      <c r="W94" s="258"/>
      <c r="X94" s="258"/>
      <c r="Y94" s="192"/>
      <c r="Z94" s="203"/>
      <c r="AA94" s="246">
        <v>2</v>
      </c>
      <c r="AB94" s="154" t="str">
        <f>IF(AND(COUNTBLANK(I83:I86)=0,Group_players=4,M83=M84,M84=M86),IF(COUNTIF(W82:W85,W83)=3,AB107,IF(AND(COUNTIF(W82:W85,W83)=1,W82&lt;&gt;W84),IF(M84=2,IF(SMALL(W82:W85,1)=W83,1,IF(SMALL(W82:W85,2)=W83,2,IF(SMALL(W82:W85,3)=W83,3))),IF(M84=1,IF(SMALL(W82:W85,1)=W83,2,IF(SMALL(W82:W85,2)=W83,3,IF(SMALL(W82:W85,3)=W83,4))),"")),IF(COUNTIF(W82:W85,W83)=1,IF(W83&lt;W82,IF(M84=2,1,2),IF(M84=2,3,4)),IF(COUNTIF(W82:W85,W83)=2,IF(W83=W82,IF(W83&lt;W85,IF(M84=2,IF(Q107=3,1,2),IF(M84=1,IF(Q107=3,2,3))),IF(W83&gt;W85,IF(M84=2,IF(Q107=3,2,3),IF(M84=1,IF(Q107=3,3,4))))),IF(W83=W85,IF(W83&lt;W82,IF(M84=2,IF(Q97=3,1,2),IF(M84=1,IF(Q97=3,2,3))),IF(W83&gt;W82,IF(M84=2,IF(Q97=3,2,3),IF(M84=1,IF(Q97=3,3,4))))))),"")))),"")</f>
        <v/>
      </c>
      <c r="AC94" s="192"/>
      <c r="AD94" s="192"/>
      <c r="AE94" s="192"/>
      <c r="AF94" s="203">
        <f t="shared" si="15"/>
        <v>84</v>
      </c>
      <c r="AG94" s="203" t="str">
        <f t="shared" si="11"/>
        <v/>
      </c>
      <c r="AH94" s="192" t="str">
        <f t="shared" si="12"/>
        <v/>
      </c>
      <c r="AI94" s="229" t="str">
        <f t="shared" si="13"/>
        <v>Bye</v>
      </c>
      <c r="AJ94" s="203"/>
      <c r="AK94" s="203">
        <f t="shared" si="14"/>
        <v>0</v>
      </c>
      <c r="AL94" s="229">
        <f t="shared" si="16"/>
        <v>0</v>
      </c>
      <c r="AM94" s="203"/>
      <c r="AN94" s="192"/>
      <c r="AO94" s="192"/>
      <c r="AP94" s="192"/>
      <c r="AQ94" s="192"/>
      <c r="AR94" s="192"/>
      <c r="AS94" s="192"/>
      <c r="AT94" s="192"/>
      <c r="AU94" s="192"/>
      <c r="AV94" s="192"/>
      <c r="AW94" s="192"/>
      <c r="AX94" s="192"/>
    </row>
    <row r="95" spans="2:50" ht="15" customHeight="1" thickBot="1" x14ac:dyDescent="0.35">
      <c r="B95" s="192"/>
      <c r="C95" s="192"/>
      <c r="D95" s="192"/>
      <c r="E95" s="164" t="str">
        <f>IF(Q95="","",IF(Q95=3,1,0))</f>
        <v/>
      </c>
      <c r="F95" s="164" t="str">
        <f>IF(Q95="","",IF(Q95&lt;3,1,0))</f>
        <v/>
      </c>
      <c r="G95" s="192"/>
      <c r="H95" s="192" t="str">
        <f>IF(I84="","",IF(I85="",2,3))</f>
        <v/>
      </c>
      <c r="I95" s="192" t="str">
        <f>IF(ISNUMBER(H95),VLOOKUP(H95,H83:I86,2,TRUE),"")</f>
        <v/>
      </c>
      <c r="J95" s="192"/>
      <c r="K95" s="192" t="str">
        <f>VLOOKUP(I95,I83:L86,3,FALSE)</f>
        <v/>
      </c>
      <c r="L95" s="155"/>
      <c r="M95" s="259"/>
      <c r="N95" s="259"/>
      <c r="O95" s="156"/>
      <c r="P95" s="157"/>
      <c r="Q95" s="260" t="str">
        <f>IF(L95="","",IF(AND(L95-L94&gt;1,L95&gt;10),1,0)+IF(AND(M95-M94&gt;1,M95&gt;10),1,0)+IF(AND(N95-N94&gt;1,N95&gt;10),1,0)+IF(AND(O95-O94&gt;1,O95&gt;10),1,0)+IF(AND(P95-P94&gt;1,P95&gt;10),1,0))</f>
        <v/>
      </c>
      <c r="R95" s="203" t="str">
        <f>IF(AND(Q94&lt;&gt;3,Q95&lt;&gt;3),"",IF(Q94=3,IF(VLOOKUP(I94,I83:L86,4,FALSE)&gt;VLOOKUP(I95,I83:L86,4,FALSE),VLOOKUP(R94,Point_dif,2,FALSE),VLOOKUP(R94,Point_dif,3,FALSE)),IF(Q95=3,IF(VLOOKUP(I95,I83:L86,4,FALSE)&gt;VLOOKUP(I94,I83:L86,4,FALSE),VLOOKUP(R94,Point_dif,2,FALSE),VLOOKUP(R94,Point_dif,3,FALSE)))))</f>
        <v/>
      </c>
      <c r="S95" s="256" t="str">
        <f>IF(R95="","",IF(Q95=3,+R95,-R95))</f>
        <v/>
      </c>
      <c r="T95" s="192"/>
      <c r="U95" s="235"/>
      <c r="V95" s="235"/>
      <c r="W95" s="235"/>
      <c r="X95" s="235"/>
      <c r="Y95" s="235"/>
      <c r="Z95" s="235"/>
      <c r="AA95" s="240">
        <v>4</v>
      </c>
      <c r="AB95" s="158" t="str">
        <f>IF(AND(COUNTBLANK(I83:I86)=0,Group_players=4,M83=M84,M84=M86),IF(COUNTIF(W82:W85,W85)=3,AB108,IF(AND(COUNTIF(W82:W85,W85)=1,W82&lt;&gt;W83),IF(M86=2,IF(SMALL(W82:W85,1)=W85,1,IF(SMALL(W82:W85,2)=W85,2,IF(SMALL(W82:W85,3)=W85,3))),IF(M86=1,IF(SMALL(W82:W85,1)=W85,2,IF(SMALL(W82:W85,2)=W85,3,IF(SMALL(W82:W85,3)=W85,4))),"")),IF(COUNTIF(W82:W85,W85)=1,IF(W85&lt;W82,IF(M86=2,1,2),IF(M86=2,3,4)),IF(COUNTIF(W82:W85,W85)=2,IF(W85=W82,IF(W85&lt;W83,IF(M86=2,IF(Q101=3,1,2),IF(M86=1,IF(Q101=3,2,3))),IF(W85&gt;W84,IF(M86=2,IF(Q101=3,2,3),IF(M86=1,IF(Q101=3,3,4))))),IF(W85=W83,IF(W85&lt;W82,IF(M86=2,IF(Q98=3,1,2),IF(M86=1,IF(Q98=3,2,3))),IF(W85&gt;W82,IF(M86=2,IF(Q98=3,2,3),IF(M86=1,IF(Q98=3,3,4))))))),"")))),"")</f>
        <v/>
      </c>
      <c r="AC95" s="192"/>
      <c r="AD95" s="192"/>
      <c r="AE95" s="192"/>
      <c r="AF95" s="203">
        <f t="shared" si="15"/>
        <v>85</v>
      </c>
      <c r="AG95" s="203" t="str">
        <f t="shared" si="11"/>
        <v/>
      </c>
      <c r="AH95" s="192" t="str">
        <f t="shared" si="12"/>
        <v/>
      </c>
      <c r="AI95" s="229" t="str">
        <f t="shared" si="13"/>
        <v>Bye</v>
      </c>
      <c r="AJ95" s="203"/>
      <c r="AK95" s="203">
        <f t="shared" si="14"/>
        <v>0</v>
      </c>
      <c r="AL95" s="229">
        <f t="shared" si="16"/>
        <v>0</v>
      </c>
      <c r="AM95" s="203"/>
      <c r="AN95" s="192"/>
      <c r="AO95" s="192"/>
      <c r="AP95" s="192"/>
      <c r="AQ95" s="192"/>
      <c r="AR95" s="192"/>
      <c r="AS95" s="192"/>
      <c r="AT95" s="192"/>
      <c r="AU95" s="192"/>
      <c r="AV95" s="192"/>
      <c r="AW95" s="192"/>
      <c r="AX95" s="192"/>
    </row>
    <row r="96" spans="2:50" ht="15" customHeight="1" thickTop="1" thickBot="1" x14ac:dyDescent="0.35">
      <c r="B96" s="192"/>
      <c r="C96" s="192"/>
      <c r="D96" s="192"/>
      <c r="E96" s="164"/>
      <c r="F96" s="164"/>
      <c r="G96" s="192"/>
      <c r="H96" s="192"/>
      <c r="I96" s="249" t="s">
        <v>116</v>
      </c>
      <c r="J96" s="249"/>
      <c r="K96" s="249"/>
      <c r="L96" s="250" t="s">
        <v>115</v>
      </c>
      <c r="M96" s="250" t="s">
        <v>116</v>
      </c>
      <c r="N96" s="250" t="s">
        <v>117</v>
      </c>
      <c r="O96" s="250" t="s">
        <v>118</v>
      </c>
      <c r="P96" s="250" t="s">
        <v>119</v>
      </c>
      <c r="Q96" s="250" t="s">
        <v>120</v>
      </c>
      <c r="R96" s="250"/>
      <c r="S96" s="251"/>
      <c r="T96" s="192"/>
      <c r="U96" s="235"/>
      <c r="V96" s="235"/>
      <c r="W96" s="235"/>
      <c r="X96" s="235"/>
      <c r="Y96" s="235"/>
      <c r="Z96" s="235"/>
      <c r="AA96" s="243">
        <v>2</v>
      </c>
      <c r="AB96" s="151" t="str">
        <f>IF(AND(COUNTBLANK(I83:I86)=0,Group_players=4,M84=M85,M85=M86),IF(COUNTIF(X82:X85,X83)=3,AB109,IF(AND(COUNTIF(X82:X85,X83)=1,X84&lt;&gt;X85),IF(M84=2,IF(SMALL(X82:X85,1)=X83,1,IF(SMALL(X82:X85,2)=X83,2,IF(SMALL(X82:X85,3)=X83,3))),IF(M84=1,IF(SMALL(X82:X85,1)=X83,2,IF(SMALL(X82:X85,2)=X83,3,IF(SMALL(X82:X85,3)=X83,4))),"")),IF(COUNTIF(X82:X85,X83)=1,IF(X83&lt;X85,IF(M84=2,1,2),IF(M84=1,3,3)),IF(COUNTIF(X82:X85,X83)=2,IF(X83=X84,IF(X83&lt;X85,IF(M84=2,IF(Q103=3,1,2),IF(M84=1,IF(Q103=3,2,3))),IF(X83&gt;X85,IF(M84=2,IF(Q103=3,2,3),IF(M84=1,IF(Q103=3,3,4))))),IF(X83=X85,IF(X83&lt;X84,IF(M84=2,IF(Q97=3,1,2),IF(M84=1,IF(Q97=3,2,3))),IF(X83&gt;X84,IF(M84=2,IF(Q97=3,2,3),IF(M84=1,IF(Q97=3,3,4))))))),"")))),"")</f>
        <v/>
      </c>
      <c r="AC96" s="192"/>
      <c r="AD96" s="192"/>
      <c r="AE96" s="192"/>
      <c r="AF96" s="203">
        <f t="shared" si="15"/>
        <v>86</v>
      </c>
      <c r="AG96" s="203" t="str">
        <f t="shared" si="11"/>
        <v/>
      </c>
      <c r="AH96" s="192" t="str">
        <f t="shared" si="12"/>
        <v/>
      </c>
      <c r="AI96" s="229" t="str">
        <f t="shared" si="13"/>
        <v>Bye</v>
      </c>
      <c r="AJ96" s="203"/>
      <c r="AK96" s="203">
        <f t="shared" si="14"/>
        <v>0</v>
      </c>
      <c r="AL96" s="229">
        <f t="shared" si="16"/>
        <v>0</v>
      </c>
      <c r="AM96" s="203"/>
      <c r="AN96" s="192"/>
      <c r="AO96" s="192"/>
      <c r="AP96" s="192"/>
      <c r="AQ96" s="192"/>
      <c r="AR96" s="192"/>
      <c r="AS96" s="192"/>
      <c r="AT96" s="192"/>
      <c r="AU96" s="192"/>
      <c r="AV96" s="192"/>
      <c r="AW96" s="192"/>
      <c r="AX96" s="192"/>
    </row>
    <row r="97" spans="2:50" ht="15" customHeight="1" thickTop="1" x14ac:dyDescent="0.3">
      <c r="B97" s="192"/>
      <c r="C97" s="192"/>
      <c r="D97" s="192"/>
      <c r="E97" s="164" t="str">
        <f>IF(Q97="","",IF(Q97=3,1,0))</f>
        <v/>
      </c>
      <c r="F97" s="164" t="str">
        <f>IF(Q97="","",IF(Q97&lt;3,1,0))</f>
        <v/>
      </c>
      <c r="G97" s="192"/>
      <c r="H97" s="192" t="str">
        <f>IF(I85="","",2)</f>
        <v/>
      </c>
      <c r="I97" s="192" t="str">
        <f>IF(ISNUMBER(H97),VLOOKUP(H97,H83:I86,2,TRUE),"")</f>
        <v/>
      </c>
      <c r="J97" s="192"/>
      <c r="K97" s="192" t="str">
        <f>VLOOKUP(I97,I83:L86,3,FALSE)</f>
        <v/>
      </c>
      <c r="L97" s="253"/>
      <c r="M97" s="254"/>
      <c r="N97" s="254"/>
      <c r="O97" s="152"/>
      <c r="P97" s="153"/>
      <c r="Q97" s="255" t="str">
        <f>IF(L97="","",IF(AND(L97-L98&gt;1,L97&gt;10),1,0)+IF(AND(M97-M98&gt;1,M97&gt;10),1,0)+IF(AND(N97-N98&gt;1,N97&gt;10),1,0)+IF(AND(O97-O98&gt;1,O97&gt;10),1,0)+IF(AND(P97-P98&gt;1,P97&gt;10),1,0))</f>
        <v/>
      </c>
      <c r="R97" s="203" t="str">
        <f>IF(AND(I97="",I98=""),"",ABS(VLOOKUP(I97,I83:L86,4,FALSE)-VLOOKUP(I98,I83:L86,4,FALSE)))</f>
        <v/>
      </c>
      <c r="S97" s="256" t="str">
        <f>IF(R98="","",IF(Q97=3,+R98,-R98))</f>
        <v/>
      </c>
      <c r="T97" s="192"/>
      <c r="U97" s="235"/>
      <c r="V97" s="235"/>
      <c r="W97" s="235"/>
      <c r="X97" s="235"/>
      <c r="Y97" s="235"/>
      <c r="Z97" s="235"/>
      <c r="AA97" s="246">
        <v>3</v>
      </c>
      <c r="AB97" s="154" t="str">
        <f>IF(AND(COUNTBLANK(I83:I86)=0,Group_players=4,M84=M85,M85=M86),IF(COUNTIF(X82:X85,X84)=3,AB110,IF(AND(COUNTIF(X82:X85,X84)=1,X83&lt;&gt;X85),IF(M85=2,IF(SMALL(X82:X85,1)=X84,1,IF(SMALL(X82:X85,2)=X84,2,IF(SMALL(X82:X85,3)=X84,3))),IF(M85=1,IF(SMALL(X82:X85,1)=X84,2,IF(SMALL(X82:X85,2)=X84,3,IF(SMALL(X82:X85,3)=X84,4))),"")),IF(COUNTIF(X82:X85,X84)=1,IF(X84&lt;X83,IF(M85=2,1,2),IF(M85=2,3,4)),IF(COUNTIF(X82:X85,X84)=2,IF(X84=X83,IF(X84&lt;X85,IF(M85=2,IF(Q104=3,1,2),IF(M85=1,IF(Q104=3,2,3))),IF(X84&gt;X85,IF(M85=2,IF(Q104=3,2,3),IF(M85=1,IF(Q104=3,3,4))))),IF(X84=X85,IF(X84&lt;X83,IF(M85=2,IF(Q109=3,1,2),IF(M85=1,IF(Q109=3,2,3))),IF(X84&gt;X83,IF(M85=2,IF(Q109=3,2,3),IF(M85=1,IF(Q109=3,3,4))))))),"")))),"")</f>
        <v/>
      </c>
      <c r="AC97" s="192"/>
      <c r="AD97" s="192"/>
      <c r="AE97" s="192"/>
      <c r="AF97" s="203">
        <f t="shared" si="15"/>
        <v>87</v>
      </c>
      <c r="AG97" s="203" t="str">
        <f t="shared" si="11"/>
        <v/>
      </c>
      <c r="AH97" s="192" t="str">
        <f t="shared" si="12"/>
        <v/>
      </c>
      <c r="AI97" s="229" t="str">
        <f t="shared" si="13"/>
        <v>Bye</v>
      </c>
      <c r="AJ97" s="203"/>
      <c r="AK97" s="203">
        <f t="shared" si="14"/>
        <v>0</v>
      </c>
      <c r="AL97" s="229">
        <f t="shared" si="16"/>
        <v>0</v>
      </c>
      <c r="AM97" s="203"/>
      <c r="AN97" s="192"/>
      <c r="AO97" s="192"/>
      <c r="AP97" s="192"/>
      <c r="AQ97" s="192"/>
      <c r="AR97" s="192"/>
      <c r="AS97" s="192"/>
      <c r="AT97" s="192"/>
      <c r="AU97" s="192"/>
      <c r="AV97" s="192"/>
      <c r="AW97" s="192"/>
      <c r="AX97" s="192"/>
    </row>
    <row r="98" spans="2:50" ht="15" customHeight="1" thickBot="1" x14ac:dyDescent="0.35">
      <c r="B98" s="192"/>
      <c r="C98" s="192"/>
      <c r="D98" s="192"/>
      <c r="E98" s="164" t="str">
        <f>IF(Q98="","",IF(Q98=3,1,0))</f>
        <v/>
      </c>
      <c r="F98" s="164" t="str">
        <f>IF(Q98="","",IF(Q98&lt;3,1,0))</f>
        <v/>
      </c>
      <c r="G98" s="192"/>
      <c r="H98" s="192" t="str">
        <f>IF(I85="","",IF(I86="",3,4))</f>
        <v/>
      </c>
      <c r="I98" s="192" t="str">
        <f>IF(ISNUMBER(H98),VLOOKUP(H98,H83:I86,2,TRUE),"")</f>
        <v/>
      </c>
      <c r="J98" s="192"/>
      <c r="K98" s="192" t="str">
        <f>VLOOKUP(I98,I83:L86,3,FALSE)</f>
        <v/>
      </c>
      <c r="L98" s="155"/>
      <c r="M98" s="259"/>
      <c r="N98" s="259"/>
      <c r="O98" s="156"/>
      <c r="P98" s="157"/>
      <c r="Q98" s="260" t="str">
        <f>IF(L98="","",IF(AND(L98-L97&gt;1,L98&gt;10),1,0)+IF(AND(M98-M97&gt;1,M98&gt;10),1,0)+IF(AND(N98-N97&gt;1,N98&gt;10),1,0)+IF(AND(O98-O97&gt;1,O98&gt;10),1,0)+IF(AND(P98-P97&gt;1,P98&gt;10),1,0))</f>
        <v/>
      </c>
      <c r="R98" s="203" t="str">
        <f>IF(AND(Q97&lt;&gt;3,Q98&lt;&gt;3),"",IF(Q97=3,IF(VLOOKUP(I97,I83:L86,4,FALSE)&gt;VLOOKUP(I98,I83:L86,4,FALSE),VLOOKUP(R97,Point_dif,2,FALSE),VLOOKUP(R97,Point_dif,3,FALSE)),IF(Q98=3,IF(VLOOKUP(I98,I83:L86,4,FALSE)&gt;VLOOKUP(I97,I83:L86,4,FALSE),VLOOKUP(R97,Point_dif,2,FALSE),VLOOKUP(R97,Point_dif,3,FALSE)))))</f>
        <v/>
      </c>
      <c r="S98" s="256" t="str">
        <f>IF(R98="","",IF(Q98=3,+R98,-R98))</f>
        <v/>
      </c>
      <c r="T98" s="192"/>
      <c r="U98" s="235"/>
      <c r="V98" s="235"/>
      <c r="W98" s="235"/>
      <c r="X98" s="235"/>
      <c r="Y98" s="235"/>
      <c r="Z98" s="235"/>
      <c r="AA98" s="261">
        <v>4</v>
      </c>
      <c r="AB98" s="158" t="str">
        <f>IF(AND(COUNTBLANK(I83:I86)=0,Group_players=4,M84=M85,M85=M86),IF(COUNTIF(X82:X85,X85)=3,AB111,IF(AND(COUNTIF(X82:X85,X85)=1,X84&lt;&gt;X83),IF(M86=2,IF(SMALL(X82:X85,1)=X85,1,IF(SMALL(X82:X85,2)=X85,2,IF(SMALL(X82:X85,3)=X85,3))),IF(M86=1,IF(SMALL(X82:X85,1)=X85,2,IF(SMALL(X82:X85,2)=X85,3,IF(SMALL(X82:X85,3)=X85,4))),"")),IF(COUNTIF(X82:X85,X85)=1,IF(X85&lt;X83,IF(M86=2,1,2),IF(M86=2,3,4)),IF(COUNTIF(X82:X85,X85)=2,IF(X85=X83,IF(X85&lt;X84,IF(M86=2,IF(Q98=3,1,2),IF(M86=1,IF(Q98=3,2,3))),IF(X85&gt;X84,IF(M86=2,IF(Q98=3,2,3),IF(M86=1,IF(Q98=3,3,4))))),IF(X85=X84,IF(X85&lt;X83,IF(M86=2,IF(Q110=3,1,2),IF(M86=1,IF(Q110=3,2,3))),IF(X85&gt;X83,IF(M86=2,IF(Q110=3,2,3),IF(M86=1,IF(Q110=3,3,4))))))),"")))),"")</f>
        <v/>
      </c>
      <c r="AC98" s="192"/>
      <c r="AD98" s="192"/>
      <c r="AE98" s="192"/>
      <c r="AF98" s="203">
        <f t="shared" si="15"/>
        <v>88</v>
      </c>
      <c r="AG98" s="203" t="str">
        <f t="shared" si="11"/>
        <v/>
      </c>
      <c r="AH98" s="192" t="str">
        <f t="shared" si="12"/>
        <v/>
      </c>
      <c r="AI98" s="229" t="str">
        <f t="shared" si="13"/>
        <v>Bye</v>
      </c>
      <c r="AJ98" s="203"/>
      <c r="AK98" s="203">
        <f t="shared" si="14"/>
        <v>0</v>
      </c>
      <c r="AL98" s="229">
        <f t="shared" si="16"/>
        <v>0</v>
      </c>
      <c r="AM98" s="203"/>
      <c r="AN98" s="192"/>
      <c r="AO98" s="192"/>
      <c r="AP98" s="192"/>
      <c r="AQ98" s="192"/>
      <c r="AR98" s="192"/>
      <c r="AS98" s="192"/>
      <c r="AT98" s="192"/>
      <c r="AU98" s="192"/>
      <c r="AV98" s="192"/>
      <c r="AW98" s="192"/>
      <c r="AX98" s="192"/>
    </row>
    <row r="99" spans="2:50" ht="15" customHeight="1" thickTop="1" thickBot="1" x14ac:dyDescent="0.35">
      <c r="B99" s="192"/>
      <c r="C99" s="192"/>
      <c r="D99" s="192"/>
      <c r="E99" s="164"/>
      <c r="F99" s="164"/>
      <c r="G99" s="192"/>
      <c r="H99" s="192"/>
      <c r="I99" s="249" t="s">
        <v>117</v>
      </c>
      <c r="J99" s="249"/>
      <c r="K99" s="249"/>
      <c r="L99" s="250" t="s">
        <v>115</v>
      </c>
      <c r="M99" s="250" t="s">
        <v>116</v>
      </c>
      <c r="N99" s="250" t="s">
        <v>117</v>
      </c>
      <c r="O99" s="250" t="s">
        <v>118</v>
      </c>
      <c r="P99" s="250" t="s">
        <v>119</v>
      </c>
      <c r="Q99" s="250" t="s">
        <v>120</v>
      </c>
      <c r="R99" s="250"/>
      <c r="S99" s="251"/>
      <c r="T99" s="263"/>
      <c r="U99" s="264"/>
      <c r="V99" s="242"/>
      <c r="W99" s="242"/>
      <c r="X99" s="264"/>
      <c r="Y99" s="192"/>
      <c r="Z99" s="203"/>
      <c r="AA99" s="126" t="s">
        <v>93</v>
      </c>
      <c r="AB99" s="265" t="s">
        <v>110</v>
      </c>
      <c r="AC99" s="192"/>
      <c r="AD99" s="192"/>
      <c r="AE99" s="192"/>
      <c r="AF99" s="203">
        <f t="shared" si="15"/>
        <v>89</v>
      </c>
      <c r="AG99" s="203" t="str">
        <f t="shared" si="11"/>
        <v/>
      </c>
      <c r="AH99" s="192" t="str">
        <f t="shared" si="12"/>
        <v/>
      </c>
      <c r="AI99" s="229" t="str">
        <f t="shared" si="13"/>
        <v>Bye</v>
      </c>
      <c r="AJ99" s="203"/>
      <c r="AK99" s="203">
        <f t="shared" si="14"/>
        <v>0</v>
      </c>
      <c r="AL99" s="229">
        <f t="shared" si="16"/>
        <v>0</v>
      </c>
      <c r="AM99" s="203"/>
      <c r="AN99" s="192"/>
      <c r="AO99" s="192"/>
      <c r="AP99" s="192"/>
      <c r="AQ99" s="192"/>
      <c r="AR99" s="192"/>
      <c r="AS99" s="192"/>
      <c r="AT99" s="192"/>
      <c r="AU99" s="192"/>
      <c r="AV99" s="192"/>
      <c r="AW99" s="192"/>
      <c r="AX99" s="192"/>
    </row>
    <row r="100" spans="2:50" ht="15" customHeight="1" thickTop="1" x14ac:dyDescent="0.3">
      <c r="B100" s="192"/>
      <c r="C100" s="192"/>
      <c r="D100" s="192"/>
      <c r="E100" s="164" t="str">
        <f>IF(Q100="","",IF(Q100=3,1,0))</f>
        <v/>
      </c>
      <c r="F100" s="164" t="str">
        <f>IF(Q100="","",IF(Q100&lt;3,1,0))</f>
        <v/>
      </c>
      <c r="G100" s="192"/>
      <c r="H100" s="192" t="str">
        <f>IF(I85&lt;&gt;"",1,"")</f>
        <v/>
      </c>
      <c r="I100" s="192" t="str">
        <f>IF(ISNUMBER(H100),VLOOKUP(H100,H83:I86,2,TRUE),"")</f>
        <v/>
      </c>
      <c r="J100" s="192"/>
      <c r="K100" s="192" t="str">
        <f>VLOOKUP(I100,I83:L86,3,FALSE)</f>
        <v/>
      </c>
      <c r="L100" s="253"/>
      <c r="M100" s="254"/>
      <c r="N100" s="254"/>
      <c r="O100" s="152"/>
      <c r="P100" s="153"/>
      <c r="Q100" s="255" t="str">
        <f>IF(L100="","",IF(AND(L100-L101&gt;1,L100&gt;10),1,0)+IF(AND(M100-M101&gt;1,M100&gt;10),1,0)+IF(AND(N100-N101&gt;1,N100&gt;10),1,0)+IF(AND(O100-O101&gt;1,O100&gt;10),1,0)+IF(AND(P100-P101&gt;1,P100&gt;10),1,0))</f>
        <v/>
      </c>
      <c r="R100" s="203" t="str">
        <f>IF(AND(I100="",I101=""),"",ABS(VLOOKUP(I100,I83:L86,4,FALSE)-VLOOKUP(I101,I83:L86,4,FALSE)))</f>
        <v/>
      </c>
      <c r="S100" s="256" t="str">
        <f>IF(R101="","",IF(Q100=3,+R101,-R101))</f>
        <v/>
      </c>
      <c r="T100" s="192"/>
      <c r="U100" s="235"/>
      <c r="V100" s="235"/>
      <c r="W100" s="235"/>
      <c r="X100" s="235"/>
      <c r="Y100" s="235"/>
      <c r="Z100" s="235"/>
      <c r="AA100" s="243">
        <v>1</v>
      </c>
      <c r="AB100" s="222" t="str">
        <f>IF(AND(COUNTBLANK(I83:I86)=0,Group_players=4,M83=M84,M84=M85),IF(U90="","",IF(COUNTIF(U90:U93,U90)=3,"Tied",IF(AND(COUNTIF(U90:U93,U90)=1,U91&lt;&gt;U92),IF(M83=2,IF(SMALL(U90:U93,1)=U90,1,IF(SMALL(U90:U93,2)=U90,2,IF(SMALL(U90:U93,3)=U90,3))),IF(M83=1,IF(SMALL(U90:U93,1)=U90,2,IF(SMALL(U90:U93,2)=U90,3,IF(SMALL(U90:U93,3)=U90,4))),"")),IF(COUNTIF(U90:U93,U90)=1,IF(U90&lt;U91,IF(M83=2,1,2),IF(M83=2,3,4)),IF(COUNTIF(U90:U93,U90)=2,IF(U90=U91,IF(U90&lt;U92,IF(M83=2,IF(Q106=3,1,2),IF(M83=1,IF(Q106=3,2,3))),IF(U90&gt;U92,IF(M83=2,IF(Q106=3,2,3),IF(M83=1,IF(Q106=3,3,4))))),IF(U90=U92,IF(U90&lt;U91,IF(M83=2,IF(Q94=3,1,2),IF(M83=1,IF(Q94=3,2,3))),IF(U90&gt;U91,IF(M83=2,IF(Q94=3,2,3),IF(M83=1,IF(Q94=3,3,4)))))))))))),"")</f>
        <v/>
      </c>
      <c r="AC100" s="192"/>
      <c r="AD100" s="192"/>
      <c r="AE100" s="192"/>
      <c r="AF100" s="203">
        <f t="shared" si="15"/>
        <v>90</v>
      </c>
      <c r="AG100" s="203" t="str">
        <f t="shared" si="11"/>
        <v/>
      </c>
      <c r="AH100" s="192" t="str">
        <f t="shared" si="12"/>
        <v/>
      </c>
      <c r="AI100" s="229" t="str">
        <f t="shared" si="13"/>
        <v>Bye</v>
      </c>
      <c r="AJ100" s="203"/>
      <c r="AK100" s="203">
        <f t="shared" si="14"/>
        <v>0</v>
      </c>
      <c r="AL100" s="229">
        <f t="shared" si="16"/>
        <v>0</v>
      </c>
      <c r="AM100" s="203"/>
      <c r="AN100" s="192"/>
      <c r="AO100" s="192"/>
      <c r="AP100" s="192"/>
      <c r="AQ100" s="192"/>
      <c r="AR100" s="192"/>
      <c r="AS100" s="192"/>
      <c r="AT100" s="192"/>
      <c r="AU100" s="192"/>
      <c r="AV100" s="192"/>
      <c r="AW100" s="192"/>
      <c r="AX100" s="192"/>
    </row>
    <row r="101" spans="2:50" ht="15" customHeight="1" thickBot="1" x14ac:dyDescent="0.35">
      <c r="B101" s="192"/>
      <c r="C101" s="192"/>
      <c r="D101" s="192"/>
      <c r="E101" s="164" t="str">
        <f>IF(Q101="","",IF(Q101=3,1,0))</f>
        <v/>
      </c>
      <c r="F101" s="164" t="str">
        <f>IF(Q101="","",IF(Q101&lt;3,1,0))</f>
        <v/>
      </c>
      <c r="G101" s="192"/>
      <c r="H101" s="192" t="str">
        <f>IF(I85="","",IF(I86&lt;&gt;"",4,2))</f>
        <v/>
      </c>
      <c r="I101" s="192" t="str">
        <f>IF(ISNUMBER(H101),VLOOKUP(H101,H83:I86,2,TRUE),"")</f>
        <v/>
      </c>
      <c r="J101" s="192"/>
      <c r="K101" s="192" t="str">
        <f>VLOOKUP(I101,I83:L86,3,FALSE)</f>
        <v/>
      </c>
      <c r="L101" s="155"/>
      <c r="M101" s="259"/>
      <c r="N101" s="259"/>
      <c r="O101" s="156"/>
      <c r="P101" s="157"/>
      <c r="Q101" s="260" t="str">
        <f>IF(L101="","",IF(AND(L101-L100&gt;1,L101&gt;10),1,0)+IF(AND(M101-M100&gt;1,M101&gt;10),1,0)+IF(AND(N101-N100&gt;1,N101&gt;10),1,0)+IF(AND(O101-O100&gt;1,O101&gt;10),1,0)+IF(AND(P101-P100&gt;1,P101&gt;10),1,0))</f>
        <v/>
      </c>
      <c r="R101" s="203" t="str">
        <f>IF(AND(Q100&lt;&gt;3,Q101&lt;&gt;3),"",IF(Q100=3,IF(VLOOKUP(I100,I83:L86,4,FALSE)&gt;VLOOKUP(I101,I83:L86,4,FALSE),VLOOKUP(R100,Point_dif,2,FALSE),VLOOKUP(R100,Point_dif,3,FALSE)),IF(Q101=3,IF(VLOOKUP(I101,I83:L86,4,FALSE)&gt;VLOOKUP(I100,I83:L86,4,FALSE),VLOOKUP(R100,Point_dif,2,FALSE),VLOOKUP(R100,Point_dif,3,FALSE)))))</f>
        <v/>
      </c>
      <c r="S101" s="256" t="str">
        <f>IF(R101="","",IF(Q101=3,+R101,-R101))</f>
        <v/>
      </c>
      <c r="T101" s="192"/>
      <c r="U101" s="235"/>
      <c r="V101" s="235"/>
      <c r="W101" s="235"/>
      <c r="X101" s="235"/>
      <c r="Y101" s="235"/>
      <c r="Z101" s="235"/>
      <c r="AA101" s="246">
        <v>2</v>
      </c>
      <c r="AB101" s="222" t="str">
        <f>IF(AND(COUNTBLANK(I83:I86)=0,Group_players=4,M83=M84,M84=M85),IF(U91="","",IF(COUNTIF(U90:U93,U91)=3,"Tied",IF(AND(COUNTIF(U90:U93,U91)=1,U90&lt;&gt;U92),IF(M84=2,IF(SMALL(U90:U93,1)=U91,1,IF(SMALL(U90:U93,2)=U91,2,IF(SMALL(U90:U93,3)=U91,3))),IF(M84=1,IF(SMALL(U90:U93,1)=U91,2,IF(SMALL(U90:U93,2)=U91,3,IF(SMALL(U90:U93,3)=U91,4))),"")),IF(COUNTIF(U90:U93,U91)=1,IF(U91&lt;U90,IF(M84=2,1,2),IF(M84=2,3,4)),IF(COUNTIF(U90:U93,U91)=2,IF(U91=U90,IF(U91&lt;U92,IF(M84=2,IF(Q107=3,1,2),IF(M84=1,IF(Q107=3,2,3))),IF(U91&gt;U92,IF(M84=2,IF(Q107=3,2,3),IF(M84=1,IF(Q107=3,3,4))))),IF(U91=U92,IF(U91&lt;U90,IF(M84=2,IF(Q103=3,1,2),IF(M84=1,IF(Q103=3,2,3))),IF(U91&gt;U90,IF(M84=2,IF(Q103=3,2,3),IF(M84=1,IF(Q103=3,3,4)))))))))))),"")</f>
        <v/>
      </c>
      <c r="AC101" s="192"/>
      <c r="AD101" s="192"/>
      <c r="AE101" s="192"/>
      <c r="AF101" s="203">
        <f t="shared" si="15"/>
        <v>91</v>
      </c>
      <c r="AG101" s="203" t="str">
        <f t="shared" si="11"/>
        <v/>
      </c>
      <c r="AH101" s="192" t="str">
        <f t="shared" si="12"/>
        <v/>
      </c>
      <c r="AI101" s="229" t="str">
        <f t="shared" si="13"/>
        <v>Bye</v>
      </c>
      <c r="AJ101" s="203"/>
      <c r="AK101" s="203">
        <f t="shared" si="14"/>
        <v>0</v>
      </c>
      <c r="AL101" s="229">
        <f t="shared" si="16"/>
        <v>0</v>
      </c>
      <c r="AM101" s="203"/>
      <c r="AN101" s="192"/>
      <c r="AO101" s="192"/>
      <c r="AP101" s="192"/>
      <c r="AQ101" s="192"/>
      <c r="AR101" s="192"/>
      <c r="AS101" s="192"/>
      <c r="AT101" s="192"/>
      <c r="AU101" s="192"/>
      <c r="AV101" s="192"/>
      <c r="AW101" s="192"/>
      <c r="AX101" s="192"/>
    </row>
    <row r="102" spans="2:50" ht="15" customHeight="1" thickTop="1" thickBot="1" x14ac:dyDescent="0.35">
      <c r="B102" s="192"/>
      <c r="C102" s="192"/>
      <c r="D102" s="192"/>
      <c r="E102" s="164"/>
      <c r="F102" s="164"/>
      <c r="G102" s="192"/>
      <c r="H102" s="192"/>
      <c r="I102" s="249" t="s">
        <v>118</v>
      </c>
      <c r="J102" s="249"/>
      <c r="K102" s="249"/>
      <c r="L102" s="250" t="s">
        <v>115</v>
      </c>
      <c r="M102" s="250" t="s">
        <v>116</v>
      </c>
      <c r="N102" s="250" t="s">
        <v>117</v>
      </c>
      <c r="O102" s="250" t="s">
        <v>118</v>
      </c>
      <c r="P102" s="250" t="s">
        <v>119</v>
      </c>
      <c r="Q102" s="250" t="s">
        <v>120</v>
      </c>
      <c r="R102" s="250"/>
      <c r="S102" s="251"/>
      <c r="T102" s="192"/>
      <c r="U102" s="235"/>
      <c r="V102" s="235"/>
      <c r="W102" s="235"/>
      <c r="X102" s="235"/>
      <c r="Y102" s="235"/>
      <c r="Z102" s="235"/>
      <c r="AA102" s="240">
        <v>3</v>
      </c>
      <c r="AB102" s="241" t="str">
        <f>IF(AND(COUNTBLANK(I83:I86)=0,Group_players=4,M83=M84,M84=M85),IF(U92="","",IF(COUNTIF(U90:U93,U92)=3,"Tied",IF(AND(COUNTIF(U90:U93,U92)=1,U90&lt;&gt;U91),IF(M83=2,IF(SMALL(U90:U93,1)=U92,1,IF(SMALL(U90:U93,2)=U92,2,IF(SMALL(U90:U93,3)=U92,3))),IF(M85=1,IF(SMALL(U90:U93,1)=U92,2,IF(SMALL(U90:U93,2)=U92,3,IF(SMALL(U90:U93,3)=U92,4))),"")),IF(COUNTIF(U90:U93,U92)=1,IF(U92&lt;U91,IF(M85=2,1,2),IF(M85=2,3,4)),IF(COUNTIF(U90:U93,U92)=2,IF(U92=U91,IF(U92&lt;U90,IF(M85=2,IF(Q104=3,1,2),IF(M85=1,IF(Q104=3,2,3))),IF(U92&gt;U90,IF(M85=2,IF(Q104=3,2,3),IF(M85=1,IF(Q104=3,3,4))))),IF(U92=U90,IF(U92&lt;U91,IF(M85=2,IF(Q95=3,1,2),IF(M85=1,IF(Q95=3,2,3))),IF(U92&gt;U91,IF(M85=2,IF(Q95=3,2,3),IF(M85=1,IF(Q95=3,3,4)))))))))))),"")</f>
        <v/>
      </c>
      <c r="AC102" s="192"/>
      <c r="AD102" s="192"/>
      <c r="AE102" s="192"/>
      <c r="AF102" s="203">
        <f t="shared" si="15"/>
        <v>92</v>
      </c>
      <c r="AG102" s="203" t="str">
        <f t="shared" si="11"/>
        <v/>
      </c>
      <c r="AH102" s="192" t="str">
        <f t="shared" si="12"/>
        <v/>
      </c>
      <c r="AI102" s="229" t="str">
        <f t="shared" si="13"/>
        <v>Bye</v>
      </c>
      <c r="AJ102" s="203"/>
      <c r="AK102" s="203">
        <f t="shared" si="14"/>
        <v>0</v>
      </c>
      <c r="AL102" s="229">
        <f t="shared" si="16"/>
        <v>0</v>
      </c>
      <c r="AM102" s="203"/>
      <c r="AN102" s="192"/>
      <c r="AO102" s="192"/>
      <c r="AP102" s="192"/>
      <c r="AQ102" s="192"/>
      <c r="AR102" s="192"/>
      <c r="AS102" s="192"/>
      <c r="AT102" s="192"/>
      <c r="AU102" s="192"/>
      <c r="AV102" s="192"/>
      <c r="AW102" s="192"/>
      <c r="AX102" s="192"/>
    </row>
    <row r="103" spans="2:50" ht="15" customHeight="1" thickTop="1" x14ac:dyDescent="0.3">
      <c r="B103" s="192"/>
      <c r="C103" s="192"/>
      <c r="D103" s="192"/>
      <c r="E103" s="164" t="str">
        <f>IF(Q103="","",IF(Q103=3,1,0))</f>
        <v/>
      </c>
      <c r="F103" s="164" t="str">
        <f>IF(Q103="","",IF(Q103&lt;3,1,0))</f>
        <v/>
      </c>
      <c r="G103" s="192"/>
      <c r="H103" s="192" t="str">
        <f>IF(I86&lt;&gt;"",2,"")</f>
        <v/>
      </c>
      <c r="I103" s="192" t="str">
        <f>IF(ISNUMBER(H103),VLOOKUP(H103,H83:I86,2,TRUE),"")</f>
        <v/>
      </c>
      <c r="J103" s="192"/>
      <c r="K103" s="192" t="str">
        <f>VLOOKUP(I103,I83:L86,3,FALSE)</f>
        <v/>
      </c>
      <c r="L103" s="253"/>
      <c r="M103" s="254"/>
      <c r="N103" s="254"/>
      <c r="O103" s="152"/>
      <c r="P103" s="153"/>
      <c r="Q103" s="255" t="str">
        <f>IF(L103="","",IF(AND(L103-L104&gt;1,L103&gt;10),1,0)+IF(AND(M103-M104&gt;1,M103&gt;10),1,0)+IF(AND(N103-N104&gt;1,N103&gt;10),1,0)+IF(AND(O103-O104&gt;1,O103&gt;10),1,0)+IF(AND(P103-P104&gt;1,P103&gt;10),1,0))</f>
        <v/>
      </c>
      <c r="R103" s="203" t="str">
        <f>IF(AND(I103="",I104=""),"",ABS(VLOOKUP(I103,I83:L86,4,FALSE)-VLOOKUP(I104,I83:L86,4,FALSE)))</f>
        <v/>
      </c>
      <c r="S103" s="256" t="str">
        <f>IF(R104="","",IF(Q103=3,+R104,-R104))</f>
        <v/>
      </c>
      <c r="T103" s="192"/>
      <c r="U103" s="235"/>
      <c r="V103" s="235"/>
      <c r="W103" s="235"/>
      <c r="X103" s="235"/>
      <c r="Y103" s="235"/>
      <c r="Z103" s="235"/>
      <c r="AA103" s="243">
        <v>1</v>
      </c>
      <c r="AB103" s="222" t="str">
        <f>IF(AND(COUNTBLANK(I83:I86)=0,Group_players=4,M83=M85,M85=M86),IF(V90="","",IF(COUNTIF(V90:V93,V90)=3,"Tied",IF(AND(COUNTIF(V90:V93,V90)=1,V92&lt;&gt;U93),IF(M83=2,IF(SMALL(V90:V93,1)=V90,1,IF(SMALL(V90:V93,2)=V90,2,IF(SMALL(V90:V93,3)=V90,3))),IF(M83=1,IF(SMALL(V90:V93,1)=V90,2,IF(SMALL(V90:V93,2)=V90,3,IF(SMALL(V90:V93,3)=V90,4))),"")),IF(COUNTIF(V90:V93,V90)=1,IF(V90&lt;V92,IF(M83=2,1,2),IF(M83=2,3,4)),IF(COUNTIF(V90:V93,V90)=2,IF(V90=V92,IF(V90&lt;V93,IF(M83=2,IF(Q94=3,1,2),IF(M83=1,IF(Q94=3,2,3))),IF(V90&gt;V93,IF(M83=2,IF(Q94=3,2,3),IF(M83=1,IF(Q94=3,3,4))))),IF(V90=V93,IF(V90&lt;V92,IF(M83=2,IF(Q100=3,1,2),IF(M83=1,IF(Q100=3,2,3))),IF(V90&gt;V91,IF(M83=2,IF(Q100=3,2,3),IF(M83=1,IF(Q100=3,3,4)))))))))))),"")</f>
        <v/>
      </c>
      <c r="AC103" s="192"/>
      <c r="AD103" s="192"/>
      <c r="AE103" s="192"/>
      <c r="AF103" s="203">
        <f t="shared" si="15"/>
        <v>93</v>
      </c>
      <c r="AG103" s="203" t="str">
        <f t="shared" si="11"/>
        <v/>
      </c>
      <c r="AH103" s="192" t="str">
        <f t="shared" si="12"/>
        <v/>
      </c>
      <c r="AI103" s="229" t="str">
        <f t="shared" si="13"/>
        <v>Bye</v>
      </c>
      <c r="AJ103" s="203"/>
      <c r="AK103" s="203">
        <f t="shared" si="14"/>
        <v>0</v>
      </c>
      <c r="AL103" s="229">
        <f t="shared" si="16"/>
        <v>0</v>
      </c>
      <c r="AM103" s="203"/>
      <c r="AN103" s="192"/>
      <c r="AO103" s="192"/>
      <c r="AP103" s="192"/>
      <c r="AQ103" s="192"/>
      <c r="AR103" s="192"/>
      <c r="AS103" s="192"/>
      <c r="AT103" s="192"/>
      <c r="AU103" s="192"/>
      <c r="AV103" s="192"/>
      <c r="AW103" s="192"/>
      <c r="AX103" s="192"/>
    </row>
    <row r="104" spans="2:50" ht="15" customHeight="1" thickBot="1" x14ac:dyDescent="0.35">
      <c r="B104" s="192"/>
      <c r="C104" s="192"/>
      <c r="D104" s="192"/>
      <c r="E104" s="164" t="str">
        <f>IF(Q104="","",IF(Q104=3,1,0))</f>
        <v/>
      </c>
      <c r="F104" s="164" t="str">
        <f>IF(Q104="","",IF(Q104&lt;3,1,0))</f>
        <v/>
      </c>
      <c r="G104" s="192"/>
      <c r="H104" s="192" t="str">
        <f>IF(I86&lt;&gt;"",3,"")</f>
        <v/>
      </c>
      <c r="I104" s="192" t="str">
        <f>IF(ISNUMBER(H104),VLOOKUP(H104,H83:I86,2,TRUE),"")</f>
        <v/>
      </c>
      <c r="J104" s="192"/>
      <c r="K104" s="192" t="str">
        <f>VLOOKUP(I104,I83:L86,3,FALSE)</f>
        <v/>
      </c>
      <c r="L104" s="155"/>
      <c r="M104" s="259"/>
      <c r="N104" s="259"/>
      <c r="O104" s="156"/>
      <c r="P104" s="157"/>
      <c r="Q104" s="260" t="str">
        <f>IF(L104="","",IF(AND(L104-L103&gt;1,L104&gt;10),1,0)+IF(AND(M104-M103&gt;1,M104&gt;10),1,0)+IF(AND(N104-N103&gt;1,N104&gt;10),1,0)+IF(AND(O104-O103&gt;1,O104&gt;10),1,0)+IF(AND(P104-P103&gt;1,P104&gt;10),1,0))</f>
        <v/>
      </c>
      <c r="R104" s="203" t="str">
        <f>IF(AND(Q103&lt;&gt;3,Q104&lt;&gt;3),"",IF(Q103=3,IF(VLOOKUP(I103,I83:L86,4,FALSE)&gt;VLOOKUP(I104,I83:L86,4,FALSE),VLOOKUP(R103,Point_dif,2,FALSE),VLOOKUP(R103,Point_dif,3,FALSE)),IF(Q104=3,IF(VLOOKUP(I104,I83:L86,4,FALSE)&gt;VLOOKUP(I103,I83:L86,4,FALSE),VLOOKUP(R103,Point_dif,2,FALSE),VLOOKUP(R103,Point_dif,3,FALSE)))))</f>
        <v/>
      </c>
      <c r="S104" s="256" t="str">
        <f>IF(R104="","",IF(Q104=3,+R104,-R104))</f>
        <v/>
      </c>
      <c r="T104" s="192"/>
      <c r="U104" s="159"/>
      <c r="V104" s="266"/>
      <c r="W104" s="266"/>
      <c r="X104" s="266"/>
      <c r="Y104" s="192"/>
      <c r="Z104" s="203"/>
      <c r="AA104" s="246">
        <v>3</v>
      </c>
      <c r="AB104" s="222" t="str">
        <f>IF(AND(COUNTBLANK(I83:I86)=0,Group_players=4,M83=M85,M85=M86),IF(V92="","",IF(COUNTIF(V90:V93,V92)=3,"Tied",IF(AND(COUNTIF(V90:V93,V92)=1,V90&lt;&gt;V93),IF(M85=2,IF(SMALL(V90:V93,1)=V92,1,IF(SMALL(V90:V93,2)=V92,2,IF(SMALL(V90:V93,3)=V92,3))),IF(M85=1,IF(SMALL(V90:V93,1)=V92,2,IF(SMALL(V90:V93,2)=V92,3,IF(SMALL(V90:V93,3)=V92,4))),"")),IF(COUNTIF(V90:V93,V92)=1,IF(V92&lt;V90,IF(M85=2,1,2),IF(M85=2,3,4)),IF(COUNTIF(V90:V93,V92)=2,IF(V92=V90,IF(V92&lt;V93,IF(M85=2,IF(Q95=3,1,2),IF(M85=1,IF(Q95=3,2,3))),IF(V92&gt;V93,IF(M85=2,IF(Q95=3,2,3),IF(M85=1,IF(Q95=3,3,4))))),IF(V92=V93,IF(V92&lt;V90,IF(M85=2,IF(Q109=3,1,2),IF(M85=1,IF(Q109=3,2,3))),IF(V92&gt;V90,IF(M85=2,IF(Q109=3,2,3),IF(M85=1,IF(Q109=3,3,4)))))))))))),"")</f>
        <v/>
      </c>
      <c r="AC104" s="192"/>
      <c r="AD104" s="192"/>
      <c r="AE104" s="192"/>
      <c r="AF104" s="203">
        <f t="shared" si="15"/>
        <v>94</v>
      </c>
      <c r="AG104" s="203" t="str">
        <f t="shared" si="11"/>
        <v/>
      </c>
      <c r="AH104" s="192" t="str">
        <f t="shared" si="12"/>
        <v/>
      </c>
      <c r="AI104" s="229" t="str">
        <f t="shared" si="13"/>
        <v>Bye</v>
      </c>
      <c r="AJ104" s="203"/>
      <c r="AK104" s="203">
        <f t="shared" si="14"/>
        <v>0</v>
      </c>
      <c r="AL104" s="229">
        <f t="shared" si="16"/>
        <v>0</v>
      </c>
      <c r="AM104" s="203"/>
      <c r="AN104" s="192"/>
      <c r="AO104" s="192"/>
      <c r="AP104" s="192"/>
      <c r="AQ104" s="192"/>
      <c r="AR104" s="192"/>
      <c r="AS104" s="192"/>
      <c r="AT104" s="192"/>
      <c r="AU104" s="192"/>
      <c r="AV104" s="192"/>
      <c r="AW104" s="192"/>
      <c r="AX104" s="192"/>
    </row>
    <row r="105" spans="2:50" ht="15" customHeight="1" thickTop="1" thickBot="1" x14ac:dyDescent="0.35">
      <c r="B105" s="192"/>
      <c r="C105" s="192"/>
      <c r="D105" s="192"/>
      <c r="E105" s="164"/>
      <c r="F105" s="164"/>
      <c r="G105" s="192"/>
      <c r="H105" s="192"/>
      <c r="I105" s="249" t="s">
        <v>119</v>
      </c>
      <c r="J105" s="249"/>
      <c r="K105" s="249"/>
      <c r="L105" s="250" t="s">
        <v>115</v>
      </c>
      <c r="M105" s="250" t="s">
        <v>116</v>
      </c>
      <c r="N105" s="250" t="s">
        <v>117</v>
      </c>
      <c r="O105" s="250" t="s">
        <v>118</v>
      </c>
      <c r="P105" s="250" t="s">
        <v>119</v>
      </c>
      <c r="Q105" s="250" t="s">
        <v>120</v>
      </c>
      <c r="R105" s="250"/>
      <c r="S105" s="251"/>
      <c r="T105" s="247"/>
      <c r="U105" s="235"/>
      <c r="V105" s="235"/>
      <c r="W105" s="235"/>
      <c r="X105" s="235"/>
      <c r="Y105" s="235"/>
      <c r="Z105" s="235"/>
      <c r="AA105" s="240">
        <v>4</v>
      </c>
      <c r="AB105" s="241" t="str">
        <f>IF(AND(COUNTBLANK(I83:I86)=0,Group_players=4,M83=M85,M85=M86),IF(V93="","",IF(COUNTIF(V90:V93,V93)=3,"Tied",IF(AND(COUNTIF(V90:V93,V93)=1,V92&lt;&gt;V90),IF(M86=2,IF(SMALL(V90:V93,1)=V93,1,IF(SMALL(V90:V93,2)=V93,2,IF(SMALL(V90:V93,3)=V93,3))),IF(M86=1,IF(SMALL(V90:V93,1)=V93,2,IF(SMALL(V90:V93,2)=V93,3,IF(SMALL(V90:V93,3)=V93,4))),"")),IF(COUNTIF(V90:V93,V93)=1,IF(V93&lt;V90,IF(M86=2,1,2),IF(M86=2,3,4)),IF(COUNTIF(V90:V93,V93)=2,IF(V93=V90,IF(V93&lt;V92,IF(M86=2,IF(Q101=3,1,2),IF(M86=1,IF(Q101=3,2,3))),IF(V93&gt;V92,IF(M86=2,IF(Q101=3,2,3),IF(M86=1,IF(Q101=3,3,4))))),IF(V93=V92,IF(V93&lt;V90,IF(M86=2,IF(Q110=3,1,2),IF(M86=1,IF(Q110=3,2,3))),IF(V93&gt;V90,IF(M86=2,IF(Q110=3,2,3),IF(M86=1,IF(Q110=3,3,4)))))))))))),"")</f>
        <v/>
      </c>
      <c r="AC105" s="192"/>
      <c r="AD105" s="192"/>
      <c r="AE105" s="192"/>
      <c r="AF105" s="203">
        <f t="shared" si="15"/>
        <v>95</v>
      </c>
      <c r="AG105" s="203" t="str">
        <f t="shared" si="11"/>
        <v/>
      </c>
      <c r="AH105" s="192" t="str">
        <f t="shared" si="12"/>
        <v/>
      </c>
      <c r="AI105" s="229" t="str">
        <f t="shared" si="13"/>
        <v>Bye</v>
      </c>
      <c r="AJ105" s="203"/>
      <c r="AK105" s="203">
        <f t="shared" si="14"/>
        <v>0</v>
      </c>
      <c r="AL105" s="229">
        <f t="shared" si="16"/>
        <v>0</v>
      </c>
      <c r="AM105" s="203"/>
      <c r="AN105" s="192"/>
      <c r="AO105" s="192"/>
      <c r="AP105" s="192"/>
      <c r="AQ105" s="192"/>
      <c r="AR105" s="192"/>
      <c r="AS105" s="192"/>
      <c r="AT105" s="192"/>
      <c r="AU105" s="192"/>
      <c r="AV105" s="192"/>
      <c r="AW105" s="192"/>
      <c r="AX105" s="192"/>
    </row>
    <row r="106" spans="2:50" ht="15" customHeight="1" thickTop="1" x14ac:dyDescent="0.3">
      <c r="B106" s="192"/>
      <c r="C106" s="192"/>
      <c r="D106" s="192"/>
      <c r="E106" s="164" t="str">
        <f>IF(Q106="","",IF(Q106=3,1,0))</f>
        <v/>
      </c>
      <c r="F106" s="164" t="str">
        <f>IF(Q106="","",IF(Q106&lt;3,1,0))</f>
        <v/>
      </c>
      <c r="G106" s="192"/>
      <c r="H106" s="192" t="str">
        <f>IF(I86&lt;&gt;"",1,"")</f>
        <v/>
      </c>
      <c r="I106" s="192" t="str">
        <f>IF(ISNUMBER(H106),VLOOKUP(H106,H83:I86,2,TRUE),"")</f>
        <v/>
      </c>
      <c r="J106" s="192"/>
      <c r="K106" s="192" t="str">
        <f>VLOOKUP(I106,I83:L86,3,FALSE)</f>
        <v/>
      </c>
      <c r="L106" s="253"/>
      <c r="M106" s="254"/>
      <c r="N106" s="254"/>
      <c r="O106" s="152"/>
      <c r="P106" s="153"/>
      <c r="Q106" s="255" t="str">
        <f>IF(L106="","",IF(AND(L106-L107&gt;1,L106&gt;10),1,0)+IF(AND(M106-M107&gt;1,M106&gt;10),1,0)+IF(AND(N106-N107&gt;1,N106&gt;10),1,0)+IF(AND(O106-O107&gt;1,O106&gt;10),1,0)+IF(AND(P106-P107&gt;1,P106&gt;10),1,0))</f>
        <v/>
      </c>
      <c r="R106" s="203" t="str">
        <f>IF(AND(I106="",I107=""),"",ABS(VLOOKUP(I106,I83:L86,4,FALSE)-VLOOKUP(I107,I83:L86,4,FALSE)))</f>
        <v/>
      </c>
      <c r="S106" s="256" t="str">
        <f>IF(R107="","",IF(Q106=3,+R107,-R107))</f>
        <v/>
      </c>
      <c r="T106" s="247"/>
      <c r="U106" s="235"/>
      <c r="V106" s="235"/>
      <c r="W106" s="235"/>
      <c r="X106" s="235"/>
      <c r="Y106" s="235"/>
      <c r="Z106" s="235"/>
      <c r="AA106" s="243">
        <v>1</v>
      </c>
      <c r="AB106" s="222" t="str">
        <f>IF(AND(COUNTBLANK(I83:I86)=0,Group_players=4,M83=M84,M84=M86),IF(W90="","",IF(COUNTIF(W90:W93,W90)=3,"Tied",IF(AND(COUNTIF(W90:W93,W90)=1,W91&lt;&gt;W92),IF(M83=2,IF(SMALL(W90:W93,1)=W90,1,IF(SMALL(W90:W93,2)=W90,2,IF(SMALL(W90:W93,3)=W90,3))),IF(M83=1,IF(SMALL(W90:W93,1)=W90,2,IF(SMALL(W90:W93,2)=W90,3,IF(SMALL(W90:W93,3)=W90,4))),"")),IF(COUNTIF(W90:W93,W90)=1,IF(W90&lt;W91,IF(M83=2,1,2),IF(M83=2,3,4)),IF(COUNTIF(W90:W93,W90)=2,IF(W90=W91,IF(W90&lt;W93,IF(M83=2,IF(Q106=3,1,2),IF(M83=1,IF(Q106=3,2,3))),IF(W90&gt;W93,IF(M83=2,IF(Q106=3,2,3),IF(M83=1,IF(Q106=3,3,4))))),IF(W90=W93,IF(W90&lt;W91,IF(M83=2,IF(Q100=3,1,2),IF(M83=1,IF(Q100=3,2,3))),IF(W90&gt;W91,IF(M83=2,IF(Q100=3,2,3),IF(M83=1,IF(Q100=3,3,4)))))))))))),"")</f>
        <v/>
      </c>
      <c r="AC106" s="192"/>
      <c r="AD106" s="192"/>
      <c r="AE106" s="192"/>
      <c r="AF106" s="203">
        <f t="shared" si="15"/>
        <v>96</v>
      </c>
      <c r="AG106" s="203" t="str">
        <f t="shared" ref="AG106:AG137" si="17">IF(AF106&gt;Llave,"",IF(Group_players=3,IF(Advancing="Todos",IF(AF106&lt;=Grps,"A",IF(AND(AF106&gt;Grps,AF106&lt;=Grps*2),"B",IF(AND(AF106&gt;Grps*2,AF106&lt;=Tot_Jug),"C",""))),IF(AND(AF106&gt;Grps*3,AF106&lt;=Tot_Jug,AN105&lt;&gt;""),"D",IF(Advancing=2,IF(AF106&lt;=Grps,"A",IF(AND(AF106&gt;Grps,AF106&lt;=Grps*2),"B","")),""))),IF(Group_players=4,IF(Advancing="Todos",IF(AF106&lt;=Grps,"A",IF(AND(AF106&gt;Grps,AF106&lt;=Grps*2),"B",IF(AND(AF106&gt;Grps*2,AF106&lt;=Grps*3),"C",IF(AND(AF106&gt;Grps*3,AF106&lt;=Tot_Jug),"D","")))),IF(Advancing=2,IF(AF106&lt;=Grps,"A",IF(AND(AF106&gt;Grps,AF106&lt;=Grps*2),"B","")),"")),"")))</f>
        <v/>
      </c>
      <c r="AH106" s="192" t="str">
        <f t="shared" si="12"/>
        <v/>
      </c>
      <c r="AI106" s="229" t="str">
        <f t="shared" si="13"/>
        <v>Bye</v>
      </c>
      <c r="AJ106" s="203"/>
      <c r="AK106" s="203">
        <f t="shared" si="14"/>
        <v>0</v>
      </c>
      <c r="AL106" s="229">
        <f t="shared" si="16"/>
        <v>0</v>
      </c>
      <c r="AM106" s="203"/>
      <c r="AN106" s="192"/>
      <c r="AO106" s="192"/>
      <c r="AP106" s="192"/>
      <c r="AQ106" s="192"/>
      <c r="AR106" s="192"/>
      <c r="AS106" s="192"/>
      <c r="AT106" s="192"/>
      <c r="AU106" s="192"/>
      <c r="AV106" s="192"/>
      <c r="AW106" s="192"/>
      <c r="AX106" s="192"/>
    </row>
    <row r="107" spans="2:50" ht="15" customHeight="1" thickBot="1" x14ac:dyDescent="0.35">
      <c r="B107" s="192"/>
      <c r="C107" s="192"/>
      <c r="D107" s="192"/>
      <c r="E107" s="164" t="str">
        <f>IF(Q107="","",IF(Q107=3,1,0))</f>
        <v/>
      </c>
      <c r="F107" s="164" t="str">
        <f>IF(Q107="","",IF(Q107&lt;3,1,0))</f>
        <v/>
      </c>
      <c r="G107" s="192"/>
      <c r="H107" s="192" t="str">
        <f>IF(I86&lt;&gt;"",2,"")</f>
        <v/>
      </c>
      <c r="I107" s="192" t="str">
        <f>IF(ISNUMBER(H107),VLOOKUP(H107,H83:I86,2,TRUE),"")</f>
        <v/>
      </c>
      <c r="J107" s="192"/>
      <c r="K107" s="192" t="str">
        <f>VLOOKUP(I107,I83:L86,3,FALSE)</f>
        <v/>
      </c>
      <c r="L107" s="155"/>
      <c r="M107" s="259"/>
      <c r="N107" s="259"/>
      <c r="O107" s="156"/>
      <c r="P107" s="157"/>
      <c r="Q107" s="260" t="str">
        <f>IF(L107="","",IF(AND(L107-L106&gt;1,L107&gt;10),1,0)+IF(AND(M107-M106&gt;1,M107&gt;10),1,0)+IF(AND(N107-N106&gt;1,N107&gt;10),1,0)+IF(AND(O107-O106&gt;1,O107&gt;10),1,0)+IF(AND(P107-P106&gt;1,P107&gt;10),1,0))</f>
        <v/>
      </c>
      <c r="R107" s="203" t="str">
        <f>IF(AND(Q106&lt;&gt;3,Q107&lt;&gt;3),"",IF(Q106=3,IF(VLOOKUP(I106,I83:L86,4,FALSE)&gt;VLOOKUP(I107,I83:L86,4,FALSE),VLOOKUP(R106,Point_dif,2,FALSE),VLOOKUP(R106,Point_dif,3,FALSE)),IF(Q107=3,IF(VLOOKUP(I107,I83:L86,4,FALSE)&gt;VLOOKUP(I107,I83:L86,4,FALSE),VLOOKUP(R106,Point_dif,2,FALSE),VLOOKUP(R106,Point_dif,3,FALSE)))))</f>
        <v/>
      </c>
      <c r="S107" s="256" t="str">
        <f>IF(R107="","",IF(Q107=3,+R107,-R107))</f>
        <v/>
      </c>
      <c r="T107" s="247"/>
      <c r="U107" s="235"/>
      <c r="V107" s="235"/>
      <c r="W107" s="235"/>
      <c r="X107" s="235"/>
      <c r="Y107" s="235"/>
      <c r="Z107" s="235"/>
      <c r="AA107" s="246">
        <v>2</v>
      </c>
      <c r="AB107" s="222" t="str">
        <f>IF(AND(COUNTBLANK(I83:I86)=0,Group_players=4,M83=M84,M84=M86),IF(W91="","",IF(COUNTIF(W90:W93,W91)=3,"Tied",IF(AND(COUNTIF(W90:W93,W91)=1,W90&lt;&gt;W92),IF(M84=2,IF(SMALL(W90:W93,1)=W91,1,IF(SMALL(W90:W93,2)=W91,2,IF(SMALL(W90:W93,3)=W91,3))),IF(M84=1,IF(SMALL(W90:W93,1)=W91,2,IF(SMALL(W90:W93,2)=W91,3,IF(SMALL(W90:W93,3)=W91,4))),"")),IF(COUNTIF(W90:W93,W91)=1,IF(W91&lt;W90,IF(M84=2,1,2),IF(M84=2,3,4)),IF(COUNTIF(W90:W93,W91)=2,IF(W91=W90,IF(W91&lt;W93,IF(M84=2,IF(Q107=3,1,2),IF(M84=1,IF(Q107=3,2,3))),IF(W91&gt;W93,IF(M84=2,IF(Q107=3,2,3),IF(M84=1,IF(Q107=3,3,4))))),IF(W91=W93,IF(W91&lt;W90,IF(M84=2,IF(Q97=3,1,2),IF(M84=1,IF(Q97=3,2,3))),IF(W91&gt;W90,IF(M84=2,IF(Q97=3,2,3),IF(M84=1,IF(Q97=3,3,4)))))))))))),"")</f>
        <v/>
      </c>
      <c r="AC107" s="192"/>
      <c r="AD107" s="192"/>
      <c r="AE107" s="192"/>
      <c r="AF107" s="203">
        <f t="shared" si="15"/>
        <v>97</v>
      </c>
      <c r="AG107" s="203" t="str">
        <f t="shared" si="17"/>
        <v/>
      </c>
      <c r="AH107" s="192" t="str">
        <f t="shared" ref="AH107:AH138" si="18">IF(AG107="Bye","",IF(Group_players=3,IF(AG107="","",IF(AG107="A",IF(AG106="A",AH106+1,1),IF(AND(AG106="A",AH106=Groups),Groups,IF(AND(AG106="B",AG107="B"),AH106-1,IF(AND(AG107="C",AG106="C"),AH106+1,IF(AG107="C",IF(AND(AG106="B",AG107="C"),IF((Groups*3)-Tot_Jug=0,1,IF(Groups*3-Tot_Jug=1,AH106+1,IF(Groups*3-Tot_Jug=2,AH106+2,99))),IF(AND(AG106="C",AG107="C"),AH106+1)))))))),IF(Group_players=4,IF(AND(AG106&lt;&gt;"A",AG107="A"),1,IF(AND(AG106="A",AG107="A"),AH106+1,IF(AND(AG106="A",AG107="B"),Groups,IF(AND(AG106="B",AG107="B"),AH106-1,IF(AND(AG106="B",AG107="C"),1,IF(AND(AG106="C",AG107="C"),AH106+1,IF(AND(AG106="C",AG107="D",AF107&lt;=Llave),Groups,IF(AND(AG106="D",AG107="D",AF107&lt;=Llave),AH106-1,"")))))))))))</f>
        <v/>
      </c>
      <c r="AI107" s="229" t="str">
        <f t="shared" ref="AI107:AI138" si="19">IF(AND(AF107&lt;=Llave,AG107=""),"Bye",IF(AF107&gt;Tot_Jug,"",IF(AF107&gt;Tot_Jug,"",IF(AG107="A",HLOOKUP(AH107,Group_Results,2,FALSE),IF(AG107="B",HLOOKUP(AH107,Group_Results,3,FALSE),IF(AG107="C",HLOOKUP(AH107,Group_Results,4,FALSE),IF(AG107="D",HLOOKUP(AH107,Group_Results,5,FALSE),"")))))))</f>
        <v>Bye</v>
      </c>
      <c r="AJ107" s="203"/>
      <c r="AK107" s="203">
        <f t="shared" ref="AK107:AK138" si="20">IF(AI107="Bye",0,IF(AI107&lt;&gt;"",IF(AF107&gt;Tot_Jug,"BYE",IF(AG107="A",HLOOKUP(AH107,Group_Points,2,FALSE),IF(AG107="B",HLOOKUP(AH107,Group_Points,3,FALSE),IF(AG107="C",HLOOKUP(AH107,Group_Points,4,FALSE),IF(AG107="D",HLOOKUP(AH107,Group_Points,5,FALSE)))))),""))</f>
        <v>0</v>
      </c>
      <c r="AL107" s="229">
        <f t="shared" si="16"/>
        <v>0</v>
      </c>
      <c r="AM107" s="203"/>
      <c r="AN107" s="192"/>
      <c r="AO107" s="192"/>
      <c r="AP107" s="192"/>
      <c r="AQ107" s="192"/>
      <c r="AR107" s="192"/>
      <c r="AS107" s="192"/>
      <c r="AT107" s="192"/>
      <c r="AU107" s="192"/>
      <c r="AV107" s="192"/>
      <c r="AW107" s="192"/>
      <c r="AX107" s="192"/>
    </row>
    <row r="108" spans="2:50" ht="15" customHeight="1" thickTop="1" thickBot="1" x14ac:dyDescent="0.35">
      <c r="B108" s="192"/>
      <c r="C108" s="192"/>
      <c r="D108" s="192"/>
      <c r="E108" s="164"/>
      <c r="F108" s="164"/>
      <c r="G108" s="192"/>
      <c r="H108" s="192"/>
      <c r="I108" s="249" t="s">
        <v>121</v>
      </c>
      <c r="J108" s="249"/>
      <c r="K108" s="249"/>
      <c r="L108" s="250" t="s">
        <v>115</v>
      </c>
      <c r="M108" s="250" t="s">
        <v>116</v>
      </c>
      <c r="N108" s="250" t="s">
        <v>117</v>
      </c>
      <c r="O108" s="250" t="s">
        <v>118</v>
      </c>
      <c r="P108" s="250" t="s">
        <v>119</v>
      </c>
      <c r="Q108" s="250" t="s">
        <v>120</v>
      </c>
      <c r="R108" s="250"/>
      <c r="S108" s="251"/>
      <c r="T108" s="247"/>
      <c r="U108" s="235"/>
      <c r="V108" s="235"/>
      <c r="W108" s="235"/>
      <c r="X108" s="235"/>
      <c r="Y108" s="235"/>
      <c r="Z108" s="235"/>
      <c r="AA108" s="240">
        <v>4</v>
      </c>
      <c r="AB108" s="241" t="str">
        <f>IF(AND(COUNTBLANK(I83:I86)=0,Group_players=4,M83=M84,M84=M86),IF(W93="","",IF(COUNTIF(W90:W93,W93)=3,"Tied",IF(AND(COUNTIF(W90:W93,W93)=1,W90&lt;&gt;W91),IF(M86=2,IF(SMALL(W90:W93,1)=W93,1,IF(SMALL(W90:W93,2)=W93,2,IF(SMALL(W90:W93,3)=W93,3))),IF(M86=1,IF(SMALL(W90:W93,1)=W93,2,IF(SMALL(W90:W93,2)=W93,3,IF(SMALL(W90:W93,3)=W93,4))),"")),IF(COUNTIF(W90:W93,W93)=1,IF(W93&lt;W90,IF(M86=2,1,2),IF(M86=2,3,4)),IF(COUNTIF(W90:W93,W93)=2,IF(W93=W90,IF(W93&lt;W91,IF(M86=2,IF(Q101=3,1,2),IF(M86=1,IF(Q101=3,2,3))),IF(W93&gt;W92,IF(M86=2,IF(Q101=3,2,3),IF(M86=1,IF(Q101=3,3,4))))),IF(W93=W91,IF(W93&lt;W90,IF(M86=2,IF(Q98=3,1,2),IF(M86=1,IF(Q98=3,2,3))),IF(W93&gt;W90,IF(M86=2,IF(Q98=3,2,3),IF(M86=1,IF(Q98=3,3,4)))))))))))),"")</f>
        <v/>
      </c>
      <c r="AC108" s="192"/>
      <c r="AD108" s="192"/>
      <c r="AE108" s="192"/>
      <c r="AF108" s="203">
        <f t="shared" ref="AF108:AF138" si="21">IF(Llave&gt;AF107,AF107+1,"")</f>
        <v>98</v>
      </c>
      <c r="AG108" s="203" t="str">
        <f t="shared" si="17"/>
        <v/>
      </c>
      <c r="AH108" s="192" t="str">
        <f t="shared" si="18"/>
        <v/>
      </c>
      <c r="AI108" s="229" t="str">
        <f t="shared" si="19"/>
        <v>Bye</v>
      </c>
      <c r="AJ108" s="203"/>
      <c r="AK108" s="203">
        <f t="shared" si="20"/>
        <v>0</v>
      </c>
      <c r="AL108" s="229">
        <f t="shared" si="16"/>
        <v>0</v>
      </c>
      <c r="AM108" s="203"/>
      <c r="AN108" s="192"/>
      <c r="AO108" s="192"/>
      <c r="AP108" s="192"/>
      <c r="AQ108" s="192"/>
      <c r="AR108" s="192"/>
      <c r="AS108" s="192"/>
      <c r="AT108" s="192"/>
      <c r="AU108" s="192"/>
      <c r="AV108" s="192"/>
      <c r="AW108" s="192"/>
      <c r="AX108" s="192"/>
    </row>
    <row r="109" spans="2:50" ht="15" customHeight="1" thickTop="1" x14ac:dyDescent="0.3">
      <c r="B109" s="192"/>
      <c r="C109" s="192"/>
      <c r="D109" s="192"/>
      <c r="E109" s="164" t="str">
        <f>IF(Q109="","",IF(Q109=3,1,0))</f>
        <v/>
      </c>
      <c r="F109" s="164" t="str">
        <f>IF(Q109="","",IF(Q109&lt;3,1,0))</f>
        <v/>
      </c>
      <c r="G109" s="192"/>
      <c r="H109" s="192" t="str">
        <f>IF(I86&lt;&gt;"",3,"")</f>
        <v/>
      </c>
      <c r="I109" s="192" t="str">
        <f>IF(ISNUMBER(H109),VLOOKUP(H109,H83:I86,2,TRUE),"")</f>
        <v/>
      </c>
      <c r="J109" s="192"/>
      <c r="K109" s="192" t="str">
        <f>VLOOKUP(I109,I83:L86,3,FALSE)</f>
        <v/>
      </c>
      <c r="L109" s="253"/>
      <c r="M109" s="254"/>
      <c r="N109" s="254"/>
      <c r="O109" s="152"/>
      <c r="P109" s="153"/>
      <c r="Q109" s="255" t="str">
        <f>IF(L109="","",IF(AND(L109-L110&gt;1,L109&gt;10),1,0)+IF(AND(M109-M110&gt;1,M109&gt;10),1,0)+IF(AND(N109-N110&gt;1,N109&gt;10),1,0)+IF(AND(O109-O110&gt;1,O109&gt;10),1,0)+IF(AND(P109-P110&gt;1,P109&gt;10),1,0))</f>
        <v/>
      </c>
      <c r="R109" s="203" t="str">
        <f>IF(AND(I109="",I110=""),"",ABS(VLOOKUP(I109,I83:L86,4,FALSE)-VLOOKUP(I110,I83:L86,4,FALSE)))</f>
        <v/>
      </c>
      <c r="S109" s="256" t="str">
        <f>IF(R110="","",IF(Q109=3,+R110,-R110))</f>
        <v/>
      </c>
      <c r="T109" s="247"/>
      <c r="U109" s="264"/>
      <c r="V109" s="242"/>
      <c r="W109" s="192"/>
      <c r="X109" s="264"/>
      <c r="Y109" s="192"/>
      <c r="Z109" s="192"/>
      <c r="AA109" s="243">
        <v>2</v>
      </c>
      <c r="AB109" s="222" t="str">
        <f>IF(AND(COUNTBLANK(I83:I86)=0,Group_players=4,M84=M85,M85=M86),IF(X91="","",IF(COUNTIF(X90:X93,X91)=3,"Tied",IF(AND(COUNTIF(X90:X93,X91)=1,X92&lt;&gt;X93),IF(M84=2,IF(SMALL(X90:X93,1)=X91,1,IF(SMALL(X90:X93,2)=X91,2,IF(SMALL(X90:X93,3)=X91,3))),IF(M84=1,IF(SMALL(X90:X93,1)=X91,2,IF(SMALL(X90:X93,2)=X91,3,IF(SMALL(X90:X93,3)=X91,4))),"")),IF(COUNTIF(X90:X93,X91)=1,IF(X91&lt;X93,IF(M84=2,1,2),IF(M84=1,4)),IF(COUNTIF(X90:X93,X91)=2,IF(X91=X92,IF(X91&lt;X93,IF(M84=2,IF(Q103=3,1,2),IF(M84=1,IF(Q103=3,2,3))),IF(X91&gt;X93,IF(M84=2,IF(Q103=3,2,3),IF(M84=1,IF(Q103=3,3,4))))),IF(X91=X93,IF(X91&lt;X92,IF(M84=2,IF(Q97=3,1,2),IF(M84=1,IF(Q97=3,2,3))),IF(X91&gt;X92,IF(M84=2,IF(Q97=3,2,3),IF(M84=1,IF(Q97=3,3,4)))))))))))),"")</f>
        <v/>
      </c>
      <c r="AC109" s="192"/>
      <c r="AD109" s="192"/>
      <c r="AE109" s="192"/>
      <c r="AF109" s="203">
        <f t="shared" si="21"/>
        <v>99</v>
      </c>
      <c r="AG109" s="203" t="str">
        <f t="shared" si="17"/>
        <v/>
      </c>
      <c r="AH109" s="192" t="str">
        <f t="shared" si="18"/>
        <v/>
      </c>
      <c r="AI109" s="229" t="str">
        <f t="shared" si="19"/>
        <v>Bye</v>
      </c>
      <c r="AJ109" s="203"/>
      <c r="AK109" s="203">
        <f t="shared" si="20"/>
        <v>0</v>
      </c>
      <c r="AL109" s="229">
        <f t="shared" si="16"/>
        <v>0</v>
      </c>
      <c r="AM109" s="203"/>
      <c r="AN109" s="192"/>
      <c r="AO109" s="192"/>
      <c r="AP109" s="192"/>
      <c r="AQ109" s="192"/>
      <c r="AR109" s="192"/>
      <c r="AS109" s="192"/>
      <c r="AT109" s="192"/>
      <c r="AU109" s="192"/>
      <c r="AV109" s="192"/>
      <c r="AW109" s="192"/>
      <c r="AX109" s="192"/>
    </row>
    <row r="110" spans="2:50" ht="15" customHeight="1" thickBot="1" x14ac:dyDescent="0.35">
      <c r="B110" s="192"/>
      <c r="C110" s="192"/>
      <c r="D110" s="192"/>
      <c r="E110" s="164" t="str">
        <f>IF(Q110="","",IF(Q110=3,1,0))</f>
        <v/>
      </c>
      <c r="F110" s="164" t="str">
        <f>IF(Q110="","",IF(Q110&lt;3,1,0))</f>
        <v/>
      </c>
      <c r="G110" s="192"/>
      <c r="H110" s="192" t="str">
        <f>IF(I86&lt;&gt;"",4,"")</f>
        <v/>
      </c>
      <c r="I110" s="192" t="str">
        <f>IF(ISNUMBER(H110),VLOOKUP(H110,H83:I86,2,TRUE),"")</f>
        <v/>
      </c>
      <c r="J110" s="192"/>
      <c r="K110" s="192" t="str">
        <f>VLOOKUP(I110,I83:L86,3,FALSE)</f>
        <v/>
      </c>
      <c r="L110" s="155"/>
      <c r="M110" s="259"/>
      <c r="N110" s="259"/>
      <c r="O110" s="156"/>
      <c r="P110" s="157"/>
      <c r="Q110" s="260" t="str">
        <f>IF(L110="","",IF(AND(L110-L109&gt;1,L110&gt;10),1,0)+IF(AND(M110-M109&gt;1,M110&gt;10),1,0)+IF(AND(N110-N109&gt;1,N110&gt;10),1,0)+IF(AND(O110-O109&gt;1,O110&gt;10),1,0)+IF(AND(P110-P109&gt;1,P110&gt;10),1,0))</f>
        <v/>
      </c>
      <c r="R110" s="203" t="str">
        <f>IF(AND(Q109&lt;&gt;3,Q110&lt;&gt;3),"",IF(Q109=3,IF(VLOOKUP(I109,I83:L86,4,FALSE)&gt;VLOOKUP(I110,I83:L86,4,FALSE),VLOOKUP(R109,Point_dif,2,FALSE),VLOOKUP(R109,Point_dif,3,FALSE)),IF(Q110=3,IF(VLOOKUP(I110,I83:L86,4,FALSE)&gt;VLOOKUP(I109,I83:L86,4,FALSE),VLOOKUP(R109,Point_dif,2,FALSE),VLOOKUP(R109,Point_dif,3,FALSE)))))</f>
        <v/>
      </c>
      <c r="S110" s="260" t="str">
        <f>IF(R110="","",IF(Q110=3,+R110,-R110))</f>
        <v/>
      </c>
      <c r="T110" s="247"/>
      <c r="U110" s="235"/>
      <c r="V110" s="235"/>
      <c r="W110" s="235"/>
      <c r="X110" s="235"/>
      <c r="Y110" s="235"/>
      <c r="Z110" s="235"/>
      <c r="AA110" s="246">
        <v>3</v>
      </c>
      <c r="AB110" s="222" t="str">
        <f>IF(AND(COUNTBLANK(I83:I86)=0,Group_players=4,Group_players=4,M84=M85,M85=M86),IF(X92="","",IF(COUNTIF(X90:X93,X92)=3,"Tied",IF(AND(COUNTIF(X90:X93,X92)=1,X91&lt;&gt;X93),IF(M85=2,IF(SMALL(X90:X93,1)=X92,1,IF(SMALL(X90:X93,2)=X92,2,IF(SMALL(X90:X93,3)=X92,3))),IF(M85=1,IF(SMALL(X90:X93,1)=X92,2,IF(SMALL(X90:X93,2)=X92,3,IF(SMALL(X90:X93,3)=X92,4))),"")),IF(COUNTIF(X90:X93,X92)=1,IF(X92&lt;X91,IF(M85=2,1,2),IF(M85=2,3,4)),IF(COUNTIF(X90:X93,X92)=2,IF(X92=X91,IF(X92&lt;X93,IF(M85=2,IF(Q104=3,1,2),IF(M85=1,IF(Q104=3,2,3))),IF(X92&gt;X93,IF(M85=2,IF(Q104=3,2,3),IF(M85=1,IF(Q104=3,3,4))))),IF(X92=X93,IF(X92&lt;X91,IF(M85=2,IF(Q109=3,1,2),IF(M85=1,IF(Q109=3,2,3))),IF(X92&gt;X91,IF(M85=2,IF(Q109=3,2,3),IF(M85=1,IF(Q109=3,3,4)))))))))))),"")</f>
        <v/>
      </c>
      <c r="AC110" s="192"/>
      <c r="AD110" s="192"/>
      <c r="AE110" s="192"/>
      <c r="AF110" s="203">
        <f t="shared" si="21"/>
        <v>100</v>
      </c>
      <c r="AG110" s="203" t="str">
        <f t="shared" si="17"/>
        <v/>
      </c>
      <c r="AH110" s="192" t="str">
        <f t="shared" si="18"/>
        <v/>
      </c>
      <c r="AI110" s="229" t="str">
        <f t="shared" si="19"/>
        <v>Bye</v>
      </c>
      <c r="AJ110" s="203"/>
      <c r="AK110" s="203">
        <f t="shared" si="20"/>
        <v>0</v>
      </c>
      <c r="AL110" s="229">
        <f t="shared" si="16"/>
        <v>0</v>
      </c>
      <c r="AM110" s="203"/>
      <c r="AN110" s="192"/>
      <c r="AO110" s="192"/>
      <c r="AP110" s="192"/>
      <c r="AQ110" s="192"/>
      <c r="AR110" s="192"/>
      <c r="AS110" s="192"/>
      <c r="AT110" s="192"/>
      <c r="AU110" s="192"/>
      <c r="AV110" s="192"/>
      <c r="AW110" s="192"/>
      <c r="AX110" s="192"/>
    </row>
    <row r="111" spans="2:50" ht="15" customHeight="1" thickTop="1" thickBot="1" x14ac:dyDescent="0.35">
      <c r="B111" s="192"/>
      <c r="C111" s="192"/>
      <c r="D111" s="192"/>
      <c r="E111" s="192"/>
      <c r="F111" s="192"/>
      <c r="G111" s="192"/>
      <c r="H111" s="192"/>
      <c r="I111" s="192"/>
      <c r="J111" s="192"/>
      <c r="K111" s="192"/>
      <c r="L111" s="192"/>
      <c r="M111" s="192"/>
      <c r="N111" s="192"/>
      <c r="O111" s="268"/>
      <c r="P111" s="192"/>
      <c r="Q111" s="192"/>
      <c r="R111" s="247"/>
      <c r="S111" s="247"/>
      <c r="T111" s="247"/>
      <c r="U111" s="235"/>
      <c r="V111" s="235"/>
      <c r="W111" s="235"/>
      <c r="X111" s="235"/>
      <c r="Y111" s="235"/>
      <c r="Z111" s="235"/>
      <c r="AA111" s="261">
        <v>4</v>
      </c>
      <c r="AB111" s="233" t="str">
        <f>IF(AND(COUNTBLANK(I83:I86)=0,Group_players=4,M84=M85,M85=M86),IF(X93="","",IF(COUNTIF(X90:X93,X93)=3,"Tied",IF(AND(COUNTIF(X90:X93,X93)=1,X92&lt;&gt;X91),IF(M86=2,IF(SMALL(X90:X93,1)=X93,1,IF(SMALL(X90:X93,2)=X93,2,IF(SMALL(X90:X93,3)=X93,3))),IF(M86=1,IF(SMALL(X90:X93,1)=X93,2,IF(SMALL(X90:X93,2)=X93,3,IF(SMALL(X90:X93,3)=X93,4))),"")),IF(COUNTIF(X90:X93,X93)=1,IF(X93&lt;X91,IF(M86=2,1,2),IF(M86=2,3,4)),IF(COUNTIF(X90:X93,X93)=2,IF(X93=X91,IF(X93&lt;X92,IF(M86=2,IF(Q98=3,1,2),IF(M86=1,IF(Q98=3,2,3))),IF(X93&gt;X92,IF(M86=2,IF(Q98=3,2,3),IF(M86=1,IF(Q98=3,3,4))))),IF(X93=X92,IF(X93&lt;X91,IF(M86=2,IF(Q110=3,1,2),IF(M86=1,IF(Q110=3,2,3))),IF(X93&gt;X91,IF(M86=2,IF(Q110=3,2,3),IF(M86=1,IF(Q110=3,3,4)))))))))))),"")</f>
        <v/>
      </c>
      <c r="AC111" s="192"/>
      <c r="AD111" s="192"/>
      <c r="AE111" s="192"/>
      <c r="AF111" s="203">
        <f t="shared" si="21"/>
        <v>101</v>
      </c>
      <c r="AG111" s="203" t="str">
        <f t="shared" si="17"/>
        <v/>
      </c>
      <c r="AH111" s="192" t="str">
        <f t="shared" si="18"/>
        <v/>
      </c>
      <c r="AI111" s="229" t="str">
        <f t="shared" si="19"/>
        <v>Bye</v>
      </c>
      <c r="AJ111" s="203"/>
      <c r="AK111" s="203">
        <f t="shared" si="20"/>
        <v>0</v>
      </c>
      <c r="AL111" s="229">
        <f t="shared" si="16"/>
        <v>0</v>
      </c>
      <c r="AM111" s="203"/>
      <c r="AN111" s="192"/>
      <c r="AO111" s="192"/>
      <c r="AP111" s="192"/>
      <c r="AQ111" s="192"/>
      <c r="AR111" s="192"/>
      <c r="AS111" s="192"/>
      <c r="AT111" s="192"/>
      <c r="AU111" s="192"/>
      <c r="AV111" s="192"/>
      <c r="AW111" s="192"/>
      <c r="AX111" s="192"/>
    </row>
    <row r="112" spans="2:50" ht="15" customHeight="1" thickTop="1" x14ac:dyDescent="0.3">
      <c r="B112" s="192"/>
      <c r="C112" s="192"/>
      <c r="D112" s="192"/>
      <c r="E112" s="192"/>
      <c r="F112" s="192"/>
      <c r="G112" s="192"/>
      <c r="H112" s="192"/>
      <c r="I112" s="192"/>
      <c r="J112" s="192"/>
      <c r="K112" s="192"/>
      <c r="L112" s="192"/>
      <c r="M112" s="192"/>
      <c r="N112" s="192"/>
      <c r="O112" s="192"/>
      <c r="P112" s="192"/>
      <c r="Q112" s="192"/>
      <c r="R112" s="192"/>
      <c r="S112" s="192"/>
      <c r="T112" s="203"/>
      <c r="U112" s="192"/>
      <c r="V112" s="192"/>
      <c r="W112" s="192"/>
      <c r="X112" s="192"/>
      <c r="Y112" s="192"/>
      <c r="Z112" s="192"/>
      <c r="AA112" s="192"/>
      <c r="AB112" s="192"/>
      <c r="AC112" s="192"/>
      <c r="AD112" s="192"/>
      <c r="AE112" s="192"/>
      <c r="AF112" s="203">
        <f t="shared" si="21"/>
        <v>102</v>
      </c>
      <c r="AG112" s="203" t="str">
        <f t="shared" si="17"/>
        <v/>
      </c>
      <c r="AH112" s="192" t="str">
        <f t="shared" si="18"/>
        <v/>
      </c>
      <c r="AI112" s="229" t="str">
        <f t="shared" si="19"/>
        <v>Bye</v>
      </c>
      <c r="AJ112" s="203"/>
      <c r="AK112" s="203">
        <f t="shared" si="20"/>
        <v>0</v>
      </c>
      <c r="AL112" s="229">
        <f t="shared" si="16"/>
        <v>0</v>
      </c>
      <c r="AM112" s="203"/>
      <c r="AN112" s="192"/>
      <c r="AO112" s="192"/>
      <c r="AP112" s="192"/>
      <c r="AQ112" s="192"/>
      <c r="AR112" s="192"/>
      <c r="AS112" s="192"/>
      <c r="AT112" s="192"/>
      <c r="AU112" s="192"/>
      <c r="AV112" s="192"/>
      <c r="AW112" s="192"/>
      <c r="AX112" s="192"/>
    </row>
    <row r="113" spans="2:50" ht="15" customHeight="1" x14ac:dyDescent="0.3">
      <c r="B113" s="192"/>
      <c r="C113" s="192"/>
      <c r="D113" s="192"/>
      <c r="E113" s="192"/>
      <c r="F113" s="192"/>
      <c r="G113" s="192"/>
      <c r="H113" s="192"/>
      <c r="I113" s="192"/>
      <c r="J113" s="192"/>
      <c r="K113" s="192"/>
      <c r="L113" s="192"/>
      <c r="M113" s="192"/>
      <c r="N113" s="192"/>
      <c r="O113" s="192"/>
      <c r="P113" s="192"/>
      <c r="Q113" s="192"/>
      <c r="R113" s="192"/>
      <c r="S113" s="192"/>
      <c r="T113" s="192"/>
      <c r="U113" s="192"/>
      <c r="V113" s="192"/>
      <c r="W113" s="192"/>
      <c r="X113" s="192"/>
      <c r="Y113" s="192"/>
      <c r="Z113" s="192"/>
      <c r="AA113" s="192"/>
      <c r="AB113" s="192"/>
      <c r="AC113" s="192"/>
      <c r="AD113" s="192"/>
      <c r="AE113" s="192"/>
      <c r="AF113" s="203">
        <f t="shared" si="21"/>
        <v>103</v>
      </c>
      <c r="AG113" s="203" t="str">
        <f t="shared" si="17"/>
        <v/>
      </c>
      <c r="AH113" s="192" t="str">
        <f t="shared" si="18"/>
        <v/>
      </c>
      <c r="AI113" s="229" t="str">
        <f t="shared" si="19"/>
        <v>Bye</v>
      </c>
      <c r="AJ113" s="203"/>
      <c r="AK113" s="203">
        <f t="shared" si="20"/>
        <v>0</v>
      </c>
      <c r="AL113" s="229">
        <f t="shared" si="16"/>
        <v>0</v>
      </c>
      <c r="AM113" s="203"/>
      <c r="AN113" s="192"/>
      <c r="AO113" s="192"/>
      <c r="AP113" s="192"/>
      <c r="AQ113" s="192"/>
      <c r="AR113" s="192"/>
      <c r="AS113" s="192"/>
      <c r="AT113" s="192"/>
      <c r="AU113" s="192"/>
      <c r="AV113" s="192"/>
      <c r="AW113" s="192"/>
      <c r="AX113" s="192"/>
    </row>
    <row r="114" spans="2:50" ht="15" customHeight="1" x14ac:dyDescent="0.3">
      <c r="B114" s="192"/>
      <c r="C114" s="192"/>
      <c r="D114" s="192"/>
      <c r="E114" s="192"/>
      <c r="F114" s="192"/>
      <c r="G114" s="192"/>
      <c r="H114" s="192"/>
      <c r="I114" s="192"/>
      <c r="J114" s="192"/>
      <c r="K114" s="192"/>
      <c r="L114" s="192"/>
      <c r="M114" s="192"/>
      <c r="N114" s="192"/>
      <c r="O114" s="192"/>
      <c r="P114" s="192"/>
      <c r="Q114" s="192"/>
      <c r="R114" s="192"/>
      <c r="S114" s="192"/>
      <c r="T114" s="192"/>
      <c r="U114" s="192"/>
      <c r="V114" s="192"/>
      <c r="W114" s="192"/>
      <c r="X114" s="192"/>
      <c r="Y114" s="192"/>
      <c r="Z114" s="269"/>
      <c r="AA114" s="192"/>
      <c r="AB114" s="192"/>
      <c r="AC114" s="192"/>
      <c r="AD114" s="192"/>
      <c r="AE114" s="192"/>
      <c r="AF114" s="203">
        <f t="shared" si="21"/>
        <v>104</v>
      </c>
      <c r="AG114" s="203" t="str">
        <f t="shared" si="17"/>
        <v/>
      </c>
      <c r="AH114" s="192" t="str">
        <f t="shared" si="18"/>
        <v/>
      </c>
      <c r="AI114" s="229" t="str">
        <f t="shared" si="19"/>
        <v>Bye</v>
      </c>
      <c r="AJ114" s="203"/>
      <c r="AK114" s="203">
        <f t="shared" si="20"/>
        <v>0</v>
      </c>
      <c r="AL114" s="229">
        <f t="shared" si="16"/>
        <v>0</v>
      </c>
      <c r="AM114" s="203"/>
      <c r="AN114" s="192"/>
      <c r="AO114" s="192"/>
      <c r="AP114" s="192"/>
      <c r="AQ114" s="192"/>
      <c r="AR114" s="192"/>
      <c r="AS114" s="192"/>
      <c r="AT114" s="192"/>
      <c r="AU114" s="192"/>
      <c r="AV114" s="192"/>
      <c r="AW114" s="192"/>
      <c r="AX114" s="192"/>
    </row>
    <row r="115" spans="2:50" ht="15" customHeight="1" x14ac:dyDescent="0.3">
      <c r="B115" s="192"/>
      <c r="C115" s="192"/>
      <c r="D115" s="192"/>
      <c r="E115" s="192"/>
      <c r="F115" s="192"/>
      <c r="G115" s="192"/>
      <c r="H115" s="192"/>
      <c r="I115" s="192"/>
      <c r="J115" s="192"/>
      <c r="K115" s="192"/>
      <c r="L115" s="192"/>
      <c r="M115" s="192"/>
      <c r="N115" s="192"/>
      <c r="O115" s="192"/>
      <c r="P115" s="192"/>
      <c r="Q115" s="192"/>
      <c r="R115" s="192"/>
      <c r="S115" s="192"/>
      <c r="T115" s="192"/>
      <c r="U115" s="192"/>
      <c r="V115" s="192"/>
      <c r="W115" s="192"/>
      <c r="X115" s="192"/>
      <c r="Y115" s="192"/>
      <c r="Z115" s="192"/>
      <c r="AA115" s="192"/>
      <c r="AB115" s="192"/>
      <c r="AC115" s="192"/>
      <c r="AD115" s="192"/>
      <c r="AE115" s="192"/>
      <c r="AF115" s="203">
        <f t="shared" si="21"/>
        <v>105</v>
      </c>
      <c r="AG115" s="203" t="str">
        <f t="shared" si="17"/>
        <v/>
      </c>
      <c r="AH115" s="192" t="str">
        <f t="shared" si="18"/>
        <v/>
      </c>
      <c r="AI115" s="229" t="str">
        <f t="shared" si="19"/>
        <v>Bye</v>
      </c>
      <c r="AJ115" s="203"/>
      <c r="AK115" s="203">
        <f t="shared" si="20"/>
        <v>0</v>
      </c>
      <c r="AL115" s="229">
        <f t="shared" si="16"/>
        <v>0</v>
      </c>
      <c r="AM115" s="203"/>
      <c r="AN115" s="192"/>
      <c r="AO115" s="192"/>
      <c r="AP115" s="192"/>
      <c r="AQ115" s="192"/>
      <c r="AR115" s="192"/>
      <c r="AS115" s="192"/>
      <c r="AT115" s="192"/>
      <c r="AU115" s="192"/>
      <c r="AV115" s="192"/>
      <c r="AW115" s="192"/>
      <c r="AX115" s="192"/>
    </row>
    <row r="116" spans="2:50" ht="15" customHeight="1" x14ac:dyDescent="0.3">
      <c r="B116" s="192"/>
      <c r="C116" s="192"/>
      <c r="D116" s="192"/>
      <c r="E116" s="192"/>
      <c r="F116" s="192"/>
      <c r="G116" s="192"/>
      <c r="H116" s="192"/>
      <c r="I116" s="192"/>
      <c r="J116" s="192"/>
      <c r="K116" s="192"/>
      <c r="L116" s="192"/>
      <c r="M116" s="192"/>
      <c r="N116" s="192"/>
      <c r="O116" s="192"/>
      <c r="P116" s="192"/>
      <c r="Q116" s="192"/>
      <c r="R116" s="192"/>
      <c r="S116" s="192"/>
      <c r="T116" s="192"/>
      <c r="U116" s="192"/>
      <c r="V116" s="192" t="s">
        <v>124</v>
      </c>
      <c r="W116" s="192"/>
      <c r="X116" s="192"/>
      <c r="Y116" s="192"/>
      <c r="Z116" s="192"/>
      <c r="AA116" s="192"/>
      <c r="AB116" s="192"/>
      <c r="AC116" s="192"/>
      <c r="AD116" s="192"/>
      <c r="AE116" s="192"/>
      <c r="AF116" s="203">
        <f t="shared" si="21"/>
        <v>106</v>
      </c>
      <c r="AG116" s="203" t="str">
        <f t="shared" si="17"/>
        <v/>
      </c>
      <c r="AH116" s="192" t="str">
        <f t="shared" si="18"/>
        <v/>
      </c>
      <c r="AI116" s="229" t="str">
        <f t="shared" si="19"/>
        <v>Bye</v>
      </c>
      <c r="AJ116" s="203"/>
      <c r="AK116" s="203">
        <f t="shared" si="20"/>
        <v>0</v>
      </c>
      <c r="AL116" s="229">
        <f t="shared" si="16"/>
        <v>0</v>
      </c>
      <c r="AM116" s="203"/>
      <c r="AN116" s="192"/>
      <c r="AO116" s="192"/>
      <c r="AP116" s="192"/>
      <c r="AQ116" s="192"/>
      <c r="AR116" s="192"/>
      <c r="AS116" s="192"/>
      <c r="AT116" s="192"/>
      <c r="AU116" s="192"/>
      <c r="AV116" s="192"/>
      <c r="AW116" s="192"/>
      <c r="AX116" s="192"/>
    </row>
    <row r="117" spans="2:50" ht="15" customHeight="1" thickBot="1" x14ac:dyDescent="0.4">
      <c r="B117" s="192"/>
      <c r="C117" s="192"/>
      <c r="D117" s="192"/>
      <c r="E117" s="192"/>
      <c r="F117" s="192"/>
      <c r="G117" s="192"/>
      <c r="H117" s="192"/>
      <c r="I117" s="383" t="s">
        <v>125</v>
      </c>
      <c r="J117" s="383"/>
      <c r="K117" s="383"/>
      <c r="L117" s="383"/>
      <c r="M117" s="383"/>
      <c r="N117" s="383"/>
      <c r="O117" s="383"/>
      <c r="P117" s="383"/>
      <c r="Q117" s="383"/>
      <c r="R117" s="383"/>
      <c r="S117" s="192"/>
      <c r="T117" s="192"/>
      <c r="U117" s="370" t="s">
        <v>92</v>
      </c>
      <c r="V117" s="371"/>
      <c r="W117" s="371"/>
      <c r="X117" s="372"/>
      <c r="Y117" s="192"/>
      <c r="Z117" s="192"/>
      <c r="AA117" s="192"/>
      <c r="AB117" s="192"/>
      <c r="AC117" s="192"/>
      <c r="AD117" s="192"/>
      <c r="AE117" s="192"/>
      <c r="AF117" s="203">
        <f t="shared" si="21"/>
        <v>107</v>
      </c>
      <c r="AG117" s="203" t="str">
        <f t="shared" si="17"/>
        <v/>
      </c>
      <c r="AH117" s="192" t="str">
        <f t="shared" si="18"/>
        <v/>
      </c>
      <c r="AI117" s="229" t="str">
        <f t="shared" si="19"/>
        <v>Bye</v>
      </c>
      <c r="AJ117" s="203"/>
      <c r="AK117" s="203">
        <f t="shared" si="20"/>
        <v>0</v>
      </c>
      <c r="AL117" s="229">
        <f t="shared" si="16"/>
        <v>0</v>
      </c>
      <c r="AM117" s="203"/>
      <c r="AN117" s="192"/>
      <c r="AO117" s="192"/>
      <c r="AP117" s="192"/>
      <c r="AQ117" s="192"/>
      <c r="AR117" s="192"/>
      <c r="AS117" s="192"/>
      <c r="AT117" s="192"/>
      <c r="AU117" s="192"/>
      <c r="AV117" s="192"/>
      <c r="AW117" s="192"/>
      <c r="AX117" s="192"/>
    </row>
    <row r="118" spans="2:50" ht="15" customHeight="1" thickTop="1" thickBot="1" x14ac:dyDescent="0.35">
      <c r="B118" s="192"/>
      <c r="C118" s="192"/>
      <c r="D118" s="192"/>
      <c r="E118" s="192"/>
      <c r="F118" s="192"/>
      <c r="G118" s="192"/>
      <c r="H118" s="192"/>
      <c r="I118" s="400" t="s">
        <v>93</v>
      </c>
      <c r="J118" s="160"/>
      <c r="K118" s="396" t="s">
        <v>94</v>
      </c>
      <c r="L118" s="398" t="s">
        <v>95</v>
      </c>
      <c r="M118" s="390" t="s">
        <v>96</v>
      </c>
      <c r="N118" s="390" t="s">
        <v>97</v>
      </c>
      <c r="O118" s="373" t="s">
        <v>98</v>
      </c>
      <c r="P118" s="373" t="str">
        <f>IF(COUNT(U119:X130)=3,"LM/WM Ratio",IF(COUNT(U119:X130)=6,"LP/WP Ratio",""))</f>
        <v/>
      </c>
      <c r="Q118" s="390" t="s">
        <v>99</v>
      </c>
      <c r="R118" s="392" t="s">
        <v>100</v>
      </c>
      <c r="S118" s="192"/>
      <c r="T118" s="120"/>
      <c r="U118" s="121" t="s">
        <v>101</v>
      </c>
      <c r="V118" s="122" t="s">
        <v>102</v>
      </c>
      <c r="W118" s="122" t="s">
        <v>103</v>
      </c>
      <c r="X118" s="123" t="s">
        <v>104</v>
      </c>
      <c r="Y118" s="380" t="s">
        <v>105</v>
      </c>
      <c r="Z118" s="379"/>
      <c r="AA118" s="378" t="s">
        <v>106</v>
      </c>
      <c r="AB118" s="379"/>
      <c r="AC118" s="192"/>
      <c r="AD118" s="192"/>
      <c r="AE118" s="203"/>
      <c r="AF118" s="203">
        <f t="shared" si="21"/>
        <v>108</v>
      </c>
      <c r="AG118" s="203" t="str">
        <f t="shared" si="17"/>
        <v/>
      </c>
      <c r="AH118" s="192" t="str">
        <f t="shared" si="18"/>
        <v/>
      </c>
      <c r="AI118" s="229" t="str">
        <f t="shared" si="19"/>
        <v>Bye</v>
      </c>
      <c r="AJ118" s="203"/>
      <c r="AK118" s="203">
        <f t="shared" si="20"/>
        <v>0</v>
      </c>
      <c r="AL118" s="229">
        <f t="shared" si="16"/>
        <v>0</v>
      </c>
      <c r="AM118" s="203"/>
      <c r="AN118" s="192"/>
      <c r="AO118" s="192"/>
      <c r="AP118" s="192"/>
      <c r="AQ118" s="192"/>
      <c r="AR118" s="192"/>
      <c r="AS118" s="192"/>
      <c r="AT118" s="192"/>
      <c r="AU118" s="192"/>
      <c r="AV118" s="192"/>
      <c r="AW118" s="192"/>
      <c r="AX118" s="192"/>
    </row>
    <row r="119" spans="2:50" ht="15" customHeight="1" thickTop="1" thickBot="1" x14ac:dyDescent="0.35">
      <c r="B119" s="192"/>
      <c r="C119" s="192"/>
      <c r="D119" s="192"/>
      <c r="E119" s="192"/>
      <c r="F119" s="192"/>
      <c r="G119" s="192"/>
      <c r="H119" s="192"/>
      <c r="I119" s="401"/>
      <c r="J119" s="161"/>
      <c r="K119" s="397"/>
      <c r="L119" s="399"/>
      <c r="M119" s="391"/>
      <c r="N119" s="391"/>
      <c r="O119" s="374"/>
      <c r="P119" s="374"/>
      <c r="Q119" s="391"/>
      <c r="R119" s="393"/>
      <c r="S119" s="192"/>
      <c r="T119" s="208">
        <v>1</v>
      </c>
      <c r="U119" s="209" t="str">
        <f>IF(M120="","",IF(COUNTIF(M120:M122,M120)=3,IF(COUNTBLANK(I120:I123)=1,(Q132+Q138)/(Q131+Q137),IF(COUNTBLANK(I120:I123)=0,(Q144+Q132)/(Q143+Q131),"")),""))</f>
        <v/>
      </c>
      <c r="V119" s="125" t="str">
        <f>IF(AND(COUNTBLANK(I120:I123)=0,M120=M122,M122=M123),(Q132+Q138)/(Q131+Q137),"")</f>
        <v/>
      </c>
      <c r="W119" s="210" t="str">
        <f>IF(AND(COUNTBLANK(I120:I123)=0,M120=M121,M121=M123),(Q144+Q138)/(Q143+Q137),"")</f>
        <v/>
      </c>
      <c r="X119" s="211"/>
      <c r="Y119" s="169" t="s">
        <v>93</v>
      </c>
      <c r="Z119" s="170" t="s">
        <v>107</v>
      </c>
      <c r="AA119" s="169" t="s">
        <v>93</v>
      </c>
      <c r="AB119" s="170" t="s">
        <v>107</v>
      </c>
      <c r="AC119" s="192"/>
      <c r="AD119" s="192"/>
      <c r="AE119" s="192"/>
      <c r="AF119" s="203">
        <f t="shared" si="21"/>
        <v>109</v>
      </c>
      <c r="AG119" s="203" t="str">
        <f t="shared" si="17"/>
        <v/>
      </c>
      <c r="AH119" s="192" t="str">
        <f t="shared" si="18"/>
        <v/>
      </c>
      <c r="AI119" s="229" t="str">
        <f t="shared" si="19"/>
        <v>Bye</v>
      </c>
      <c r="AJ119" s="203"/>
      <c r="AK119" s="203">
        <f t="shared" si="20"/>
        <v>0</v>
      </c>
      <c r="AL119" s="229">
        <f t="shared" si="16"/>
        <v>0</v>
      </c>
      <c r="AM119" s="203"/>
      <c r="AN119" s="192"/>
      <c r="AO119" s="192"/>
      <c r="AP119" s="192"/>
      <c r="AQ119" s="192"/>
      <c r="AR119" s="192"/>
      <c r="AS119" s="192"/>
      <c r="AT119" s="192"/>
      <c r="AU119" s="192"/>
      <c r="AV119" s="192"/>
      <c r="AW119" s="192"/>
      <c r="AX119" s="192"/>
    </row>
    <row r="120" spans="2:50" ht="15" customHeight="1" thickTop="1" thickBot="1" x14ac:dyDescent="0.35">
      <c r="B120" s="192"/>
      <c r="C120" s="192"/>
      <c r="D120" s="192"/>
      <c r="E120" s="192"/>
      <c r="F120" s="192" t="str">
        <f>IF(I120="","",VLOOKUP(I120,Siembra,2,FALSE))</f>
        <v/>
      </c>
      <c r="G120" s="192" t="str">
        <f>O120</f>
        <v/>
      </c>
      <c r="H120" s="192">
        <v>1</v>
      </c>
      <c r="I120" s="128" t="str">
        <f>IF(K120="","",IF(ISNUMBER(Sorteo!$A$17),VLOOKUP(K120,Draw,2,FALSE),""))</f>
        <v/>
      </c>
      <c r="J120" s="129" t="str">
        <f>O120</f>
        <v/>
      </c>
      <c r="K120" s="130" t="str">
        <f>IF($K$9="","",IF(Group_players=4,IF(Tablas!BK$3="","",Tablas!BK$3),IF(Group_players=3,IF(Tablas!BK$11="","",Tablas!BK$11),"")))</f>
        <v/>
      </c>
      <c r="L120" s="131" t="str">
        <f>IF(K120="","",VLOOKUP(I120,Siembra,3,FALSE))</f>
        <v/>
      </c>
      <c r="M120" s="132" t="str">
        <f>IF(AND(Q131="",Q132=""),"",IF(I120="","",SUMIFS(E131:E147,I131:I147,I120)))</f>
        <v/>
      </c>
      <c r="N120" s="132" t="str">
        <f>IF(M120="","",IF(I120="","",SUMIFS(F131:F147,I131:I147,I120)))</f>
        <v/>
      </c>
      <c r="O120" s="132" t="str">
        <f>IF(M120="","",IF(COUNTBLANK(I120:I123)=1,IF(M120=2,1,IF(M120=0,3,IF(AND(M120=1,M121&lt;&gt;1),2,IF(COUNTIF(M120:M122,1)&gt;1,Z120)))),IF(COUNTBLANK(I120:I123)=0,IF(COUNTIF(M120:M123,M120)=1,IF(M120=3,1,IF(M120=2,2,IF(M120=1,3,IF(M120=0,4)))),IF(Group_players=3,Z120,IF(COUNTIF(M120:M123,M120)=2,AB120,IF(AND(M120=M121,M121=M122),AB124,IF(AND(M120=M122,M122=M123),AB127,IF(AND(M120=M121,M121=M123),AB130,"")))))),99)))</f>
        <v/>
      </c>
      <c r="P120" s="133" t="str">
        <f>IF(COUNT(U119:X130)=3,IF(ISNUMBER(U119),U119,IF(ISNUMBER(V119),V119,IF(ISNUMBER(W119),W119,IF(X119="","")))),IF(COUNT(U119:X130)=6,IF(ISNUMBER(U127),U127,IF(ISNUMBER(V127),V127,IF(ISNUMBER(W127),W127,IF(ISBLANK(X119),"")))),""))</f>
        <v/>
      </c>
      <c r="Q120" s="132" t="str">
        <f>IF(M120="","",SUMIF(I131:S147,I120,S131:S147))</f>
        <v/>
      </c>
      <c r="R120" s="134" t="str">
        <f>IF(M120="","",L120+Q120)</f>
        <v/>
      </c>
      <c r="S120" s="203"/>
      <c r="T120" s="208">
        <v>2</v>
      </c>
      <c r="U120" s="209" t="str">
        <f>IF(M121="","",IF(COUNTIF(M120:M122,M121)=3,IF(COUNTBLANK(I120:I123)=1,(Q135+Q137)/(Q134+Q138),IF(COUNTBLANK(I120:I123)=0,(Q141+Q143)/(Q140+Q144),"")),""))</f>
        <v/>
      </c>
      <c r="V120" s="135"/>
      <c r="W120" s="212" t="str">
        <f>IF(AND(COUNTBLANK(I120:I123)=0,M121=M120,M120=M123),(Q143+Q135)/(Q144+Q134),"")</f>
        <v/>
      </c>
      <c r="X120" s="213" t="str">
        <f>IF(AND(COUNTBLANK(I120:I123)=0,M121=M122,M122=M123),(Q141+Q135)/(Q140+Q134),"")</f>
        <v/>
      </c>
      <c r="Y120" s="214">
        <v>1</v>
      </c>
      <c r="Z120" s="215" t="str">
        <f>IF(U119="","",IF(OR(Group_players=3,AND(Group_players=4,COUNTBLANK(I120:I123)=1)),IF(COUNTIF(M120:M122,M120)=1,"",IF(AND(U119=U120,U120=U121),Z124,IF(AND(U119&lt;&gt;U120,U119&lt;&gt;U121,U120&lt;&gt;U121),(IF(SMALL(U119:U121,1)=U119,1,IF(SMALL(U119:U121,2)=U119,2,IF(SMALL(U119:U121,3)=U119,3)))),IF(AND(U119&lt;U120,U120=U121),1,IF(AND(U119&gt;U120,U120=U121),3,IF(AND(U119=U120,U119&lt;U121),(IF(Q137=3,1,2)),IF(AND(U119=U120,U119&gt;U121),(IF(Q137=3,2,3)),IF(AND(U119=U121,U119&lt;U120),(IF(Q131=3,1,2)),IF(AND(U119=U121,U119&gt;U120),(IF(Q131=3,2,3)),99))))))))),""))</f>
        <v/>
      </c>
      <c r="AA120" s="216">
        <v>1</v>
      </c>
      <c r="AB120" s="217" t="str">
        <f>IF(COUNTIF(M120:M123,M120)&lt;&gt;2,"",IF(COUNTIF(M120:M123,M120)=1,"",IF(AND(COUNTIF(M120:M123,M120)=2,M120=2),IF(M120=M121,IF(Q143=3,1,2),IF(M120=M122,IF(Q131=3,1,2),IF(M120=M123,IF(Q137=3,1,2)))),IF(AND(COUNTIF(M120:M123,M120)=2,M120=1),IF(M120=M121,IF(Q143=3,3,4),IF(M120=M122,IF(Q131=3,3,4),IF(M120=M123,IF(Q137=3,3,4)))),IF(COUNTIF(M120:M123,M120)=3,AB124)))))</f>
        <v/>
      </c>
      <c r="AC120" s="192"/>
      <c r="AD120" s="192"/>
      <c r="AE120" s="192"/>
      <c r="AF120" s="203">
        <f t="shared" si="21"/>
        <v>110</v>
      </c>
      <c r="AG120" s="203" t="str">
        <f t="shared" si="17"/>
        <v/>
      </c>
      <c r="AH120" s="192" t="str">
        <f t="shared" si="18"/>
        <v/>
      </c>
      <c r="AI120" s="229" t="str">
        <f t="shared" si="19"/>
        <v>Bye</v>
      </c>
      <c r="AJ120" s="203"/>
      <c r="AK120" s="203">
        <f t="shared" si="20"/>
        <v>0</v>
      </c>
      <c r="AL120" s="229">
        <f t="shared" si="16"/>
        <v>0</v>
      </c>
      <c r="AM120" s="203"/>
      <c r="AN120" s="192"/>
      <c r="AO120" s="192"/>
      <c r="AP120" s="192"/>
      <c r="AQ120" s="192"/>
      <c r="AR120" s="192"/>
      <c r="AS120" s="192"/>
      <c r="AT120" s="192" t="s">
        <v>9782</v>
      </c>
      <c r="AU120" s="192">
        <v>1</v>
      </c>
      <c r="AV120" s="192" t="str">
        <f>AT120</f>
        <v>GP_1</v>
      </c>
      <c r="AW120" s="192" t="str">
        <f>AT121</f>
        <v>GP_2</v>
      </c>
      <c r="AX120" s="192" t="e">
        <f>AW120+1</f>
        <v>#VALUE!</v>
      </c>
    </row>
    <row r="121" spans="2:50" ht="15" customHeight="1" thickTop="1" thickBot="1" x14ac:dyDescent="0.35">
      <c r="B121" s="192"/>
      <c r="C121" s="192"/>
      <c r="D121" s="192"/>
      <c r="E121" s="192"/>
      <c r="F121" s="192" t="str">
        <f>IF(I121="","",VLOOKUP(I121,Siembra,2,FALSE))</f>
        <v/>
      </c>
      <c r="G121" s="192" t="str">
        <f>O121</f>
        <v/>
      </c>
      <c r="H121" s="192">
        <v>2</v>
      </c>
      <c r="I121" s="128" t="str">
        <f>IF(K121="","",IF(ISNUMBER(Sorteo!$A$17),VLOOKUP(K121,Draw,2,FALSE),""))</f>
        <v/>
      </c>
      <c r="J121" s="129" t="str">
        <f>O121</f>
        <v/>
      </c>
      <c r="K121" s="136" t="str">
        <f>IF($K$9="","",IF(Group_players=4,IF(Tablas!BK$4="","",Tablas!BK$4),IF(Group_players=3,IF(Tablas!BK$12="","",Tablas!BK$12),"")))</f>
        <v/>
      </c>
      <c r="L121" s="137" t="str">
        <f>IF(K121="","",VLOOKUP(I121,Siembra,3,FALSE))</f>
        <v/>
      </c>
      <c r="M121" s="132" t="str">
        <f>IF(AND(L131="",L132=""),"",IF(I121="","",SUMIFS(E131:E148,I131:I148,I121)))</f>
        <v/>
      </c>
      <c r="N121" s="138" t="str">
        <f>IF(M121="","",IF(I121="","",SUMIFS(F131:F147,I131:I147,I121)))</f>
        <v/>
      </c>
      <c r="O121" s="132" t="str">
        <f>IF(M121="","",IF(COUNTBLANK(I120:I123)=1,IF(M121=2,1,IF(M121=0,3,IF(AND(M121=1,M122&lt;&gt;1),2,IF(COUNTIF(M120:M123,1)&gt;1,Z121)))),IF(COUNTBLANK(I120:I123)=0,IF(COUNTIF(M120:M123,M121)=1,IF(M121=3,1,IF(M121=2,2,IF(M121=1,3,IF(M121=0,4)))),IF(Group_players=3,Z121,IF(COUNTIF(M120:M123,M121)=2,AB121,IF(AND(M121=M120,M120=M122),AB125,IF(AND(M121=M120,M120=M123),AB131,IF(AND(M121=M122,M122=M123),AB133,"")))))))))</f>
        <v/>
      </c>
      <c r="P121" s="133" t="str">
        <f>IF(COUNT(U119:X130)=3,IF(ISNUMBER(U120),U120,IF(ISNUMBER(W120),W120,IF(ISNUMBER(X120),X120,IF(X120="","")))),IF(COUNT(U119:X130)=6,IF(ISNUMBER(U128),U128,IF(ISNUMBER(W128),W128,IF(ISNUMBER(X128),X128,IF(ISBLANK(X127),"")))),""))</f>
        <v/>
      </c>
      <c r="Q121" s="138" t="str">
        <f>IF(M121="","",SUMIF(I131:S147,I121,S131:$S147))</f>
        <v/>
      </c>
      <c r="R121" s="139" t="str">
        <f>IF(M121="","",L121+Q121)</f>
        <v/>
      </c>
      <c r="S121" s="203"/>
      <c r="T121" s="208">
        <v>3</v>
      </c>
      <c r="U121" s="209" t="str">
        <f>IF(M122="","",IF(COUNTIF(M120:M122,M122)=3,IF(COUNTBLANK(I120:I123)=1,(Q131+Q134)/(Q132+Q135),IF(COUNTBLANK(I120:I123)=0,(Q131+Q140)/(Q132+Q141),"")),""))</f>
        <v/>
      </c>
      <c r="V121" s="125" t="str">
        <f>IF(AND(COUNTBLANK(I120:I123)=0,M122=M123,M123=M120),(Q131+Q147)/(Q132+Q146),"")</f>
        <v/>
      </c>
      <c r="W121" s="218"/>
      <c r="X121" s="213" t="str">
        <f>IF(AND(COUNTBLANK(I120:I123)=0,M122=M123,M123=M121),(Q140+Q147)/(Q141+Q146),"")</f>
        <v/>
      </c>
      <c r="Y121" s="219">
        <v>2</v>
      </c>
      <c r="Z121" s="220" t="str">
        <f>IF(U120="","",IF(OR(Group_players=3,AND(Group_players=4,COUNTBLANK(I120:I123)=1)),IF(COUNTIF(M120:M122,M121)=1,"",IF(AND(U120=U119,U120=U121),Z125,IF(AND(U120&lt;&gt;U119,U120&lt;&gt;U121,U119&lt;&gt;U121),(IF(SMALL(U119:U121,1)=U120,1,IF(SMALL(U119:U121,2)=U120,2,IF(SMALL(U119:U121,3)=U120,3)))),IF(AND(U120&lt;U119,U119=U121),1,IF(AND(U120&gt;U119,U119=U121),3,IF(AND(U120=U119,U120&lt;U121),(IF(Q138=3,1,2)),IF(AND(U120=U119,U120&gt;U121),(IF(Q138=3,2,3)),IF(AND(U120=U121,U120&lt;U119),(IF(Q134=3,1,2)),IF(AND(U120=U121,U120&gt;U119),(IF(Q134=3,2,3)),99))))))))),""))</f>
        <v/>
      </c>
      <c r="AA121" s="221">
        <v>2</v>
      </c>
      <c r="AB121" s="222" t="str">
        <f>IF(COUNTIF(M120:M123,M121)&lt;&gt;2,"",IF(COUNTIF(M120:M123,M121)=1,"",IF(AND(COUNTIF(M120:M123,M121)=2,M121=2),IF(M121=M120,IF(Q144=3,1,2),IF(M121=M122,IF(Q140=3,1,2),IF(M121=M123,IF(Q134=3,1,2)))),IF(AND(COUNTIF(M120:M123,M121)=2,M121=1),IF(M121=M120,IF(Q144=3,3,4),IF(M121=M122,IF(Q140=3,3,4),IF(M121=M123,IF(Q134=3,3,4)))),AB126))))</f>
        <v/>
      </c>
      <c r="AC121" s="192"/>
      <c r="AD121" s="192"/>
      <c r="AE121" s="192"/>
      <c r="AF121" s="203">
        <f t="shared" si="21"/>
        <v>111</v>
      </c>
      <c r="AG121" s="203" t="str">
        <f t="shared" si="17"/>
        <v/>
      </c>
      <c r="AH121" s="192" t="str">
        <f t="shared" si="18"/>
        <v/>
      </c>
      <c r="AI121" s="229" t="str">
        <f t="shared" si="19"/>
        <v>Bye</v>
      </c>
      <c r="AJ121" s="203"/>
      <c r="AK121" s="203">
        <f t="shared" si="20"/>
        <v>0</v>
      </c>
      <c r="AL121" s="229">
        <f t="shared" si="16"/>
        <v>0</v>
      </c>
      <c r="AM121" s="203"/>
      <c r="AN121" s="192"/>
      <c r="AO121" s="192"/>
      <c r="AP121" s="192"/>
      <c r="AQ121" s="192"/>
      <c r="AR121" s="192"/>
      <c r="AS121" s="192"/>
      <c r="AT121" s="192" t="s">
        <v>9783</v>
      </c>
      <c r="AU121" s="192">
        <f>AU120+1</f>
        <v>2</v>
      </c>
      <c r="AV121" s="192"/>
      <c r="AW121" s="192"/>
      <c r="AX121" s="192"/>
    </row>
    <row r="122" spans="2:50" ht="15" customHeight="1" thickBot="1" x14ac:dyDescent="0.35">
      <c r="B122" s="192"/>
      <c r="C122" s="192"/>
      <c r="D122" s="192"/>
      <c r="E122" s="192"/>
      <c r="F122" s="192" t="str">
        <f>IF(I122="","",VLOOKUP(I122,Siembra,2,FALSE))</f>
        <v/>
      </c>
      <c r="G122" s="192" t="str">
        <f>O122</f>
        <v/>
      </c>
      <c r="H122" s="192">
        <v>3</v>
      </c>
      <c r="I122" s="128" t="str">
        <f>IF(K122="","",IF(ISNUMBER(Sorteo!$A$17),VLOOKUP(K122,Draw,2,FALSE),""))</f>
        <v/>
      </c>
      <c r="J122" s="129" t="str">
        <f>O122</f>
        <v/>
      </c>
      <c r="K122" s="136" t="str">
        <f>IF($K$9="","",IF(Group_players=4,IF(Tablas!BK$5="","",Tablas!BK$5),IF(Group_players=3,IF(Tablas!BK$13="","",Tablas!BK$13),"")))</f>
        <v/>
      </c>
      <c r="L122" s="137" t="str">
        <f>IF(K122="","",VLOOKUP(I122,Siembra,3,FALSE))</f>
        <v/>
      </c>
      <c r="M122" s="132" t="str">
        <f>IF(AND(L132="",L131=""),"",IF(I122="","",SUMIFS(E131:E149,I131:I149,I122)))</f>
        <v/>
      </c>
      <c r="N122" s="138" t="str">
        <f>IF(M122="","",IF(I122="","",SUMIFS(F131:F147,I131:I147,I122)))</f>
        <v/>
      </c>
      <c r="O122" s="132" t="str">
        <f>IF(M122="","",IF(COUNTBLANK(I120:I123)=1,IF(M122=2,1,IF(M122=0,3,IF(AND(M122=1,M122&lt;&gt;M120),2,IF(COUNTIF(M120:M123,1)&gt;1,Z122)))),IF(COUNTBLANK(I120:I123)=0,IF(COUNTIF(M120:M123,M122)=1,IF(M122=3,1,IF(M122=2,2,IF(M122=1,3,IF(M122=0,4)))),IF(Group_players=3,Z122,IF(COUNTIF(M120:M123,M122)=2,AB122,IF(AND(M122=M120,M120=M121),AB126,IF(AND(M122=M120,M120=M123),AB128,IF(AND(M122=M121,M121=M123),AB134,"")))))))))</f>
        <v/>
      </c>
      <c r="P122" s="133" t="str">
        <f>IF(COUNT(U119:X130)=3,IF(ISNUMBER(U121),U121,IF(ISNUMBER(V121),V121,IF(ISNUMBER(X121),X121,IF(W121="","")))),IF(COUNT(U119:X130)=6,IF(ISNUMBER(U129),U129,IF(ISNUMBER(V129),V129,IF(ISNUMBER(X129),X129,""))),""))</f>
        <v/>
      </c>
      <c r="Q122" s="138" t="str">
        <f>IF(M122="","",SUMIF(I131:S147,I122,S131:S147))</f>
        <v/>
      </c>
      <c r="R122" s="139" t="str">
        <f>IF(M122="","",L122+Q122)</f>
        <v/>
      </c>
      <c r="S122" s="203"/>
      <c r="T122" s="208">
        <v>4</v>
      </c>
      <c r="U122" s="223"/>
      <c r="V122" s="140" t="str">
        <f>IF(AND(COUNTBLANK(I120:I123)=0,M123=M120,M120=M122),(Q137+Q146)/(Q138+Q147),"")</f>
        <v/>
      </c>
      <c r="W122" s="224" t="str">
        <f>IF(AND(COUNTBLANK(I120:I123)=0,M123=M120,M120=M121),(Q137+Q134)/(Q138+Q135),"")</f>
        <v/>
      </c>
      <c r="X122" s="225" t="str">
        <f>IF(AND(COUNTBLANK(I120:I123)=0,M123=M121,M121=M122),(Q134+Q146)/(Q135+Q147),"")</f>
        <v/>
      </c>
      <c r="Y122" s="226">
        <v>3</v>
      </c>
      <c r="Z122" s="227" t="str">
        <f>IF(U121="","",IF(OR(Group_players=3,AND(Group_players=4,COUNTBLANK(I120:I123)=1)),IF(COUNTIF(M120:M122,M122)=1,"",IF(AND(U121=U119,U121=U120),Z126,IF(AND(U121&lt;&gt;U120,U120&lt;&gt;U119,U121&lt;&gt;U119),(IF(SMALL(U119:U121,1)=U121,1,IF(SMALL(U119:U121,2)=U121,2,IF(SMALL(U119:U121,3)=U121,3)))),IF(AND(U121&lt;U120,U120=U119),1,IF(AND(U121&gt;U120,U120=U119),3,IF(AND(U121=U120,U121&lt;U119),(IF(Q135=3,1,2)),IF(AND(U121=U120,U121&gt;U119),(IF(Q135=3,2,3)),IF(AND(U121=U119,U121&lt;U120),(IF(Q132=3,1,2)),IF(AND(U121=U119,U121&gt;U120),(IF(Q132=3,2,3)),99))))))))),""))</f>
        <v/>
      </c>
      <c r="AA122" s="221">
        <v>3</v>
      </c>
      <c r="AB122" s="222" t="str">
        <f>IF(COUNTIF(M120:M123,M122)&lt;&gt;2,"",IF(COUNTIF(M120:M123,M122)=1,"",IF(AND(COUNTIF(M120:M123,M122)=2,M122=2),IF(M122=M120,IF(Q132=3,1,2),IF(M122=M121,IF(Q141=3,1,2),IF(M122=M123,IF(Q146=3,1,2)))),IF(AND(COUNTIF(M120:M123,M122)=2,M122=1),IF(M122=M120,IF(Q132=3,3,4),IF(M122=M121,IF(Q141=3,3,4),IF(M122=M123,IF(Q146=3,3,4)))),AB126))))</f>
        <v/>
      </c>
      <c r="AC122" s="192"/>
      <c r="AD122" s="192"/>
      <c r="AE122" s="192"/>
      <c r="AF122" s="203">
        <f t="shared" si="21"/>
        <v>112</v>
      </c>
      <c r="AG122" s="203" t="str">
        <f t="shared" si="17"/>
        <v/>
      </c>
      <c r="AH122" s="192" t="str">
        <f t="shared" si="18"/>
        <v/>
      </c>
      <c r="AI122" s="229" t="str">
        <f t="shared" si="19"/>
        <v>Bye</v>
      </c>
      <c r="AJ122" s="203"/>
      <c r="AK122" s="203">
        <f t="shared" si="20"/>
        <v>0</v>
      </c>
      <c r="AL122" s="229">
        <f t="shared" si="16"/>
        <v>0</v>
      </c>
      <c r="AM122" s="203"/>
      <c r="AN122" s="192"/>
      <c r="AO122" s="192"/>
      <c r="AP122" s="192"/>
      <c r="AQ122" s="192"/>
      <c r="AR122" s="192"/>
      <c r="AS122" s="192"/>
      <c r="AT122" s="192" t="s">
        <v>9784</v>
      </c>
      <c r="AU122" s="192">
        <f t="shared" ref="AU122:AU162" si="22">AU121+1</f>
        <v>3</v>
      </c>
      <c r="AV122" s="192"/>
      <c r="AW122" s="192"/>
      <c r="AX122" s="192"/>
    </row>
    <row r="123" spans="2:50" ht="15" customHeight="1" thickTop="1" thickBot="1" x14ac:dyDescent="0.35">
      <c r="B123" s="192"/>
      <c r="C123" s="192"/>
      <c r="D123" s="192"/>
      <c r="E123" s="192"/>
      <c r="F123" s="192" t="str">
        <f>IF(I123="","",VLOOKUP(I123,Siembra,2,FALSE))</f>
        <v/>
      </c>
      <c r="G123" s="192" t="str">
        <f>O123</f>
        <v/>
      </c>
      <c r="H123" s="192">
        <v>4</v>
      </c>
      <c r="I123" s="141" t="str">
        <f>IF(K123="","",IF(ISNUMBER(Sorteo!$A$17),VLOOKUP(K123,Draw,2,FALSE),""))</f>
        <v/>
      </c>
      <c r="J123" s="142" t="str">
        <f>O123</f>
        <v/>
      </c>
      <c r="K123" s="143" t="str">
        <f>IF($K$9="","",IF(Group_players=4,IF(Tablas!BK$6="","",Tablas!BK$6),""))</f>
        <v/>
      </c>
      <c r="L123" s="144" t="str">
        <f>IF(K123="","",VLOOKUP(I123,Siembra,3,FALSE))</f>
        <v/>
      </c>
      <c r="M123" s="145" t="str">
        <f>IF(AND(Q134="",Q135=""),"",IF(I123="","",SUMIFS(E131:E150,I131:I150,I123)))</f>
        <v/>
      </c>
      <c r="N123" s="145" t="str">
        <f>IF(M123="","",IF(I123="","",SUMIFS(F131:F147,I131:I147,I123)))</f>
        <v/>
      </c>
      <c r="O123" s="145" t="str">
        <f>IF(M123="","",IF(COUNTIF(M120:M123,M123)=1,IF(M123=3,1,IF(M123=2,2,IF(M123=1,3,IF(M123=0,4)))),IF(COUNTIF(M120:M123,M123)=2,AB123,IF(AND(M123=M120,M120=M122),AB129,IF(AND(M123=M120,M120=M121),AB132,IF(AND(M123=M121,M121=M122),AB135,""))))))</f>
        <v/>
      </c>
      <c r="P123" s="146" t="str">
        <f>IF(COUNT(U119:X130)=3,IF(ISNUMBER(V122),V122,IF(ISNUMBER(W122),W122,IF(ISNUMBER(X122),X122,IF(X122="","")))),IF(COUNT(U119:X130)=6,IF(ISNUMBER(V130),V130,IF(ISNUMBER(W130),W130,IF(ISNUMBER(X130),X130,""))),""))</f>
        <v/>
      </c>
      <c r="Q123" s="145" t="str">
        <f>IF(M123="","",SUMIF(I131:S147,I123,S131:$S147))</f>
        <v/>
      </c>
      <c r="R123" s="147" t="str">
        <f>IF(M123="","",L123+Q123)</f>
        <v/>
      </c>
      <c r="S123" s="203"/>
      <c r="T123" s="192"/>
      <c r="U123" s="192"/>
      <c r="V123" s="192"/>
      <c r="W123" s="192"/>
      <c r="X123" s="192"/>
      <c r="Y123" s="230" t="s">
        <v>93</v>
      </c>
      <c r="Z123" s="231" t="s">
        <v>110</v>
      </c>
      <c r="AA123" s="232">
        <v>4</v>
      </c>
      <c r="AB123" s="233" t="str">
        <f>IF(COUNTIF(M120:M123,M123)&lt;&gt;2,"",IF(COUNTIF(M120:M123,M123)=1,"",IF(AND(COUNTIF(M120:M123,M123)=2,M123=2),IF(M123=M120,IF(Q138=3,1,2),IF(M123=M121,IF(Q135=3,1,2),IF(M123=M122,IF(Q147=3,1,2)))),IF(AND(COUNTIF(M120:M123,M123)=2,M123=1),IF(M123=M120,IF(Q138=3,3,4),IF(M123=M121,IF(Q135=3,3,4),IF(M123=M122,IF(Q147=3,3,4)))),AB129))))</f>
        <v/>
      </c>
      <c r="AC123" s="192"/>
      <c r="AD123" s="192"/>
      <c r="AE123" s="192"/>
      <c r="AF123" s="203">
        <f t="shared" si="21"/>
        <v>113</v>
      </c>
      <c r="AG123" s="203" t="str">
        <f t="shared" si="17"/>
        <v/>
      </c>
      <c r="AH123" s="192" t="str">
        <f t="shared" si="18"/>
        <v/>
      </c>
      <c r="AI123" s="229" t="str">
        <f t="shared" si="19"/>
        <v>Bye</v>
      </c>
      <c r="AJ123" s="203"/>
      <c r="AK123" s="203">
        <f t="shared" si="20"/>
        <v>0</v>
      </c>
      <c r="AL123" s="229">
        <f t="shared" si="16"/>
        <v>0</v>
      </c>
      <c r="AM123" s="203"/>
      <c r="AN123" s="192"/>
      <c r="AO123" s="192"/>
      <c r="AP123" s="192"/>
      <c r="AQ123" s="192"/>
      <c r="AR123" s="192"/>
      <c r="AS123" s="192"/>
      <c r="AT123" s="192" t="s">
        <v>9785</v>
      </c>
      <c r="AU123" s="192">
        <f t="shared" si="22"/>
        <v>4</v>
      </c>
      <c r="AV123" s="192"/>
      <c r="AW123" s="192"/>
      <c r="AX123" s="192"/>
    </row>
    <row r="124" spans="2:50" ht="15" customHeight="1" thickTop="1" x14ac:dyDescent="0.3">
      <c r="B124" s="192"/>
      <c r="C124" s="192"/>
      <c r="D124" s="192"/>
      <c r="E124" s="192"/>
      <c r="F124" s="192"/>
      <c r="G124" s="192"/>
      <c r="H124" s="192"/>
      <c r="I124" s="192"/>
      <c r="J124" s="192"/>
      <c r="K124" s="192"/>
      <c r="L124" s="192"/>
      <c r="M124" s="192"/>
      <c r="N124" s="192"/>
      <c r="O124" s="192"/>
      <c r="P124" s="192"/>
      <c r="Q124" s="192"/>
      <c r="R124" s="192"/>
      <c r="S124" s="192"/>
      <c r="T124" s="208"/>
      <c r="U124" s="192"/>
      <c r="V124" s="148"/>
      <c r="W124" s="148"/>
      <c r="X124" s="234"/>
      <c r="Y124" s="214">
        <v>1</v>
      </c>
      <c r="Z124" s="215" t="str">
        <f>IF(U127="","",IF(OR(Group_players=3,AND(Group_players=4,COUNTBLANK(I120:I123)=1)),IF(COUNTIF(M120:M122,M120)=1,"",IF(COUNTIF(U119:U121,U119)=3,IF(AND(U127=U128,U128=U129),"Tied",IF(AND(U127&lt;&gt;U128,U127&lt;&gt;U129,U128&lt;&gt;U129),(IF(SMALL(U127:U129,1)=U127,1,IF(SMALL(U127:U129,2)=U127,2,IF(SMALL(U127:U129,3)=U127,3)))),IF(AND(U127&lt;U128,U128=U129),1,IF(AND(U127&gt;U128,U128=U129),3,IF(AND(U127=U128,U127&lt;U129),(IF(Q137=3,1,2)),IF(AND(U127=U128,U127&gt;U129),(IF(Q137=3,2,3)),IF(AND(U127=U129,U127&lt;U128),(IF(Q131=3,1,2)),IF(AND(U127=U129,U127&gt;U128),(IF(Q131=3,2,3)),99)))))))),"")),""))</f>
        <v/>
      </c>
      <c r="AA124" s="208">
        <v>1</v>
      </c>
      <c r="AB124" s="222" t="str">
        <f>IF(AND(COUNTBLANK(I120:I123)=0,Group_players=4,M120=M121,M121=M122),IF(COUNTIF(U119:U122,U119)=3,AB137,IF(AND(COUNTIF(U119:U122,U119)=1,U120&lt;&gt;U121),IF(M120=2,IF(SMALL(U119:U122,1)=U119,1,IF(SMALL(U119:U122,2)=U119,2,IF(SMALL(U119:U122,3)=U119,3))),IF(M120=1,IF(SMALL(U119:U122,1)=U119,2,IF(SMALL(U119:U122,2)=U119,3,IF(SMALL(U119:U122,3)=U119,4))),"")),IF(COUNTIF(U119:U122,U119)=1,IF(U119&lt;U120,IF(M120=2,1,2),IF(M120=2,3,4)),IF(COUNTIF(U119:U122,U119)=2,IF(U119=U120,IF(U119&lt;U121,IF(M120=2,IF(Q143=3,1,2),IF(M120=1,IF(Q143=3,2,3))),IF(U119&gt;U121,IF(M120=2,IF(Q143=3,2,3),IF(M120=1,IF(Q143=3,3,4))))),IF(U119=U121,IF(U119&lt;U120,IF(M120=2,IF(Q131=3,1,2),IF(M120=1,IF(Q131=3,2,3))),IF(U119&gt;U120,IF(M120=2,IF(Q131=3,2,3),IF(M120=1,IF(Q131=3,3,4))))))),"")))),"")</f>
        <v/>
      </c>
      <c r="AC124" s="192"/>
      <c r="AD124" s="192"/>
      <c r="AE124" s="269"/>
      <c r="AF124" s="203">
        <f t="shared" si="21"/>
        <v>114</v>
      </c>
      <c r="AG124" s="203" t="str">
        <f t="shared" si="17"/>
        <v/>
      </c>
      <c r="AH124" s="192" t="str">
        <f t="shared" si="18"/>
        <v/>
      </c>
      <c r="AI124" s="229" t="str">
        <f t="shared" si="19"/>
        <v>Bye</v>
      </c>
      <c r="AJ124" s="203"/>
      <c r="AK124" s="203">
        <f t="shared" si="20"/>
        <v>0</v>
      </c>
      <c r="AL124" s="229">
        <f t="shared" si="16"/>
        <v>0</v>
      </c>
      <c r="AM124" s="203"/>
      <c r="AN124" s="192"/>
      <c r="AO124" s="192"/>
      <c r="AP124" s="192"/>
      <c r="AQ124" s="192"/>
      <c r="AR124" s="192"/>
      <c r="AS124" s="192"/>
      <c r="AT124" s="192" t="s">
        <v>9786</v>
      </c>
      <c r="AU124" s="192">
        <f t="shared" si="22"/>
        <v>5</v>
      </c>
      <c r="AV124" s="192"/>
      <c r="AW124" s="192"/>
      <c r="AX124" s="192"/>
    </row>
    <row r="125" spans="2:50" ht="15" customHeight="1" thickBot="1" x14ac:dyDescent="0.35">
      <c r="B125" s="192"/>
      <c r="C125" s="192"/>
      <c r="D125" s="192"/>
      <c r="E125" s="192"/>
      <c r="F125" s="192"/>
      <c r="G125" s="192"/>
      <c r="H125" s="192"/>
      <c r="I125" s="269"/>
      <c r="J125" s="269"/>
      <c r="K125" s="192"/>
      <c r="L125" s="192"/>
      <c r="M125" s="192"/>
      <c r="N125" s="192"/>
      <c r="O125" s="192"/>
      <c r="P125" s="192"/>
      <c r="Q125" s="229"/>
      <c r="R125" s="192"/>
      <c r="S125" s="192"/>
      <c r="T125" s="208"/>
      <c r="U125" s="368" t="s">
        <v>111</v>
      </c>
      <c r="V125" s="369"/>
      <c r="W125" s="369"/>
      <c r="X125" s="369"/>
      <c r="Y125" s="236">
        <v>2</v>
      </c>
      <c r="Z125" s="220" t="str">
        <f>IF(U120="","",IF(OR(Group_players=3,AND(Group_players=4,COUNTBLANK(I120:I123)=1)),IF(COUNTIF(M120:M122,M121)=1,"",IF(COUNTIF(U119:U121,U120)=3,IF(AND(U128=U127,U128=U129),"Tied",IF(AND(U128&lt;&gt;U127,U128&lt;&gt;U129,U127&lt;&gt;U129),(IF(SMALL(U127:U129,1)=U128,1,IF(SMALL(U127:U129,2)=U128,2,IF(SMALL(U127:U129,3)=U128,3)))),IF(AND(U128&lt;U127,U127=U129),1,IF(AND(U128&gt;U127,U127=U129),3,IF(AND(U128=U127,U128&lt;U129),(IF(Q138=3,1,2)),IF(AND(U128=U127,U128&gt;U129),(IF(Q138=3,2,3)),IF(AND(U128=U129,U128&lt;U127),(IF(Q134=3,1,2)),IF(AND(U128=U129,U128&gt;U127),(IF(Q134=3,2,3)),99)))))))),"")),""))</f>
        <v/>
      </c>
      <c r="AA125" s="208">
        <v>2</v>
      </c>
      <c r="AB125" s="222" t="str">
        <f>IF(AND(COUNTBLANK(I120:I123)=0,Group_players=4,M120=M121,M121=M122),IF(COUNTIF(U119:U122,U120)=3,AB138,IF(AND(COUNTIF(U119:U122,U120)=1,U119&lt;&gt;U121),IF(M121=2,IF(SMALL(U119:U122,1)=U120,1,IF(SMALL(U119:U122,2)=U120,2,IF(SMALL(U119:U122,3)=U120,3))),IF(M121=1,IF(SMALL(U119:U122,1)=U120,2,IF(SMALL(U119:U122,2)=U120,3,IF(SMALL(U119:U122,3)=U120,4))),"")),IF(COUNTIF(U119:U121,U120)=1,IF(U120&lt;U119,IF(M121=2,1,2),IF(M121=2,3,99)),IF(COUNTIF(U119:U122,U120)=2,IF(U120=U119,IF(U120&lt;U121,IF(M121=2,IF(Q144=3,1,2),IF(M121=1,IF(Q144=3,2,3))),IF(U120&gt;U121,IF(M121=2,IF(Q144=3,2,3),IF(M121=1,IF(Q144=3,3,4))))),IF(U120=U121,IF(U120&lt;U119,IF(M121=2,IF(Q140=3,1,2),IF(M121=1,IF(Q140=3,2,3))),IF(U120&gt;U119,IF(M121=2,IF(Q140=3,2,3),IF(M121=1,IF(Q140=3,3,4))))))),"")))),"")</f>
        <v/>
      </c>
      <c r="AC125" s="192"/>
      <c r="AD125" s="192"/>
      <c r="AE125" s="192"/>
      <c r="AF125" s="203">
        <f t="shared" si="21"/>
        <v>115</v>
      </c>
      <c r="AG125" s="203" t="str">
        <f t="shared" si="17"/>
        <v/>
      </c>
      <c r="AH125" s="192" t="str">
        <f t="shared" si="18"/>
        <v/>
      </c>
      <c r="AI125" s="229" t="str">
        <f t="shared" si="19"/>
        <v>Bye</v>
      </c>
      <c r="AJ125" s="203"/>
      <c r="AK125" s="203">
        <f t="shared" si="20"/>
        <v>0</v>
      </c>
      <c r="AL125" s="229">
        <f t="shared" si="16"/>
        <v>0</v>
      </c>
      <c r="AM125" s="203"/>
      <c r="AN125" s="192"/>
      <c r="AO125" s="192"/>
      <c r="AP125" s="192"/>
      <c r="AQ125" s="192"/>
      <c r="AR125" s="192"/>
      <c r="AS125" s="192"/>
      <c r="AT125" s="192" t="s">
        <v>9787</v>
      </c>
      <c r="AU125" s="192">
        <f t="shared" si="22"/>
        <v>6</v>
      </c>
      <c r="AV125" s="192"/>
      <c r="AW125" s="192"/>
      <c r="AX125" s="192"/>
    </row>
    <row r="126" spans="2:50" ht="15" customHeight="1" thickTop="1" thickBot="1" x14ac:dyDescent="0.35">
      <c r="B126" s="192"/>
      <c r="C126" s="192"/>
      <c r="D126" s="192"/>
      <c r="E126" s="192"/>
      <c r="F126" s="192"/>
      <c r="G126" s="192"/>
      <c r="H126" s="192"/>
      <c r="I126" s="192"/>
      <c r="J126" s="192"/>
      <c r="K126" s="192"/>
      <c r="L126" s="192"/>
      <c r="M126" s="192"/>
      <c r="N126" s="192"/>
      <c r="O126" s="192"/>
      <c r="P126" s="192"/>
      <c r="Q126" s="229"/>
      <c r="R126" s="192"/>
      <c r="S126" s="192"/>
      <c r="T126" s="120"/>
      <c r="U126" s="121" t="s">
        <v>101</v>
      </c>
      <c r="V126" s="122" t="s">
        <v>102</v>
      </c>
      <c r="W126" s="122" t="s">
        <v>103</v>
      </c>
      <c r="X126" s="123" t="s">
        <v>104</v>
      </c>
      <c r="Y126" s="238">
        <v>3</v>
      </c>
      <c r="Z126" s="239" t="str">
        <f>IF(U121="","",IF(OR(Group_players=3,AND(Group_players=4,COUNTBLANK(I120:I123)=1)),IF(COUNTIF(M120:M122,M122)=1,"",IF(COUNTIF(U119:U121,U121)=3,IF(AND(U129=U127,U129=U128),"Tied",IF(AND(U129&lt;&gt;U128,U128&lt;&gt;U127,U129&lt;&gt;U127),(IF(SMALL(U127:U129,1)=U129,1,IF(SMALL(U127:U129,2)=U129,2,IF(SMALL(U127:U129,3)=U129,3)))),IF(AND(U129&lt;U128,U128=U127),1,IF(AND(U129&gt;U128,U128=U127),3,IF(AND(U129=U128,U129&lt;U127),(IF(Q135=3,1,2)),IF(AND(U129=U128,U129&gt;U127),(IF(Q135=3,2,3)),IF(AND(U129=U127,U129&lt;U128),(IF(Q132=3,1,2)),IF(AND(U129=U127,U129&gt;U128),(IF(Q132=3,2,3)),99)))))))),"")),""))</f>
        <v/>
      </c>
      <c r="AA126" s="240">
        <v>3</v>
      </c>
      <c r="AB126" s="241" t="str">
        <f>IF(AND(COUNTBLANK(I120:I123)=0,Group_players=4,M120=M121,M121=M122),IF(COUNTIF(U119:U122,U121)=3,AB139,IF(AND(COUNTIF(U119:U122,U121)=1,U119&lt;&gt;U120),IF(M120=2,IF(SMALL(U119:U122,1)=U121,1,IF(SMALL(U119:U122,2)=U121,2,IF(SMALL(U119:U122,3)=U121,3))),IF(M122=1,IF(SMALL(U119:U122,1)=U121,2,IF(SMALL(U119:U122,2)=U121,3,IF(SMALL(U119:U122,3)=U121,4))),"")),IF(COUNTIF(U119:U122,U121)=1,IF(U121&lt;U120,IF(M122=2,1,2),IF(M122=2,3,4)),IF(COUNTIF(U119:U122,U121)=2,IF(U121=U120,IF(U121&lt;U119,IF(M122=2,IF(Q141=3,1,2),IF(M122=1,IF(Q141=3,2,3))),IF(U121&gt;U119,IF(M122=2,IF(Q141=3,2,3),IF(M122=1,IF(Q141=3,3,4))))),IF(U121=U119,IF(U121&lt;U120,IF(M122=2,IF(Q132=3,1,2),IF(M122=1,IF(Q132=3,2,3))),IF(U121&gt;U120,IF(M122=2,IF(Q132=3,2,3),IF(M122=1,IF(Q132=3,3,4))))))),"")))),"")</f>
        <v/>
      </c>
      <c r="AC126" s="192"/>
      <c r="AD126" s="192"/>
      <c r="AE126" s="192"/>
      <c r="AF126" s="203">
        <f t="shared" si="21"/>
        <v>116</v>
      </c>
      <c r="AG126" s="203" t="str">
        <f t="shared" si="17"/>
        <v/>
      </c>
      <c r="AH126" s="192" t="str">
        <f t="shared" si="18"/>
        <v/>
      </c>
      <c r="AI126" s="229" t="str">
        <f t="shared" si="19"/>
        <v>Bye</v>
      </c>
      <c r="AJ126" s="203"/>
      <c r="AK126" s="203">
        <f t="shared" si="20"/>
        <v>0</v>
      </c>
      <c r="AL126" s="229">
        <f t="shared" si="16"/>
        <v>0</v>
      </c>
      <c r="AM126" s="203"/>
      <c r="AN126" s="192"/>
      <c r="AO126" s="192"/>
      <c r="AP126" s="192"/>
      <c r="AQ126" s="192"/>
      <c r="AR126" s="192"/>
      <c r="AS126" s="192"/>
      <c r="AT126" s="192" t="s">
        <v>9788</v>
      </c>
      <c r="AU126" s="192">
        <f t="shared" si="22"/>
        <v>7</v>
      </c>
      <c r="AV126" s="192"/>
      <c r="AW126" s="192"/>
      <c r="AX126" s="192"/>
    </row>
    <row r="127" spans="2:50" ht="15" customHeight="1" thickTop="1" thickBot="1" x14ac:dyDescent="0.35">
      <c r="B127" s="192"/>
      <c r="C127" s="192"/>
      <c r="D127" s="192"/>
      <c r="E127" s="192"/>
      <c r="F127" s="192"/>
      <c r="G127" s="192"/>
      <c r="H127" s="192"/>
      <c r="I127" s="192"/>
      <c r="J127" s="192"/>
      <c r="K127" s="192"/>
      <c r="L127" s="192"/>
      <c r="M127" s="192"/>
      <c r="N127" s="192"/>
      <c r="O127" s="192"/>
      <c r="P127" s="192"/>
      <c r="Q127" s="229"/>
      <c r="R127" s="192"/>
      <c r="S127" s="192"/>
      <c r="T127" s="208">
        <v>1</v>
      </c>
      <c r="U127" s="209" t="str">
        <f>IF(U119="","",IF(OR(U119&lt;&gt;U120,U119&lt;&gt;U121),"",IF(COUNTIF(M120:M122,M120)=1,"",IF(COUNTBLANK(I120:I123)=1,(SUM(L132:P132)+SUM(L138:P138))/(SUM(L131:P131)+SUM(L137:P137)),IF(COUNTBLANK(I120:I123)=0,(SUM(L144:P144)+SUM(L132:P132))/(SUM(L143:P143)+SUM(L131:P131)),"")))))</f>
        <v/>
      </c>
      <c r="V127" s="125" t="str">
        <f>IF(V119="","",IF(OR(V119&lt;&gt;V121,V119&lt;&gt;V122),"",IF(AND(COUNTBLANK(I120:I123)=0,M120=M122,M122=M123),(SUM(L132:P132)+SUM(L138:P138))/(SUM(L131:P131)+SUM(L137:P137)),"")))</f>
        <v/>
      </c>
      <c r="W127" s="210" t="str">
        <f>IF(W119="","",IF(OR(W119&lt;&gt;W120,W119&lt;&gt;W122),"",IF(AND(COUNTBLANK(I120:I123)=0,M120=M121,M121=M123),(SUM(L144:P144)+SUM(L138:P138))/(SUM(L143:P143)+SUM(L137:P137)),"")))</f>
        <v/>
      </c>
      <c r="X127" s="211"/>
      <c r="Y127" s="242"/>
      <c r="Z127" s="242"/>
      <c r="AA127" s="243">
        <v>1</v>
      </c>
      <c r="AB127" s="244" t="str">
        <f>IF(AND(COUNTBLANK(I120:I123)=0,Group_players=4,M120=M122,M122=M123),IF(COUNTIF(V119:V122,V119)=3,AB140,IF(AND(COUNTIF(V119:V122,V119)=1,V121&lt;&gt;U130),IF(M120=2,IF(SMALL(V119:V122,1)=V119,1,IF(SMALL(V119:V122,2)=V119,2,IF(SMALL(V119:V122,3)=V119,3))),IF(M120=1,IF(SMALL(V119:V122,1)=V119,2,IF(SMALL(V119:V122,2)=V119,3,IF(SMALL(V119:V122,3)=V119,4))),"")),IF(COUNTIF(V119:V122,V119)=1,IF(V119&lt;V121,IF(M120=2,1,2),IF(M120=2,3,4)),IF(COUNTIF(V119:V122,V119)=2,IF(V119=V121,IF(V119&lt;V122,IF(M120=2,IF(Q131=3,1,2),IF(M120=1,IF(Q131=3,2,3))),IF(V119&gt;V122,IF(M120=2,IF(Q131=3,2,3),IF(M120=1,IF(Q131=3,3,4))))),IF(V119=V122,IF(V119&lt;V121,IF(M120=2,IF(Q137=3,1,2),IF(M120=1,IF(Q137=3,2,3))),IF(V119&gt;V120,IF(M120=2,IF(Q137=3,2,3),IF(M120=1,IF(Q137=3,3,4))))))),"")))),"")</f>
        <v/>
      </c>
      <c r="AC127" s="192"/>
      <c r="AD127" s="192"/>
      <c r="AE127" s="192"/>
      <c r="AF127" s="203">
        <f t="shared" si="21"/>
        <v>117</v>
      </c>
      <c r="AG127" s="203" t="str">
        <f t="shared" si="17"/>
        <v/>
      </c>
      <c r="AH127" s="192" t="str">
        <f t="shared" si="18"/>
        <v/>
      </c>
      <c r="AI127" s="229" t="str">
        <f t="shared" si="19"/>
        <v>Bye</v>
      </c>
      <c r="AJ127" s="203"/>
      <c r="AK127" s="203">
        <f t="shared" si="20"/>
        <v>0</v>
      </c>
      <c r="AL127" s="229">
        <f t="shared" si="16"/>
        <v>0</v>
      </c>
      <c r="AM127" s="203"/>
      <c r="AN127" s="192"/>
      <c r="AO127" s="192"/>
      <c r="AP127" s="192"/>
      <c r="AQ127" s="192"/>
      <c r="AR127" s="192"/>
      <c r="AS127" s="192"/>
      <c r="AT127" s="192" t="s">
        <v>9789</v>
      </c>
      <c r="AU127" s="192">
        <f t="shared" si="22"/>
        <v>8</v>
      </c>
      <c r="AV127" s="192"/>
      <c r="AW127" s="192"/>
      <c r="AX127" s="192"/>
    </row>
    <row r="128" spans="2:50" ht="15" customHeight="1" thickTop="1" thickBot="1" x14ac:dyDescent="0.35">
      <c r="B128" s="192"/>
      <c r="C128" s="192"/>
      <c r="D128" s="192"/>
      <c r="E128" s="117"/>
      <c r="F128" s="117"/>
      <c r="G128" s="117"/>
      <c r="H128" s="192"/>
      <c r="I128" s="192"/>
      <c r="J128" s="192"/>
      <c r="K128" s="192"/>
      <c r="L128" s="192"/>
      <c r="M128" s="192"/>
      <c r="N128" s="192"/>
      <c r="O128" s="192"/>
      <c r="P128" s="192"/>
      <c r="Q128" s="229"/>
      <c r="R128" s="192"/>
      <c r="S128" s="394" t="s">
        <v>112</v>
      </c>
      <c r="T128" s="208">
        <v>2</v>
      </c>
      <c r="U128" s="209" t="str">
        <f>IF(U119="","",IF(OR(U120&lt;&gt;U119,U120&lt;&gt;U121),"",IF(COUNTIF(M120:M122,M121)=1,"",IF(COUNTBLANK(I120:I123)=1,(SUM(L135:P135)+SUM(L137:P137))/(SUM(L134:P134)+SUM(L138:P138)),IF(COUNTBLANK(I120:I123)=0,(SUM(L143:P143)+SUM(L141:P141))/(SUM(L144:P144)+SUM(L140:P140)))))))</f>
        <v/>
      </c>
      <c r="V128" s="135"/>
      <c r="W128" s="212" t="str">
        <f>IF(W119="","",IF(OR(W120&lt;&gt;W119,W120&lt;&gt;W122),"",IF(AND(COUNTBLANK(I120:I123)=0,M120=M121,M121=M123),(SUM(L135:P135)+SUM(L143:P143))/(SUM(L144:P144)+SUM(L134:P134)),"")))</f>
        <v/>
      </c>
      <c r="X128" s="245" t="str">
        <f>IF(X120="","",IF(OR(X120&lt;&gt;X121,X120&lt;&gt;X122),"",IF(AND(COUNTBLANK(I120:I123)=0,M121=M122,M122=M123),(SUM(L141:P141)+SUM(L135:P135))/(SUM(L140:P140)+SUM(L134:P134)),"")))</f>
        <v/>
      </c>
      <c r="Y128" s="242"/>
      <c r="Z128" s="203"/>
      <c r="AA128" s="246">
        <v>3</v>
      </c>
      <c r="AB128" s="222" t="str">
        <f>IF(AND(COUNTBLANK(I120:I123)=0,Group_players=4,M120=M122,M122=M123),IF(COUNTIF(V119:V122,V121)=3,AB141,IF(AND(COUNTIF(V119:V122,V121)=1,V119&lt;&gt;V122),IF(M122=2,IF(SMALL(V119:V122,1)=V121,1,IF(SMALL(V119:V122,2)=V121,2,IF(SMALL(V119:V122,3)=V121,3))),IF(M122=1,IF(SMALL(V119:V122,1)=V121,2,IF(SMALL(V119:V122,2)=V121,3,IF(SMALL(V119:V122,3)=V121,4))),"")),IF(COUNTIF(V119:V122,V121)=1,IF(V121&lt;V119,IF(M122=2,1,2),IF(M122=2,3,4)),IF(COUNTIF(V119:V122,V121)=2,IF(V121=V119,IF(V121&lt;V122,IF(M122=2,IF(Q132=3,1,2),IF(M122=1,IF(Q132=3,2,3))),IF(V121&gt;V122,IF(M122=2,IF(Q132=3,2,3),IF(M122=1,IF(Q132=3,3,4))))),IF(V121=V122,IF(V121&lt;V119,IF(M122=2,IF(Q146=3,1,2),IF(M122=1,IF(Q146=3,2,3))),IF(V121&gt;V119,IF(M122=2,IF(Q146=3,2,3),IF(M122=1,IF(Q146=3,3,4))))))),"")))),"")</f>
        <v/>
      </c>
      <c r="AC128" s="192"/>
      <c r="AD128" s="192"/>
      <c r="AE128" s="192"/>
      <c r="AF128" s="203">
        <f t="shared" si="21"/>
        <v>118</v>
      </c>
      <c r="AG128" s="203" t="str">
        <f t="shared" si="17"/>
        <v/>
      </c>
      <c r="AH128" s="192" t="str">
        <f t="shared" si="18"/>
        <v/>
      </c>
      <c r="AI128" s="229" t="str">
        <f t="shared" si="19"/>
        <v>Bye</v>
      </c>
      <c r="AJ128" s="203"/>
      <c r="AK128" s="203">
        <f t="shared" si="20"/>
        <v>0</v>
      </c>
      <c r="AL128" s="229">
        <f t="shared" si="16"/>
        <v>0</v>
      </c>
      <c r="AM128" s="203"/>
      <c r="AN128" s="192"/>
      <c r="AO128" s="192"/>
      <c r="AP128" s="192"/>
      <c r="AQ128" s="192"/>
      <c r="AR128" s="192"/>
      <c r="AS128" s="192"/>
      <c r="AT128" s="192" t="s">
        <v>9790</v>
      </c>
      <c r="AU128" s="192">
        <f t="shared" si="22"/>
        <v>9</v>
      </c>
      <c r="AV128" s="192"/>
      <c r="AW128" s="192"/>
      <c r="AX128" s="192"/>
    </row>
    <row r="129" spans="2:50" ht="15" customHeight="1" thickTop="1" thickBot="1" x14ac:dyDescent="0.35">
      <c r="B129" s="192"/>
      <c r="C129" s="192"/>
      <c r="D129" s="192"/>
      <c r="E129" s="117"/>
      <c r="F129" s="117"/>
      <c r="G129" s="117"/>
      <c r="H129" s="192"/>
      <c r="I129" s="192"/>
      <c r="J129" s="192"/>
      <c r="K129" s="192"/>
      <c r="L129" s="192"/>
      <c r="M129" s="192"/>
      <c r="N129" s="192"/>
      <c r="O129" s="192"/>
      <c r="P129" s="192"/>
      <c r="Q129" s="192"/>
      <c r="R129" s="247"/>
      <c r="S129" s="395"/>
      <c r="T129" s="208">
        <v>3</v>
      </c>
      <c r="U129" s="209" t="str">
        <f>IF(U119="","",IF(OR(U121&lt;&gt;U119,U121&lt;&gt;U120),"",IF(COUNTIF(M120:M122,M122)=1,"",IF(COUNTBLANK(I120:I123)=1,(SUM(L131:P131)+SUM(L134:P134))/(SUM(L132:P132)+SUM(L135:P135)),IF(COUNTBLANK(I120:I123)=0,(SUM(L131:P131)+SUM(L140:P140))/(SUM(L132:P132)+SUM(L141:P141)))))))</f>
        <v/>
      </c>
      <c r="V129" s="125" t="str">
        <f>IF(V119="","",IF(OR(V121&lt;&gt;V119,V121&lt;&gt;V122),"",IF(AND(COUNTBLANK(I120:I123)=0,M120=M122,M122=M123),(SUM(L131:P131)+SUM(L147:P147))/(SUM(L132:P132)+SUM(L146:P146)),"")))</f>
        <v/>
      </c>
      <c r="W129" s="218"/>
      <c r="X129" s="245" t="str">
        <f>IF(X120="","",IF(OR(X121&lt;&gt;X120,X121&lt;&gt;X122),"",IF(AND(COUNTBLANK(I120:I123)=0,M121=M122,M122=M123),(SUM(L140:P140)+SUM(L147:P147))/(SUM(L141:P141)+SUM(L146:P146)),"")))</f>
        <v/>
      </c>
      <c r="Y129" s="208"/>
      <c r="Z129" s="203"/>
      <c r="AA129" s="240">
        <v>4</v>
      </c>
      <c r="AB129" s="222" t="str">
        <f>IF(AND(COUNTBLANK(I120:I123)=0,Group_players=4,M120=M122,M122=M123),IF(COUNTIF(V119:V122,V122)=3,AB142,IF(AND(COUNTIF(V119:V122,V122)=1,V121&lt;&gt;V119),IF(M123=2,IF(SMALL(V119:V122,1)=V122,1,IF(SMALL(V119:V122,2)=V122,2,IF(SMALL(V119:V122,3)=V122,3))),IF(M123=1,IF(SMALL(V119:V122,1)=V122,2,IF(SMALL(V119:V122,2)=V122,3,IF(SMALL(V119:V122,3)=V122,4))),"")),IF(COUNTIF(V119:V122,V122)=1,IF(V122&lt;V119,IF(M123=2,1,2),IF(M123=2,3,4)),IF(COUNTIF(V119:V122,V122)=2,IF(V122=V119,IF(V122&lt;V121,IF(M123=2,IF(Q138=3,1,2),IF(M123=1,IF(Q138=3,2,3))),IF(V122&gt;V121,IF(M123=2,IF(Q138=3,2,3),IF(M123=1,IF(Q138=3,3,4))))),IF(V122=V121,IF(V122&lt;V119,IF(M123=2,IF(Q147=3,1,2),IF(M123=1,IF(Q147=3,2,3))),IF(V122&gt;V119,IF(M123=2,IF(Q147=3,2,3),IF(M123=1,IF(Q147=3,3,4))))))),"")))),"")</f>
        <v/>
      </c>
      <c r="AC129" s="192"/>
      <c r="AD129" s="192"/>
      <c r="AE129" s="192"/>
      <c r="AF129" s="203">
        <f t="shared" si="21"/>
        <v>119</v>
      </c>
      <c r="AG129" s="203" t="str">
        <f t="shared" si="17"/>
        <v/>
      </c>
      <c r="AH129" s="192" t="str">
        <f t="shared" si="18"/>
        <v/>
      </c>
      <c r="AI129" s="229" t="str">
        <f t="shared" si="19"/>
        <v>Bye</v>
      </c>
      <c r="AJ129" s="203"/>
      <c r="AK129" s="203">
        <f t="shared" si="20"/>
        <v>0</v>
      </c>
      <c r="AL129" s="229">
        <f t="shared" si="16"/>
        <v>0</v>
      </c>
      <c r="AM129" s="203"/>
      <c r="AN129" s="192"/>
      <c r="AO129" s="192"/>
      <c r="AP129" s="192"/>
      <c r="AQ129" s="192"/>
      <c r="AR129" s="192"/>
      <c r="AS129" s="192"/>
      <c r="AT129" s="192" t="s">
        <v>9791</v>
      </c>
      <c r="AU129" s="192">
        <f t="shared" si="22"/>
        <v>10</v>
      </c>
      <c r="AV129" s="192"/>
      <c r="AW129" s="192"/>
      <c r="AX129" s="192"/>
    </row>
    <row r="130" spans="2:50" ht="15" customHeight="1" thickTop="1" thickBot="1" x14ac:dyDescent="0.35">
      <c r="B130" s="192"/>
      <c r="C130" s="192"/>
      <c r="D130" s="192"/>
      <c r="E130" s="168" t="s">
        <v>113</v>
      </c>
      <c r="F130" s="168" t="s">
        <v>114</v>
      </c>
      <c r="G130" s="117"/>
      <c r="H130" s="192"/>
      <c r="I130" s="249" t="s">
        <v>115</v>
      </c>
      <c r="J130" s="249"/>
      <c r="K130" s="249"/>
      <c r="L130" s="250" t="s">
        <v>115</v>
      </c>
      <c r="M130" s="250" t="s">
        <v>116</v>
      </c>
      <c r="N130" s="250" t="s">
        <v>117</v>
      </c>
      <c r="O130" s="250" t="s">
        <v>118</v>
      </c>
      <c r="P130" s="250" t="s">
        <v>119</v>
      </c>
      <c r="Q130" s="250" t="s">
        <v>120</v>
      </c>
      <c r="R130" s="250"/>
      <c r="S130" s="251"/>
      <c r="T130" s="208">
        <v>4</v>
      </c>
      <c r="U130" s="223"/>
      <c r="V130" s="140" t="str">
        <f>IF(V119="","",IF(OR(V122&lt;&gt;V119,V122&lt;&gt;V121),"",IF(AND(COUNTBLANK(I120:I123)=0,M120=M122,M122=M123),(SUM(L137:P137)+SUM(L146:P146))/(SUM(L138:P138)+SUM(L147:P147)),"")))</f>
        <v/>
      </c>
      <c r="W130" s="224" t="str">
        <f>IF(W119="","",IF(OR(W122&lt;&gt;W119,W122&lt;&gt;W120),"",IF(AND(COUNTBLANK(I120:I123)=0,M120=M121,M121=M123),(SUM(L137:P137)+SUM(L134:P134))/(SUM(L138:P138)+SUM(L135:P135)),"")))</f>
        <v/>
      </c>
      <c r="X130" s="252" t="str">
        <f>IF(X120="","",IF(OR(X122&lt;&gt;X120,X122&lt;&gt;X121),"",IF(AND(COUNTBLANK(I120:I123)=0,M121=M122,M122=M123),(SUM(L134:P134)+SUM(L146:P146))/(SUM(L135:P135)+SUM(L147:P147)),"")))</f>
        <v/>
      </c>
      <c r="Y130" s="192"/>
      <c r="Z130" s="203"/>
      <c r="AA130" s="243">
        <v>1</v>
      </c>
      <c r="AB130" s="151" t="str">
        <f>IF(AND(COUNTBLANK(I120:I123)=0,Group_players=4,M120=M121,M121=M123),IF(COUNTIF(W119:W122,W119)=3,AB143,IF(AND(COUNTIF(W119:W122,W119)=1,W120&lt;&gt;W122),IF(M120=2,IF(SMALL(W119:W122,1)=W119,1,IF(SMALL(W119:W122,2)=W119,2,IF(SMALL(W119:W122,3)=W119,3))),IF(M120=1,IF(SMALL(W119:W122,1)=W119,2,IF(SMALL(W119:W122,2)=W119,3,IF(SMALL(W119:W122,3)=W119,4))),"")),IF(COUNTIF(W119:W122,W119)=1,IF(W119&lt;W120,IF(M120=2,1,2),IF(M120=2,3,4)),IF(COUNTIF(W119:W122,W119)=2,IF(W119=W120,IF(W119&lt;W122,IF(M120=2,IF(Q143=3,1,2),IF(M120=1,IF(Q143=3,2,3))),IF(W119&gt;W122,IF(M120=2,IF(Q143=3,2,3),IF(M120=1,IF(Q143=3,3,4))))),IF(W119=W122,IF(W119&lt;W120,IF(M120=2,IF(Q137=3,1,2),IF(M120=1,IF(Q137=3,2,3))),IF(W119&gt;W120,IF(M120=2,IF(Q137=3,2,3),IF(M120=1,IF(Q137=3,3,4))))))),"")))),"")</f>
        <v/>
      </c>
      <c r="AC130" s="192"/>
      <c r="AD130" s="192"/>
      <c r="AE130" s="192"/>
      <c r="AF130" s="203">
        <f t="shared" si="21"/>
        <v>120</v>
      </c>
      <c r="AG130" s="203" t="str">
        <f t="shared" si="17"/>
        <v/>
      </c>
      <c r="AH130" s="192" t="str">
        <f t="shared" si="18"/>
        <v/>
      </c>
      <c r="AI130" s="229" t="str">
        <f t="shared" si="19"/>
        <v>Bye</v>
      </c>
      <c r="AJ130" s="203"/>
      <c r="AK130" s="203">
        <f t="shared" si="20"/>
        <v>0</v>
      </c>
      <c r="AL130" s="229">
        <f t="shared" si="16"/>
        <v>0</v>
      </c>
      <c r="AM130" s="203"/>
      <c r="AN130" s="192"/>
      <c r="AO130" s="192"/>
      <c r="AP130" s="192"/>
      <c r="AQ130" s="192"/>
      <c r="AR130" s="192"/>
      <c r="AS130" s="192"/>
      <c r="AT130" s="192" t="s">
        <v>9792</v>
      </c>
      <c r="AU130" s="192">
        <f t="shared" si="22"/>
        <v>11</v>
      </c>
      <c r="AV130" s="192"/>
      <c r="AW130" s="192"/>
      <c r="AX130" s="192"/>
    </row>
    <row r="131" spans="2:50" ht="15" customHeight="1" thickTop="1" x14ac:dyDescent="0.3">
      <c r="B131" s="192"/>
      <c r="C131" s="192"/>
      <c r="D131" s="192"/>
      <c r="E131" s="164" t="str">
        <f>IF(Q131="","",IF(Q131=3,1,0))</f>
        <v/>
      </c>
      <c r="F131" s="164" t="str">
        <f>IF(Q131="","",IF(Q131&lt;3,1,0))</f>
        <v/>
      </c>
      <c r="G131" s="192"/>
      <c r="H131" s="192" t="str">
        <f>IF(I120="","",1)</f>
        <v/>
      </c>
      <c r="I131" s="192" t="str">
        <f>IF(ISNUMBER(H131),VLOOKUP(H131,H120:I123,2,TRUE),"")</f>
        <v/>
      </c>
      <c r="J131" s="192"/>
      <c r="K131" s="192" t="str">
        <f>VLOOKUP(I131,I120:L123,3,FALSE)</f>
        <v/>
      </c>
      <c r="L131" s="253"/>
      <c r="M131" s="254"/>
      <c r="N131" s="254"/>
      <c r="O131" s="152"/>
      <c r="P131" s="153"/>
      <c r="Q131" s="255" t="str">
        <f>IF(L131="","",IF(AND(L131-L132&gt;1,L131&gt;10),1,0)+IF(AND(M131-M132&gt;1,M131&gt;10),1,0)+IF(AND(N131-N132&gt;1,N131&gt;10),1,0)+IF(AND(O131-O132&gt;1,O131&gt;10),1,0)+IF(AND(P131-P132&gt;1,P131&gt;10),1,0))</f>
        <v/>
      </c>
      <c r="R131" s="203" t="str">
        <f>IF(AND(I131="",I132=""),"",ABS(VLOOKUP(I131,I120:L123,4,FALSE)-VLOOKUP(I132,I120:L123,4,FALSE)))</f>
        <v/>
      </c>
      <c r="S131" s="256" t="str">
        <f>IF(R132="","",IF(Q131=3,+R132,-R132))</f>
        <v/>
      </c>
      <c r="T131" s="257"/>
      <c r="U131" s="258"/>
      <c r="V131" s="258"/>
      <c r="W131" s="258"/>
      <c r="X131" s="258"/>
      <c r="Y131" s="192"/>
      <c r="Z131" s="203"/>
      <c r="AA131" s="246">
        <v>2</v>
      </c>
      <c r="AB131" s="154" t="str">
        <f>IF(AND(COUNTBLANK(I120:I123)=0,Group_players=4,M120=M121,M121=M123),IF(COUNTIF(W119:W122,W120)=3,AB144,IF(AND(COUNTIF(W119:W122,W120)=1,W119&lt;&gt;W121),IF(M121=2,IF(SMALL(W119:W122,1)=W120,1,IF(SMALL(W119:W122,2)=W120,2,IF(SMALL(W119:W122,3)=W120,3))),IF(M121=1,IF(SMALL(W119:W122,1)=W120,2,IF(SMALL(W119:W122,2)=W120,3,IF(SMALL(W119:W122,3)=W120,4))),"")),IF(COUNTIF(W119:W122,W120)=1,IF(W120&lt;W119,IF(M121=2,1,2),IF(M121=2,3,4)),IF(COUNTIF(W119:W122,W120)=2,IF(W120=W119,IF(W120&lt;W122,IF(M121=2,IF(Q144=3,1,2),IF(M121=1,IF(Q144=3,2,3))),IF(W120&gt;W122,IF(M121=2,IF(Q144=3,2,3),IF(M121=1,IF(Q144=3,3,4))))),IF(W120=W122,IF(W120&lt;W119,IF(M121=2,IF(Q134=3,1,2),IF(M121=1,IF(Q134=3,2,3))),IF(W120&gt;W119,IF(M121=2,IF(Q134=3,2,3),IF(M121=1,IF(Q134=3,3,4))))))),"")))),"")</f>
        <v/>
      </c>
      <c r="AC131" s="192"/>
      <c r="AD131" s="192"/>
      <c r="AE131" s="192"/>
      <c r="AF131" s="203">
        <f t="shared" si="21"/>
        <v>121</v>
      </c>
      <c r="AG131" s="203" t="str">
        <f t="shared" si="17"/>
        <v/>
      </c>
      <c r="AH131" s="192" t="str">
        <f t="shared" si="18"/>
        <v/>
      </c>
      <c r="AI131" s="229" t="str">
        <f t="shared" si="19"/>
        <v>Bye</v>
      </c>
      <c r="AJ131" s="203"/>
      <c r="AK131" s="203">
        <f t="shared" si="20"/>
        <v>0</v>
      </c>
      <c r="AL131" s="229">
        <f t="shared" si="16"/>
        <v>0</v>
      </c>
      <c r="AM131" s="203"/>
      <c r="AN131" s="192"/>
      <c r="AO131" s="192"/>
      <c r="AP131" s="192"/>
      <c r="AQ131" s="192"/>
      <c r="AR131" s="192"/>
      <c r="AS131" s="192"/>
      <c r="AT131" s="192" t="s">
        <v>9793</v>
      </c>
      <c r="AU131" s="192">
        <f t="shared" si="22"/>
        <v>12</v>
      </c>
      <c r="AV131" s="192"/>
      <c r="AW131" s="192"/>
      <c r="AX131" s="192"/>
    </row>
    <row r="132" spans="2:50" ht="15" customHeight="1" thickBot="1" x14ac:dyDescent="0.35">
      <c r="B132" s="192"/>
      <c r="C132" s="192"/>
      <c r="D132" s="192"/>
      <c r="E132" s="164" t="str">
        <f>IF(Q132="","",IF(Q132=3,1,0))</f>
        <v/>
      </c>
      <c r="F132" s="164" t="str">
        <f>IF(Q132="","",IF(Q132&lt;3,1,0))</f>
        <v/>
      </c>
      <c r="G132" s="192"/>
      <c r="H132" s="192" t="str">
        <f>IF(I121="","",IF(I122="",2,3))</f>
        <v/>
      </c>
      <c r="I132" s="192" t="str">
        <f>IF(ISNUMBER(H132),VLOOKUP(H132,H120:I123,2,TRUE),"")</f>
        <v/>
      </c>
      <c r="J132" s="192"/>
      <c r="K132" s="192" t="str">
        <f>VLOOKUP(I132,I120:L123,3,FALSE)</f>
        <v/>
      </c>
      <c r="L132" s="155"/>
      <c r="M132" s="259"/>
      <c r="N132" s="259"/>
      <c r="O132" s="156"/>
      <c r="P132" s="157"/>
      <c r="Q132" s="260" t="str">
        <f>IF(L132="","",IF(AND(L132-L131&gt;1,L132&gt;10),1,0)+IF(AND(M132-M131&gt;1,M132&gt;10),1,0)+IF(AND(N132-N131&gt;1,N132&gt;10),1,0)+IF(AND(O132-O131&gt;1,O132&gt;10),1,0)+IF(AND(P132-P131&gt;1,P132&gt;10),1,0))</f>
        <v/>
      </c>
      <c r="R132" s="203" t="str">
        <f>IF(AND(Q131&lt;&gt;3,Q132&lt;&gt;3),"",IF(Q131=3,IF(VLOOKUP(I131,I120:L123,4,FALSE)&gt;VLOOKUP(I132,I120:L123,4,FALSE),VLOOKUP(R131,Point_dif,2,FALSE),VLOOKUP(R131,Point_dif,3,FALSE)),IF(Q132=3,IF(VLOOKUP(I132,I120:L123,4,FALSE)&gt;VLOOKUP(I131,I120:L123,4,FALSE),VLOOKUP(R131,Point_dif,2,FALSE),VLOOKUP(R131,Point_dif,3,FALSE)))))</f>
        <v/>
      </c>
      <c r="S132" s="256" t="str">
        <f>IF(R132="","",IF(Q132=3,+R132,-R132))</f>
        <v/>
      </c>
      <c r="T132" s="192"/>
      <c r="U132" s="235"/>
      <c r="V132" s="235"/>
      <c r="W132" s="235"/>
      <c r="X132" s="235"/>
      <c r="Y132" s="235"/>
      <c r="Z132" s="235"/>
      <c r="AA132" s="240">
        <v>4</v>
      </c>
      <c r="AB132" s="158" t="str">
        <f>IF(AND(COUNTBLANK(I120:I123)=0,Group_players=4,M120=M121,M121=M123),IF(COUNTIF(W119:W122,W122)=3,AB145,IF(AND(COUNTIF(W119:W122,W122)=1,W119&lt;&gt;W120),IF(M123=2,IF(SMALL(W119:W122,1)=W122,1,IF(SMALL(W119:W122,2)=W122,2,IF(SMALL(W119:W122,3)=W122,3))),IF(M123=1,IF(SMALL(W119:W122,1)=W122,2,IF(SMALL(W119:W122,2)=W122,3,IF(SMALL(W119:W122,3)=W122,4))),"")),IF(COUNTIF(W119:W122,W122)=1,IF(W122&lt;W119,IF(M123=2,1,2),IF(M123=2,3,4)),IF(COUNTIF(W119:W122,W122)=2,IF(W122=W119,IF(W122&lt;W120,IF(M123=2,IF(Q138=3,1,2),IF(M123=1,IF(Q138=3,2,3))),IF(W122&gt;W121,IF(M123=2,IF(Q138=3,2,3),IF(M123=1,IF(Q138=3,3,4))))),IF(W122=W120,IF(W122&lt;W119,IF(M123=2,IF(Q135=3,1,2),IF(M123=1,IF(Q135=3,2,3))),IF(W122&gt;W119,IF(M123=2,IF(Q135=3,2,3),IF(M123=1,IF(Q135=3,3,4))))))),"")))),"")</f>
        <v/>
      </c>
      <c r="AC132" s="192"/>
      <c r="AD132" s="192"/>
      <c r="AE132" s="192"/>
      <c r="AF132" s="203">
        <f t="shared" si="21"/>
        <v>122</v>
      </c>
      <c r="AG132" s="203" t="str">
        <f t="shared" si="17"/>
        <v/>
      </c>
      <c r="AH132" s="192" t="str">
        <f t="shared" si="18"/>
        <v/>
      </c>
      <c r="AI132" s="229" t="str">
        <f t="shared" si="19"/>
        <v>Bye</v>
      </c>
      <c r="AJ132" s="203"/>
      <c r="AK132" s="203">
        <f t="shared" si="20"/>
        <v>0</v>
      </c>
      <c r="AL132" s="229">
        <f t="shared" si="16"/>
        <v>0</v>
      </c>
      <c r="AM132" s="203"/>
      <c r="AN132" s="192"/>
      <c r="AO132" s="192"/>
      <c r="AP132" s="192"/>
      <c r="AQ132" s="192"/>
      <c r="AR132" s="192"/>
      <c r="AS132" s="192"/>
      <c r="AT132" s="192" t="s">
        <v>9794</v>
      </c>
      <c r="AU132" s="192">
        <f t="shared" si="22"/>
        <v>13</v>
      </c>
      <c r="AV132" s="192"/>
      <c r="AW132" s="192"/>
      <c r="AX132" s="192"/>
    </row>
    <row r="133" spans="2:50" ht="15" customHeight="1" thickTop="1" thickBot="1" x14ac:dyDescent="0.35">
      <c r="B133" s="192"/>
      <c r="C133" s="192"/>
      <c r="D133" s="192"/>
      <c r="E133" s="164"/>
      <c r="F133" s="164"/>
      <c r="G133" s="192"/>
      <c r="H133" s="192"/>
      <c r="I133" s="249" t="s">
        <v>116</v>
      </c>
      <c r="J133" s="249"/>
      <c r="K133" s="249"/>
      <c r="L133" s="250" t="s">
        <v>115</v>
      </c>
      <c r="M133" s="250" t="s">
        <v>116</v>
      </c>
      <c r="N133" s="250" t="s">
        <v>117</v>
      </c>
      <c r="O133" s="250" t="s">
        <v>118</v>
      </c>
      <c r="P133" s="250" t="s">
        <v>119</v>
      </c>
      <c r="Q133" s="250" t="s">
        <v>120</v>
      </c>
      <c r="R133" s="250"/>
      <c r="S133" s="251"/>
      <c r="T133" s="192"/>
      <c r="U133" s="235"/>
      <c r="V133" s="235"/>
      <c r="W133" s="235"/>
      <c r="X133" s="235"/>
      <c r="Y133" s="235"/>
      <c r="Z133" s="235"/>
      <c r="AA133" s="243">
        <v>2</v>
      </c>
      <c r="AB133" s="151" t="str">
        <f>IF(AND(COUNTBLANK(I120:I123)=0,Group_players=4,M121=M122,M122=M123),IF(COUNTIF(X119:X122,X120)=3,AB146,IF(AND(COUNTIF(X119:X122,X120)=1,X121&lt;&gt;X122),IF(M121=2,IF(SMALL(X119:X122,1)=X120,1,IF(SMALL(X119:X122,2)=X120,2,IF(SMALL(X119:X122,3)=X120,3))),IF(M121=1,IF(SMALL(X119:X122,1)=X120,2,IF(SMALL(X119:X122,2)=X120,3,IF(SMALL(X119:X122,3)=X120,4))),"")),IF(COUNTIF(X119:X122,X120)=1,IF(X120&lt;X122,IF(M121=2,1,2),IF(M121=1,3,3)),IF(COUNTIF(X119:X122,X120)=2,IF(X120=X121,IF(X120&lt;X122,IF(M121=2,IF(Q140=3,1,2),IF(M121=1,IF(Q140=3,2,3))),IF(X120&gt;X122,IF(M121=2,IF(Q140=3,2,3),IF(M121=1,IF(Q140=3,3,4))))),IF(X120=X122,IF(X120&lt;X121,IF(M121=2,IF(Q134=3,1,2),IF(M121=1,IF(Q134=3,2,3))),IF(X120&gt;X121,IF(M121=2,IF(Q134=3,2,3),IF(M121=1,IF(Q134=3,3,4))))))),"")))),"")</f>
        <v/>
      </c>
      <c r="AC133" s="192"/>
      <c r="AD133" s="192"/>
      <c r="AE133" s="192"/>
      <c r="AF133" s="203">
        <f t="shared" si="21"/>
        <v>123</v>
      </c>
      <c r="AG133" s="203" t="str">
        <f t="shared" si="17"/>
        <v/>
      </c>
      <c r="AH133" s="192" t="str">
        <f t="shared" si="18"/>
        <v/>
      </c>
      <c r="AI133" s="229" t="str">
        <f t="shared" si="19"/>
        <v>Bye</v>
      </c>
      <c r="AJ133" s="203"/>
      <c r="AK133" s="203">
        <f t="shared" si="20"/>
        <v>0</v>
      </c>
      <c r="AL133" s="229">
        <f t="shared" si="16"/>
        <v>0</v>
      </c>
      <c r="AM133" s="203"/>
      <c r="AN133" s="192"/>
      <c r="AO133" s="192"/>
      <c r="AP133" s="192"/>
      <c r="AQ133" s="192"/>
      <c r="AR133" s="192"/>
      <c r="AS133" s="192"/>
      <c r="AT133" s="192" t="s">
        <v>9795</v>
      </c>
      <c r="AU133" s="192">
        <f t="shared" si="22"/>
        <v>14</v>
      </c>
      <c r="AV133" s="192"/>
      <c r="AW133" s="192"/>
      <c r="AX133" s="192"/>
    </row>
    <row r="134" spans="2:50" ht="15" customHeight="1" thickTop="1" x14ac:dyDescent="0.3">
      <c r="B134" s="192"/>
      <c r="C134" s="192"/>
      <c r="D134" s="192"/>
      <c r="E134" s="164" t="str">
        <f>IF(Q134="","",IF(Q134=3,1,0))</f>
        <v/>
      </c>
      <c r="F134" s="164" t="str">
        <f>IF(Q134="","",IF(Q134&lt;3,1,0))</f>
        <v/>
      </c>
      <c r="G134" s="192"/>
      <c r="H134" s="192" t="str">
        <f>IF(I122="","",2)</f>
        <v/>
      </c>
      <c r="I134" s="192" t="str">
        <f>IF(ISNUMBER(H134),VLOOKUP(H134,H120:I123,2,TRUE),"")</f>
        <v/>
      </c>
      <c r="J134" s="192"/>
      <c r="K134" s="192" t="str">
        <f>VLOOKUP(I134,I120:L123,3,FALSE)</f>
        <v/>
      </c>
      <c r="L134" s="253"/>
      <c r="M134" s="254"/>
      <c r="N134" s="254"/>
      <c r="O134" s="152"/>
      <c r="P134" s="153"/>
      <c r="Q134" s="255" t="str">
        <f>IF(L134="","",IF(AND(L134-L135&gt;1,L134&gt;10),1,0)+IF(AND(M134-M135&gt;1,M134&gt;10),1,0)+IF(AND(N134-N135&gt;1,N134&gt;10),1,0)+IF(AND(O134-O135&gt;1,O134&gt;10),1,0)+IF(AND(P134-P135&gt;1,P134&gt;10),1,0))</f>
        <v/>
      </c>
      <c r="R134" s="203" t="str">
        <f>IF(AND(I134="",I135=""),"",ABS(VLOOKUP(I134,I120:L123,4,FALSE)-VLOOKUP(I135,I120:L123,4,FALSE)))</f>
        <v/>
      </c>
      <c r="S134" s="256" t="str">
        <f>IF(R135="","",IF(Q134=3,+R135,-R135))</f>
        <v/>
      </c>
      <c r="T134" s="192"/>
      <c r="U134" s="235"/>
      <c r="V134" s="235"/>
      <c r="W134" s="235"/>
      <c r="X134" s="235"/>
      <c r="Y134" s="235"/>
      <c r="Z134" s="235"/>
      <c r="AA134" s="246">
        <v>3</v>
      </c>
      <c r="AB134" s="154" t="str">
        <f>IF(AND(COUNTBLANK(I120:I123)=0,Group_players=4,M121=M122,M122=M123),IF(COUNTIF(X119:X122,X121)=3,AB147,IF(AND(COUNTIF(X119:X122,X121)=1,X120&lt;&gt;X122),IF(M122=2,IF(SMALL(X119:X122,1)=X121,1,IF(SMALL(X119:X122,2)=X121,2,IF(SMALL(X119:X122,3)=X121,3))),IF(M122=1,IF(SMALL(X119:X122,1)=X121,2,IF(SMALL(X119:X122,2)=X121,3,IF(SMALL(X119:X122,3)=X121,4))),"")),IF(COUNTIF(X119:X122,X121)=1,IF(X121&lt;X120,IF(M122=2,1,2),IF(M122=2,3,4)),IF(COUNTIF(X119:X122,X121)=2,IF(X121=X120,IF(X121&lt;X122,IF(M122=2,IF(Q141=3,1,2),IF(M122=1,IF(Q141=3,2,3))),IF(X121&gt;X122,IF(M122=2,IF(Q141=3,2,3),IF(M122=1,IF(Q141=3,3,4))))),IF(X121=X122,IF(X121&lt;X120,IF(M122=2,IF(Q146=3,1,2),IF(M122=1,IF(Q146=3,2,3))),IF(X121&gt;X120,IF(M122=2,IF(Q146=3,2,3),IF(M122=1,IF(Q146=3,3,4))))))),"")))),"")</f>
        <v/>
      </c>
      <c r="AC134" s="192"/>
      <c r="AD134" s="192"/>
      <c r="AE134" s="192"/>
      <c r="AF134" s="203">
        <f t="shared" si="21"/>
        <v>124</v>
      </c>
      <c r="AG134" s="203" t="str">
        <f t="shared" si="17"/>
        <v/>
      </c>
      <c r="AH134" s="192" t="str">
        <f t="shared" si="18"/>
        <v/>
      </c>
      <c r="AI134" s="229" t="str">
        <f t="shared" si="19"/>
        <v>Bye</v>
      </c>
      <c r="AJ134" s="203"/>
      <c r="AK134" s="203">
        <f t="shared" si="20"/>
        <v>0</v>
      </c>
      <c r="AL134" s="229">
        <f t="shared" si="16"/>
        <v>0</v>
      </c>
      <c r="AM134" s="203"/>
      <c r="AN134" s="192"/>
      <c r="AO134" s="192"/>
      <c r="AP134" s="192"/>
      <c r="AQ134" s="192"/>
      <c r="AR134" s="192"/>
      <c r="AS134" s="192"/>
      <c r="AT134" s="192" t="s">
        <v>9796</v>
      </c>
      <c r="AU134" s="192">
        <f t="shared" si="22"/>
        <v>15</v>
      </c>
      <c r="AV134" s="192"/>
      <c r="AW134" s="192"/>
      <c r="AX134" s="192"/>
    </row>
    <row r="135" spans="2:50" ht="15" customHeight="1" thickBot="1" x14ac:dyDescent="0.35">
      <c r="B135" s="192"/>
      <c r="C135" s="192"/>
      <c r="D135" s="192"/>
      <c r="E135" s="164" t="str">
        <f>IF(Q135="","",IF(Q135=3,1,0))</f>
        <v/>
      </c>
      <c r="F135" s="164" t="s">
        <v>126</v>
      </c>
      <c r="G135" s="192"/>
      <c r="H135" s="192" t="str">
        <f>IF(I122="","",IF(I123="",3,4))</f>
        <v/>
      </c>
      <c r="I135" s="192" t="str">
        <f>IF(ISNUMBER(H135),VLOOKUP(H135,H120:I123,2,TRUE),"")</f>
        <v/>
      </c>
      <c r="J135" s="192"/>
      <c r="K135" s="192" t="str">
        <f>VLOOKUP(I135,I120:L123,3,FALSE)</f>
        <v/>
      </c>
      <c r="L135" s="155"/>
      <c r="M135" s="259"/>
      <c r="N135" s="259"/>
      <c r="O135" s="156"/>
      <c r="P135" s="157"/>
      <c r="Q135" s="260" t="str">
        <f>IF(L135="","",IF(AND(L135-L134&gt;1,L135&gt;10),1,0)+IF(AND(M135-M134&gt;1,M135&gt;10),1,0)+IF(AND(N135-N134&gt;1,N135&gt;10),1,0)+IF(AND(O135-O134&gt;1,O135&gt;10),1,0)+IF(AND(P135-P134&gt;1,P135&gt;10),1,0))</f>
        <v/>
      </c>
      <c r="R135" s="203" t="str">
        <f>IF(AND(Q134&lt;&gt;3,Q135&lt;&gt;3),"",IF(Q134=3,IF(VLOOKUP(I134,I120:L123,4,FALSE)&gt;VLOOKUP(I135,I120:L123,4,FALSE),VLOOKUP(R134,Point_dif,2,FALSE),VLOOKUP(R134,Point_dif,3,FALSE)),IF(Q135=3,IF(VLOOKUP(I135,I120:L123,4,FALSE)&gt;VLOOKUP(I134,I120:L123,4,FALSE),VLOOKUP(R134,Point_dif,2,FALSE),VLOOKUP(R134,Point_dif,3,FALSE)))))</f>
        <v/>
      </c>
      <c r="S135" s="256" t="str">
        <f>IF(R135="","",IF(Q135=3,+R135,-R135))</f>
        <v/>
      </c>
      <c r="T135" s="192"/>
      <c r="U135" s="235"/>
      <c r="V135" s="235"/>
      <c r="W135" s="235"/>
      <c r="X135" s="235"/>
      <c r="Y135" s="235"/>
      <c r="Z135" s="235"/>
      <c r="AA135" s="261">
        <v>4</v>
      </c>
      <c r="AB135" s="158" t="str">
        <f>IF(AND(COUNTBLANK(I120:I123)=0,Group_players=4,M121=M122,M122=M123),IF(COUNTIF(X119:X122,X122)=3,AB148,IF(AND(COUNTIF(X119:X122,X122)=1,X121&lt;&gt;X120),IF(M123=2,IF(SMALL(X119:X122,1)=X122,1,IF(SMALL(X119:X122,2)=X122,2,IF(SMALL(X119:X122,3)=X122,3))),IF(M123=1,IF(SMALL(X119:X122,1)=X122,2,IF(SMALL(X119:X122,2)=X122,3,IF(SMALL(X119:X122,3)=X122,4))),"")),IF(COUNTIF(X119:X122,X122)=1,IF(X122&lt;X120,IF(M123=2,1,2),IF(M123=2,3,4)),IF(COUNTIF(X119:X122,X122)=2,IF(X122=X120,IF(X122&lt;X121,IF(M123=2,IF(Q135=3,1,2),IF(M123=1,IF(Q135=3,2,3))),IF(X122&gt;X121,IF(M123=2,IF(Q135=3,2,3),IF(M123=1,IF(Q135=3,3,4))))),IF(X122=X121,IF(X122&lt;X120,IF(M123=2,IF(Q147=3,1,2),IF(M123=1,IF(Q147=3,2,3))),IF(X122&gt;X120,IF(M123=2,IF(Q147=3,2,3),IF(M123=1,IF(Q147=3,3,4))))))),"")))),"")</f>
        <v/>
      </c>
      <c r="AC135" s="192"/>
      <c r="AD135" s="192"/>
      <c r="AE135" s="192"/>
      <c r="AF135" s="203">
        <f t="shared" si="21"/>
        <v>125</v>
      </c>
      <c r="AG135" s="203" t="str">
        <f t="shared" si="17"/>
        <v/>
      </c>
      <c r="AH135" s="192" t="str">
        <f t="shared" si="18"/>
        <v/>
      </c>
      <c r="AI135" s="229" t="str">
        <f t="shared" si="19"/>
        <v>Bye</v>
      </c>
      <c r="AJ135" s="203"/>
      <c r="AK135" s="203">
        <f t="shared" si="20"/>
        <v>0</v>
      </c>
      <c r="AL135" s="229">
        <f t="shared" si="16"/>
        <v>0</v>
      </c>
      <c r="AM135" s="203"/>
      <c r="AN135" s="192"/>
      <c r="AO135" s="192"/>
      <c r="AP135" s="192"/>
      <c r="AQ135" s="192"/>
      <c r="AR135" s="192"/>
      <c r="AS135" s="192"/>
      <c r="AT135" s="192" t="s">
        <v>9797</v>
      </c>
      <c r="AU135" s="192">
        <f t="shared" si="22"/>
        <v>16</v>
      </c>
      <c r="AV135" s="192"/>
      <c r="AW135" s="192"/>
      <c r="AX135" s="192"/>
    </row>
    <row r="136" spans="2:50" ht="15" customHeight="1" thickTop="1" thickBot="1" x14ac:dyDescent="0.35">
      <c r="B136" s="192"/>
      <c r="C136" s="192"/>
      <c r="D136" s="192"/>
      <c r="E136" s="164"/>
      <c r="F136" s="164"/>
      <c r="G136" s="192"/>
      <c r="H136" s="192"/>
      <c r="I136" s="249" t="s">
        <v>117</v>
      </c>
      <c r="J136" s="249"/>
      <c r="K136" s="249"/>
      <c r="L136" s="250" t="s">
        <v>115</v>
      </c>
      <c r="M136" s="250" t="s">
        <v>116</v>
      </c>
      <c r="N136" s="250" t="s">
        <v>117</v>
      </c>
      <c r="O136" s="250" t="s">
        <v>118</v>
      </c>
      <c r="P136" s="250" t="s">
        <v>119</v>
      </c>
      <c r="Q136" s="250" t="s">
        <v>120</v>
      </c>
      <c r="R136" s="250"/>
      <c r="S136" s="251"/>
      <c r="T136" s="263"/>
      <c r="U136" s="264"/>
      <c r="V136" s="242"/>
      <c r="W136" s="242"/>
      <c r="X136" s="264"/>
      <c r="Y136" s="192"/>
      <c r="Z136" s="203"/>
      <c r="AA136" s="126" t="s">
        <v>93</v>
      </c>
      <c r="AB136" s="265" t="s">
        <v>110</v>
      </c>
      <c r="AC136" s="192"/>
      <c r="AD136" s="192"/>
      <c r="AE136" s="192"/>
      <c r="AF136" s="203">
        <f t="shared" si="21"/>
        <v>126</v>
      </c>
      <c r="AG136" s="203" t="str">
        <f t="shared" si="17"/>
        <v/>
      </c>
      <c r="AH136" s="192" t="str">
        <f t="shared" si="18"/>
        <v/>
      </c>
      <c r="AI136" s="229" t="str">
        <f t="shared" si="19"/>
        <v>Bye</v>
      </c>
      <c r="AJ136" s="203"/>
      <c r="AK136" s="203">
        <f t="shared" si="20"/>
        <v>0</v>
      </c>
      <c r="AL136" s="229">
        <f t="shared" si="16"/>
        <v>0</v>
      </c>
      <c r="AM136" s="203"/>
      <c r="AN136" s="192"/>
      <c r="AO136" s="192"/>
      <c r="AP136" s="192"/>
      <c r="AQ136" s="192"/>
      <c r="AR136" s="192"/>
      <c r="AS136" s="192"/>
      <c r="AT136" s="192" t="s">
        <v>9798</v>
      </c>
      <c r="AU136" s="192">
        <f t="shared" si="22"/>
        <v>17</v>
      </c>
      <c r="AV136" s="192"/>
      <c r="AW136" s="192"/>
      <c r="AX136" s="192"/>
    </row>
    <row r="137" spans="2:50" ht="15" customHeight="1" thickTop="1" x14ac:dyDescent="0.3">
      <c r="B137" s="192"/>
      <c r="C137" s="192"/>
      <c r="D137" s="192"/>
      <c r="E137" s="164" t="str">
        <f>IF(Q137="","",IF(Q137=3,1,0))</f>
        <v/>
      </c>
      <c r="F137" s="164" t="str">
        <f>IF(Q137="","",IF(Q137&lt;3,1,0))</f>
        <v/>
      </c>
      <c r="G137" s="192"/>
      <c r="H137" s="192" t="str">
        <f>IF(I122&lt;&gt;"",1,"")</f>
        <v/>
      </c>
      <c r="I137" s="192" t="str">
        <f>IF(ISNUMBER(H137),VLOOKUP(H137,H120:I123,2,TRUE),"")</f>
        <v/>
      </c>
      <c r="J137" s="192"/>
      <c r="K137" s="192" t="str">
        <f>VLOOKUP(I137,I120:L123,3,FALSE)</f>
        <v/>
      </c>
      <c r="L137" s="253"/>
      <c r="M137" s="254"/>
      <c r="N137" s="254"/>
      <c r="O137" s="152"/>
      <c r="P137" s="153"/>
      <c r="Q137" s="255" t="str">
        <f>IF(L137="","",IF(AND(L137-L138&gt;1,L137&gt;10),1,0)+IF(AND(M137-M138&gt;1,M137&gt;10),1,0)+IF(AND(N137-N138&gt;1,N137&gt;10),1,0)+IF(AND(O137-O138&gt;1,O137&gt;10),1,0)+IF(AND(P137-P138&gt;1,P137&gt;10),1,0))</f>
        <v/>
      </c>
      <c r="R137" s="203" t="str">
        <f>IF(AND(I137="",I138=""),"",ABS(VLOOKUP(I137,I120:L123,4,FALSE)-VLOOKUP(I138,I120:L123,4,FALSE)))</f>
        <v/>
      </c>
      <c r="S137" s="256" t="str">
        <f>IF(R138="","",IF(Q137=3,+R138,-R138))</f>
        <v/>
      </c>
      <c r="T137" s="192"/>
      <c r="U137" s="235"/>
      <c r="V137" s="235"/>
      <c r="W137" s="235"/>
      <c r="X137" s="235"/>
      <c r="Y137" s="235"/>
      <c r="Z137" s="235"/>
      <c r="AA137" s="243">
        <v>1</v>
      </c>
      <c r="AB137" s="222" t="str">
        <f>IF(AND(COUNTBLANK(I120:I123)=0,Group_players=4,M120=M121,M121=M122),IF(U127="","",IF(COUNTIF(U127:U130,U127)=3,"Tied",IF(AND(COUNTIF(U127:U130,U127)=1,U128&lt;&gt;U129),IF(M120=2,IF(SMALL(U127:U130,1)=U127,1,IF(SMALL(U127:U130,2)=U127,2,IF(SMALL(U127:U130,3)=U127,3))),IF(M120=1,IF(SMALL(U127:U130,1)=U127,2,IF(SMALL(U127:U130,2)=U127,3,IF(SMALL(U127:U130,3)=U127,4))),"")),IF(COUNTIF(U127:U130,U127)=1,IF(U127&lt;U128,IF(M120=2,1,2),IF(M120=2,3,4)),IF(COUNTIF(U127:U130,U127)=2,IF(U127=U128,IF(U127&lt;U129,IF(M120=2,IF(Q143=3,1,2),IF(M120=1,IF(Q143=3,2,3))),IF(U127&gt;U129,IF(M120=2,IF(Q143=3,2,3),IF(M120=1,IF(Q143=3,3,4))))),IF(U127=U129,IF(U127&lt;U128,IF(M120=2,IF(Q131=3,1,2),IF(M120=1,IF(Q131=3,2,3))),IF(U127&gt;U128,IF(M120=2,IF(Q131=3,2,3),IF(M120=1,IF(Q131=3,3,4)))))))))))),"")</f>
        <v/>
      </c>
      <c r="AC137" s="192"/>
      <c r="AD137" s="192"/>
      <c r="AE137" s="192"/>
      <c r="AF137" s="203">
        <f t="shared" si="21"/>
        <v>127</v>
      </c>
      <c r="AG137" s="203" t="str">
        <f t="shared" si="17"/>
        <v/>
      </c>
      <c r="AH137" s="192" t="str">
        <f t="shared" si="18"/>
        <v/>
      </c>
      <c r="AI137" s="229" t="str">
        <f t="shared" si="19"/>
        <v>Bye</v>
      </c>
      <c r="AJ137" s="203"/>
      <c r="AK137" s="203">
        <f t="shared" si="20"/>
        <v>0</v>
      </c>
      <c r="AL137" s="229">
        <f t="shared" si="16"/>
        <v>0</v>
      </c>
      <c r="AM137" s="203"/>
      <c r="AN137" s="192"/>
      <c r="AO137" s="192"/>
      <c r="AP137" s="192"/>
      <c r="AQ137" s="192"/>
      <c r="AR137" s="192"/>
      <c r="AS137" s="192"/>
      <c r="AT137" s="192" t="s">
        <v>9799</v>
      </c>
      <c r="AU137" s="192">
        <f t="shared" si="22"/>
        <v>18</v>
      </c>
      <c r="AV137" s="192"/>
      <c r="AW137" s="192"/>
      <c r="AX137" s="192"/>
    </row>
    <row r="138" spans="2:50" ht="15" customHeight="1" thickBot="1" x14ac:dyDescent="0.35">
      <c r="B138" s="192"/>
      <c r="C138" s="192"/>
      <c r="D138" s="192"/>
      <c r="E138" s="164" t="str">
        <f>IF(Q138="","",IF(Q138=3,1,0))</f>
        <v/>
      </c>
      <c r="F138" s="164" t="str">
        <f>IF(Q138="","",IF(Q138&lt;3,1,0))</f>
        <v/>
      </c>
      <c r="G138" s="192"/>
      <c r="H138" s="192" t="str">
        <f>IF(I122="","",IF(I123&lt;&gt;"",4,2))</f>
        <v/>
      </c>
      <c r="I138" s="192" t="str">
        <f>IF(ISNUMBER(H138),VLOOKUP(H138,H120:I123,2,TRUE),"")</f>
        <v/>
      </c>
      <c r="J138" s="192"/>
      <c r="K138" s="192" t="str">
        <f>VLOOKUP(I138,I120:L123,3,FALSE)</f>
        <v/>
      </c>
      <c r="L138" s="155"/>
      <c r="M138" s="259"/>
      <c r="N138" s="259"/>
      <c r="O138" s="156"/>
      <c r="P138" s="157"/>
      <c r="Q138" s="260" t="str">
        <f>IF(L138="","",IF(AND(L138-L137&gt;1,L138&gt;10),1,0)+IF(AND(M138-M137&gt;1,M138&gt;10),1,0)+IF(AND(N138-N137&gt;1,N138&gt;10),1,0)+IF(AND(O138-O137&gt;1,O138&gt;10),1,0)+IF(AND(P138-P137&gt;1,P138&gt;10),1,0))</f>
        <v/>
      </c>
      <c r="R138" s="203" t="str">
        <f>IF(AND(Q137&lt;&gt;3,Q138&lt;&gt;3),"",IF(Q137=3,IF(VLOOKUP(I137,I120:L123,4,FALSE)&gt;VLOOKUP(I138,I120:L123,4,FALSE),VLOOKUP(R137,Point_dif,2,FALSE),VLOOKUP(R137,Point_dif,3,FALSE)),IF(Q138=3,IF(VLOOKUP(I138,I120:L123,4,FALSE)&gt;VLOOKUP(I137,I120:L123,4,FALSE),VLOOKUP(R137,Point_dif,2,FALSE),VLOOKUP(R137,Point_dif,3,FALSE)))))</f>
        <v/>
      </c>
      <c r="S138" s="256" t="str">
        <f>IF(R138="","",IF(Q138=3,+R138,-R138))</f>
        <v/>
      </c>
      <c r="T138" s="192"/>
      <c r="U138" s="235"/>
      <c r="V138" s="235"/>
      <c r="W138" s="235"/>
      <c r="X138" s="235"/>
      <c r="Y138" s="235"/>
      <c r="Z138" s="235"/>
      <c r="AA138" s="246">
        <v>2</v>
      </c>
      <c r="AB138" s="222" t="str">
        <f>IF(AND(COUNTBLANK(I120:I123)=0,Group_players=4,M120=M121,M121=M122),IF(U128="","",IF(COUNTIF(U127:U130,U128)=3,"Tied",IF(AND(COUNTIF(U127:U130,U128)=1,U127&lt;&gt;U129),IF(M121=2,IF(SMALL(U127:U130,1)=U128,1,IF(SMALL(U127:U130,2)=U128,2,IF(SMALL(U127:U130,3)=U128,3))),IF(M121=1,IF(SMALL(U127:U130,1)=U128,2,IF(SMALL(U127:U130,2)=U128,3,IF(SMALL(U127:U130,3)=U128,4))),"")),IF(COUNTIF(U127:U130,U128)=1,IF(U128&lt;U127,IF(M121=2,1,2),IF(M121=2,3,4)),IF(COUNTIF(U127:U130,U128)=2,IF(U128=U127,IF(U128&lt;U129,IF(M121=2,IF(Q144=3,1,2),IF(M121=1,IF(Q144=3,2,3))),IF(U128&gt;U129,IF(M121=2,IF(Q144=3,2,3),IF(M121=1,IF(Q144=3,3,4))))),IF(U128=U129,IF(U128&lt;U127,IF(M121=2,IF(Q140=3,1,2),IF(M121=1,IF(Q140=3,2,3))),IF(U128&gt;U127,IF(M121=2,IF(Q140=3,2,3),IF(M121=1,IF(Q140=3,3,4)))))))))))),"")</f>
        <v/>
      </c>
      <c r="AC138" s="192"/>
      <c r="AD138" s="192"/>
      <c r="AE138" s="192"/>
      <c r="AF138" s="203">
        <f t="shared" si="21"/>
        <v>128</v>
      </c>
      <c r="AG138" s="203" t="str">
        <f t="shared" ref="AG138" si="23">IF(AF138&gt;Llave,"",IF(Group_players=3,IF(Advancing="Todos",IF(AF138&lt;=Grps,"A",IF(AND(AF138&gt;Grps,AF138&lt;=Grps*2),"B",IF(AND(AF138&gt;Grps*2,AF138&lt;=Tot_Jug),"C",""))),IF(AND(AF138&gt;Grps*3,AF138&lt;=Tot_Jug,AN137&lt;&gt;""),"D",IF(Advancing=2,IF(AF138&lt;=Grps,"A",IF(AND(AF138&gt;Grps,AF138&lt;=Grps*2),"B","")),""))),IF(Group_players=4,IF(Advancing="Todos",IF(AF138&lt;=Grps,"A",IF(AND(AF138&gt;Grps,AF138&lt;=Grps*2),"B",IF(AND(AF138&gt;Grps*2,AF138&lt;=Grps*3),"C",IF(AND(AF138&gt;Grps*3,AF138&lt;=Tot_Jug),"D","")))),IF(Advancing=2,IF(AF138&lt;=Grps,"A",IF(AND(AF138&gt;Grps,AF138&lt;=Grps*2),"B","")),"")),"")))</f>
        <v/>
      </c>
      <c r="AH138" s="192" t="str">
        <f t="shared" si="18"/>
        <v/>
      </c>
      <c r="AI138" s="229" t="str">
        <f t="shared" si="19"/>
        <v>Bye</v>
      </c>
      <c r="AJ138" s="203"/>
      <c r="AK138" s="203">
        <f t="shared" si="20"/>
        <v>0</v>
      </c>
      <c r="AL138" s="229">
        <f t="shared" si="16"/>
        <v>0</v>
      </c>
      <c r="AM138" s="203"/>
      <c r="AN138" s="192"/>
      <c r="AO138" s="192"/>
      <c r="AP138" s="192"/>
      <c r="AQ138" s="192"/>
      <c r="AR138" s="192"/>
      <c r="AS138" s="192"/>
      <c r="AT138" s="192" t="s">
        <v>9800</v>
      </c>
      <c r="AU138" s="192">
        <f t="shared" si="22"/>
        <v>19</v>
      </c>
      <c r="AV138" s="192"/>
      <c r="AW138" s="192"/>
      <c r="AX138" s="192"/>
    </row>
    <row r="139" spans="2:50" ht="15" customHeight="1" thickTop="1" thickBot="1" x14ac:dyDescent="0.35">
      <c r="B139" s="192"/>
      <c r="C139" s="192"/>
      <c r="D139" s="192"/>
      <c r="E139" s="164"/>
      <c r="F139" s="164"/>
      <c r="G139" s="192"/>
      <c r="H139" s="192"/>
      <c r="I139" s="249" t="s">
        <v>118</v>
      </c>
      <c r="J139" s="249"/>
      <c r="K139" s="249"/>
      <c r="L139" s="250" t="s">
        <v>115</v>
      </c>
      <c r="M139" s="250" t="s">
        <v>116</v>
      </c>
      <c r="N139" s="250" t="s">
        <v>117</v>
      </c>
      <c r="O139" s="250" t="s">
        <v>118</v>
      </c>
      <c r="P139" s="250" t="s">
        <v>119</v>
      </c>
      <c r="Q139" s="250" t="s">
        <v>120</v>
      </c>
      <c r="R139" s="250"/>
      <c r="S139" s="251"/>
      <c r="T139" s="192"/>
      <c r="U139" s="235"/>
      <c r="V139" s="235"/>
      <c r="W139" s="235"/>
      <c r="X139" s="235"/>
      <c r="Y139" s="235"/>
      <c r="Z139" s="235"/>
      <c r="AA139" s="240">
        <v>3</v>
      </c>
      <c r="AB139" s="241" t="str">
        <f>IF(AND(COUNTBLANK(I120:I123)=0,Group_players=4,M120=M121,M121=M122),IF(U129="","",IF(COUNTIF(U127:U130,U129)=3,"Tied",IF(AND(COUNTIF(U127:U130,U129)=1,U127&lt;&gt;U128),IF(M120=2,IF(SMALL(U127:U130,1)=U129,1,IF(SMALL(U127:U130,2)=U129,2,IF(SMALL(U127:U130,3)=U129,3))),IF(M122=1,IF(SMALL(U127:U130,1)=U129,2,IF(SMALL(U127:U130,2)=U129,3,IF(SMALL(U127:U130,3)=U129,4))),"")),IF(COUNTIF(U127:U130,U129)=1,IF(U129&lt;U128,IF(M122=2,1,2),IF(M122=2,3,4)),IF(COUNTIF(U127:U130,U129)=2,IF(U129=U128,IF(U129&lt;U127,IF(M122=2,IF(Q141=3,1,2),IF(M122=1,IF(Q141=3,2,3))),IF(U129&gt;U127,IF(M122=2,IF(Q141=3,2,3),IF(M122=1,IF(Q141=3,3,4))))),IF(U129=U127,IF(U129&lt;U128,IF(M122=2,IF(Q132=3,1,2),IF(M122=1,IF(Q132=3,2,3))),IF(U129&gt;U128,IF(M122=2,IF(Q132=3,2,3),IF(M122=1,IF(Q132=3,3,4)))))))))))),"")</f>
        <v/>
      </c>
      <c r="AC139" s="192"/>
      <c r="AD139" s="192"/>
      <c r="AE139" s="192"/>
      <c r="AF139" s="203">
        <f t="shared" ref="AF139" si="24">IF(Llave&gt;AF138,AF138+1,"")</f>
        <v>129</v>
      </c>
      <c r="AG139" s="203"/>
      <c r="AH139" s="203"/>
      <c r="AI139" s="229"/>
      <c r="AJ139" s="203"/>
      <c r="AK139" s="203"/>
      <c r="AL139" s="229"/>
      <c r="AM139" s="203"/>
      <c r="AN139" s="192"/>
      <c r="AO139" s="192"/>
      <c r="AP139" s="192"/>
      <c r="AQ139" s="192"/>
      <c r="AR139" s="192"/>
      <c r="AS139" s="192"/>
      <c r="AT139" s="192" t="s">
        <v>9801</v>
      </c>
      <c r="AU139" s="192">
        <f t="shared" si="22"/>
        <v>20</v>
      </c>
      <c r="AV139" s="192"/>
      <c r="AW139" s="192"/>
      <c r="AX139" s="192"/>
    </row>
    <row r="140" spans="2:50" ht="15" customHeight="1" thickTop="1" x14ac:dyDescent="0.3">
      <c r="B140" s="192"/>
      <c r="C140" s="192"/>
      <c r="D140" s="192"/>
      <c r="E140" s="164" t="str">
        <f>IF(Q140="","",IF(Q140=3,1,0))</f>
        <v/>
      </c>
      <c r="F140" s="164" t="str">
        <f>IF(Q140="","",IF(Q140&lt;3,1,0))</f>
        <v/>
      </c>
      <c r="G140" s="192"/>
      <c r="H140" s="192" t="str">
        <f>IF(I123&lt;&gt;"",2,"")</f>
        <v/>
      </c>
      <c r="I140" s="192" t="str">
        <f>IF(ISNUMBER(H140),VLOOKUP(H140,H120:I123,2,TRUE),"")</f>
        <v/>
      </c>
      <c r="J140" s="192"/>
      <c r="K140" s="192" t="str">
        <f>VLOOKUP(I140,I120:L123,3,FALSE)</f>
        <v/>
      </c>
      <c r="L140" s="253"/>
      <c r="M140" s="254"/>
      <c r="N140" s="254"/>
      <c r="O140" s="152"/>
      <c r="P140" s="153"/>
      <c r="Q140" s="255" t="str">
        <f>IF(L140="","",IF(AND(L140-L141&gt;1,L140&gt;10),1,0)+IF(AND(M140-M141&gt;1,M140&gt;10),1,0)+IF(AND(N140-N141&gt;1,N140&gt;10),1,0)+IF(AND(O140-O141&gt;1,O140&gt;10),1,0)+IF(AND(P140-P141&gt;1,P140&gt;10),1,0))</f>
        <v/>
      </c>
      <c r="R140" s="203" t="str">
        <f>IF(AND(I140="",I141=""),"",ABS(VLOOKUP(I140,I120:L123,4,FALSE)-VLOOKUP(I141,I120:L123,4,FALSE)))</f>
        <v/>
      </c>
      <c r="S140" s="256" t="str">
        <f>IF(R141="","",IF(Q140=3,+R141,-R141))</f>
        <v/>
      </c>
      <c r="T140" s="192"/>
      <c r="U140" s="235"/>
      <c r="V140" s="235"/>
      <c r="W140" s="235"/>
      <c r="X140" s="235"/>
      <c r="Y140" s="235"/>
      <c r="Z140" s="235"/>
      <c r="AA140" s="243">
        <v>1</v>
      </c>
      <c r="AB140" s="222" t="str">
        <f>IF(AND(COUNTBLANK(I120:I123)=0,Group_players=4,M120=M122,M122=M123),IF(V127="","",IF(COUNTIF(V127:V130,V127)=3,"Tied",IF(AND(COUNTIF(V127:V130,V127)=1,V129&lt;&gt;U130),IF(M120=2,IF(SMALL(V127:V130,1)=V127,1,IF(SMALL(V127:V130,2)=V127,2,IF(SMALL(V127:V130,3)=V127,3))),IF(M120=1,IF(SMALL(V127:V130,1)=V127,2,IF(SMALL(V127:V130,2)=V127,3,IF(SMALL(V127:V130,3)=V127,4))),"")),IF(COUNTIF(V127:V130,V127)=1,IF(V127&lt;V129,IF(M120=2,1,2),IF(M120=2,3,4)),IF(COUNTIF(V127:V130,V127)=2,IF(V127=V129,IF(V127&lt;V130,IF(M120=2,IF(Q131=3,1,2),IF(M120=1,IF(Q131=3,2,3))),IF(V127&gt;V130,IF(M120=2,IF(Q131=3,2,3),IF(M120=1,IF(Q131=3,3,4))))),IF(V127=V130,IF(V127&lt;V129,IF(M120=2,IF(Q137=3,1,2),IF(M120=1,IF(Q137=3,2,3))),IF(V127&gt;V128,IF(M120=2,IF(Q137=3,2,3),IF(M120=1,IF(Q137=3,3,4)))))))))))),"")</f>
        <v/>
      </c>
      <c r="AC140" s="192"/>
      <c r="AD140" s="192"/>
      <c r="AE140" s="192"/>
      <c r="AF140" s="203"/>
      <c r="AG140" s="203"/>
      <c r="AH140" s="203"/>
      <c r="AI140" s="229"/>
      <c r="AJ140" s="203"/>
      <c r="AK140" s="203"/>
      <c r="AL140" s="229"/>
      <c r="AM140" s="203"/>
      <c r="AN140" s="192"/>
      <c r="AO140" s="192"/>
      <c r="AP140" s="192"/>
      <c r="AQ140" s="192"/>
      <c r="AR140" s="192"/>
      <c r="AS140" s="192"/>
      <c r="AT140" s="192" t="s">
        <v>9802</v>
      </c>
      <c r="AU140" s="192">
        <f t="shared" si="22"/>
        <v>21</v>
      </c>
      <c r="AV140" s="192"/>
      <c r="AW140" s="192"/>
      <c r="AX140" s="192"/>
    </row>
    <row r="141" spans="2:50" ht="15" customHeight="1" thickBot="1" x14ac:dyDescent="0.35">
      <c r="B141" s="192"/>
      <c r="C141" s="192"/>
      <c r="D141" s="192"/>
      <c r="E141" s="164" t="str">
        <f>IF(Q141="","",IF(Q141=3,1,0))</f>
        <v/>
      </c>
      <c r="F141" s="164" t="str">
        <f>IF(Q141="","",IF(Q141&lt;3,1,0))</f>
        <v/>
      </c>
      <c r="G141" s="192"/>
      <c r="H141" s="192" t="str">
        <f>IF(I123&lt;&gt;"",3,"")</f>
        <v/>
      </c>
      <c r="I141" s="192" t="str">
        <f>IF(ISNUMBER(H141),VLOOKUP(H141,H120:I123,2,TRUE),"")</f>
        <v/>
      </c>
      <c r="J141" s="192"/>
      <c r="K141" s="192" t="str">
        <f>VLOOKUP(I141,I120:L123,3,FALSE)</f>
        <v/>
      </c>
      <c r="L141" s="155"/>
      <c r="M141" s="259"/>
      <c r="N141" s="259"/>
      <c r="O141" s="156"/>
      <c r="P141" s="157"/>
      <c r="Q141" s="260" t="str">
        <f>IF(L141="","",IF(AND(L141-L140&gt;1,L141&gt;10),1,0)+IF(AND(M141-M140&gt;1,M141&gt;10),1,0)+IF(AND(N141-N140&gt;1,N141&gt;10),1,0)+IF(AND(O141-O140&gt;1,O141&gt;10),1,0)+IF(AND(P141-P140&gt;1,P141&gt;10),1,0))</f>
        <v/>
      </c>
      <c r="R141" s="203" t="str">
        <f>IF(AND(Q140&lt;&gt;3,Q141&lt;&gt;3),"",IF(Q140=3,IF(VLOOKUP(I140,I120:L123,4,FALSE)&gt;VLOOKUP(I141,I120:L123,4,FALSE),VLOOKUP(R140,Point_dif,2,FALSE),VLOOKUP(R140,Point_dif,3,FALSE)),IF(Q141=3,IF(VLOOKUP(I141,I120:L123,4,FALSE)&gt;VLOOKUP(I140,I120:L123,4,FALSE),VLOOKUP(R140,Point_dif,2,FALSE),VLOOKUP(R140,Point_dif,3,FALSE)))))</f>
        <v/>
      </c>
      <c r="S141" s="256" t="str">
        <f>IF(R141="","",IF(Q141=3,+R141,-R141))</f>
        <v/>
      </c>
      <c r="T141" s="192"/>
      <c r="U141" s="159"/>
      <c r="V141" s="266"/>
      <c r="W141" s="266"/>
      <c r="X141" s="266"/>
      <c r="Y141" s="192"/>
      <c r="Z141" s="203"/>
      <c r="AA141" s="246">
        <v>3</v>
      </c>
      <c r="AB141" s="222" t="str">
        <f>IF(AND(COUNTBLANK(I120:I123)=0,Group_players=4,M120=M122,M122=M123),IF(V129="","",IF(COUNTIF(V127:V130,V129)=3,"Tied",IF(AND(COUNTIF(V127:V130,V129)=1,V127&lt;&gt;V130),IF(M122=2,IF(SMALL(V127:V130,1)=V129,1,IF(SMALL(V127:V130,2)=V129,2,IF(SMALL(V127:V130,3)=V129,3))),IF(M122=1,IF(SMALL(V127:V130,1)=V129,2,IF(SMALL(V127:V130,2)=V129,3,IF(SMALL(V127:V130,3)=V129,4))),"")),IF(COUNTIF(V127:V130,V129)=1,IF(V129&lt;V127,IF(M122=2,1,2),IF(M122=2,3,4)),IF(COUNTIF(V127:V130,V129)=2,IF(V129=V127,IF(V129&lt;V130,IF(M122=2,IF(Q132=3,1,2),IF(M122=1,IF(Q132=3,2,3))),IF(V129&gt;V130,IF(M122=2,IF(Q132=3,2,3),IF(M122=1,IF(Q132=3,3,4))))),IF(V129=V130,IF(V129&lt;V127,IF(M122=2,IF(Q146=3,1,2),IF(M122=1,IF(Q146=3,2,3))),IF(V129&gt;V127,IF(M122=2,IF(Q146=3,2,3),IF(M122=1,IF(Q146=3,3,4)))))))))))),"")</f>
        <v/>
      </c>
      <c r="AC141" s="192"/>
      <c r="AD141" s="192"/>
      <c r="AE141" s="192"/>
      <c r="AF141" s="203"/>
      <c r="AG141" s="203"/>
      <c r="AH141" s="203"/>
      <c r="AI141" s="229"/>
      <c r="AJ141" s="203"/>
      <c r="AK141" s="203"/>
      <c r="AL141" s="229"/>
      <c r="AM141" s="203"/>
      <c r="AN141" s="192"/>
      <c r="AO141" s="192"/>
      <c r="AP141" s="192"/>
      <c r="AQ141" s="192"/>
      <c r="AR141" s="192"/>
      <c r="AS141" s="192"/>
      <c r="AT141" s="192" t="s">
        <v>9803</v>
      </c>
      <c r="AU141" s="192">
        <f t="shared" si="22"/>
        <v>22</v>
      </c>
      <c r="AV141" s="192"/>
      <c r="AW141" s="192"/>
      <c r="AX141" s="192"/>
    </row>
    <row r="142" spans="2:50" ht="15" customHeight="1" thickTop="1" thickBot="1" x14ac:dyDescent="0.35">
      <c r="B142" s="192"/>
      <c r="C142" s="192"/>
      <c r="D142" s="192"/>
      <c r="E142" s="164"/>
      <c r="F142" s="164"/>
      <c r="G142" s="192"/>
      <c r="H142" s="192"/>
      <c r="I142" s="249" t="s">
        <v>119</v>
      </c>
      <c r="J142" s="249"/>
      <c r="K142" s="249"/>
      <c r="L142" s="250" t="s">
        <v>115</v>
      </c>
      <c r="M142" s="250" t="s">
        <v>116</v>
      </c>
      <c r="N142" s="250" t="s">
        <v>117</v>
      </c>
      <c r="O142" s="250" t="s">
        <v>118</v>
      </c>
      <c r="P142" s="250" t="s">
        <v>119</v>
      </c>
      <c r="Q142" s="250" t="s">
        <v>120</v>
      </c>
      <c r="R142" s="250"/>
      <c r="S142" s="251"/>
      <c r="T142" s="247"/>
      <c r="U142" s="235"/>
      <c r="V142" s="235"/>
      <c r="W142" s="235"/>
      <c r="X142" s="235"/>
      <c r="Y142" s="235"/>
      <c r="Z142" s="235"/>
      <c r="AA142" s="240">
        <v>4</v>
      </c>
      <c r="AB142" s="241" t="str">
        <f>IF(AND(COUNTBLANK(I120:I123)=0,Group_players=4,M120=M122,M122=M123),IF(V130="","",IF(COUNTIF(V127:V130,V130)=3,"Tied",IF(AND(COUNTIF(V127:V130,V130)=1,V129&lt;&gt;V127),IF(M123=2,IF(SMALL(V127:V130,1)=V130,1,IF(SMALL(V127:V130,2)=V130,2,IF(SMALL(V127:V130,3)=V130,3))),IF(M123=1,IF(SMALL(V127:V130,1)=V130,2,IF(SMALL(V127:V130,2)=V130,3,IF(SMALL(V127:V130,3)=V130,4))),"")),IF(COUNTIF(V127:V130,V130)=1,IF(V130&lt;V127,IF(M123=2,1,2),IF(M123=2,3,4)),IF(COUNTIF(V127:V130,V130)=2,IF(V130=V127,IF(V130&lt;V129,IF(M123=2,IF(Q138=3,1,2),IF(M123=1,IF(Q138=3,2,3))),IF(V130&gt;V129,IF(M123=2,IF(Q138=3,2,3),IF(M123=1,IF(Q138=3,3,4))))),IF(V130=V129,IF(V130&lt;V127,IF(M123=2,IF(Q147=3,1,2),IF(M123=1,IF(Q147=3,2,3))),IF(V130&gt;V127,IF(M123=2,IF(Q147=3,2,3),IF(M123=1,IF(Q147=3,3,4)))))))))))),"")</f>
        <v/>
      </c>
      <c r="AC142" s="192"/>
      <c r="AD142" s="192"/>
      <c r="AE142" s="192"/>
      <c r="AF142" s="203"/>
      <c r="AG142" s="203"/>
      <c r="AH142" s="203"/>
      <c r="AI142" s="203"/>
      <c r="AJ142" s="203"/>
      <c r="AK142" s="203"/>
      <c r="AL142" s="229"/>
      <c r="AM142" s="203"/>
      <c r="AN142" s="192"/>
      <c r="AO142" s="192"/>
      <c r="AP142" s="192"/>
      <c r="AQ142" s="192"/>
      <c r="AR142" s="192"/>
      <c r="AS142" s="192"/>
      <c r="AT142" s="192" t="s">
        <v>9804</v>
      </c>
      <c r="AU142" s="192">
        <f t="shared" si="22"/>
        <v>23</v>
      </c>
      <c r="AV142" s="192"/>
      <c r="AW142" s="192"/>
      <c r="AX142" s="192"/>
    </row>
    <row r="143" spans="2:50" ht="15" customHeight="1" thickTop="1" x14ac:dyDescent="0.3">
      <c r="B143" s="192"/>
      <c r="C143" s="192"/>
      <c r="D143" s="192"/>
      <c r="E143" s="164" t="str">
        <f>IF(Q143="","",IF(Q143=3,1,0))</f>
        <v/>
      </c>
      <c r="F143" s="164" t="str">
        <f>IF(Q143="","",IF(Q143&lt;3,1,0))</f>
        <v/>
      </c>
      <c r="G143" s="192"/>
      <c r="H143" s="192" t="str">
        <f>IF(I123&lt;&gt;"",1,"")</f>
        <v/>
      </c>
      <c r="I143" s="192" t="str">
        <f>IF(ISNUMBER(H143),VLOOKUP(H143,H120:I123,2,TRUE),"")</f>
        <v/>
      </c>
      <c r="J143" s="192"/>
      <c r="K143" s="192" t="str">
        <f>VLOOKUP(I143,I120:L123,3,FALSE)</f>
        <v/>
      </c>
      <c r="L143" s="253"/>
      <c r="M143" s="254"/>
      <c r="N143" s="254"/>
      <c r="O143" s="152"/>
      <c r="P143" s="153"/>
      <c r="Q143" s="255" t="str">
        <f>IF(L143="","",IF(AND(L143-L144&gt;1,L143&gt;10),1,0)+IF(AND(M143-M144&gt;1,M143&gt;10),1,0)+IF(AND(N143-N144&gt;1,N143&gt;10),1,0)+IF(AND(O143-O144&gt;1,O143&gt;10),1,0)+IF(AND(P143-P144&gt;1,P143&gt;10),1,0))</f>
        <v/>
      </c>
      <c r="R143" s="203" t="str">
        <f>IF(AND(I143="",I144=""),"",ABS(VLOOKUP(I143,I120:L123,4,FALSE)-VLOOKUP(I144,I120:L123,4,FALSE)))</f>
        <v/>
      </c>
      <c r="S143" s="256" t="str">
        <f>IF(R144="","",IF(Q143=3,+R144,-R144))</f>
        <v/>
      </c>
      <c r="T143" s="247"/>
      <c r="U143" s="235"/>
      <c r="V143" s="235"/>
      <c r="W143" s="235"/>
      <c r="X143" s="235"/>
      <c r="Y143" s="235"/>
      <c r="Z143" s="235"/>
      <c r="AA143" s="243">
        <v>1</v>
      </c>
      <c r="AB143" s="222" t="str">
        <f>IF(AND(COUNTBLANK(I120:I123)=0,Group_players=4,M120=M121,M121=M123),IF(W127="","",IF(COUNTIF(W127:W130,W127)=3,"Tied",IF(AND(COUNTIF(W127:W130,W127)=1,W128&lt;&gt;W129),IF(M120=2,IF(SMALL(W127:W130,1)=W127,1,IF(SMALL(W127:W130,2)=W127,2,IF(SMALL(W127:W130,3)=W127,3))),IF(M120=1,IF(SMALL(W127:W130,1)=W127,2,IF(SMALL(W127:W130,2)=W127,3,IF(SMALL(W127:W130,3)=W127,4))),"")),IF(COUNTIF(W127:W130,W127)=1,IF(W127&lt;W128,IF(M120=2,1,2),IF(M120=2,3,4)),IF(COUNTIF(W127:W130,W127)=2,IF(W127=W128,IF(W127&lt;W130,IF(M120=2,IF(Q143=3,1,2),IF(M120=1,IF(Q143=3,2,3))),IF(W127&gt;W130,IF(M120=2,IF(Q143=3,2,3),IF(M120=1,IF(Q143=3,3,4))))),IF(W127=W130,IF(W127&lt;W128,IF(M120=2,IF(Q137=3,1,2),IF(M120=1,IF(Q137=3,2,3))),IF(W127&gt;W128,IF(M120=2,IF(Q137=3,2,3),IF(M120=1,IF(Q137=3,3,4)))))))))))),"")</f>
        <v/>
      </c>
      <c r="AC143" s="192"/>
      <c r="AD143" s="192"/>
      <c r="AE143" s="192"/>
      <c r="AF143" s="203"/>
      <c r="AG143" s="203"/>
      <c r="AH143" s="203"/>
      <c r="AI143" s="203"/>
      <c r="AJ143" s="203"/>
      <c r="AK143" s="203"/>
      <c r="AL143" s="229"/>
      <c r="AM143" s="203"/>
      <c r="AN143" s="192"/>
      <c r="AO143" s="192"/>
      <c r="AP143" s="192"/>
      <c r="AQ143" s="192"/>
      <c r="AR143" s="192"/>
      <c r="AS143" s="192"/>
      <c r="AT143" s="192" t="s">
        <v>9805</v>
      </c>
      <c r="AU143" s="192">
        <f t="shared" si="22"/>
        <v>24</v>
      </c>
      <c r="AV143" s="192"/>
      <c r="AW143" s="192"/>
      <c r="AX143" s="192"/>
    </row>
    <row r="144" spans="2:50" ht="15" customHeight="1" thickBot="1" x14ac:dyDescent="0.35">
      <c r="B144" s="192"/>
      <c r="C144" s="192"/>
      <c r="D144" s="192"/>
      <c r="E144" s="164" t="str">
        <f>IF(Q144="","",IF(Q144=3,1,0))</f>
        <v/>
      </c>
      <c r="F144" s="164" t="str">
        <f>IF(Q144="","",IF(Q144&lt;3,1,0))</f>
        <v/>
      </c>
      <c r="G144" s="192"/>
      <c r="H144" s="192" t="str">
        <f>IF(I123&lt;&gt;"",2,"")</f>
        <v/>
      </c>
      <c r="I144" s="192" t="str">
        <f>IF(ISNUMBER(H144),VLOOKUP(H144,H120:I123,2,TRUE),"")</f>
        <v/>
      </c>
      <c r="J144" s="192"/>
      <c r="K144" s="192" t="str">
        <f>VLOOKUP(I144,I120:L123,3,FALSE)</f>
        <v/>
      </c>
      <c r="L144" s="155"/>
      <c r="M144" s="259"/>
      <c r="N144" s="259"/>
      <c r="O144" s="156"/>
      <c r="P144" s="157"/>
      <c r="Q144" s="260" t="str">
        <f>IF(L144="","",IF(AND(L144-L143&gt;1,L144&gt;10),1,0)+IF(AND(M144-M143&gt;1,M144&gt;10),1,0)+IF(AND(N144-N143&gt;1,N144&gt;10),1,0)+IF(AND(O144-O143&gt;1,O144&gt;10),1,0)+IF(AND(P144-P143&gt;1,P144&gt;10),1,0))</f>
        <v/>
      </c>
      <c r="R144" s="203" t="str">
        <f>IF(AND(Q143&lt;&gt;3,Q144&lt;&gt;3),"",IF(Q143=3,IF(VLOOKUP(I143,I120:L123,4,FALSE)&gt;VLOOKUP(I144,I120:L123,4,FALSE),VLOOKUP(R143,Point_dif,2,FALSE),VLOOKUP(R143,Point_dif,3,FALSE)),IF(Q144=3,IF(VLOOKUP(I144,I120:L123,4,FALSE)&gt;VLOOKUP(I144,I120:L123,4,FALSE),VLOOKUP(R143,Point_dif,2,FALSE),VLOOKUP(R143,Point_dif,3,FALSE)))))</f>
        <v/>
      </c>
      <c r="S144" s="256" t="str">
        <f>IF(R144="","",IF(Q144=3,+R144,-R144))</f>
        <v/>
      </c>
      <c r="T144" s="247"/>
      <c r="U144" s="235"/>
      <c r="V144" s="235"/>
      <c r="W144" s="235"/>
      <c r="X144" s="235"/>
      <c r="Y144" s="235"/>
      <c r="Z144" s="235"/>
      <c r="AA144" s="246">
        <v>2</v>
      </c>
      <c r="AB144" s="222" t="str">
        <f>IF(AND(COUNTBLANK(I120:I123)=0,Group_players=4,M120=M121,M121=M123),IF(W128="","",IF(COUNTIF(W127:W130,W128)=3,"Tied",IF(AND(COUNTIF(W127:W130,W128)=1,W127&lt;&gt;W129),IF(M121=2,IF(SMALL(W127:W130,1)=W128,1,IF(SMALL(W127:W130,2)=W128,2,IF(SMALL(W127:W130,3)=W128,3))),IF(M121=1,IF(SMALL(W127:W130,1)=W128,2,IF(SMALL(W127:W130,2)=W128,3,IF(SMALL(W127:W130,3)=W128,4))),"")),IF(COUNTIF(W127:W130,W128)=1,IF(W128&lt;W127,IF(M121=2,1,2),IF(M121=2,3,4)),IF(COUNTIF(W127:W130,W128)=2,IF(W128=W127,IF(W128&lt;W130,IF(M121=2,IF(Q144=3,1,2),IF(M121=1,IF(Q144=3,2,3))),IF(W128&gt;W130,IF(M121=2,IF(Q144=3,2,3),IF(M121=1,IF(Q144=3,3,4))))),IF(W128=W130,IF(W128&lt;W127,IF(M121=2,IF(Q134=3,1,2),IF(M121=1,IF(Q134=3,2,3))),IF(W128&gt;W127,IF(M121=2,IF(Q134=3,2,3),IF(M121=1,IF(Q134=3,3,4)))))))))))),"")</f>
        <v/>
      </c>
      <c r="AC144" s="192"/>
      <c r="AD144" s="192"/>
      <c r="AE144" s="192"/>
      <c r="AF144" s="203"/>
      <c r="AG144" s="203"/>
      <c r="AH144" s="203"/>
      <c r="AI144" s="203"/>
      <c r="AJ144" s="203"/>
      <c r="AK144" s="203"/>
      <c r="AL144" s="229"/>
      <c r="AM144" s="203"/>
      <c r="AN144" s="192"/>
      <c r="AO144" s="192"/>
      <c r="AP144" s="192"/>
      <c r="AQ144" s="192"/>
      <c r="AR144" s="192"/>
      <c r="AS144" s="192"/>
      <c r="AT144" s="192" t="s">
        <v>9806</v>
      </c>
      <c r="AU144" s="192">
        <f t="shared" si="22"/>
        <v>25</v>
      </c>
      <c r="AV144" s="192"/>
      <c r="AW144" s="192"/>
      <c r="AX144" s="192"/>
    </row>
    <row r="145" spans="2:50" ht="15" customHeight="1" thickTop="1" thickBot="1" x14ac:dyDescent="0.35">
      <c r="B145" s="192"/>
      <c r="C145" s="192"/>
      <c r="D145" s="192"/>
      <c r="E145" s="164"/>
      <c r="F145" s="164"/>
      <c r="G145" s="192"/>
      <c r="H145" s="192"/>
      <c r="I145" s="249" t="s">
        <v>121</v>
      </c>
      <c r="J145" s="249"/>
      <c r="K145" s="249"/>
      <c r="L145" s="250" t="s">
        <v>115</v>
      </c>
      <c r="M145" s="250" t="s">
        <v>116</v>
      </c>
      <c r="N145" s="250" t="s">
        <v>117</v>
      </c>
      <c r="O145" s="250" t="s">
        <v>118</v>
      </c>
      <c r="P145" s="250" t="s">
        <v>119</v>
      </c>
      <c r="Q145" s="250" t="s">
        <v>120</v>
      </c>
      <c r="R145" s="250"/>
      <c r="S145" s="251"/>
      <c r="T145" s="247"/>
      <c r="U145" s="235"/>
      <c r="V145" s="235"/>
      <c r="W145" s="235"/>
      <c r="X145" s="235"/>
      <c r="Y145" s="235"/>
      <c r="Z145" s="235"/>
      <c r="AA145" s="240">
        <v>4</v>
      </c>
      <c r="AB145" s="241" t="str">
        <f>IF(AND(COUNTBLANK(I120:I123)=0,Group_players=4,M120=M121,M121=M123),IF(W130="","",IF(COUNTIF(W127:W130,W130)=3,"Tied",IF(AND(COUNTIF(W127:W130,W130)=1,W127&lt;&gt;W128),IF(M123=2,IF(SMALL(W127:W130,1)=W130,1,IF(SMALL(W127:W130,2)=W130,2,IF(SMALL(W127:W130,3)=W130,3))),IF(M123=1,IF(SMALL(W127:W130,1)=W130,2,IF(SMALL(W127:W130,2)=W130,3,IF(SMALL(W127:W130,3)=W130,4))),"")),IF(COUNTIF(W127:W130,W130)=1,IF(W130&lt;W127,IF(M123=2,1,2),IF(M123=2,3,4)),IF(COUNTIF(W127:W130,W130)=2,IF(W130=W127,IF(W130&lt;W128,IF(M123=2,IF(Q138=3,1,2),IF(M123=1,IF(Q138=3,2,3))),IF(W130&gt;W129,IF(M123=2,IF(Q138=3,2,3),IF(M123=1,IF(Q138=3,3,4))))),IF(W130=W128,IF(W130&lt;W127,IF(M123=2,IF(Q135=3,1,2),IF(M123=1,IF(Q135=3,2,3))),IF(W130&gt;W127,IF(M123=2,IF(Q135=3,2,3),IF(M123=1,IF(Q135=3,3,4)))))))))))),"")</f>
        <v/>
      </c>
      <c r="AC145" s="192"/>
      <c r="AD145" s="192"/>
      <c r="AE145" s="192"/>
      <c r="AF145" s="203"/>
      <c r="AG145" s="203"/>
      <c r="AH145" s="203"/>
      <c r="AI145" s="203"/>
      <c r="AJ145" s="203"/>
      <c r="AK145" s="203"/>
      <c r="AL145" s="229"/>
      <c r="AM145" s="203"/>
      <c r="AN145" s="192"/>
      <c r="AO145" s="192"/>
      <c r="AP145" s="192"/>
      <c r="AQ145" s="192"/>
      <c r="AR145" s="192"/>
      <c r="AS145" s="192"/>
      <c r="AT145" s="192" t="s">
        <v>9807</v>
      </c>
      <c r="AU145" s="192">
        <f t="shared" si="22"/>
        <v>26</v>
      </c>
      <c r="AV145" s="192"/>
      <c r="AW145" s="192"/>
      <c r="AX145" s="192"/>
    </row>
    <row r="146" spans="2:50" ht="15" customHeight="1" thickTop="1" x14ac:dyDescent="0.3">
      <c r="B146" s="192"/>
      <c r="C146" s="192"/>
      <c r="D146" s="192"/>
      <c r="E146" s="164" t="str">
        <f>IF(Q146="","",IF(Q146=3,1,0))</f>
        <v/>
      </c>
      <c r="F146" s="164" t="str">
        <f>IF(Q146="","",IF(Q146&lt;3,1,0))</f>
        <v/>
      </c>
      <c r="G146" s="192"/>
      <c r="H146" s="192" t="str">
        <f>IF(I123&lt;&gt;"",3,"")</f>
        <v/>
      </c>
      <c r="I146" s="192" t="str">
        <f>IF(ISNUMBER(H146),VLOOKUP(H146,H120:I123,2,TRUE),"")</f>
        <v/>
      </c>
      <c r="J146" s="192"/>
      <c r="K146" s="192" t="str">
        <f>VLOOKUP(I146,I120:L123,3,FALSE)</f>
        <v/>
      </c>
      <c r="L146" s="253"/>
      <c r="M146" s="254"/>
      <c r="N146" s="254"/>
      <c r="O146" s="152"/>
      <c r="P146" s="153"/>
      <c r="Q146" s="255" t="str">
        <f>IF(L146="","",IF(AND(L146-L147&gt;1,L146&gt;10),1,0)+IF(AND(M146-M147&gt;1,M146&gt;10),1,0)+IF(AND(N146-N147&gt;1,N146&gt;10),1,0)+IF(AND(O146-O147&gt;1,O146&gt;10),1,0)+IF(AND(P146-P147&gt;1,P146&gt;10),1,0))</f>
        <v/>
      </c>
      <c r="R146" s="203" t="str">
        <f>IF(AND(I146="",I147=""),"",ABS(VLOOKUP(I146,I120:L123,4,FALSE)-VLOOKUP(I147,I120:L123,4,FALSE)))</f>
        <v/>
      </c>
      <c r="S146" s="256" t="str">
        <f>IF(R147="","",IF(Q146=3,+R147,-R147))</f>
        <v/>
      </c>
      <c r="T146" s="247"/>
      <c r="U146" s="264"/>
      <c r="V146" s="242"/>
      <c r="W146" s="192"/>
      <c r="X146" s="264"/>
      <c r="Y146" s="192"/>
      <c r="Z146" s="192"/>
      <c r="AA146" s="243">
        <v>2</v>
      </c>
      <c r="AB146" s="222" t="str">
        <f>IF(AND(COUNTBLANK(I120:I123)=0,Group_players=4,M121=M122,M122=M123),IF(X128="","",IF(COUNTIF(X127:X130,X128)=3,"Tied",IF(AND(COUNTIF(X127:X130,X128)=1,X129&lt;&gt;X130),IF(M121=2,IF(SMALL(X127:X130,1)=X128,1,IF(SMALL(X127:X130,2)=X128,2,IF(SMALL(X127:X130,3)=X128,3))),IF(M121=1,IF(SMALL(X127:X130,1)=X128,2,IF(SMALL(X127:X130,2)=X128,3,IF(SMALL(X127:X130,3)=X128,4))),"")),IF(COUNTIF(X127:X130,X128)=1,IF(X128&lt;X130,IF(M121=2,1,2),IF(M121=1,4)),IF(COUNTIF(X127:X130,X128)=2,IF(X128=X129,IF(X128&lt;X130,IF(M121=2,IF(Q140=3,1,2),IF(M121=1,IF(Q140=3,2,3))),IF(X128&gt;X130,IF(M121=2,IF(Q140=3,2,3),IF(M121=1,IF(Q140=3,3,4))))),IF(X128=X130,IF(X128&lt;X129,IF(M121=2,IF(Q134=3,1,2),IF(M121=1,IF(Q134=3,2,3))),IF(X128&gt;X129,IF(M121=2,IF(Q134=3,2,3),IF(M121=1,IF(Q134=3,3,4)))))))))))),"")</f>
        <v/>
      </c>
      <c r="AC146" s="192"/>
      <c r="AD146" s="192"/>
      <c r="AE146" s="192"/>
      <c r="AF146" s="203"/>
      <c r="AG146" s="203"/>
      <c r="AH146" s="203"/>
      <c r="AI146" s="203"/>
      <c r="AJ146" s="203"/>
      <c r="AK146" s="203"/>
      <c r="AL146" s="229"/>
      <c r="AM146" s="203"/>
      <c r="AN146" s="192"/>
      <c r="AO146" s="192"/>
      <c r="AP146" s="192"/>
      <c r="AQ146" s="192"/>
      <c r="AR146" s="192"/>
      <c r="AS146" s="192"/>
      <c r="AT146" s="192" t="s">
        <v>9808</v>
      </c>
      <c r="AU146" s="192">
        <f t="shared" si="22"/>
        <v>27</v>
      </c>
      <c r="AV146" s="192"/>
      <c r="AW146" s="192"/>
      <c r="AX146" s="192"/>
    </row>
    <row r="147" spans="2:50" ht="15" customHeight="1" thickBot="1" x14ac:dyDescent="0.35">
      <c r="B147" s="192"/>
      <c r="C147" s="192"/>
      <c r="D147" s="192"/>
      <c r="E147" s="164" t="str">
        <f>IF(Q147="","",IF(Q147=3,1,0))</f>
        <v/>
      </c>
      <c r="F147" s="164" t="str">
        <f>IF(Q147="","",IF(Q147&lt;3,1,0))</f>
        <v/>
      </c>
      <c r="G147" s="192"/>
      <c r="H147" s="192" t="str">
        <f>IF(I123&lt;&gt;"",4,"")</f>
        <v/>
      </c>
      <c r="I147" s="192" t="str">
        <f>IF(ISNUMBER(H147),VLOOKUP(H147,H120:I123,2,TRUE),"")</f>
        <v/>
      </c>
      <c r="J147" s="192"/>
      <c r="K147" s="192" t="str">
        <f>VLOOKUP(I147,I120:L123,3,FALSE)</f>
        <v/>
      </c>
      <c r="L147" s="155"/>
      <c r="M147" s="259"/>
      <c r="N147" s="259"/>
      <c r="O147" s="156"/>
      <c r="P147" s="157"/>
      <c r="Q147" s="260" t="str">
        <f>IF(L147="","",IF(AND(L147-L146&gt;1,L147&gt;10),1,0)+IF(AND(M147-M146&gt;1,M147&gt;10),1,0)+IF(AND(N147-N146&gt;1,N147&gt;10),1,0)+IF(AND(O147-O146&gt;1,O147&gt;10),1,0)+IF(AND(P147-P146&gt;1,P147&gt;10),1,0))</f>
        <v/>
      </c>
      <c r="R147" s="203" t="str">
        <f>IF(AND(Q146&lt;&gt;3,Q147&lt;&gt;3),"",IF(Q146=3,IF(VLOOKUP(I146,I120:L123,4,FALSE)&gt;VLOOKUP(I147,I120:L123,4,FALSE),VLOOKUP(R146,Point_dif,2,FALSE),VLOOKUP(R146,Point_dif,3,FALSE)),IF(Q147=3,IF(VLOOKUP(I147,I120:L123,4,FALSE)&gt;VLOOKUP(I146,I120:L123,4,FALSE),VLOOKUP(R146,Point_dif,2,FALSE),VLOOKUP(R146,Point_dif,3,FALSE)))))</f>
        <v/>
      </c>
      <c r="S147" s="260" t="str">
        <f>IF(R147="","",IF(Q147=3,+R147,-R147))</f>
        <v/>
      </c>
      <c r="T147" s="247"/>
      <c r="U147" s="235"/>
      <c r="V147" s="235"/>
      <c r="W147" s="235"/>
      <c r="X147" s="235"/>
      <c r="Y147" s="235"/>
      <c r="Z147" s="235"/>
      <c r="AA147" s="246">
        <v>3</v>
      </c>
      <c r="AB147" s="222" t="str">
        <f>IF(AND(COUNTBLANK(I120:I123)=0,Group_players=4,Group_players=4,M121=M122,M122=M123),IF(X129="","",IF(COUNTIF(X127:X130,X129)=3,"Tied",IF(AND(COUNTIF(X127:X130,X129)=1,X128&lt;&gt;X130),IF(M122=2,IF(SMALL(X127:X130,1)=X129,1,IF(SMALL(X127:X130,2)=X129,2,IF(SMALL(X127:X130,3)=X129,3))),IF(M122=1,IF(SMALL(X127:X130,1)=X129,2,IF(SMALL(X127:X130,2)=X129,3,IF(SMALL(X127:X130,3)=X129,4))),"")),IF(COUNTIF(X127:X130,X129)=1,IF(X129&lt;X128,IF(M122=2,1,2),IF(M122=2,3,4)),IF(COUNTIF(X127:X130,X129)=2,IF(X129=X128,IF(X129&lt;X130,IF(M122=2,IF(Q141=3,1,2),IF(M122=1,IF(Q141=3,2,3))),IF(X129&gt;X130,IF(M122=2,IF(Q141=3,2,3),IF(M122=1,IF(Q141=3,3,4))))),IF(X129=X130,IF(X129&lt;X128,IF(M122=2,IF(Q146=3,1,2),IF(M122=1,IF(Q146=3,2,3))),IF(X129&gt;X128,IF(M122=2,IF(Q146=3,2,3),IF(M122=1,IF(Q146=3,3,4)))))))))))),"")</f>
        <v/>
      </c>
      <c r="AC147" s="192"/>
      <c r="AD147" s="192"/>
      <c r="AE147" s="192"/>
      <c r="AF147" s="203"/>
      <c r="AG147" s="203"/>
      <c r="AH147" s="203"/>
      <c r="AI147" s="203"/>
      <c r="AJ147" s="203"/>
      <c r="AK147" s="203"/>
      <c r="AL147" s="229"/>
      <c r="AM147" s="203"/>
      <c r="AN147" s="192"/>
      <c r="AO147" s="192"/>
      <c r="AP147" s="192"/>
      <c r="AQ147" s="192"/>
      <c r="AR147" s="192"/>
      <c r="AS147" s="192"/>
      <c r="AT147" s="192" t="s">
        <v>9809</v>
      </c>
      <c r="AU147" s="192">
        <f t="shared" si="22"/>
        <v>28</v>
      </c>
      <c r="AV147" s="192"/>
      <c r="AW147" s="192"/>
      <c r="AX147" s="192"/>
    </row>
    <row r="148" spans="2:50" ht="15" customHeight="1" thickTop="1" thickBot="1" x14ac:dyDescent="0.35">
      <c r="B148" s="192"/>
      <c r="C148" s="192"/>
      <c r="D148" s="192"/>
      <c r="E148" s="192"/>
      <c r="F148" s="192"/>
      <c r="G148" s="192"/>
      <c r="H148" s="192"/>
      <c r="I148" s="192"/>
      <c r="J148" s="192"/>
      <c r="K148" s="192"/>
      <c r="L148" s="192"/>
      <c r="M148" s="192"/>
      <c r="N148" s="192"/>
      <c r="O148" s="268"/>
      <c r="P148" s="192"/>
      <c r="Q148" s="192"/>
      <c r="R148" s="247"/>
      <c r="S148" s="247"/>
      <c r="T148" s="247"/>
      <c r="U148" s="235"/>
      <c r="V148" s="235"/>
      <c r="W148" s="235"/>
      <c r="X148" s="235"/>
      <c r="Y148" s="235"/>
      <c r="Z148" s="235"/>
      <c r="AA148" s="261">
        <v>4</v>
      </c>
      <c r="AB148" s="233" t="str">
        <f>IF(AND(COUNTBLANK(I120:I123)=0,Group_players=4,M121=M122,M122=M123),IF(X130="","",IF(COUNTIF(X127:X130,X130)=3,"Tied",IF(AND(COUNTIF(X127:X130,X130)=1,X129&lt;&gt;X128),IF(M123=2,IF(SMALL(X127:X130,1)=X130,1,IF(SMALL(X127:X130,2)=X130,2,IF(SMALL(X127:X130,3)=X130,3))),IF(M123=1,IF(SMALL(X127:X130,1)=X130,2,IF(SMALL(X127:X130,2)=X130,3,IF(SMALL(X127:X130,3)=X130,4))),"")),IF(COUNTIF(X127:X130,X130)=1,IF(X130&lt;X128,IF(M123=2,1,2),IF(M123=2,3,4)),IF(COUNTIF(X127:X130,X130)=2,IF(X130=X128,IF(X130&lt;X129,IF(M123=2,IF(Q135=3,1,2),IF(M123=1,IF(Q135=3,2,3))),IF(X130&gt;X129,IF(M123=2,IF(Q135=3,2,3),IF(M123=1,IF(Q135=3,3,4))))),IF(X130=X129,IF(X130&lt;X128,IF(M123=2,IF(Q147=3,1,2),IF(M123=1,IF(Q147=3,2,3))),IF(X130&gt;X128,IF(M123=2,IF(Q147=3,2,3),IF(M123=1,IF(Q147=3,3,4)))))))))))),"")</f>
        <v/>
      </c>
      <c r="AC148" s="192"/>
      <c r="AD148" s="192"/>
      <c r="AE148" s="192"/>
      <c r="AF148" s="203"/>
      <c r="AG148" s="203"/>
      <c r="AH148" s="203"/>
      <c r="AI148" s="203"/>
      <c r="AJ148" s="203"/>
      <c r="AK148" s="203"/>
      <c r="AL148" s="229"/>
      <c r="AM148" s="203"/>
      <c r="AN148" s="192"/>
      <c r="AO148" s="192"/>
      <c r="AP148" s="192"/>
      <c r="AQ148" s="192"/>
      <c r="AR148" s="192"/>
      <c r="AS148" s="192"/>
      <c r="AT148" s="192" t="s">
        <v>9810</v>
      </c>
      <c r="AU148" s="192">
        <f t="shared" si="22"/>
        <v>29</v>
      </c>
      <c r="AV148" s="192"/>
      <c r="AW148" s="192"/>
      <c r="AX148" s="192"/>
    </row>
    <row r="149" spans="2:50" ht="15" customHeight="1" thickTop="1" x14ac:dyDescent="0.3">
      <c r="B149" s="192"/>
      <c r="C149" s="192"/>
      <c r="D149" s="192"/>
      <c r="E149" s="192"/>
      <c r="F149" s="192"/>
      <c r="G149" s="192"/>
      <c r="H149" s="192"/>
      <c r="I149" s="192"/>
      <c r="J149" s="192"/>
      <c r="K149" s="192"/>
      <c r="L149" s="192"/>
      <c r="M149" s="192"/>
      <c r="N149" s="192"/>
      <c r="O149" s="192"/>
      <c r="P149" s="192"/>
      <c r="Q149" s="192"/>
      <c r="R149" s="192"/>
      <c r="S149" s="192"/>
      <c r="T149" s="203"/>
      <c r="U149" s="192"/>
      <c r="V149" s="192"/>
      <c r="W149" s="192"/>
      <c r="X149" s="192"/>
      <c r="Y149" s="192"/>
      <c r="Z149" s="192"/>
      <c r="AA149" s="192"/>
      <c r="AB149" s="192"/>
      <c r="AC149" s="192"/>
      <c r="AD149" s="192"/>
      <c r="AE149" s="192"/>
      <c r="AF149" s="203"/>
      <c r="AG149" s="203"/>
      <c r="AH149" s="203"/>
      <c r="AI149" s="203"/>
      <c r="AJ149" s="203"/>
      <c r="AK149" s="203"/>
      <c r="AL149" s="229"/>
      <c r="AM149" s="203"/>
      <c r="AN149" s="192"/>
      <c r="AO149" s="192"/>
      <c r="AP149" s="192"/>
      <c r="AQ149" s="192"/>
      <c r="AR149" s="192"/>
      <c r="AS149" s="192"/>
      <c r="AT149" s="192" t="s">
        <v>9811</v>
      </c>
      <c r="AU149" s="192">
        <f t="shared" si="22"/>
        <v>30</v>
      </c>
      <c r="AV149" s="192"/>
      <c r="AW149" s="192"/>
      <c r="AX149" s="192"/>
    </row>
    <row r="150" spans="2:50" ht="15" customHeight="1" x14ac:dyDescent="0.3">
      <c r="B150" s="192"/>
      <c r="C150" s="192"/>
      <c r="D150" s="192"/>
      <c r="E150" s="192"/>
      <c r="F150" s="192"/>
      <c r="G150" s="192"/>
      <c r="H150" s="192"/>
      <c r="I150" s="192"/>
      <c r="J150" s="192"/>
      <c r="K150" s="192"/>
      <c r="L150" s="192"/>
      <c r="M150" s="192"/>
      <c r="N150" s="192"/>
      <c r="O150" s="192"/>
      <c r="P150" s="192"/>
      <c r="Q150" s="192"/>
      <c r="R150" s="192"/>
      <c r="S150" s="192"/>
      <c r="T150" s="192"/>
      <c r="U150" s="192"/>
      <c r="V150" s="192"/>
      <c r="W150" s="192"/>
      <c r="X150" s="192"/>
      <c r="Y150" s="192"/>
      <c r="Z150" s="192"/>
      <c r="AA150" s="192"/>
      <c r="AB150" s="192"/>
      <c r="AC150" s="192"/>
      <c r="AD150" s="192"/>
      <c r="AE150" s="192"/>
      <c r="AF150" s="203"/>
      <c r="AG150" s="203"/>
      <c r="AH150" s="203"/>
      <c r="AI150" s="203"/>
      <c r="AJ150" s="203"/>
      <c r="AK150" s="203"/>
      <c r="AL150" s="203"/>
      <c r="AM150" s="203"/>
      <c r="AN150" s="192"/>
      <c r="AO150" s="192"/>
      <c r="AP150" s="192"/>
      <c r="AQ150" s="192"/>
      <c r="AR150" s="192"/>
      <c r="AS150" s="192"/>
      <c r="AT150" s="192" t="s">
        <v>9812</v>
      </c>
      <c r="AU150" s="192">
        <f t="shared" si="22"/>
        <v>31</v>
      </c>
      <c r="AV150" s="192"/>
      <c r="AW150" s="192"/>
      <c r="AX150" s="192"/>
    </row>
    <row r="151" spans="2:50" ht="15" customHeight="1" x14ac:dyDescent="0.3">
      <c r="B151" s="192"/>
      <c r="C151" s="192"/>
      <c r="D151" s="192"/>
      <c r="E151" s="192"/>
      <c r="F151" s="192"/>
      <c r="G151" s="192"/>
      <c r="H151" s="192"/>
      <c r="I151" s="192"/>
      <c r="J151" s="192"/>
      <c r="K151" s="192"/>
      <c r="L151" s="192"/>
      <c r="M151" s="192"/>
      <c r="N151" s="192"/>
      <c r="O151" s="192"/>
      <c r="P151" s="192"/>
      <c r="Q151" s="192"/>
      <c r="R151" s="192"/>
      <c r="S151" s="192"/>
      <c r="T151" s="192"/>
      <c r="U151" s="192"/>
      <c r="V151" s="192"/>
      <c r="W151" s="192"/>
      <c r="X151" s="192"/>
      <c r="Y151" s="192"/>
      <c r="Z151" s="269"/>
      <c r="AA151" s="192"/>
      <c r="AB151" s="192"/>
      <c r="AC151" s="192"/>
      <c r="AD151" s="192"/>
      <c r="AE151" s="192"/>
      <c r="AF151" s="203"/>
      <c r="AG151" s="203"/>
      <c r="AH151" s="203"/>
      <c r="AI151" s="203"/>
      <c r="AJ151" s="203"/>
      <c r="AK151" s="203"/>
      <c r="AL151" s="203"/>
      <c r="AM151" s="203"/>
      <c r="AN151" s="192"/>
      <c r="AO151" s="192"/>
      <c r="AP151" s="192"/>
      <c r="AQ151" s="192"/>
      <c r="AR151" s="192"/>
      <c r="AS151" s="192"/>
      <c r="AT151" s="192" t="s">
        <v>9813</v>
      </c>
      <c r="AU151" s="192">
        <f t="shared" si="22"/>
        <v>32</v>
      </c>
      <c r="AV151" s="192"/>
      <c r="AW151" s="192"/>
      <c r="AX151" s="192"/>
    </row>
    <row r="152" spans="2:50" ht="15" customHeight="1" x14ac:dyDescent="0.3">
      <c r="B152" s="192"/>
      <c r="C152" s="192"/>
      <c r="D152" s="192"/>
      <c r="E152" s="192"/>
      <c r="F152" s="192"/>
      <c r="G152" s="192"/>
      <c r="H152" s="192"/>
      <c r="I152" s="192"/>
      <c r="J152" s="192"/>
      <c r="K152" s="192"/>
      <c r="L152" s="192"/>
      <c r="M152" s="192"/>
      <c r="N152" s="192"/>
      <c r="O152" s="192"/>
      <c r="P152" s="192"/>
      <c r="Q152" s="192"/>
      <c r="R152" s="192"/>
      <c r="S152" s="192"/>
      <c r="T152" s="192"/>
      <c r="U152" s="192"/>
      <c r="V152" s="192"/>
      <c r="W152" s="192"/>
      <c r="X152" s="192"/>
      <c r="Y152" s="192"/>
      <c r="Z152" s="192"/>
      <c r="AA152" s="192"/>
      <c r="AB152" s="192"/>
      <c r="AC152" s="192"/>
      <c r="AD152" s="192"/>
      <c r="AE152" s="192"/>
      <c r="AF152" s="203"/>
      <c r="AG152" s="203"/>
      <c r="AH152" s="203"/>
      <c r="AI152" s="203"/>
      <c r="AJ152" s="203"/>
      <c r="AK152" s="203"/>
      <c r="AL152" s="203"/>
      <c r="AM152" s="203"/>
      <c r="AN152" s="192"/>
      <c r="AO152" s="192"/>
      <c r="AP152" s="192"/>
      <c r="AQ152" s="192"/>
      <c r="AR152" s="192"/>
      <c r="AS152" s="192"/>
      <c r="AT152" s="192" t="s">
        <v>9814</v>
      </c>
      <c r="AU152" s="192">
        <f t="shared" si="22"/>
        <v>33</v>
      </c>
      <c r="AV152" s="192"/>
      <c r="AW152" s="192"/>
      <c r="AX152" s="192"/>
    </row>
    <row r="153" spans="2:50" ht="15" customHeight="1" x14ac:dyDescent="0.3">
      <c r="B153" s="192"/>
      <c r="C153" s="192"/>
      <c r="D153" s="192"/>
      <c r="E153" s="192"/>
      <c r="F153" s="192"/>
      <c r="G153" s="192"/>
      <c r="H153" s="192"/>
      <c r="I153" s="192"/>
      <c r="J153" s="192"/>
      <c r="K153" s="192"/>
      <c r="L153" s="192"/>
      <c r="M153" s="192"/>
      <c r="N153" s="192"/>
      <c r="O153" s="192"/>
      <c r="P153" s="192"/>
      <c r="Q153" s="192"/>
      <c r="R153" s="192"/>
      <c r="S153" s="192"/>
      <c r="T153" s="192"/>
      <c r="U153" s="192"/>
      <c r="V153" s="192"/>
      <c r="W153" s="192"/>
      <c r="X153" s="192"/>
      <c r="Y153" s="192"/>
      <c r="Z153" s="192"/>
      <c r="AA153" s="192"/>
      <c r="AB153" s="192"/>
      <c r="AC153" s="192"/>
      <c r="AD153" s="192"/>
      <c r="AE153" s="192"/>
      <c r="AF153" s="203"/>
      <c r="AG153" s="203"/>
      <c r="AH153" s="203"/>
      <c r="AI153" s="203"/>
      <c r="AJ153" s="203"/>
      <c r="AK153" s="203"/>
      <c r="AL153" s="203"/>
      <c r="AM153" s="203"/>
      <c r="AN153" s="192"/>
      <c r="AO153" s="192"/>
      <c r="AP153" s="192"/>
      <c r="AQ153" s="192"/>
      <c r="AR153" s="192"/>
      <c r="AS153" s="192"/>
      <c r="AT153" s="192" t="s">
        <v>9815</v>
      </c>
      <c r="AU153" s="192">
        <f t="shared" si="22"/>
        <v>34</v>
      </c>
      <c r="AV153" s="192"/>
      <c r="AW153" s="192"/>
      <c r="AX153" s="192"/>
    </row>
    <row r="154" spans="2:50" ht="15" customHeight="1" thickBot="1" x14ac:dyDescent="0.4">
      <c r="B154" s="192"/>
      <c r="C154" s="192"/>
      <c r="D154" s="192"/>
      <c r="E154" s="192"/>
      <c r="F154" s="192"/>
      <c r="G154" s="192"/>
      <c r="H154" s="192"/>
      <c r="I154" s="383" t="s">
        <v>127</v>
      </c>
      <c r="J154" s="383"/>
      <c r="K154" s="383"/>
      <c r="L154" s="383"/>
      <c r="M154" s="383"/>
      <c r="N154" s="383"/>
      <c r="O154" s="383"/>
      <c r="P154" s="383"/>
      <c r="Q154" s="383"/>
      <c r="R154" s="383"/>
      <c r="S154" s="192"/>
      <c r="T154" s="192"/>
      <c r="U154" s="370" t="s">
        <v>92</v>
      </c>
      <c r="V154" s="371"/>
      <c r="W154" s="371"/>
      <c r="X154" s="372"/>
      <c r="Y154" s="192"/>
      <c r="Z154" s="192"/>
      <c r="AA154" s="192"/>
      <c r="AB154" s="192"/>
      <c r="AC154" s="192"/>
      <c r="AD154" s="192"/>
      <c r="AE154" s="192"/>
      <c r="AF154" s="203"/>
      <c r="AG154" s="203"/>
      <c r="AH154" s="203"/>
      <c r="AI154" s="203"/>
      <c r="AJ154" s="203"/>
      <c r="AK154" s="203"/>
      <c r="AL154" s="203"/>
      <c r="AM154" s="203"/>
      <c r="AN154" s="192"/>
      <c r="AO154" s="192"/>
      <c r="AP154" s="192"/>
      <c r="AQ154" s="192"/>
      <c r="AR154" s="192"/>
      <c r="AS154" s="192"/>
      <c r="AT154" s="192" t="s">
        <v>9816</v>
      </c>
      <c r="AU154" s="192">
        <f t="shared" si="22"/>
        <v>35</v>
      </c>
      <c r="AV154" s="192"/>
      <c r="AW154" s="192"/>
      <c r="AX154" s="192"/>
    </row>
    <row r="155" spans="2:50" ht="15" customHeight="1" thickTop="1" thickBot="1" x14ac:dyDescent="0.35">
      <c r="B155" s="192"/>
      <c r="C155" s="192"/>
      <c r="D155" s="192"/>
      <c r="E155" s="192"/>
      <c r="F155" s="192"/>
      <c r="G155" s="192"/>
      <c r="H155" s="192"/>
      <c r="I155" s="400" t="s">
        <v>93</v>
      </c>
      <c r="J155" s="160"/>
      <c r="K155" s="396" t="s">
        <v>94</v>
      </c>
      <c r="L155" s="398" t="s">
        <v>95</v>
      </c>
      <c r="M155" s="390" t="s">
        <v>96</v>
      </c>
      <c r="N155" s="390" t="s">
        <v>97</v>
      </c>
      <c r="O155" s="373" t="s">
        <v>98</v>
      </c>
      <c r="P155" s="373" t="str">
        <f>IF(COUNT(U156:X167)=3,"LM/WM Ratio",IF(COUNT(U156:X167)=6,"LP/WP Ratio",""))</f>
        <v/>
      </c>
      <c r="Q155" s="390" t="s">
        <v>99</v>
      </c>
      <c r="R155" s="392" t="s">
        <v>100</v>
      </c>
      <c r="S155" s="192"/>
      <c r="T155" s="120"/>
      <c r="U155" s="121" t="s">
        <v>101</v>
      </c>
      <c r="V155" s="122" t="s">
        <v>102</v>
      </c>
      <c r="W155" s="122" t="s">
        <v>103</v>
      </c>
      <c r="X155" s="123" t="s">
        <v>104</v>
      </c>
      <c r="Y155" s="380" t="s">
        <v>105</v>
      </c>
      <c r="Z155" s="379"/>
      <c r="AA155" s="378" t="s">
        <v>106</v>
      </c>
      <c r="AB155" s="379"/>
      <c r="AC155" s="192"/>
      <c r="AD155" s="192"/>
      <c r="AE155" s="203"/>
      <c r="AF155" s="203"/>
      <c r="AG155" s="203"/>
      <c r="AH155" s="203"/>
      <c r="AI155" s="203"/>
      <c r="AJ155" s="203"/>
      <c r="AK155" s="203"/>
      <c r="AL155" s="203"/>
      <c r="AM155" s="203"/>
      <c r="AN155" s="192"/>
      <c r="AO155" s="192"/>
      <c r="AP155" s="192"/>
      <c r="AQ155" s="192"/>
      <c r="AR155" s="192"/>
      <c r="AS155" s="192"/>
      <c r="AT155" s="192" t="s">
        <v>9817</v>
      </c>
      <c r="AU155" s="192">
        <f t="shared" si="22"/>
        <v>36</v>
      </c>
      <c r="AV155" s="192"/>
      <c r="AW155" s="192"/>
      <c r="AX155" s="192"/>
    </row>
    <row r="156" spans="2:50" ht="15" customHeight="1" thickTop="1" thickBot="1" x14ac:dyDescent="0.35">
      <c r="B156" s="192"/>
      <c r="C156" s="192"/>
      <c r="D156" s="192"/>
      <c r="E156" s="192"/>
      <c r="F156" s="192"/>
      <c r="G156" s="192"/>
      <c r="H156" s="192"/>
      <c r="I156" s="401"/>
      <c r="J156" s="161"/>
      <c r="K156" s="397"/>
      <c r="L156" s="399"/>
      <c r="M156" s="391"/>
      <c r="N156" s="391"/>
      <c r="O156" s="374"/>
      <c r="P156" s="374"/>
      <c r="Q156" s="391"/>
      <c r="R156" s="393"/>
      <c r="S156" s="192"/>
      <c r="T156" s="208">
        <v>1</v>
      </c>
      <c r="U156" s="209" t="str">
        <f>IF(M157="","",IF(COUNTIF(M157:M159,M157)=3,IF(COUNTBLANK(I157:I160)=1,(Q169+Q175)/(Q168+Q174),IF(COUNTBLANK(I157:I160)=0,(Q181+Q169)/(Q180+Q168),"")),""))</f>
        <v/>
      </c>
      <c r="V156" s="125" t="str">
        <f>IF(AND(COUNTBLANK(I157:I160)=0,M157=M159,M159=M160),(Q169+Q175)/(Q168+Q174),"")</f>
        <v/>
      </c>
      <c r="W156" s="210" t="str">
        <f>IF(AND(COUNTBLANK(I157:I160)=0,M157=M158,M158=M160),(Q181+Q175)/(Q180+Q174),"")</f>
        <v/>
      </c>
      <c r="X156" s="211"/>
      <c r="Y156" s="169" t="s">
        <v>93</v>
      </c>
      <c r="Z156" s="170" t="s">
        <v>107</v>
      </c>
      <c r="AA156" s="169" t="s">
        <v>93</v>
      </c>
      <c r="AB156" s="170" t="s">
        <v>107</v>
      </c>
      <c r="AC156" s="192"/>
      <c r="AD156" s="192"/>
      <c r="AE156" s="192"/>
      <c r="AF156" s="203"/>
      <c r="AG156" s="203"/>
      <c r="AH156" s="203"/>
      <c r="AI156" s="203"/>
      <c r="AJ156" s="203"/>
      <c r="AK156" s="203"/>
      <c r="AL156" s="203"/>
      <c r="AM156" s="203"/>
      <c r="AN156" s="192"/>
      <c r="AO156" s="192"/>
      <c r="AP156" s="192"/>
      <c r="AQ156" s="192"/>
      <c r="AR156" s="192"/>
      <c r="AS156" s="192"/>
      <c r="AT156" s="192" t="s">
        <v>9818</v>
      </c>
      <c r="AU156" s="192">
        <f t="shared" si="22"/>
        <v>37</v>
      </c>
      <c r="AV156" s="192"/>
      <c r="AW156" s="192"/>
      <c r="AX156" s="192"/>
    </row>
    <row r="157" spans="2:50" ht="15" customHeight="1" thickTop="1" thickBot="1" x14ac:dyDescent="0.35">
      <c r="B157" s="192"/>
      <c r="C157" s="192"/>
      <c r="D157" s="192"/>
      <c r="E157" s="192"/>
      <c r="F157" s="192" t="str">
        <f>IF(I157="","",VLOOKUP(I157,Siembra,2,FALSE))</f>
        <v/>
      </c>
      <c r="G157" s="192" t="str">
        <f>O157</f>
        <v/>
      </c>
      <c r="H157" s="192">
        <v>1</v>
      </c>
      <c r="I157" s="128" t="str">
        <f>IF(K157="","",IF(ISNUMBER(Sorteo!$A$17),VLOOKUP(K157,Draw,2,FALSE),""))</f>
        <v/>
      </c>
      <c r="J157" s="129" t="str">
        <f>O157</f>
        <v/>
      </c>
      <c r="K157" s="130" t="str">
        <f>IF($K$9="","",IF(Group_players=4,IF(Tablas!BL$3="","",Tablas!BL$3),IF(Group_players=3,IF(Tablas!BL$11="","",Tablas!BL$11),"")))</f>
        <v/>
      </c>
      <c r="L157" s="131" t="str">
        <f>IF(K157="","",VLOOKUP(I157,Siembra,3,FALSE))</f>
        <v/>
      </c>
      <c r="M157" s="132" t="str">
        <f>IF(AND(Q168="",Q169=""),"",IF(I157="","",SUMIFS(E168:E184,I168:I184,I157)))</f>
        <v/>
      </c>
      <c r="N157" s="132" t="str">
        <f>IF(M157="","",IF(I157="","",SUMIFS(F168:F184,I168:I184,I157)))</f>
        <v/>
      </c>
      <c r="O157" s="132" t="str">
        <f>IF(M157="","",IF(COUNTBLANK(I157:I160)=1,IF(M157=2,1,IF(M157=0,3,IF(AND(M157=1,M158&lt;&gt;1),2,IF(COUNTIF(M157:M159,1)&gt;1,Z157)))),IF(COUNTBLANK(I157:I160)=0,IF(COUNTIF(M157:M160,M157)=1,IF(M157=3,1,IF(M157=2,2,IF(M157=1,3,IF(M157=0,4)))),IF(Group_players=3,Z157,IF(COUNTIF(M157:M160,M157)=2,AB157,IF(AND(M157=M158,M158=M159),AB161,IF(AND(M157=M159,M159=M160),AB164,IF(AND(M157=M158,M158=M160),AB167,"")))))),99)))</f>
        <v/>
      </c>
      <c r="P157" s="133" t="str">
        <f>IF(COUNT(U156:X167)=3,IF(ISNUMBER(U156),U156,IF(ISNUMBER(V156),V156,IF(ISNUMBER(W156),W156,IF(X156="","")))),IF(COUNT(U156:X167)=6,IF(ISNUMBER(U164),U164,IF(ISNUMBER(V164),V164,IF(ISNUMBER(W164),W164,IF(ISBLANK(X156),"")))),""))</f>
        <v/>
      </c>
      <c r="Q157" s="132" t="str">
        <f>IF(M157="","",SUMIF(I168:S184,I157,S168:S184))</f>
        <v/>
      </c>
      <c r="R157" s="134" t="str">
        <f>IF(M157="","",L157+Q157)</f>
        <v/>
      </c>
      <c r="S157" s="203"/>
      <c r="T157" s="208">
        <v>2</v>
      </c>
      <c r="U157" s="209" t="str">
        <f>IF(M158="","",IF(COUNTIF(M157:M159,M158)=3,IF(COUNTBLANK(I157:I160)=1,(Q172+Q174)/(Q171+Q175),IF(COUNTBLANK(I157:I160)=0,(Q178+Q180)/(Q177+Q181),"")),""))</f>
        <v/>
      </c>
      <c r="V157" s="135"/>
      <c r="W157" s="212" t="str">
        <f>IF(AND(COUNTBLANK(I157:I160)=0,M158=M157,M157=M160),(Q180+Q172)/(Q181+Q171),"")</f>
        <v/>
      </c>
      <c r="X157" s="213" t="str">
        <f>IF(AND(COUNTBLANK(I157:I160)=0,M158=M159,M159=M160),(Q178+Q172)/(Q177+Q171),"")</f>
        <v/>
      </c>
      <c r="Y157" s="214">
        <v>1</v>
      </c>
      <c r="Z157" s="215" t="str">
        <f>IF(U156="","",IF(OR(Group_players=3,AND(Group_players=4,COUNTBLANK(I157:I160)=1)),IF(COUNTIF(M157:M159,M157)=1,"",IF(AND(U156=U157,U157=U158),Z161,IF(AND(U156&lt;&gt;U157,U156&lt;&gt;U158,U157&lt;&gt;U158),(IF(SMALL(U156:U158,1)=U156,1,IF(SMALL(U156:U158,2)=U156,2,IF(SMALL(U156:U158,3)=U156,3)))),IF(AND(U156&lt;U157,U157=U158),1,IF(AND(U156&gt;U157,U157=U158),3,IF(AND(U156=U157,U156&lt;U158),(IF(Q174=3,1,2)),IF(AND(U156=U157,U156&gt;U158),(IF(Q174=3,2,3)),IF(AND(U156=U158,U156&lt;U157),(IF(Q168=3,1,2)),IF(AND(U156=U158,U156&gt;U157),(IF(Q168=3,2,3)),99))))))))),""))</f>
        <v/>
      </c>
      <c r="AA157" s="216">
        <v>1</v>
      </c>
      <c r="AB157" s="217" t="str">
        <f>IF(COUNTIF(M157:M160,M157)&lt;&gt;2,"",IF(COUNTIF(M157:M160,M157)=1,"",IF(AND(COUNTIF(M157:M160,M157)=2,M157=2),IF(M157=M158,IF(Q180=3,1,2),IF(M157=M159,IF(Q168=3,1,2),IF(M157=M160,IF(Q174=3,1,2)))),IF(AND(COUNTIF(M157:M160,M157)=2,M157=1),IF(M157=M158,IF(Q180=3,3,4),IF(M157=M159,IF(Q168=3,3,4),IF(M157=M160,IF(Q174=3,3,4)))),IF(COUNTIF(M157:M160,M157)=3,AB161)))))</f>
        <v/>
      </c>
      <c r="AC157" s="192"/>
      <c r="AD157" s="192"/>
      <c r="AE157" s="192"/>
      <c r="AF157" s="203"/>
      <c r="AG157" s="203"/>
      <c r="AH157" s="203"/>
      <c r="AI157" s="203"/>
      <c r="AJ157" s="203"/>
      <c r="AK157" s="203"/>
      <c r="AL157" s="203"/>
      <c r="AM157" s="203"/>
      <c r="AN157" s="192"/>
      <c r="AO157" s="192"/>
      <c r="AP157" s="192"/>
      <c r="AQ157" s="192"/>
      <c r="AR157" s="192"/>
      <c r="AS157" s="192"/>
      <c r="AT157" s="192" t="s">
        <v>9819</v>
      </c>
      <c r="AU157" s="192">
        <f t="shared" si="22"/>
        <v>38</v>
      </c>
      <c r="AV157" s="192"/>
      <c r="AW157" s="192"/>
      <c r="AX157" s="192"/>
    </row>
    <row r="158" spans="2:50" ht="15" customHeight="1" thickTop="1" thickBot="1" x14ac:dyDescent="0.35">
      <c r="B158" s="192"/>
      <c r="C158" s="192"/>
      <c r="D158" s="192"/>
      <c r="E158" s="192"/>
      <c r="F158" s="192" t="str">
        <f>IF(I158="","",VLOOKUP(I158,Siembra,2,FALSE))</f>
        <v/>
      </c>
      <c r="G158" s="192" t="str">
        <f>O158</f>
        <v/>
      </c>
      <c r="H158" s="192">
        <v>2</v>
      </c>
      <c r="I158" s="128" t="str">
        <f>IF(K158="","",IF(ISNUMBER(Sorteo!$A$17),VLOOKUP(K158,Draw,2,FALSE),""))</f>
        <v/>
      </c>
      <c r="J158" s="129" t="str">
        <f>O158</f>
        <v/>
      </c>
      <c r="K158" s="136" t="str">
        <f>IF($K$9="","",IF(Group_players=4,IF(Tablas!BL$4="","",Tablas!BL$4),IF(Group_players=3,IF(Tablas!BL$12="","",Tablas!BL$12),"")))</f>
        <v/>
      </c>
      <c r="L158" s="137" t="str">
        <f>IF(K158="","",VLOOKUP(I158,Siembra,3,FALSE))</f>
        <v/>
      </c>
      <c r="M158" s="132" t="str">
        <f>IF(AND(L168="",L169=""),"",IF(I158="","",SUMIFS(E168:E185,I168:I185,I158)))</f>
        <v/>
      </c>
      <c r="N158" s="138" t="str">
        <f>IF(M158="","",IF(I158="","",SUMIFS(F168:F184,I168:I184,I158)))</f>
        <v/>
      </c>
      <c r="O158" s="132" t="str">
        <f>IF(M158="","",IF(COUNTBLANK(I157:I160)=1,IF(M158=2,1,IF(M158=0,3,IF(AND(M158=1,M159&lt;&gt;1),2,IF(COUNTIF(M157:M160,1)&gt;1,Z158)))),IF(COUNTBLANK(I157:I160)=0,IF(COUNTIF(M157:M160,M158)=1,IF(M158=3,1,IF(M158=2,2,IF(M158=1,3,IF(M158=0,4)))),IF(Group_players=3,Z158,IF(COUNTIF(M157:M160,M158)=2,AB158,IF(AND(M158=M157,M157=M159),AB162,IF(AND(M158=M157,M157=M160),AB168,IF(AND(M158=M159,M159=M160),AB170,"")))))))))</f>
        <v/>
      </c>
      <c r="P158" s="133" t="str">
        <f>IF(COUNT(U156:X167)=3,IF(ISNUMBER(U157),U157,IF(ISNUMBER(W157),W157,IF(ISNUMBER(X157),X157,IF(X157="","")))),IF(COUNT(U156:X167)=6,IF(ISNUMBER(U165),U165,IF(ISNUMBER(W165),W165,IF(ISNUMBER(X165),X165,IF(ISBLANK(X164),"")))),""))</f>
        <v/>
      </c>
      <c r="Q158" s="138" t="str">
        <f>IF(M158="","",SUMIF(I168:S184,I158,S168:$S184))</f>
        <v/>
      </c>
      <c r="R158" s="139" t="str">
        <f>IF(M158="","",L158+Q158)</f>
        <v/>
      </c>
      <c r="S158" s="203"/>
      <c r="T158" s="208">
        <v>3</v>
      </c>
      <c r="U158" s="209" t="str">
        <f>IF(M159="","",IF(COUNTIF(M157:M159,M159)=3,IF(COUNTBLANK(I157:I160)=1,(Q168+Q171)/(Q169+Q172),IF(COUNTBLANK(I157:I160)=0,(Q168+Q177)/(Q169+Q178),"")),""))</f>
        <v/>
      </c>
      <c r="V158" s="125" t="str">
        <f>IF(AND(COUNTBLANK(I157:I160)=0,M159=M160,M160=M157),(Q168+Q184)/(Q169+Q183),"")</f>
        <v/>
      </c>
      <c r="W158" s="218"/>
      <c r="X158" s="213" t="str">
        <f>IF(AND(COUNTBLANK(I157:I160)=0,M159=M160,M160=M158),(Q177+Q184)/(Q178+Q183),"")</f>
        <v/>
      </c>
      <c r="Y158" s="219">
        <v>2</v>
      </c>
      <c r="Z158" s="220" t="str">
        <f>IF(U157="","",IF(OR(Group_players=3,AND(Group_players=4,COUNTBLANK(I157:I160)=1)),IF(COUNTIF(M157:M159,M158)=1,"",IF(AND(U157=U156,U157=U158),Z162,IF(AND(U157&lt;&gt;U156,U157&lt;&gt;U158,U156&lt;&gt;U158),(IF(SMALL(U156:U158,1)=U157,1,IF(SMALL(U156:U158,2)=U157,2,IF(SMALL(U156:U158,3)=U157,3)))),IF(AND(U157&lt;U156,U156=U158),1,IF(AND(U157&gt;U156,U156=U158),3,IF(AND(U157=U156,U157&lt;U158),(IF(Q175=3,1,2)),IF(AND(U157=U156,U157&gt;U158),(IF(Q175=3,2,3)),IF(AND(U157=U158,U157&lt;U156),(IF(Q171=3,1,2)),IF(AND(U157=U158,U157&gt;U156),(IF(Q171=3,2,3)),99))))))))),""))</f>
        <v/>
      </c>
      <c r="AA158" s="221">
        <v>2</v>
      </c>
      <c r="AB158" s="222" t="str">
        <f>IF(COUNTIF(M157:M160,M158)&lt;&gt;2,"",IF(COUNTIF(M157:M160,M158)=1,"",IF(AND(COUNTIF(M157:M160,M158)=2,M158=2),IF(M158=M157,IF(Q181=3,1,2),IF(M158=M159,IF(Q177=3,1,2),IF(M158=M160,IF(Q171=3,1,2)))),IF(AND(COUNTIF(M157:M160,M158)=2,M158=1),IF(M158=M157,IF(Q181=3,3,4),IF(M158=M159,IF(Q177=3,3,4),IF(M158=M160,IF(Q171=3,3,4)))),AB163))))</f>
        <v/>
      </c>
      <c r="AC158" s="192"/>
      <c r="AD158" s="192"/>
      <c r="AE158" s="192"/>
      <c r="AF158" s="203"/>
      <c r="AG158" s="203"/>
      <c r="AH158" s="203"/>
      <c r="AI158" s="203"/>
      <c r="AJ158" s="203"/>
      <c r="AK158" s="203"/>
      <c r="AL158" s="203"/>
      <c r="AM158" s="203"/>
      <c r="AN158" s="192"/>
      <c r="AO158" s="192"/>
      <c r="AP158" s="192"/>
      <c r="AQ158" s="192"/>
      <c r="AR158" s="192"/>
      <c r="AS158" s="192"/>
      <c r="AT158" s="192" t="s">
        <v>9820</v>
      </c>
      <c r="AU158" s="192">
        <f t="shared" si="22"/>
        <v>39</v>
      </c>
      <c r="AV158" s="192"/>
      <c r="AW158" s="192"/>
      <c r="AX158" s="192"/>
    </row>
    <row r="159" spans="2:50" ht="15" customHeight="1" thickBot="1" x14ac:dyDescent="0.35">
      <c r="B159" s="192"/>
      <c r="C159" s="192"/>
      <c r="D159" s="192"/>
      <c r="E159" s="192"/>
      <c r="F159" s="192" t="str">
        <f>IF(I159="","",VLOOKUP(I159,Siembra,2,FALSE))</f>
        <v/>
      </c>
      <c r="G159" s="192" t="str">
        <f>O159</f>
        <v/>
      </c>
      <c r="H159" s="192">
        <v>3</v>
      </c>
      <c r="I159" s="128" t="str">
        <f>IF(K159="","",IF(ISNUMBER(Sorteo!$A$17),VLOOKUP(K159,Draw,2,FALSE),""))</f>
        <v/>
      </c>
      <c r="J159" s="129" t="str">
        <f>O159</f>
        <v/>
      </c>
      <c r="K159" s="136" t="str">
        <f>IF($K$9="","",IF(Group_players=4,IF(Tablas!BL$5="","",Tablas!BL$5),IF(Group_players=3,IF(Tablas!BL$13="","",Tablas!BL$13),"")))</f>
        <v/>
      </c>
      <c r="L159" s="137" t="str">
        <f>IF(K159="","",VLOOKUP(I159,Siembra,3,FALSE))</f>
        <v/>
      </c>
      <c r="M159" s="132" t="str">
        <f>IF(AND(L169="",L168=""),"",IF(I159="","",SUMIFS(E168:E186,I168:I186,I159)))</f>
        <v/>
      </c>
      <c r="N159" s="138" t="str">
        <f>IF(M159="","",IF(I159="","",SUMIFS(F168:F184,I168:I184,I159)))</f>
        <v/>
      </c>
      <c r="O159" s="132" t="str">
        <f>IF(M159="","",IF(COUNTBLANK(I157:I160)=1,IF(M159=2,1,IF(M159=0,3,IF(AND(M159=1,M159&lt;&gt;M157),2,IF(COUNTIF(M157:M160,1)&gt;1,Z159)))),IF(COUNTBLANK(I157:I160)=0,IF(COUNTIF(M157:M160,M159)=1,IF(M159=3,1,IF(M159=2,2,IF(M159=1,3,IF(M159=0,4)))),IF(Group_players=3,Z159,IF(COUNTIF(M157:M160,M159)=2,AB159,IF(AND(M159=M157,M157=M158),AB163,IF(AND(M159=M157,M157=M160),AB165,IF(AND(M159=M158,M158=M160),AB171,"")))))))))</f>
        <v/>
      </c>
      <c r="P159" s="133" t="str">
        <f>IF(COUNT(U156:X167)=3,IF(ISNUMBER(U158),U158,IF(ISNUMBER(V158),V158,IF(ISNUMBER(X158),X158,IF(W158="","")))),IF(COUNT(U156:X167)=6,IF(ISNUMBER(U166),U166,IF(ISNUMBER(V166),V166,IF(ISNUMBER(X166),X166,""))),""))</f>
        <v/>
      </c>
      <c r="Q159" s="138" t="str">
        <f>IF(M159="","",SUMIF(I168:S184,I159,S168:S184))</f>
        <v/>
      </c>
      <c r="R159" s="139" t="str">
        <f>IF(M159="","",L159+Q159)</f>
        <v/>
      </c>
      <c r="S159" s="203"/>
      <c r="T159" s="208">
        <v>4</v>
      </c>
      <c r="U159" s="223"/>
      <c r="V159" s="140" t="str">
        <f>IF(AND(COUNTBLANK(I157:I160)=0,M160=M157,M157=M159),(Q174+Q183)/(Q175+Q184),"")</f>
        <v/>
      </c>
      <c r="W159" s="224" t="str">
        <f>IF(AND(COUNTBLANK(I157:I160)=0,M160=M157,M157=M158),(Q174+Q171)/(Q175+Q172),"")</f>
        <v/>
      </c>
      <c r="X159" s="225" t="str">
        <f>IF(AND(COUNTBLANK(I157:I160)=0,M160=M158,M158=M159),(Q171+Q183)/(Q172+Q184),"")</f>
        <v/>
      </c>
      <c r="Y159" s="226">
        <v>3</v>
      </c>
      <c r="Z159" s="227" t="str">
        <f>IF(U158="","",IF(OR(Group_players=3,AND(Group_players=4,COUNTBLANK(I157:I160)=1)),IF(COUNTIF(M157:M159,M159)=1,"",IF(AND(U158=U156,U158=U157),Z163,IF(AND(U158&lt;&gt;U157,U157&lt;&gt;U156,U158&lt;&gt;U156),(IF(SMALL(U156:U158,1)=U158,1,IF(SMALL(U156:U158,2)=U158,2,IF(SMALL(U156:U158,3)=U158,3)))),IF(AND(U158&lt;U157,U157=U156),1,IF(AND(U158&gt;U157,U157=U156),3,IF(AND(U158=U157,U158&lt;U156),(IF(Q172=3,1,2)),IF(AND(U158=U157,U158&gt;U156),(IF(Q172=3,2,3)),IF(AND(U158=U156,U158&lt;U157),(IF(Q169=3,1,2)),IF(AND(U158=U156,U158&gt;U157),(IF(Q169=3,2,3)),99))))))))),""))</f>
        <v/>
      </c>
      <c r="AA159" s="221">
        <v>3</v>
      </c>
      <c r="AB159" s="222" t="str">
        <f>IF(COUNTIF(M157:M160,M159)&lt;&gt;2,"",IF(COUNTIF(M157:M160,M159)=1,"",IF(AND(COUNTIF(M157:M160,M159)=2,M159=2),IF(M159=M157,IF(Q169=3,1,2),IF(M159=M158,IF(Q178=3,1,2),IF(M159=M160,IF(Q183=3,1,2)))),IF(AND(COUNTIF(M157:M160,M159)=2,M159=1),IF(M159=M157,IF(Q169=3,3,4),IF(M159=M158,IF(Q178=3,3,4),IF(M159=M160,IF(Q183=3,3,4)))),AB163))))</f>
        <v/>
      </c>
      <c r="AC159" s="192"/>
      <c r="AD159" s="192"/>
      <c r="AE159" s="192"/>
      <c r="AF159" s="203"/>
      <c r="AG159" s="203"/>
      <c r="AH159" s="203"/>
      <c r="AI159" s="203"/>
      <c r="AJ159" s="203"/>
      <c r="AK159" s="203"/>
      <c r="AL159" s="203"/>
      <c r="AM159" s="203"/>
      <c r="AN159" s="192"/>
      <c r="AO159" s="192"/>
      <c r="AP159" s="192"/>
      <c r="AQ159" s="192"/>
      <c r="AR159" s="192"/>
      <c r="AS159" s="192"/>
      <c r="AT159" s="192" t="s">
        <v>9821</v>
      </c>
      <c r="AU159" s="192">
        <f t="shared" si="22"/>
        <v>40</v>
      </c>
      <c r="AV159" s="192"/>
      <c r="AW159" s="192"/>
      <c r="AX159" s="192"/>
    </row>
    <row r="160" spans="2:50" ht="15" customHeight="1" thickTop="1" thickBot="1" x14ac:dyDescent="0.35">
      <c r="B160" s="192"/>
      <c r="C160" s="192"/>
      <c r="D160" s="192"/>
      <c r="E160" s="192"/>
      <c r="F160" s="192" t="str">
        <f>IF(I160="","",VLOOKUP(I160,Siembra,2,FALSE))</f>
        <v/>
      </c>
      <c r="G160" s="192" t="str">
        <f>O160</f>
        <v/>
      </c>
      <c r="H160" s="192">
        <v>4</v>
      </c>
      <c r="I160" s="141" t="str">
        <f>IF(K160="","",IF(ISNUMBER(Sorteo!$A$17),VLOOKUP(K160,Draw,2,FALSE),""))</f>
        <v/>
      </c>
      <c r="J160" s="142" t="str">
        <f>O160</f>
        <v/>
      </c>
      <c r="K160" s="143" t="str">
        <f>IF($K$9="","",IF(Group_players=4,IF(Tablas!BL$6="","",Tablas!BL$6),""))</f>
        <v/>
      </c>
      <c r="L160" s="144" t="str">
        <f>IF(K160="","",VLOOKUP(I160,Siembra,3,FALSE))</f>
        <v/>
      </c>
      <c r="M160" s="145" t="str">
        <f>IF(AND(Q171="",Q172=""),"",IF(I160="","",SUMIFS(E168:E187,I168:I187,I160)))</f>
        <v/>
      </c>
      <c r="N160" s="145" t="str">
        <f>IF(M160="","",IF(I160="","",SUMIFS(F168:F184,I168:I184,I160)))</f>
        <v/>
      </c>
      <c r="O160" s="145" t="str">
        <f>IF(M160="","",IF(COUNTIF(M157:M160,M160)=1,IF(M160=3,1,IF(M160=2,2,IF(M160=1,3,IF(M160=0,4)))),IF(COUNTIF(M157:M160,M160)=2,AB160,IF(AND(M160=M157,M157=M159),AB166,IF(AND(M160=M157,M157=M158),AB169,IF(AND(M160=M158,M158=M159),AB172,""))))))</f>
        <v/>
      </c>
      <c r="P160" s="146" t="str">
        <f>IF(COUNT(U156:X167)=3,IF(ISNUMBER(V159),V159,IF(ISNUMBER(W159),W159,IF(ISNUMBER(X159),X159,IF(X159="","")))),IF(COUNT(U156:X167)=6,IF(ISNUMBER(V167),V167,IF(ISNUMBER(W167),W167,IF(ISNUMBER(X167),X167,""))),""))</f>
        <v/>
      </c>
      <c r="Q160" s="145" t="str">
        <f>IF(M160="","",SUMIF(I168:S184,I160,S168:$S184))</f>
        <v/>
      </c>
      <c r="R160" s="147" t="str">
        <f>IF(M160="","",L160+Q160)</f>
        <v/>
      </c>
      <c r="S160" s="203"/>
      <c r="T160" s="192"/>
      <c r="U160" s="192"/>
      <c r="V160" s="192"/>
      <c r="W160" s="192"/>
      <c r="X160" s="192"/>
      <c r="Y160" s="230" t="s">
        <v>93</v>
      </c>
      <c r="Z160" s="231" t="s">
        <v>110</v>
      </c>
      <c r="AA160" s="232">
        <v>4</v>
      </c>
      <c r="AB160" s="233" t="str">
        <f>IF(COUNTIF(M157:M160,M160)&lt;&gt;2,"",IF(COUNTIF(M157:M160,M160)=1,"",IF(AND(COUNTIF(M157:M160,M160)=2,M160=2),IF(M160=M157,IF(Q175=3,1,2),IF(M160=M158,IF(Q172=3,1,2),IF(M160=M159,IF(Q184=3,1,2)))),IF(AND(COUNTIF(M157:M160,M160)=2,M160=1),IF(M160=M157,IF(Q175=3,3,4),IF(M160=M158,IF(Q172=3,3,4),IF(M160=M159,IF(Q184=3,3,4)))),AB166))))</f>
        <v/>
      </c>
      <c r="AC160" s="192"/>
      <c r="AD160" s="192"/>
      <c r="AE160" s="192"/>
      <c r="AF160" s="203"/>
      <c r="AG160" s="203"/>
      <c r="AH160" s="203"/>
      <c r="AI160" s="203"/>
      <c r="AJ160" s="203"/>
      <c r="AK160" s="203"/>
      <c r="AL160" s="203"/>
      <c r="AM160" s="203"/>
      <c r="AN160" s="192"/>
      <c r="AO160" s="192"/>
      <c r="AP160" s="192"/>
      <c r="AQ160" s="192"/>
      <c r="AR160" s="192"/>
      <c r="AS160" s="192"/>
      <c r="AT160" s="192" t="s">
        <v>9822</v>
      </c>
      <c r="AU160" s="192">
        <f t="shared" si="22"/>
        <v>41</v>
      </c>
      <c r="AV160" s="192"/>
      <c r="AW160" s="192"/>
      <c r="AX160" s="192"/>
    </row>
    <row r="161" spans="2:50" ht="15" customHeight="1" thickTop="1" x14ac:dyDescent="0.3">
      <c r="B161" s="192"/>
      <c r="C161" s="192"/>
      <c r="D161" s="192"/>
      <c r="E161" s="192"/>
      <c r="F161" s="192"/>
      <c r="G161" s="192"/>
      <c r="H161" s="192"/>
      <c r="I161" s="192"/>
      <c r="J161" s="192"/>
      <c r="K161" s="192"/>
      <c r="L161" s="192"/>
      <c r="M161" s="192"/>
      <c r="N161" s="192"/>
      <c r="O161" s="192"/>
      <c r="P161" s="192"/>
      <c r="Q161" s="192"/>
      <c r="R161" s="192"/>
      <c r="S161" s="192"/>
      <c r="T161" s="208"/>
      <c r="U161" s="192"/>
      <c r="V161" s="148"/>
      <c r="W161" s="148"/>
      <c r="X161" s="234"/>
      <c r="Y161" s="214">
        <v>1</v>
      </c>
      <c r="Z161" s="215" t="str">
        <f>IF(U164="","",IF(OR(Group_players=3,AND(Group_players=4,COUNTBLANK(I157:I160)=1)),IF(COUNTIF(M157:M159,M157)=1,"",IF(COUNTIF(U156:U158,U156)=3,IF(AND(U164=U165,U165=U166),"Tied",IF(AND(U164&lt;&gt;U165,U164&lt;&gt;U166,U165&lt;&gt;U166),(IF(SMALL(U164:U166,1)=U164,1,IF(SMALL(U164:U166,2)=U164,2,IF(SMALL(U164:U166,3)=U164,3)))),IF(AND(U164&lt;U165,U165=U166),1,IF(AND(U164&gt;U165,U165=U166),3,IF(AND(U164=U165,U164&lt;U166),(IF(Q174=3,1,2)),IF(AND(U164=U165,U164&gt;U166),(IF(Q174=3,2,3)),IF(AND(U164=U166,U164&lt;U165),(IF(Q168=3,1,2)),IF(AND(U164=U166,U164&gt;U165),(IF(Q168=3,2,3)),99)))))))),"")),""))</f>
        <v/>
      </c>
      <c r="AA161" s="208">
        <v>1</v>
      </c>
      <c r="AB161" s="222" t="str">
        <f>IF(AND(COUNTBLANK(I157:I160)=0,Group_players=4,M157=M158,M158=M159),IF(COUNTIF(U156:U159,U156)=3,AB174,IF(AND(COUNTIF(U156:U159,U156)=1,U157&lt;&gt;U158),IF(M157=2,IF(SMALL(U156:U159,1)=U156,1,IF(SMALL(U156:U159,2)=U156,2,IF(SMALL(U156:U159,3)=U156,3))),IF(M157=1,IF(SMALL(U156:U159,1)=U156,2,IF(SMALL(U156:U159,2)=U156,3,IF(SMALL(U156:U159,3)=U156,4))),"")),IF(COUNTIF(U156:U159,U156)=1,IF(U156&lt;U157,IF(M157=2,1,2),IF(M157=2,3,4)),IF(COUNTIF(U156:U159,U156)=2,IF(U156=U157,IF(U156&lt;U158,IF(M157=2,IF(Q180=3,1,2),IF(M157=1,IF(Q180=3,2,3))),IF(U156&gt;U158,IF(M157=2,IF(Q180=3,2,3),IF(M157=1,IF(Q180=3,3,4))))),IF(U156=U158,IF(U156&lt;U157,IF(M157=2,IF(Q168=3,1,2),IF(M157=1,IF(Q168=3,2,3))),IF(U156&gt;U157,IF(M157=2,IF(Q168=3,2,3),IF(M157=1,IF(Q168=3,3,4))))))),"")))),"")</f>
        <v/>
      </c>
      <c r="AC161" s="192"/>
      <c r="AD161" s="192"/>
      <c r="AE161" s="269"/>
      <c r="AF161" s="203"/>
      <c r="AG161" s="203"/>
      <c r="AH161" s="203"/>
      <c r="AI161" s="203"/>
      <c r="AJ161" s="203"/>
      <c r="AK161" s="203"/>
      <c r="AL161" s="203"/>
      <c r="AM161" s="203"/>
      <c r="AN161" s="192"/>
      <c r="AO161" s="192"/>
      <c r="AP161" s="192"/>
      <c r="AQ161" s="192"/>
      <c r="AR161" s="192"/>
      <c r="AS161" s="192"/>
      <c r="AT161" s="192" t="s">
        <v>9823</v>
      </c>
      <c r="AU161" s="192">
        <f t="shared" si="22"/>
        <v>42</v>
      </c>
      <c r="AV161" s="192"/>
      <c r="AW161" s="192"/>
      <c r="AX161" s="192"/>
    </row>
    <row r="162" spans="2:50" ht="15" customHeight="1" thickBot="1" x14ac:dyDescent="0.35">
      <c r="B162" s="192"/>
      <c r="C162" s="192"/>
      <c r="D162" s="192"/>
      <c r="E162" s="192"/>
      <c r="F162" s="192"/>
      <c r="G162" s="192"/>
      <c r="H162" s="192"/>
      <c r="I162" s="269"/>
      <c r="J162" s="269"/>
      <c r="K162" s="192"/>
      <c r="L162" s="192"/>
      <c r="M162" s="192"/>
      <c r="N162" s="192"/>
      <c r="O162" s="192"/>
      <c r="P162" s="192"/>
      <c r="Q162" s="229"/>
      <c r="R162" s="192"/>
      <c r="S162" s="192"/>
      <c r="T162" s="208"/>
      <c r="U162" s="368" t="s">
        <v>111</v>
      </c>
      <c r="V162" s="369"/>
      <c r="W162" s="369"/>
      <c r="X162" s="369"/>
      <c r="Y162" s="236">
        <v>2</v>
      </c>
      <c r="Z162" s="220" t="str">
        <f>IF(U157="","",IF(OR(Group_players=3,AND(Group_players=4,COUNTBLANK(I157:I160)=1)),IF(COUNTIF(M157:M159,M158)=1,"",IF(COUNTIF(U156:U158,U157)=3,IF(AND(U165=U164,U165=U166),"Tied",IF(AND(U165&lt;&gt;U164,U165&lt;&gt;U166,U164&lt;&gt;U166),(IF(SMALL(U164:U166,1)=U165,1,IF(SMALL(U164:U166,2)=U165,2,IF(SMALL(U164:U166,3)=U165,3)))),IF(AND(U165&lt;U164,U164=U166),1,IF(AND(U165&gt;U164,U164=U166),3,IF(AND(U165=U164,U165&lt;U166),(IF(Q175=3,1,2)),IF(AND(U165=U164,U165&gt;U166),(IF(Q175=3,2,3)),IF(AND(U165=U166,U165&lt;U164),(IF(Q171=3,1,2)),IF(AND(U165=U166,U165&gt;U164),(IF(Q171=3,2,3)),99)))))))),"")),""))</f>
        <v/>
      </c>
      <c r="AA162" s="208">
        <v>2</v>
      </c>
      <c r="AB162" s="222" t="str">
        <f>IF(AND(COUNTBLANK(I157:I160)=0,Group_players=4,M157=M158,M158=M159),IF(COUNTIF(U156:U159,U157)=3,AB175,IF(AND(COUNTIF(U156:U159,U157)=1,U156&lt;&gt;U158),IF(M158=2,IF(SMALL(U156:U159,1)=U157,1,IF(SMALL(U156:U159,2)=U157,2,IF(SMALL(U156:U159,3)=U157,3))),IF(M158=1,IF(SMALL(U156:U159,1)=U157,2,IF(SMALL(U156:U159,2)=U157,3,IF(SMALL(U156:U159,3)=U157,4))),"")),IF(COUNTIF(U156:U158,U157)=1,IF(U157&lt;U156,IF(M158=2,1,2),IF(M158=2,3,99)),IF(COUNTIF(U156:U159,U157)=2,IF(U157=U156,IF(U157&lt;U158,IF(M158=2,IF(Q181=3,1,2),IF(M158=1,IF(Q181=3,2,3))),IF(U157&gt;U158,IF(M158=2,IF(Q181=3,2,3),IF(M158=1,IF(Q181=3,3,4))))),IF(U157=U158,IF(U157&lt;U156,IF(M158=2,IF(Q177=3,1,2),IF(M158=1,IF(Q177=3,2,3))),IF(U157&gt;U156,IF(M158=2,IF(Q177=3,2,3),IF(M158=1,IF(Q177=3,3,4))))))),"")))),"")</f>
        <v/>
      </c>
      <c r="AC162" s="192"/>
      <c r="AD162" s="192"/>
      <c r="AE162" s="192"/>
      <c r="AF162" s="203"/>
      <c r="AG162" s="203"/>
      <c r="AH162" s="203"/>
      <c r="AI162" s="203"/>
      <c r="AJ162" s="203"/>
      <c r="AK162" s="203"/>
      <c r="AL162" s="203"/>
      <c r="AM162" s="203"/>
      <c r="AN162" s="192"/>
      <c r="AO162" s="192"/>
      <c r="AP162" s="192"/>
      <c r="AQ162" s="192"/>
      <c r="AR162" s="192"/>
      <c r="AS162" s="192"/>
      <c r="AT162" s="192" t="s">
        <v>9824</v>
      </c>
      <c r="AU162" s="192">
        <f t="shared" si="22"/>
        <v>43</v>
      </c>
      <c r="AV162" s="192"/>
      <c r="AW162" s="192"/>
      <c r="AX162" s="192"/>
    </row>
    <row r="163" spans="2:50" ht="15" customHeight="1" thickTop="1" thickBot="1" x14ac:dyDescent="0.35">
      <c r="B163" s="192"/>
      <c r="C163" s="192"/>
      <c r="D163" s="192"/>
      <c r="E163" s="192"/>
      <c r="F163" s="192"/>
      <c r="G163" s="192"/>
      <c r="H163" s="192"/>
      <c r="I163" s="192"/>
      <c r="J163" s="192"/>
      <c r="K163" s="192"/>
      <c r="L163" s="192"/>
      <c r="M163" s="192"/>
      <c r="N163" s="192"/>
      <c r="O163" s="192"/>
      <c r="P163" s="192"/>
      <c r="Q163" s="229"/>
      <c r="R163" s="192"/>
      <c r="S163" s="192"/>
      <c r="T163" s="120"/>
      <c r="U163" s="121" t="s">
        <v>101</v>
      </c>
      <c r="V163" s="122" t="s">
        <v>102</v>
      </c>
      <c r="W163" s="122" t="s">
        <v>103</v>
      </c>
      <c r="X163" s="123" t="s">
        <v>104</v>
      </c>
      <c r="Y163" s="238">
        <v>3</v>
      </c>
      <c r="Z163" s="239" t="str">
        <f>IF(U158="","",IF(OR(Group_players=3,AND(Group_players=4,COUNTBLANK(I157:I160)=1)),IF(COUNTIF(M157:M159,M159)=1,"",IF(COUNTIF(U156:U158,U158)=3,IF(AND(U166=U164,U166=U165),"Tied",IF(AND(U166&lt;&gt;U165,U165&lt;&gt;U164,U166&lt;&gt;U164),(IF(SMALL(U164:U166,1)=U166,1,IF(SMALL(U164:U166,2)=U166,2,IF(SMALL(U164:U166,3)=U166,3)))),IF(AND(U166&lt;U165,U165=U164),1,IF(AND(U166&gt;U165,U165=U164),3,IF(AND(U166=U165,U166&lt;U164),(IF(Q172=3,1,2)),IF(AND(U166=U165,U166&gt;U164),(IF(Q172=3,2,3)),IF(AND(U166=U164,U166&lt;U165),(IF(Q169=3,1,2)),IF(AND(U166=U164,U166&gt;U165),(IF(Q169=3,2,3)),99)))))))),"")),""))</f>
        <v/>
      </c>
      <c r="AA163" s="240">
        <v>3</v>
      </c>
      <c r="AB163" s="241" t="str">
        <f>IF(AND(COUNTBLANK(I157:I160)=0,Group_players=4,M157=M158,M158=M159),IF(COUNTIF(U156:U159,U158)=3,AB176,IF(AND(COUNTIF(U156:U159,U158)=1,U156&lt;&gt;U157),IF(M157=2,IF(SMALL(U156:U159,1)=U158,1,IF(SMALL(U156:U159,2)=U158,2,IF(SMALL(U156:U159,3)=U158,3))),IF(M159=1,IF(SMALL(U156:U159,1)=U158,2,IF(SMALL(U156:U159,2)=U158,3,IF(SMALL(U156:U159,3)=U158,4))),"")),IF(COUNTIF(U156:U159,U158)=1,IF(U158&lt;U157,IF(M159=2,1,2),IF(M159=2,3,4)),IF(COUNTIF(U156:U159,U158)=2,IF(U158=U157,IF(U158&lt;U156,IF(M159=2,IF(Q178=3,1,2),IF(M159=1,IF(Q178=3,2,3))),IF(U158&gt;U156,IF(M159=2,IF(Q178=3,2,3),IF(M159=1,IF(Q178=3,3,4))))),IF(U158=U156,IF(U158&lt;U157,IF(M159=2,IF(Q169=3,1,2),IF(M159=1,IF(Q169=3,2,3))),IF(U158&gt;U157,IF(M159=2,IF(Q169=3,2,3),IF(M159=1,IF(Q169=3,3,4))))))),"")))),"")</f>
        <v/>
      </c>
      <c r="AC163" s="192"/>
      <c r="AD163" s="192"/>
      <c r="AE163" s="192"/>
      <c r="AF163" s="203"/>
      <c r="AG163" s="203"/>
      <c r="AH163" s="203"/>
      <c r="AI163" s="203"/>
      <c r="AJ163" s="203"/>
      <c r="AK163" s="203"/>
      <c r="AL163" s="203"/>
      <c r="AM163" s="203"/>
      <c r="AN163" s="192"/>
      <c r="AO163" s="192"/>
      <c r="AP163" s="192"/>
      <c r="AQ163" s="192"/>
      <c r="AR163" s="192"/>
      <c r="AS163" s="192"/>
      <c r="AT163" s="192"/>
      <c r="AU163" s="192"/>
      <c r="AV163" s="192"/>
      <c r="AW163" s="192"/>
      <c r="AX163" s="192"/>
    </row>
    <row r="164" spans="2:50" ht="15" customHeight="1" thickTop="1" thickBot="1" x14ac:dyDescent="0.35">
      <c r="B164" s="192"/>
      <c r="C164" s="192"/>
      <c r="D164" s="192"/>
      <c r="E164" s="192"/>
      <c r="F164" s="192"/>
      <c r="G164" s="192"/>
      <c r="H164" s="192"/>
      <c r="I164" s="192"/>
      <c r="J164" s="192"/>
      <c r="K164" s="192"/>
      <c r="L164" s="192"/>
      <c r="M164" s="192"/>
      <c r="N164" s="192"/>
      <c r="O164" s="192"/>
      <c r="P164" s="192"/>
      <c r="Q164" s="229"/>
      <c r="R164" s="192"/>
      <c r="S164" s="192"/>
      <c r="T164" s="208">
        <v>1</v>
      </c>
      <c r="U164" s="209" t="str">
        <f>IF(U156="","",IF(OR(U156&lt;&gt;U157,U156&lt;&gt;U158),"",IF(COUNTIF(M157:M159,M157)=1,"",IF(COUNTBLANK(I157:I160)=1,(SUM(L169:P169)+SUM(L175:P175))/(SUM(L168:P168)+SUM(L174:P174)),IF(COUNTBLANK(I157:I160)=0,(SUM(L181:P181)+SUM(L169:P169))/(SUM(L180:P180)+SUM(L168:P168)),"")))))</f>
        <v/>
      </c>
      <c r="V164" s="125" t="str">
        <f>IF(V156="","",IF(OR(V156&lt;&gt;V158,V156&lt;&gt;V159),"",IF(AND(COUNTBLANK(I157:I160)=0,M157=M159,M159=M160),(SUM(L169:P169)+SUM(L175:P175))/(SUM(L168:P168)+SUM(L174:P174)),"")))</f>
        <v/>
      </c>
      <c r="W164" s="210" t="str">
        <f>IF(W156="","",IF(OR(W156&lt;&gt;W157,W156&lt;&gt;W159),"",IF(AND(COUNTBLANK(I157:I160)=0,M157=M158,M158=M160),(SUM(L181:P181)+SUM(L175:P175))/(SUM(L180:P180)+SUM(L174:P174)),"")))</f>
        <v/>
      </c>
      <c r="X164" s="211"/>
      <c r="Y164" s="242"/>
      <c r="Z164" s="242"/>
      <c r="AA164" s="243">
        <v>1</v>
      </c>
      <c r="AB164" s="244" t="str">
        <f>IF(AND(COUNTBLANK(I157:I160)=0,Group_players=4,M157=M159,M159=M160),IF(COUNTIF(V156:V159,V156)=3,AB177,IF(AND(COUNTIF(V156:V159,V156)=1,V158&lt;&gt;U167),IF(M157=2,IF(SMALL(V156:V159,1)=V156,1,IF(SMALL(V156:V159,2)=V156,2,IF(SMALL(V156:V159,3)=V156,3))),IF(M157=1,IF(SMALL(V156:V159,1)=V156,2,IF(SMALL(V156:V159,2)=V156,3,IF(SMALL(V156:V159,3)=V156,4))),"")),IF(COUNTIF(V156:V159,V156)=1,IF(V156&lt;V158,IF(M157=2,1,2),IF(M157=2,3,4)),IF(COUNTIF(V156:V159,V156)=2,IF(V156=V158,IF(V156&lt;V159,IF(M157=2,IF(Q168=3,1,2),IF(M157=1,IF(Q168=3,2,3))),IF(V156&gt;V159,IF(M157=2,IF(Q168=3,2,3),IF(M157=1,IF(Q168=3,3,4))))),IF(V156=V159,IF(V156&lt;V158,IF(M157=2,IF(Q174=3,1,2),IF(M157=1,IF(Q174=3,2,3))),IF(V156&gt;V157,IF(M157=2,IF(Q174=3,2,3),IF(M157=1,IF(Q174=3,3,4))))))),"")))),"")</f>
        <v/>
      </c>
      <c r="AC164" s="192"/>
      <c r="AD164" s="192"/>
      <c r="AE164" s="192"/>
      <c r="AF164" s="203"/>
      <c r="AG164" s="203"/>
      <c r="AH164" s="203"/>
      <c r="AI164" s="203"/>
      <c r="AJ164" s="203"/>
      <c r="AK164" s="203"/>
      <c r="AL164" s="203"/>
      <c r="AM164" s="203"/>
      <c r="AN164" s="192"/>
      <c r="AO164" s="192"/>
      <c r="AP164" s="192"/>
      <c r="AQ164" s="192"/>
      <c r="AR164" s="192"/>
      <c r="AS164" s="192"/>
      <c r="AT164" s="192"/>
      <c r="AU164" s="192"/>
      <c r="AV164" s="192"/>
      <c r="AW164" s="192"/>
      <c r="AX164" s="192"/>
    </row>
    <row r="165" spans="2:50" ht="15" customHeight="1" thickTop="1" thickBot="1" x14ac:dyDescent="0.35">
      <c r="B165" s="192"/>
      <c r="C165" s="192"/>
      <c r="D165" s="192"/>
      <c r="E165" s="117"/>
      <c r="F165" s="117"/>
      <c r="G165" s="117"/>
      <c r="H165" s="192"/>
      <c r="I165" s="192"/>
      <c r="J165" s="192"/>
      <c r="K165" s="192"/>
      <c r="L165" s="192"/>
      <c r="M165" s="192"/>
      <c r="N165" s="192"/>
      <c r="O165" s="192"/>
      <c r="P165" s="192"/>
      <c r="Q165" s="229"/>
      <c r="R165" s="192"/>
      <c r="S165" s="394" t="s">
        <v>112</v>
      </c>
      <c r="T165" s="208">
        <v>2</v>
      </c>
      <c r="U165" s="209" t="str">
        <f>IF(U156="","",IF(OR(U157&lt;&gt;U156,U157&lt;&gt;U158),"",IF(COUNTIF(M157:M159,M158)=1,"",IF(COUNTBLANK(I157:I160)=1,(SUM(L172:P172)+SUM(L174:P174))/(SUM(L171:P171)+SUM(L175:P175)),IF(COUNTBLANK(I157:I160)=0,(SUM(L180:P180)+SUM(L178:P178))/(SUM(L181:P181)+SUM(L177:P177)))))))</f>
        <v/>
      </c>
      <c r="V165" s="135"/>
      <c r="W165" s="212" t="str">
        <f>IF(W156="","",IF(OR(W157&lt;&gt;W156,W157&lt;&gt;W159),"",IF(AND(COUNTBLANK(I157:I160)=0,M157=M158,M158=M160),(SUM(L172:P172)+SUM(L180:P180))/(SUM(L181:P181)+SUM(L171:P171)),"")))</f>
        <v/>
      </c>
      <c r="X165" s="245" t="str">
        <f>IF(X157="","",IF(OR(X157&lt;&gt;X158,X157&lt;&gt;X159),"",IF(AND(COUNTBLANK(I157:I160)=0,M158=M159,M159=M160),(SUM(L178:P178)+SUM(L172:P172))/(SUM(L177:P177)+SUM(L171:P171)),"")))</f>
        <v/>
      </c>
      <c r="Y165" s="242"/>
      <c r="Z165" s="203"/>
      <c r="AA165" s="246">
        <v>3</v>
      </c>
      <c r="AB165" s="222" t="str">
        <f>IF(AND(COUNTBLANK(I157:I160)=0,Group_players=4,M157=M159,M159=M160),IF(COUNTIF(V156:V159,V158)=3,AB178,IF(AND(COUNTIF(V156:V159,V158)=1,V156&lt;&gt;V159),IF(M159=2,IF(SMALL(V156:V159,1)=V158,1,IF(SMALL(V156:V159,2)=V158,2,IF(SMALL(V156:V159,3)=V158,3))),IF(M159=1,IF(SMALL(V156:V159,1)=V158,2,IF(SMALL(V156:V159,2)=V158,3,IF(SMALL(V156:V159,3)=V158,4))),"")),IF(COUNTIF(V156:V159,V158)=1,IF(V158&lt;V156,IF(M159=2,1,2),IF(M159=2,3,4)),IF(COUNTIF(V156:V159,V158)=2,IF(V158=V156,IF(V158&lt;V159,IF(M159=2,IF(Q169=3,1,2),IF(M159=1,IF(Q169=3,2,3))),IF(V158&gt;V159,IF(M159=2,IF(Q169=3,2,3),IF(M159=1,IF(Q169=3,3,4))))),IF(V158=V159,IF(V158&lt;V156,IF(M159=2,IF(Q183=3,1,2),IF(M159=1,IF(Q183=3,2,3))),IF(V158&gt;V156,IF(M159=2,IF(Q183=3,2,3),IF(M159=1,IF(Q183=3,3,4))))))),"")))),"")</f>
        <v/>
      </c>
      <c r="AC165" s="192"/>
      <c r="AD165" s="192"/>
      <c r="AE165" s="192"/>
      <c r="AF165" s="203"/>
      <c r="AG165" s="203"/>
      <c r="AH165" s="203"/>
      <c r="AI165" s="203"/>
      <c r="AJ165" s="203"/>
      <c r="AK165" s="203"/>
      <c r="AL165" s="203"/>
      <c r="AM165" s="203"/>
      <c r="AN165" s="192"/>
      <c r="AO165" s="192"/>
      <c r="AP165" s="192"/>
      <c r="AQ165" s="192"/>
      <c r="AR165" s="192"/>
      <c r="AS165" s="192"/>
      <c r="AT165" s="192"/>
      <c r="AU165" s="192"/>
      <c r="AV165" s="192"/>
      <c r="AW165" s="192"/>
      <c r="AX165" s="192"/>
    </row>
    <row r="166" spans="2:50" ht="15" customHeight="1" thickTop="1" thickBot="1" x14ac:dyDescent="0.35">
      <c r="B166" s="192"/>
      <c r="C166" s="192"/>
      <c r="D166" s="192"/>
      <c r="E166" s="117"/>
      <c r="F166" s="117"/>
      <c r="G166" s="117"/>
      <c r="H166" s="192"/>
      <c r="I166" s="192"/>
      <c r="J166" s="192"/>
      <c r="K166" s="192"/>
      <c r="L166" s="192"/>
      <c r="M166" s="192"/>
      <c r="N166" s="192"/>
      <c r="O166" s="192"/>
      <c r="P166" s="192"/>
      <c r="Q166" s="192"/>
      <c r="R166" s="247"/>
      <c r="S166" s="395"/>
      <c r="T166" s="208">
        <v>3</v>
      </c>
      <c r="U166" s="209" t="str">
        <f>IF(U156="","",IF(OR(U158&lt;&gt;U156,U158&lt;&gt;U157),"",IF(COUNTIF(M157:M159,M159)=1,"",IF(COUNTBLANK(I157:I160)=1,(SUM(L168:P168)+SUM(L171:P171))/(SUM(L169:P169)+SUM(L172:P172)),IF(COUNTBLANK(I157:I160)=0,(SUM(L168:P168)+SUM(L177:P177))/(SUM(L169:P169)+SUM(L178:P178)))))))</f>
        <v/>
      </c>
      <c r="V166" s="125" t="str">
        <f>IF(V156="","",IF(OR(V158&lt;&gt;V156,V158&lt;&gt;V159),"",IF(AND(COUNTBLANK(I157:I160)=0,M157=M159,M159=M160),(SUM(L168:P168)+SUM(L184:P184))/(SUM(L169:P169)+SUM(L183:P183)),"")))</f>
        <v/>
      </c>
      <c r="W166" s="218"/>
      <c r="X166" s="245" t="str">
        <f>IF(X157="","",IF(OR(X158&lt;&gt;X157,X158&lt;&gt;X159),"",IF(AND(COUNTBLANK(I157:I160)=0,M158=M159,M159=M160),(SUM(L177:P177)+SUM(L184:P184))/(SUM(L178:P178)+SUM(L183:P183)),"")))</f>
        <v/>
      </c>
      <c r="Y166" s="208"/>
      <c r="Z166" s="203"/>
      <c r="AA166" s="240">
        <v>4</v>
      </c>
      <c r="AB166" s="222" t="str">
        <f>IF(AND(COUNTBLANK(I157:I160)=0,Group_players=4,M157=M159,M159=M160),IF(COUNTIF(V156:V159,V159)=3,AB179,IF(AND(COUNTIF(V156:V159,V159)=1,V158&lt;&gt;V156),IF(M160=2,IF(SMALL(V156:V159,1)=V159,1,IF(SMALL(V156:V159,2)=V159,2,IF(SMALL(V156:V159,3)=V159,3))),IF(M160=1,IF(SMALL(V156:V159,1)=V159,2,IF(SMALL(V156:V159,2)=V159,3,IF(SMALL(V156:V159,3)=V159,4))),"")),IF(COUNTIF(V156:V159,V159)=1,IF(V159&lt;V156,IF(M160=2,1,2),IF(M160=2,3,4)),IF(COUNTIF(V156:V159,V159)=2,IF(V159=V156,IF(V159&lt;V158,IF(M160=2,IF(Q175=3,1,2),IF(M160=1,IF(Q175=3,2,3))),IF(V159&gt;V158,IF(M160=2,IF(Q175=3,2,3),IF(M160=1,IF(Q175=3,3,4))))),IF(V159=V158,IF(V159&lt;V156,IF(M160=2,IF(Q184=3,1,2),IF(M160=1,IF(Q184=3,2,3))),IF(V159&gt;V156,IF(M160=2,IF(Q184=3,2,3),IF(M160=1,IF(Q184=3,3,4))))))),"")))),"")</f>
        <v/>
      </c>
      <c r="AC166" s="192"/>
      <c r="AD166" s="192"/>
      <c r="AE166" s="192"/>
      <c r="AF166" s="203"/>
      <c r="AG166" s="203"/>
      <c r="AH166" s="203"/>
      <c r="AI166" s="203"/>
      <c r="AJ166" s="203"/>
      <c r="AK166" s="203"/>
      <c r="AL166" s="203"/>
      <c r="AM166" s="203"/>
      <c r="AN166" s="192"/>
      <c r="AO166" s="192"/>
      <c r="AP166" s="192"/>
      <c r="AQ166" s="192"/>
      <c r="AR166" s="192"/>
      <c r="AS166" s="192"/>
      <c r="AT166" s="192"/>
      <c r="AU166" s="192"/>
      <c r="AV166" s="192"/>
      <c r="AW166" s="192"/>
      <c r="AX166" s="192"/>
    </row>
    <row r="167" spans="2:50" ht="15" customHeight="1" thickTop="1" thickBot="1" x14ac:dyDescent="0.35">
      <c r="B167" s="192"/>
      <c r="C167" s="192"/>
      <c r="D167" s="192"/>
      <c r="E167" s="168" t="s">
        <v>113</v>
      </c>
      <c r="F167" s="168" t="s">
        <v>114</v>
      </c>
      <c r="G167" s="117"/>
      <c r="H167" s="192"/>
      <c r="I167" s="249" t="s">
        <v>115</v>
      </c>
      <c r="J167" s="249"/>
      <c r="K167" s="249"/>
      <c r="L167" s="250" t="s">
        <v>115</v>
      </c>
      <c r="M167" s="250" t="s">
        <v>116</v>
      </c>
      <c r="N167" s="250" t="s">
        <v>117</v>
      </c>
      <c r="O167" s="250" t="s">
        <v>118</v>
      </c>
      <c r="P167" s="250" t="s">
        <v>119</v>
      </c>
      <c r="Q167" s="250" t="s">
        <v>120</v>
      </c>
      <c r="R167" s="250"/>
      <c r="S167" s="251"/>
      <c r="T167" s="208">
        <v>4</v>
      </c>
      <c r="U167" s="223"/>
      <c r="V167" s="140" t="str">
        <f>IF(V156="","",IF(OR(V159&lt;&gt;V156,V159&lt;&gt;V158),"",IF(AND(COUNTBLANK(I157:I160)=0,M157=M159,M159=M160),(SUM(L174:P174)+SUM(L183:P183))/(SUM(L175:P175)+SUM(L184:P184)),"")))</f>
        <v/>
      </c>
      <c r="W167" s="224" t="str">
        <f>IF(W156="","",IF(OR(W159&lt;&gt;W156,W159&lt;&gt;W157),"",IF(AND(COUNTBLANK(I157:I160)=0,M157=M158,M158=M160),(SUM(L174:P174)+SUM(L171:P171))/(SUM(L175:P175)+SUM(L172:P172)),"")))</f>
        <v/>
      </c>
      <c r="X167" s="252" t="str">
        <f>IF(X157="","",IF(OR(X159&lt;&gt;X157,X159&lt;&gt;X158),"",IF(AND(COUNTBLANK(I157:I160)=0,M158=M159,M159=M160),(SUM(L171:P171)+SUM(L183:P183))/(SUM(L172:P172)+SUM(L184:P184)),"")))</f>
        <v/>
      </c>
      <c r="Y167" s="192"/>
      <c r="Z167" s="203"/>
      <c r="AA167" s="243">
        <v>1</v>
      </c>
      <c r="AB167" s="151" t="str">
        <f>IF(AND(COUNTBLANK(I157:I160)=0,Group_players=4,M157=M158,M158=M160),IF(COUNTIF(W156:W159,W156)=3,AB180,IF(AND(COUNTIF(W156:W159,W156)=1,W157&lt;&gt;W159),IF(M157=2,IF(SMALL(W156:W159,1)=W156,1,IF(SMALL(W156:W159,2)=W156,2,IF(SMALL(W156:W159,3)=W156,3))),IF(M157=1,IF(SMALL(W156:W159,1)=W156,2,IF(SMALL(W156:W159,2)=W156,3,IF(SMALL(W156:W159,3)=W156,4))),"")),IF(COUNTIF(W156:W159,W156)=1,IF(W156&lt;W157,IF(M157=2,1,2),IF(M157=2,3,4)),IF(COUNTIF(W156:W159,W156)=2,IF(W156=W157,IF(W156&lt;W159,IF(M157=2,IF(Q180=3,1,2),IF(M157=1,IF(Q180=3,2,3))),IF(W156&gt;W159,IF(M157=2,IF(Q180=3,2,3),IF(M157=1,IF(Q180=3,3,4))))),IF(W156=W159,IF(W156&lt;W157,IF(M157=2,IF(Q174=3,1,2),IF(M157=1,IF(Q174=3,2,3))),IF(W156&gt;W157,IF(M157=2,IF(Q174=3,2,3),IF(M157=1,IF(Q174=3,3,4))))))),"")))),"")</f>
        <v/>
      </c>
      <c r="AC167" s="192"/>
      <c r="AD167" s="192"/>
      <c r="AE167" s="192"/>
      <c r="AF167" s="203"/>
      <c r="AG167" s="203"/>
      <c r="AH167" s="203"/>
      <c r="AI167" s="203"/>
      <c r="AJ167" s="203"/>
      <c r="AK167" s="203"/>
      <c r="AL167" s="203"/>
      <c r="AM167" s="203"/>
      <c r="AN167" s="192"/>
      <c r="AO167" s="192"/>
      <c r="AP167" s="192"/>
      <c r="AQ167" s="192"/>
      <c r="AR167" s="192"/>
      <c r="AS167" s="192"/>
      <c r="AT167" s="192"/>
      <c r="AU167" s="192"/>
      <c r="AV167" s="192"/>
      <c r="AW167" s="192"/>
      <c r="AX167" s="192"/>
    </row>
    <row r="168" spans="2:50" ht="15" customHeight="1" thickTop="1" x14ac:dyDescent="0.3">
      <c r="B168" s="192"/>
      <c r="C168" s="192"/>
      <c r="D168" s="192"/>
      <c r="E168" s="164" t="str">
        <f>IF(Q168="","",IF(Q168=3,1,0))</f>
        <v/>
      </c>
      <c r="F168" s="164" t="str">
        <f>IF(Q168="","",IF(Q168&lt;3,1,0))</f>
        <v/>
      </c>
      <c r="G168" s="192"/>
      <c r="H168" s="192" t="str">
        <f>IF(I157="","",1)</f>
        <v/>
      </c>
      <c r="I168" s="192" t="str">
        <f>IF(ISNUMBER(H168),VLOOKUP(H168,H157:I160,2,TRUE),"")</f>
        <v/>
      </c>
      <c r="J168" s="192"/>
      <c r="K168" s="192" t="str">
        <f>VLOOKUP(I168,I157:L160,3,FALSE)</f>
        <v/>
      </c>
      <c r="L168" s="253"/>
      <c r="M168" s="254"/>
      <c r="N168" s="254"/>
      <c r="O168" s="152"/>
      <c r="P168" s="153"/>
      <c r="Q168" s="255" t="str">
        <f>IF(L168="","",IF(AND(L168-L169&gt;1,L168&gt;10),1,0)+IF(AND(M168-M169&gt;1,M168&gt;10),1,0)+IF(AND(N168-N169&gt;1,N168&gt;10),1,0)+IF(AND(O168-O169&gt;1,O168&gt;10),1,0)+IF(AND(P168-P169&gt;1,P168&gt;10),1,0))</f>
        <v/>
      </c>
      <c r="R168" s="203" t="str">
        <f>IF(AND(I168="",I169=""),"",ABS(VLOOKUP(I168,I157:L160,4,FALSE)-VLOOKUP(I169,I157:L160,4,FALSE)))</f>
        <v/>
      </c>
      <c r="S168" s="256" t="str">
        <f>IF(R169="","",IF(Q168=3,+R169,-R169))</f>
        <v/>
      </c>
      <c r="T168" s="257"/>
      <c r="U168" s="258"/>
      <c r="V168" s="258"/>
      <c r="W168" s="258"/>
      <c r="X168" s="258"/>
      <c r="Y168" s="192"/>
      <c r="Z168" s="203"/>
      <c r="AA168" s="246">
        <v>2</v>
      </c>
      <c r="AB168" s="154" t="str">
        <f>IF(AND(COUNTBLANK(I157:I160)=0,Group_players=4,M157=M158,M158=M160),IF(COUNTIF(W156:W159,W157)=3,AB181,IF(AND(COUNTIF(W156:W159,W157)=1,W156&lt;&gt;W158),IF(M158=2,IF(SMALL(W156:W159,1)=W157,1,IF(SMALL(W156:W159,2)=W157,2,IF(SMALL(W156:W159,3)=W157,3))),IF(M158=1,IF(SMALL(W156:W159,1)=W157,2,IF(SMALL(W156:W159,2)=W157,3,IF(SMALL(W156:W159,3)=W157,4))),"")),IF(COUNTIF(W156:W159,W157)=1,IF(W157&lt;W156,IF(M158=2,1,2),IF(M158=2,3,4)),IF(COUNTIF(W156:W159,W157)=2,IF(W157=W156,IF(W157&lt;W159,IF(M158=2,IF(Q181=3,1,2),IF(M158=1,IF(Q181=3,2,3))),IF(W157&gt;W159,IF(M158=2,IF(Q181=3,2,3),IF(M158=1,IF(Q181=3,3,4))))),IF(W157=W159,IF(W157&lt;W156,IF(M158=2,IF(Q171=3,1,2),IF(M158=1,IF(Q171=3,2,3))),IF(W157&gt;W156,IF(M158=2,IF(Q171=3,2,3),IF(M158=1,IF(Q171=3,3,4))))))),"")))),"")</f>
        <v/>
      </c>
      <c r="AC168" s="192"/>
      <c r="AD168" s="192"/>
      <c r="AE168" s="192"/>
      <c r="AF168" s="203"/>
      <c r="AG168" s="203"/>
      <c r="AH168" s="203"/>
      <c r="AI168" s="203"/>
      <c r="AJ168" s="203"/>
      <c r="AK168" s="203"/>
      <c r="AL168" s="203"/>
      <c r="AM168" s="203"/>
      <c r="AN168" s="192"/>
      <c r="AO168" s="192"/>
      <c r="AP168" s="192"/>
      <c r="AQ168" s="192"/>
      <c r="AR168" s="192"/>
      <c r="AS168" s="192"/>
      <c r="AT168" s="192"/>
      <c r="AU168" s="192"/>
      <c r="AV168" s="192"/>
      <c r="AW168" s="192"/>
      <c r="AX168" s="192"/>
    </row>
    <row r="169" spans="2:50" ht="15" customHeight="1" thickBot="1" x14ac:dyDescent="0.35">
      <c r="B169" s="192"/>
      <c r="C169" s="192"/>
      <c r="D169" s="192"/>
      <c r="E169" s="164" t="str">
        <f>IF(Q169="","",IF(Q169=3,1,0))</f>
        <v/>
      </c>
      <c r="F169" s="164" t="str">
        <f>IF(Q169="","",IF(Q169&lt;3,1,0))</f>
        <v/>
      </c>
      <c r="G169" s="192"/>
      <c r="H169" s="192" t="str">
        <f>IF(I158="","",IF(I159="",2,3))</f>
        <v/>
      </c>
      <c r="I169" s="192" t="str">
        <f>IF(ISNUMBER(H169),VLOOKUP(H169,H157:I160,2,TRUE),"")</f>
        <v/>
      </c>
      <c r="J169" s="192"/>
      <c r="K169" s="192" t="str">
        <f>VLOOKUP(I169,I157:L160,3,FALSE)</f>
        <v/>
      </c>
      <c r="L169" s="155"/>
      <c r="M169" s="259"/>
      <c r="N169" s="259"/>
      <c r="O169" s="156"/>
      <c r="P169" s="157"/>
      <c r="Q169" s="260" t="str">
        <f>IF(L169="","",IF(AND(L169-L168&gt;1,L169&gt;10),1,0)+IF(AND(M169-M168&gt;1,M169&gt;10),1,0)+IF(AND(N169-N168&gt;1,N169&gt;10),1,0)+IF(AND(O169-O168&gt;1,O169&gt;10),1,0)+IF(AND(P169-P168&gt;1,P169&gt;10),1,0))</f>
        <v/>
      </c>
      <c r="R169" s="203" t="str">
        <f>IF(AND(Q168&lt;&gt;3,Q169&lt;&gt;3),"",IF(Q168=3,IF(VLOOKUP(I168,I157:L160,4,FALSE)&gt;VLOOKUP(I169,I157:L160,4,FALSE),VLOOKUP(R168,Point_dif,2,FALSE),VLOOKUP(R168,Point_dif,3,FALSE)),IF(Q169=3,IF(VLOOKUP(I169,I157:L160,4,FALSE)&gt;VLOOKUP(I168,I157:L160,4,FALSE),VLOOKUP(R168,Point_dif,2,FALSE),VLOOKUP(R168,Point_dif,3,FALSE)))))</f>
        <v/>
      </c>
      <c r="S169" s="256" t="str">
        <f>IF(R169="","",IF(Q169=3,+R169,-R169))</f>
        <v/>
      </c>
      <c r="T169" s="192"/>
      <c r="U169" s="235"/>
      <c r="V169" s="235"/>
      <c r="W169" s="235"/>
      <c r="X169" s="235"/>
      <c r="Y169" s="235"/>
      <c r="Z169" s="235"/>
      <c r="AA169" s="240">
        <v>4</v>
      </c>
      <c r="AB169" s="158" t="str">
        <f>IF(AND(COUNTBLANK(I157:I160)=0,Group_players=4,M157=M158,M158=M160),IF(COUNTIF(W156:W159,W159)=3,AB182,IF(AND(COUNTIF(W156:W159,W159)=1,W156&lt;&gt;W157),IF(M160=2,IF(SMALL(W156:W159,1)=W159,1,IF(SMALL(W156:W159,2)=W159,2,IF(SMALL(W156:W159,3)=W159,3))),IF(M160=1,IF(SMALL(W156:W159,1)=W159,2,IF(SMALL(W156:W159,2)=W159,3,IF(SMALL(W156:W159,3)=W159,4))),"")),IF(COUNTIF(W156:W159,W159)=1,IF(W159&lt;W156,IF(M160=2,1,2),IF(M160=2,3,4)),IF(COUNTIF(W156:W159,W159)=2,IF(W159=W156,IF(W159&lt;W157,IF(M160=2,IF(Q175=3,1,2),IF(M160=1,IF(Q175=3,2,3))),IF(W159&gt;W158,IF(M160=2,IF(Q175=3,2,3),IF(M160=1,IF(Q175=3,3,4))))),IF(W159=W157,IF(W159&lt;W156,IF(M160=2,IF(Q172=3,1,2),IF(M160=1,IF(Q172=3,2,3))),IF(W159&gt;W156,IF(M160=2,IF(Q172=3,2,3),IF(M160=1,IF(Q172=3,3,4))))))),"")))),"")</f>
        <v/>
      </c>
      <c r="AC169" s="192"/>
      <c r="AD169" s="192"/>
      <c r="AE169" s="192"/>
      <c r="AF169" s="203"/>
      <c r="AG169" s="203"/>
      <c r="AH169" s="203"/>
      <c r="AI169" s="203"/>
      <c r="AJ169" s="203"/>
      <c r="AK169" s="203"/>
      <c r="AL169" s="203"/>
      <c r="AM169" s="203"/>
      <c r="AN169" s="192"/>
      <c r="AO169" s="192"/>
      <c r="AP169" s="192"/>
      <c r="AQ169" s="192"/>
      <c r="AR169" s="192"/>
      <c r="AS169" s="192"/>
      <c r="AT169" s="192"/>
      <c r="AU169" s="192"/>
      <c r="AV169" s="192"/>
      <c r="AW169" s="192"/>
      <c r="AX169" s="192"/>
    </row>
    <row r="170" spans="2:50" ht="15" customHeight="1" thickTop="1" thickBot="1" x14ac:dyDescent="0.35">
      <c r="B170" s="192"/>
      <c r="C170" s="192"/>
      <c r="D170" s="192"/>
      <c r="E170" s="164"/>
      <c r="F170" s="164"/>
      <c r="G170" s="192"/>
      <c r="H170" s="192"/>
      <c r="I170" s="249" t="s">
        <v>116</v>
      </c>
      <c r="J170" s="249"/>
      <c r="K170" s="249"/>
      <c r="L170" s="250" t="s">
        <v>115</v>
      </c>
      <c r="M170" s="250" t="s">
        <v>116</v>
      </c>
      <c r="N170" s="250" t="s">
        <v>117</v>
      </c>
      <c r="O170" s="250" t="s">
        <v>118</v>
      </c>
      <c r="P170" s="250" t="s">
        <v>119</v>
      </c>
      <c r="Q170" s="250" t="s">
        <v>120</v>
      </c>
      <c r="R170" s="250"/>
      <c r="S170" s="251"/>
      <c r="T170" s="192"/>
      <c r="U170" s="235"/>
      <c r="V170" s="235"/>
      <c r="W170" s="235"/>
      <c r="X170" s="235"/>
      <c r="Y170" s="235"/>
      <c r="Z170" s="235"/>
      <c r="AA170" s="243">
        <v>2</v>
      </c>
      <c r="AB170" s="151" t="str">
        <f>IF(AND(COUNTBLANK(I157:I160)=0,Group_players=4,M158=M159,M159=M160),IF(COUNTIF(X156:X159,X157)=3,AB183,IF(AND(COUNTIF(X156:X159,X157)=1,X158&lt;&gt;X159),IF(M158=2,IF(SMALL(X156:X159,1)=X157,1,IF(SMALL(X156:X159,2)=X157,2,IF(SMALL(X156:X159,3)=X157,3))),IF(M158=1,IF(SMALL(X156:X159,1)=X157,2,IF(SMALL(X156:X159,2)=X157,3,IF(SMALL(X156:X159,3)=X157,4))),"")),IF(COUNTIF(X156:X159,X157)=1,IF(X157&lt;X159,IF(M158=2,1,2),IF(M158=1,3,3)),IF(COUNTIF(X156:X159,X157)=2,IF(X157=X158,IF(X157&lt;X159,IF(M158=2,IF(Q177=3,1,2),IF(M158=1,IF(Q177=3,2,3))),IF(X157&gt;X159,IF(M158=2,IF(Q177=3,2,3),IF(M158=1,IF(Q177=3,3,4))))),IF(X157=X159,IF(X157&lt;X158,IF(M158=2,IF(Q171=3,1,2),IF(M158=1,IF(Q171=3,2,3))),IF(X157&gt;X158,IF(M158=2,IF(Q171=3,2,3),IF(M158=1,IF(Q171=3,3,4))))))),"")))),"")</f>
        <v/>
      </c>
      <c r="AC170" s="192"/>
      <c r="AD170" s="192"/>
      <c r="AE170" s="192"/>
      <c r="AF170" s="203"/>
      <c r="AG170" s="203"/>
      <c r="AH170" s="203"/>
      <c r="AI170" s="203"/>
      <c r="AJ170" s="203"/>
      <c r="AK170" s="203"/>
      <c r="AL170" s="203"/>
      <c r="AM170" s="203"/>
      <c r="AN170" s="192"/>
      <c r="AO170" s="192"/>
      <c r="AP170" s="192"/>
      <c r="AQ170" s="192"/>
      <c r="AR170" s="192"/>
      <c r="AS170" s="192"/>
      <c r="AT170" s="192"/>
      <c r="AU170" s="192"/>
      <c r="AV170" s="192"/>
      <c r="AW170" s="192"/>
      <c r="AX170" s="192"/>
    </row>
    <row r="171" spans="2:50" ht="15" customHeight="1" thickTop="1" x14ac:dyDescent="0.3">
      <c r="B171" s="192"/>
      <c r="C171" s="192"/>
      <c r="D171" s="192"/>
      <c r="E171" s="164" t="str">
        <f>IF(Q171="","",IF(Q171=3,1,0))</f>
        <v/>
      </c>
      <c r="F171" s="164" t="str">
        <f>IF(Q171="","",IF(Q171&lt;3,1,0))</f>
        <v/>
      </c>
      <c r="G171" s="192"/>
      <c r="H171" s="192" t="str">
        <f>IF(I159="","",2)</f>
        <v/>
      </c>
      <c r="I171" s="192" t="str">
        <f>IF(ISNUMBER(H171),VLOOKUP(H171,H157:I160,2,TRUE),"")</f>
        <v/>
      </c>
      <c r="J171" s="192"/>
      <c r="K171" s="192" t="str">
        <f>VLOOKUP(I171,I157:L160,3,FALSE)</f>
        <v/>
      </c>
      <c r="L171" s="253"/>
      <c r="M171" s="254"/>
      <c r="N171" s="254"/>
      <c r="O171" s="152"/>
      <c r="P171" s="153"/>
      <c r="Q171" s="255" t="str">
        <f>IF(L171="","",IF(AND(L171-L172&gt;1,L171&gt;10),1,0)+IF(AND(M171-M172&gt;1,M171&gt;10),1,0)+IF(AND(N171-N172&gt;1,N171&gt;10),1,0)+IF(AND(O171-O172&gt;1,O171&gt;10),1,0)+IF(AND(P171-P172&gt;1,P171&gt;10),1,0))</f>
        <v/>
      </c>
      <c r="R171" s="203" t="str">
        <f>IF(AND(I171="",I172=""),"",ABS(VLOOKUP(I171,I157:L160,4,FALSE)-VLOOKUP(I172,I157:L160,4,FALSE)))</f>
        <v/>
      </c>
      <c r="S171" s="256" t="str">
        <f>IF(R172="","",IF(Q171=3,+R172,-R172))</f>
        <v/>
      </c>
      <c r="T171" s="192"/>
      <c r="U171" s="235"/>
      <c r="V171" s="235"/>
      <c r="W171" s="235"/>
      <c r="X171" s="235"/>
      <c r="Y171" s="235"/>
      <c r="Z171" s="235"/>
      <c r="AA171" s="246">
        <v>3</v>
      </c>
      <c r="AB171" s="154" t="str">
        <f>IF(AND(COUNTBLANK(I157:I160)=0,Group_players=4,M158=M159,M159=M160),IF(COUNTIF(X156:X159,X158)=3,AB184,IF(AND(COUNTIF(X156:X159,X158)=1,X157&lt;&gt;X159),IF(M159=2,IF(SMALL(X156:X159,1)=X158,1,IF(SMALL(X156:X159,2)=X158,2,IF(SMALL(X156:X159,3)=X158,3))),IF(M159=1,IF(SMALL(X156:X159,1)=X158,2,IF(SMALL(X156:X159,2)=X158,3,IF(SMALL(X156:X159,3)=X158,4))),"")),IF(COUNTIF(X156:X159,X158)=1,IF(X158&lt;X157,IF(M159=2,1,2),IF(M159=2,3,4)),IF(COUNTIF(X156:X159,X158)=2,IF(X158=X157,IF(X158&lt;X159,IF(M159=2,IF(Q178=3,1,2),IF(M159=1,IF(Q178=3,2,3))),IF(X158&gt;X159,IF(M159=2,IF(Q178=3,2,3),IF(M159=1,IF(Q178=3,3,4))))),IF(X158=X159,IF(X158&lt;X157,IF(M159=2,IF(Q183=3,1,2),IF(M159=1,IF(Q183=3,2,3))),IF(X158&gt;X157,IF(M159=2,IF(Q183=3,2,3),IF(M159=1,IF(Q183=3,3,4))))))),"")))),"")</f>
        <v/>
      </c>
      <c r="AC171" s="192"/>
      <c r="AD171" s="192"/>
      <c r="AE171" s="192"/>
      <c r="AF171" s="203"/>
      <c r="AG171" s="203"/>
      <c r="AH171" s="203"/>
      <c r="AI171" s="203"/>
      <c r="AJ171" s="203"/>
      <c r="AK171" s="203"/>
      <c r="AL171" s="203"/>
      <c r="AM171" s="203"/>
      <c r="AN171" s="192"/>
      <c r="AO171" s="192"/>
      <c r="AP171" s="192"/>
      <c r="AQ171" s="192"/>
      <c r="AR171" s="192"/>
      <c r="AS171" s="192"/>
      <c r="AT171" s="192"/>
      <c r="AU171" s="192"/>
      <c r="AV171" s="192"/>
      <c r="AW171" s="192"/>
      <c r="AX171" s="192"/>
    </row>
    <row r="172" spans="2:50" ht="15" customHeight="1" thickBot="1" x14ac:dyDescent="0.35">
      <c r="B172" s="192"/>
      <c r="C172" s="192"/>
      <c r="D172" s="192"/>
      <c r="E172" s="164" t="str">
        <f>IF(Q172="","",IF(Q172=3,1,0))</f>
        <v/>
      </c>
      <c r="F172" s="164" t="str">
        <f>IF(Q172="","",IF(Q172&lt;3,1,0))</f>
        <v/>
      </c>
      <c r="G172" s="192"/>
      <c r="H172" s="192" t="str">
        <f>IF(I159="","",IF(I160="",3,4))</f>
        <v/>
      </c>
      <c r="I172" s="192" t="str">
        <f>IF(ISNUMBER(H172),VLOOKUP(H172,H157:I160,2,TRUE),"")</f>
        <v/>
      </c>
      <c r="J172" s="192"/>
      <c r="K172" s="192" t="str">
        <f>VLOOKUP(I172,I157:L160,3,FALSE)</f>
        <v/>
      </c>
      <c r="L172" s="155"/>
      <c r="M172" s="259"/>
      <c r="N172" s="259"/>
      <c r="O172" s="156"/>
      <c r="P172" s="157"/>
      <c r="Q172" s="260" t="str">
        <f>IF(L172="","",IF(AND(L172-L171&gt;1,L172&gt;10),1,0)+IF(AND(M172-M171&gt;1,M172&gt;10),1,0)+IF(AND(N172-N171&gt;1,N172&gt;10),1,0)+IF(AND(O172-O171&gt;1,O172&gt;10),1,0)+IF(AND(P172-P171&gt;1,P172&gt;10),1,0))</f>
        <v/>
      </c>
      <c r="R172" s="203" t="str">
        <f>IF(AND(Q171&lt;&gt;3,Q172&lt;&gt;3),"",IF(Q171=3,IF(VLOOKUP(I171,I157:L160,4,FALSE)&gt;VLOOKUP(I172,I157:L160,4,FALSE),VLOOKUP(R171,Point_dif,2,FALSE),VLOOKUP(R171,Point_dif,3,FALSE)),IF(Q172=3,IF(VLOOKUP(I172,I157:L160,4,FALSE)&gt;VLOOKUP(I171,I157:L160,4,FALSE),VLOOKUP(R171,Point_dif,2,FALSE),VLOOKUP(R171,Point_dif,3,FALSE)))))</f>
        <v/>
      </c>
      <c r="S172" s="256" t="str">
        <f>IF(R172="","",IF(Q172=3,+R172,-R172))</f>
        <v/>
      </c>
      <c r="T172" s="192"/>
      <c r="U172" s="235"/>
      <c r="V172" s="235"/>
      <c r="W172" s="235"/>
      <c r="X172" s="235"/>
      <c r="Y172" s="235"/>
      <c r="Z172" s="235"/>
      <c r="AA172" s="261">
        <v>4</v>
      </c>
      <c r="AB172" s="158" t="str">
        <f>IF(AND(COUNTBLANK(I157:I160)=0,Group_players=4,M158=M159,M159=M160),IF(COUNTIF(X156:X159,X159)=3,AB185,IF(AND(COUNTIF(X156:X159,X159)=1,X158&lt;&gt;X157),IF(M160=2,IF(SMALL(X156:X159,1)=X159,1,IF(SMALL(X156:X159,2)=X159,2,IF(SMALL(X156:X159,3)=X159,3))),IF(M160=1,IF(SMALL(X156:X159,1)=X159,2,IF(SMALL(X156:X159,2)=X159,3,IF(SMALL(X156:X159,3)=X159,4))),"")),IF(COUNTIF(X156:X159,X159)=1,IF(X159&lt;X157,IF(M160=2,1,2),IF(M160=2,3,4)),IF(COUNTIF(X156:X159,X159)=2,IF(X159=X157,IF(X159&lt;X158,IF(M160=2,IF(Q172=3,1,2),IF(M160=1,IF(Q172=3,2,3))),IF(X159&gt;X158,IF(M160=2,IF(Q172=3,2,3),IF(M160=1,IF(Q172=3,3,4))))),IF(X159=X158,IF(X159&lt;X157,IF(M160=2,IF(Q184=3,1,2),IF(M160=1,IF(Q184=3,2,3))),IF(X159&gt;X157,IF(M160=2,IF(Q184=3,2,3),IF(M160=1,IF(Q184=3,3,4))))))),"")))),"")</f>
        <v/>
      </c>
      <c r="AC172" s="192"/>
      <c r="AD172" s="192"/>
      <c r="AE172" s="192"/>
      <c r="AF172" s="203"/>
      <c r="AG172" s="203"/>
      <c r="AH172" s="203"/>
      <c r="AI172" s="203"/>
      <c r="AJ172" s="203"/>
      <c r="AK172" s="203"/>
      <c r="AL172" s="203"/>
      <c r="AM172" s="203"/>
      <c r="AN172" s="192"/>
      <c r="AO172" s="192"/>
      <c r="AP172" s="192"/>
      <c r="AQ172" s="192"/>
      <c r="AR172" s="192"/>
      <c r="AS172" s="192"/>
      <c r="AT172" s="192"/>
      <c r="AU172" s="192"/>
      <c r="AV172" s="192"/>
      <c r="AW172" s="192"/>
      <c r="AX172" s="192"/>
    </row>
    <row r="173" spans="2:50" ht="15" customHeight="1" thickTop="1" thickBot="1" x14ac:dyDescent="0.35">
      <c r="B173" s="192"/>
      <c r="C173" s="192"/>
      <c r="D173" s="192"/>
      <c r="E173" s="164"/>
      <c r="F173" s="164"/>
      <c r="G173" s="192"/>
      <c r="H173" s="192"/>
      <c r="I173" s="249" t="s">
        <v>117</v>
      </c>
      <c r="J173" s="249"/>
      <c r="K173" s="249"/>
      <c r="L173" s="250" t="s">
        <v>115</v>
      </c>
      <c r="M173" s="250" t="s">
        <v>116</v>
      </c>
      <c r="N173" s="250" t="s">
        <v>117</v>
      </c>
      <c r="O173" s="250" t="s">
        <v>118</v>
      </c>
      <c r="P173" s="250" t="s">
        <v>119</v>
      </c>
      <c r="Q173" s="250" t="s">
        <v>120</v>
      </c>
      <c r="R173" s="250"/>
      <c r="S173" s="251"/>
      <c r="T173" s="263"/>
      <c r="U173" s="264"/>
      <c r="V173" s="242"/>
      <c r="W173" s="242"/>
      <c r="X173" s="264"/>
      <c r="Y173" s="192"/>
      <c r="Z173" s="203"/>
      <c r="AA173" s="126" t="s">
        <v>93</v>
      </c>
      <c r="AB173" s="265" t="s">
        <v>110</v>
      </c>
      <c r="AC173" s="192"/>
      <c r="AD173" s="192"/>
      <c r="AE173" s="192"/>
      <c r="AF173" s="203"/>
      <c r="AG173" s="203"/>
      <c r="AH173" s="203"/>
      <c r="AI173" s="203"/>
      <c r="AJ173" s="203"/>
      <c r="AK173" s="203"/>
      <c r="AL173" s="203"/>
      <c r="AM173" s="203"/>
      <c r="AN173" s="192"/>
      <c r="AO173" s="192"/>
      <c r="AP173" s="192"/>
      <c r="AQ173" s="192"/>
      <c r="AR173" s="192"/>
      <c r="AS173" s="192"/>
      <c r="AT173" s="192"/>
      <c r="AU173" s="192"/>
      <c r="AV173" s="192"/>
      <c r="AW173" s="192"/>
      <c r="AX173" s="192"/>
    </row>
    <row r="174" spans="2:50" ht="15" customHeight="1" thickTop="1" x14ac:dyDescent="0.3">
      <c r="B174" s="192"/>
      <c r="C174" s="192"/>
      <c r="D174" s="192"/>
      <c r="E174" s="164" t="str">
        <f>IF(Q174="","",IF(Q174=3,1,0))</f>
        <v/>
      </c>
      <c r="F174" s="164" t="str">
        <f>IF(Q174="","",IF(Q174&lt;3,1,0))</f>
        <v/>
      </c>
      <c r="G174" s="192"/>
      <c r="H174" s="192" t="str">
        <f>IF(I159&lt;&gt;"",1,"")</f>
        <v/>
      </c>
      <c r="I174" s="192" t="str">
        <f>IF(ISNUMBER(H174),VLOOKUP(H174,H157:I160,2,TRUE),"")</f>
        <v/>
      </c>
      <c r="J174" s="192"/>
      <c r="K174" s="192" t="str">
        <f>VLOOKUP(I174,I157:L160,3,FALSE)</f>
        <v/>
      </c>
      <c r="L174" s="253"/>
      <c r="M174" s="254"/>
      <c r="N174" s="254"/>
      <c r="O174" s="152"/>
      <c r="P174" s="153"/>
      <c r="Q174" s="255" t="str">
        <f>IF(L174="","",IF(AND(L174-L175&gt;1,L174&gt;10),1,0)+IF(AND(M174-M175&gt;1,M174&gt;10),1,0)+IF(AND(N174-N175&gt;1,N174&gt;10),1,0)+IF(AND(O174-O175&gt;1,O174&gt;10),1,0)+IF(AND(P174-P175&gt;1,P174&gt;10),1,0))</f>
        <v/>
      </c>
      <c r="R174" s="203" t="str">
        <f>IF(AND(I174="",I175=""),"",ABS(VLOOKUP(I174,I157:L160,4,FALSE)-VLOOKUP(I175,I157:L160,4,FALSE)))</f>
        <v/>
      </c>
      <c r="S174" s="256" t="str">
        <f>IF(R175="","",IF(Q174=3,+R175,-R175))</f>
        <v/>
      </c>
      <c r="T174" s="192"/>
      <c r="U174" s="235"/>
      <c r="V174" s="235"/>
      <c r="W174" s="235"/>
      <c r="X174" s="235"/>
      <c r="Y174" s="235"/>
      <c r="Z174" s="235"/>
      <c r="AA174" s="243">
        <v>1</v>
      </c>
      <c r="AB174" s="222" t="str">
        <f>IF(AND(COUNTBLANK(I157:I160)=0,Group_players=4,M157=M158,M158=M159),IF(U164="","",IF(COUNTIF(U164:U167,U164)=3,"Tied",IF(AND(COUNTIF(U164:U167,U164)=1,U165&lt;&gt;U166),IF(M157=2,IF(SMALL(U164:U167,1)=U164,1,IF(SMALL(U164:U167,2)=U164,2,IF(SMALL(U164:U167,3)=U164,3))),IF(M157=1,IF(SMALL(U164:U167,1)=U164,2,IF(SMALL(U164:U167,2)=U164,3,IF(SMALL(U164:U167,3)=U164,4))),"")),IF(COUNTIF(U164:U167,U164)=1,IF(U164&lt;U165,IF(M157=2,1,2),IF(M157=2,3,4)),IF(COUNTIF(U164:U167,U164)=2,IF(U164=U165,IF(U164&lt;U166,IF(M157=2,IF(Q180=3,1,2),IF(M157=1,IF(Q180=3,2,3))),IF(U164&gt;U166,IF(M157=2,IF(Q180=3,2,3),IF(M157=1,IF(Q180=3,3,4))))),IF(U164=U166,IF(U164&lt;U165,IF(M157=2,IF(Q168=3,1,2),IF(M157=1,IF(Q168=3,2,3))),IF(U164&gt;U165,IF(M157=2,IF(Q168=3,2,3),IF(M157=1,IF(Q168=3,3,4)))))))))))),"")</f>
        <v/>
      </c>
      <c r="AC174" s="192"/>
      <c r="AD174" s="192"/>
      <c r="AE174" s="192"/>
      <c r="AF174" s="203"/>
      <c r="AG174" s="203"/>
      <c r="AH174" s="203"/>
      <c r="AI174" s="203"/>
      <c r="AJ174" s="203"/>
      <c r="AK174" s="203"/>
      <c r="AL174" s="203"/>
      <c r="AM174" s="203"/>
      <c r="AN174" s="192"/>
      <c r="AO174" s="192"/>
      <c r="AP174" s="192"/>
      <c r="AQ174" s="192"/>
      <c r="AR174" s="192"/>
      <c r="AS174" s="192"/>
      <c r="AT174" s="192"/>
      <c r="AU174" s="192"/>
      <c r="AV174" s="192"/>
      <c r="AW174" s="192"/>
      <c r="AX174" s="192"/>
    </row>
    <row r="175" spans="2:50" ht="15" customHeight="1" thickBot="1" x14ac:dyDescent="0.35">
      <c r="B175" s="192"/>
      <c r="C175" s="192"/>
      <c r="D175" s="192"/>
      <c r="E175" s="164" t="str">
        <f>IF(Q175="","",IF(Q175=3,1,0))</f>
        <v/>
      </c>
      <c r="F175" s="164" t="str">
        <f>IF(Q175="","",IF(Q175&lt;3,1,0))</f>
        <v/>
      </c>
      <c r="G175" s="192"/>
      <c r="H175" s="192" t="str">
        <f>IF(I159="","",IF(I160&lt;&gt;"",4,2))</f>
        <v/>
      </c>
      <c r="I175" s="192" t="str">
        <f>IF(ISNUMBER(H175),VLOOKUP(H175,H157:I160,2,TRUE),"")</f>
        <v/>
      </c>
      <c r="J175" s="192"/>
      <c r="K175" s="192" t="str">
        <f>VLOOKUP(I175,I157:L160,3,FALSE)</f>
        <v/>
      </c>
      <c r="L175" s="155"/>
      <c r="M175" s="259"/>
      <c r="N175" s="259"/>
      <c r="O175" s="156"/>
      <c r="P175" s="157"/>
      <c r="Q175" s="260" t="str">
        <f>IF(L175="","",IF(AND(L175-L174&gt;1,L175&gt;10),1,0)+IF(AND(M175-M174&gt;1,M175&gt;10),1,0)+IF(AND(N175-N174&gt;1,N175&gt;10),1,0)+IF(AND(O175-O174&gt;1,O175&gt;10),1,0)+IF(AND(P175-P174&gt;1,P175&gt;10),1,0))</f>
        <v/>
      </c>
      <c r="R175" s="203" t="str">
        <f>IF(AND(Q174&lt;&gt;3,Q175&lt;&gt;3),"",IF(Q174=3,IF(VLOOKUP(I174,I157:L160,4,FALSE)&gt;VLOOKUP(I175,I157:L160,4,FALSE),VLOOKUP(R174,Point_dif,2,FALSE),VLOOKUP(R174,Point_dif,3,FALSE)),IF(Q175=3,IF(VLOOKUP(I175,I157:L160,4,FALSE)&gt;VLOOKUP(I174,I157:L160,4,FALSE),VLOOKUP(R174,Point_dif,2,FALSE),VLOOKUP(R174,Point_dif,3,FALSE)))))</f>
        <v/>
      </c>
      <c r="S175" s="256" t="str">
        <f>IF(R175="","",IF(Q175=3,+R175,-R175))</f>
        <v/>
      </c>
      <c r="T175" s="192"/>
      <c r="U175" s="235"/>
      <c r="V175" s="235"/>
      <c r="W175" s="235"/>
      <c r="X175" s="235"/>
      <c r="Y175" s="235"/>
      <c r="Z175" s="235"/>
      <c r="AA175" s="246">
        <v>2</v>
      </c>
      <c r="AB175" s="222" t="str">
        <f>IF(AND(COUNTBLANK(I157:I160)=0,Group_players=4,M157=M158,M158=M159),IF(U165="","",IF(COUNTIF(U164:U167,U165)=3,"Tied",IF(AND(COUNTIF(U164:U167,U165)=1,U164&lt;&gt;U166),IF(M158=2,IF(SMALL(U164:U167,1)=U165,1,IF(SMALL(U164:U167,2)=U165,2,IF(SMALL(U164:U167,3)=U165,3))),IF(M158=1,IF(SMALL(U164:U167,1)=U165,2,IF(SMALL(U164:U167,2)=U165,3,IF(SMALL(U164:U167,3)=U165,4))),"")),IF(COUNTIF(U164:U167,U165)=1,IF(U165&lt;U164,IF(M158=2,1,2),IF(M158=2,3,4)),IF(COUNTIF(U164:U167,U165)=2,IF(U165=U164,IF(U165&lt;U166,IF(M158=2,IF(Q181=3,1,2),IF(M158=1,IF(Q181=3,2,3))),IF(U165&gt;U166,IF(M158=2,IF(Q181=3,2,3),IF(M158=1,IF(Q181=3,3,4))))),IF(U165=U166,IF(U165&lt;U164,IF(M158=2,IF(Q177=3,1,2),IF(M158=1,IF(Q177=3,2,3))),IF(U165&gt;U164,IF(M158=2,IF(Q177=3,2,3),IF(M158=1,IF(Q177=3,3,4)))))))))))),"")</f>
        <v/>
      </c>
      <c r="AC175" s="192"/>
      <c r="AD175" s="192"/>
      <c r="AE175" s="192"/>
      <c r="AF175" s="203"/>
      <c r="AG175" s="203"/>
      <c r="AH175" s="203"/>
      <c r="AI175" s="203"/>
      <c r="AJ175" s="203"/>
      <c r="AK175" s="203"/>
      <c r="AL175" s="203"/>
      <c r="AM175" s="203"/>
      <c r="AN175" s="192"/>
      <c r="AO175" s="192"/>
      <c r="AP175" s="192"/>
      <c r="AQ175" s="192"/>
      <c r="AR175" s="192"/>
      <c r="AS175" s="192"/>
      <c r="AT175" s="192"/>
      <c r="AU175" s="192"/>
      <c r="AV175" s="192"/>
      <c r="AW175" s="192"/>
      <c r="AX175" s="192"/>
    </row>
    <row r="176" spans="2:50" ht="15" customHeight="1" thickTop="1" thickBot="1" x14ac:dyDescent="0.35">
      <c r="B176" s="192"/>
      <c r="C176" s="192"/>
      <c r="D176" s="192"/>
      <c r="E176" s="164"/>
      <c r="F176" s="164"/>
      <c r="G176" s="192"/>
      <c r="H176" s="192"/>
      <c r="I176" s="249" t="s">
        <v>118</v>
      </c>
      <c r="J176" s="249"/>
      <c r="K176" s="249"/>
      <c r="L176" s="250" t="s">
        <v>115</v>
      </c>
      <c r="M176" s="250" t="s">
        <v>116</v>
      </c>
      <c r="N176" s="250" t="s">
        <v>117</v>
      </c>
      <c r="O176" s="250" t="s">
        <v>118</v>
      </c>
      <c r="P176" s="250" t="s">
        <v>119</v>
      </c>
      <c r="Q176" s="250" t="s">
        <v>120</v>
      </c>
      <c r="R176" s="250"/>
      <c r="S176" s="251"/>
      <c r="T176" s="192"/>
      <c r="U176" s="235"/>
      <c r="V176" s="235"/>
      <c r="W176" s="235"/>
      <c r="X176" s="235"/>
      <c r="Y176" s="235"/>
      <c r="Z176" s="235"/>
      <c r="AA176" s="240">
        <v>3</v>
      </c>
      <c r="AB176" s="241" t="str">
        <f>IF(AND(COUNTBLANK(I157:I160)=0,Group_players=4,M157=M158,M158=M159),IF(U166="","",IF(COUNTIF(U164:U167,U166)=3,"Tied",IF(AND(COUNTIF(U164:U167,U166)=1,U164&lt;&gt;U165),IF(M157=2,IF(SMALL(U164:U167,1)=U166,1,IF(SMALL(U164:U167,2)=U166,2,IF(SMALL(U164:U167,3)=U166,3))),IF(M159=1,IF(SMALL(U164:U167,1)=U166,2,IF(SMALL(U164:U167,2)=U166,3,IF(SMALL(U164:U167,3)=U166,4))),"")),IF(COUNTIF(U164:U167,U166)=1,IF(U166&lt;U165,IF(M159=2,1,2),IF(M159=2,3,4)),IF(COUNTIF(U164:U167,U166)=2,IF(U166=U165,IF(U166&lt;U164,IF(M159=2,IF(Q178=3,1,2),IF(M159=1,IF(Q178=3,2,3))),IF(U166&gt;U164,IF(M159=2,IF(Q178=3,2,3),IF(M159=1,IF(Q178=3,3,4))))),IF(U166=U164,IF(U166&lt;U165,IF(M159=2,IF(Q169=3,1,2),IF(M159=1,IF(Q169=3,2,3))),IF(U166&gt;U165,IF(M159=2,IF(Q169=3,2,3),IF(M159=1,IF(Q169=3,3,4)))))))))))),"")</f>
        <v/>
      </c>
      <c r="AC176" s="192"/>
      <c r="AD176" s="192"/>
      <c r="AE176" s="192"/>
      <c r="AF176" s="203"/>
      <c r="AG176" s="203"/>
      <c r="AH176" s="203"/>
      <c r="AI176" s="203"/>
      <c r="AJ176" s="203"/>
      <c r="AK176" s="203"/>
      <c r="AL176" s="203"/>
      <c r="AM176" s="203"/>
      <c r="AN176" s="192"/>
      <c r="AO176" s="192"/>
      <c r="AP176" s="192"/>
      <c r="AQ176" s="192"/>
      <c r="AR176" s="192"/>
      <c r="AS176" s="192"/>
      <c r="AT176" s="192"/>
      <c r="AU176" s="192"/>
      <c r="AV176" s="192"/>
      <c r="AW176" s="192"/>
      <c r="AX176" s="192"/>
    </row>
    <row r="177" spans="2:50" ht="15" customHeight="1" thickTop="1" x14ac:dyDescent="0.3">
      <c r="B177" s="192"/>
      <c r="C177" s="192"/>
      <c r="D177" s="192"/>
      <c r="E177" s="164" t="str">
        <f>IF(Q177="","",IF(Q177=3,1,0))</f>
        <v/>
      </c>
      <c r="F177" s="164" t="str">
        <f>IF(Q177="","",IF(Q177&lt;3,1,0))</f>
        <v/>
      </c>
      <c r="G177" s="192"/>
      <c r="H177" s="192" t="str">
        <f>IF(I160&lt;&gt;"",2,"")</f>
        <v/>
      </c>
      <c r="I177" s="192" t="str">
        <f>IF(ISNUMBER(H177),VLOOKUP(H177,H157:I160,2,TRUE),"")</f>
        <v/>
      </c>
      <c r="J177" s="192"/>
      <c r="K177" s="192" t="str">
        <f>VLOOKUP(I177,I157:L160,3,FALSE)</f>
        <v/>
      </c>
      <c r="L177" s="253"/>
      <c r="M177" s="254"/>
      <c r="N177" s="254"/>
      <c r="O177" s="152"/>
      <c r="P177" s="153"/>
      <c r="Q177" s="255" t="str">
        <f>IF(L177="","",IF(AND(L177-L178&gt;1,L177&gt;10),1,0)+IF(AND(M177-M178&gt;1,M177&gt;10),1,0)+IF(AND(N177-N178&gt;1,N177&gt;10),1,0)+IF(AND(O177-O178&gt;1,O177&gt;10),1,0)+IF(AND(P177-P178&gt;1,P177&gt;10),1,0))</f>
        <v/>
      </c>
      <c r="R177" s="203" t="str">
        <f>IF(AND(I177="",I178=""),"",ABS(VLOOKUP(I177,I157:L160,4,FALSE)-VLOOKUP(I178,I157:L160,4,FALSE)))</f>
        <v/>
      </c>
      <c r="S177" s="256" t="str">
        <f>IF(R178="","",IF(Q177=3,+R178,-R178))</f>
        <v/>
      </c>
      <c r="T177" s="192"/>
      <c r="U177" s="235"/>
      <c r="V177" s="235"/>
      <c r="W177" s="235"/>
      <c r="X177" s="235"/>
      <c r="Y177" s="235"/>
      <c r="Z177" s="235"/>
      <c r="AA177" s="243">
        <v>1</v>
      </c>
      <c r="AB177" s="222" t="str">
        <f>IF(AND(COUNTBLANK(I157:I160)=0,Group_players=4,M157=M159,M159=M160),IF(V164="","",IF(COUNTIF(V164:V167,V164)=3,"Tied",IF(AND(COUNTIF(V164:V167,V164)=1,V166&lt;&gt;U167),IF(M157=2,IF(SMALL(V164:V167,1)=V164,1,IF(SMALL(V164:V167,2)=V164,2,IF(SMALL(V164:V167,3)=V164,3))),IF(M157=1,IF(SMALL(V164:V167,1)=V164,2,IF(SMALL(V164:V167,2)=V164,3,IF(SMALL(V164:V167,3)=V164,4))),"")),IF(COUNTIF(V164:V167,V164)=1,IF(V164&lt;V166,IF(M157=2,1,2),IF(M157=2,3,4)),IF(COUNTIF(V164:V167,V164)=2,IF(V164=V166,IF(V164&lt;V167,IF(M157=2,IF(Q168=3,1,2),IF(M157=1,IF(Q168=3,2,3))),IF(V164&gt;V167,IF(M157=2,IF(Q168=3,2,3),IF(M157=1,IF(Q168=3,3,4))))),IF(V164=V167,IF(V164&lt;V166,IF(M157=2,IF(Q174=3,1,2),IF(M157=1,IF(Q174=3,2,3))),IF(V164&gt;V165,IF(M157=2,IF(Q174=3,2,3),IF(M157=1,IF(Q174=3,3,4)))))))))))),"")</f>
        <v/>
      </c>
      <c r="AC177" s="192"/>
      <c r="AD177" s="192"/>
      <c r="AE177" s="192"/>
      <c r="AF177" s="203"/>
      <c r="AG177" s="203"/>
      <c r="AH177" s="203"/>
      <c r="AI177" s="203"/>
      <c r="AJ177" s="203"/>
      <c r="AK177" s="203"/>
      <c r="AL177" s="203"/>
      <c r="AM177" s="203"/>
      <c r="AN177" s="192"/>
      <c r="AO177" s="192"/>
      <c r="AP177" s="192"/>
      <c r="AQ177" s="192"/>
      <c r="AR177" s="192"/>
      <c r="AS177" s="192"/>
      <c r="AT177" s="192"/>
      <c r="AU177" s="192"/>
      <c r="AV177" s="192"/>
      <c r="AW177" s="192"/>
      <c r="AX177" s="192"/>
    </row>
    <row r="178" spans="2:50" ht="15" customHeight="1" thickBot="1" x14ac:dyDescent="0.35">
      <c r="B178" s="192"/>
      <c r="C178" s="192"/>
      <c r="D178" s="192"/>
      <c r="E178" s="164" t="str">
        <f>IF(Q178="","",IF(Q178=3,1,0))</f>
        <v/>
      </c>
      <c r="F178" s="164" t="str">
        <f>IF(Q178="","",IF(Q178&lt;3,1,0))</f>
        <v/>
      </c>
      <c r="G178" s="192"/>
      <c r="H178" s="192" t="str">
        <f>IF(I160&lt;&gt;"",3,"")</f>
        <v/>
      </c>
      <c r="I178" s="192" t="str">
        <f>IF(ISNUMBER(H178),VLOOKUP(H178,H157:I160,2,TRUE),"")</f>
        <v/>
      </c>
      <c r="J178" s="192"/>
      <c r="K178" s="192" t="str">
        <f>VLOOKUP(I178,I157:L160,3,FALSE)</f>
        <v/>
      </c>
      <c r="L178" s="155"/>
      <c r="M178" s="259"/>
      <c r="N178" s="259"/>
      <c r="O178" s="156"/>
      <c r="P178" s="157"/>
      <c r="Q178" s="260" t="str">
        <f>IF(L178="","",IF(AND(L178-L177&gt;1,L178&gt;10),1,0)+IF(AND(M178-M177&gt;1,M178&gt;10),1,0)+IF(AND(N178-N177&gt;1,N178&gt;10),1,0)+IF(AND(O178-O177&gt;1,O178&gt;10),1,0)+IF(AND(P178-P177&gt;1,P178&gt;10),1,0))</f>
        <v/>
      </c>
      <c r="R178" s="203" t="str">
        <f>IF(AND(Q177&lt;&gt;3,Q178&lt;&gt;3),"",IF(Q177=3,IF(VLOOKUP(I177,I157:L160,4,FALSE)&gt;VLOOKUP(I178,I157:L160,4,FALSE),VLOOKUP(R177,Point_dif,2,FALSE),VLOOKUP(R177,Point_dif,3,FALSE)),IF(Q178=3,IF(VLOOKUP(I178,I157:L160,4,FALSE)&gt;VLOOKUP(I177,I157:L160,4,FALSE),VLOOKUP(R177,Point_dif,2,FALSE),VLOOKUP(R177,Point_dif,3,FALSE)))))</f>
        <v/>
      </c>
      <c r="S178" s="256" t="str">
        <f>IF(R178="","",IF(Q178=3,+R178,-R178))</f>
        <v/>
      </c>
      <c r="T178" s="192"/>
      <c r="U178" s="159"/>
      <c r="V178" s="266"/>
      <c r="W178" s="266"/>
      <c r="X178" s="266"/>
      <c r="Y178" s="192"/>
      <c r="Z178" s="203"/>
      <c r="AA178" s="246">
        <v>3</v>
      </c>
      <c r="AB178" s="222" t="str">
        <f>IF(AND(COUNTBLANK(I157:I160)=0,Group_players=4,M157=M159,M159=M160),IF(V166="","",IF(COUNTIF(V164:V167,V166)=3,"Tied",IF(AND(COUNTIF(V164:V167,V166)=1,V164&lt;&gt;V167),IF(M159=2,IF(SMALL(V164:V167,1)=V166,1,IF(SMALL(V164:V167,2)=V166,2,IF(SMALL(V164:V167,3)=V166,3))),IF(M159=1,IF(SMALL(V164:V167,1)=V166,2,IF(SMALL(V164:V167,2)=V166,3,IF(SMALL(V164:V167,3)=V166,4))),"")),IF(COUNTIF(V164:V167,V166)=1,IF(V166&lt;V164,IF(M159=2,1,2),IF(M159=2,3,4)),IF(COUNTIF(V164:V167,V166)=2,IF(V166=V164,IF(V166&lt;V167,IF(M159=2,IF(Q169=3,1,2),IF(M159=1,IF(Q169=3,2,3))),IF(V166&gt;V167,IF(M159=2,IF(Q169=3,2,3),IF(M159=1,IF(Q169=3,3,4))))),IF(V166=V167,IF(V166&lt;V164,IF(M159=2,IF(Q183=3,1,2),IF(M159=1,IF(Q183=3,2,3))),IF(V166&gt;V164,IF(M159=2,IF(Q183=3,2,3),IF(M159=1,IF(Q183=3,3,4)))))))))))),"")</f>
        <v/>
      </c>
      <c r="AC178" s="192"/>
      <c r="AD178" s="192"/>
      <c r="AE178" s="192"/>
      <c r="AF178" s="203"/>
      <c r="AG178" s="203"/>
      <c r="AH178" s="203"/>
      <c r="AI178" s="203"/>
      <c r="AJ178" s="203"/>
      <c r="AK178" s="203"/>
      <c r="AL178" s="203"/>
      <c r="AM178" s="203"/>
      <c r="AN178" s="192"/>
      <c r="AO178" s="192"/>
      <c r="AP178" s="192"/>
      <c r="AQ178" s="192"/>
      <c r="AR178" s="192"/>
      <c r="AS178" s="192"/>
      <c r="AT178" s="192"/>
      <c r="AU178" s="192"/>
      <c r="AV178" s="192"/>
      <c r="AW178" s="192"/>
      <c r="AX178" s="192"/>
    </row>
    <row r="179" spans="2:50" ht="15" customHeight="1" thickTop="1" thickBot="1" x14ac:dyDescent="0.35">
      <c r="B179" s="192"/>
      <c r="C179" s="192"/>
      <c r="D179" s="192"/>
      <c r="E179" s="164"/>
      <c r="F179" s="164"/>
      <c r="G179" s="192"/>
      <c r="H179" s="192"/>
      <c r="I179" s="249" t="s">
        <v>119</v>
      </c>
      <c r="J179" s="249"/>
      <c r="K179" s="249"/>
      <c r="L179" s="250" t="s">
        <v>115</v>
      </c>
      <c r="M179" s="250" t="s">
        <v>116</v>
      </c>
      <c r="N179" s="250" t="s">
        <v>117</v>
      </c>
      <c r="O179" s="250" t="s">
        <v>118</v>
      </c>
      <c r="P179" s="250" t="s">
        <v>119</v>
      </c>
      <c r="Q179" s="250" t="s">
        <v>120</v>
      </c>
      <c r="R179" s="250"/>
      <c r="S179" s="251"/>
      <c r="T179" s="247"/>
      <c r="U179" s="235"/>
      <c r="V179" s="235"/>
      <c r="W179" s="235"/>
      <c r="X179" s="235"/>
      <c r="Y179" s="235"/>
      <c r="Z179" s="235"/>
      <c r="AA179" s="240">
        <v>4</v>
      </c>
      <c r="AB179" s="241" t="str">
        <f>IF(AND(COUNTBLANK(I157:I160)=0,Group_players=4,M157=M159,M159=M160),IF(V167="","",IF(COUNTIF(V164:V167,V167)=3,"Tied",IF(AND(COUNTIF(V164:V167,V167)=1,V166&lt;&gt;V164),IF(M160=2,IF(SMALL(V164:V167,1)=V167,1,IF(SMALL(V164:V167,2)=V167,2,IF(SMALL(V164:V167,3)=V167,3))),IF(M160=1,IF(SMALL(V164:V167,1)=V167,2,IF(SMALL(V164:V167,2)=V167,3,IF(SMALL(V164:V167,3)=V167,4))),"")),IF(COUNTIF(V164:V167,V167)=1,IF(V167&lt;V164,IF(M160=2,1,2),IF(M160=2,3,4)),IF(COUNTIF(V164:V167,V167)=2,IF(V167=V164,IF(V167&lt;V166,IF(M160=2,IF(Q175=3,1,2),IF(M160=1,IF(Q175=3,2,3))),IF(V167&gt;V166,IF(M160=2,IF(Q175=3,2,3),IF(M160=1,IF(Q175=3,3,4))))),IF(V167=V166,IF(V167&lt;V164,IF(M160=2,IF(Q184=3,1,2),IF(M160=1,IF(Q184=3,2,3))),IF(V167&gt;V164,IF(M160=2,IF(Q184=3,2,3),IF(M160=1,IF(Q184=3,3,4)))))))))))),"")</f>
        <v/>
      </c>
      <c r="AC179" s="192"/>
      <c r="AD179" s="192"/>
      <c r="AE179" s="192"/>
      <c r="AF179" s="203"/>
      <c r="AG179" s="203"/>
      <c r="AH179" s="203"/>
      <c r="AI179" s="203"/>
      <c r="AJ179" s="203"/>
      <c r="AK179" s="203"/>
      <c r="AL179" s="203"/>
      <c r="AM179" s="203"/>
      <c r="AN179" s="192"/>
      <c r="AO179" s="192"/>
      <c r="AP179" s="192"/>
      <c r="AQ179" s="192"/>
      <c r="AR179" s="192"/>
      <c r="AS179" s="192"/>
      <c r="AT179" s="192"/>
      <c r="AU179" s="192"/>
      <c r="AV179" s="192"/>
      <c r="AW179" s="192"/>
      <c r="AX179" s="192"/>
    </row>
    <row r="180" spans="2:50" ht="15" customHeight="1" thickTop="1" x14ac:dyDescent="0.3">
      <c r="B180" s="192"/>
      <c r="C180" s="192"/>
      <c r="D180" s="192"/>
      <c r="E180" s="164" t="str">
        <f>IF(Q180="","",IF(Q180=3,1,0))</f>
        <v/>
      </c>
      <c r="F180" s="164" t="str">
        <f>IF(Q180="","",IF(Q180&lt;3,1,0))</f>
        <v/>
      </c>
      <c r="G180" s="192"/>
      <c r="H180" s="192" t="str">
        <f>IF(I160&lt;&gt;"",1,"")</f>
        <v/>
      </c>
      <c r="I180" s="192" t="str">
        <f>IF(ISNUMBER(H180),VLOOKUP(H180,H157:I160,2,TRUE),"")</f>
        <v/>
      </c>
      <c r="J180" s="192"/>
      <c r="K180" s="192" t="str">
        <f>VLOOKUP(I180,I157:L160,3,FALSE)</f>
        <v/>
      </c>
      <c r="L180" s="253"/>
      <c r="M180" s="254"/>
      <c r="N180" s="254"/>
      <c r="O180" s="152"/>
      <c r="P180" s="153"/>
      <c r="Q180" s="255" t="str">
        <f>IF(L180="","",IF(AND(L180-L181&gt;1,L180&gt;10),1,0)+IF(AND(M180-M181&gt;1,M180&gt;10),1,0)+IF(AND(N180-N181&gt;1,N180&gt;10),1,0)+IF(AND(O180-O181&gt;1,O180&gt;10),1,0)+IF(AND(P180-P181&gt;1,P180&gt;10),1,0))</f>
        <v/>
      </c>
      <c r="R180" s="203" t="str">
        <f>IF(AND(I180="",I181=""),"",ABS(VLOOKUP(I180,I157:L160,4,FALSE)-VLOOKUP(I181,I157:L160,4,FALSE)))</f>
        <v/>
      </c>
      <c r="S180" s="256" t="str">
        <f>IF(R181="","",IF(Q180=3,+R181,-R181))</f>
        <v/>
      </c>
      <c r="T180" s="247"/>
      <c r="U180" s="235"/>
      <c r="V180" s="235"/>
      <c r="W180" s="235"/>
      <c r="X180" s="235"/>
      <c r="Y180" s="235"/>
      <c r="Z180" s="235"/>
      <c r="AA180" s="243">
        <v>1</v>
      </c>
      <c r="AB180" s="222" t="str">
        <f>IF(AND(COUNTBLANK(I157:I160)=0,Group_players=4,M157=M158,M158=M160),IF(W164="","",IF(COUNTIF(W164:W167,W164)=3,"Tied",IF(AND(COUNTIF(W164:W167,W164)=1,W165&lt;&gt;W166),IF(M157=2,IF(SMALL(W164:W167,1)=W164,1,IF(SMALL(W164:W167,2)=W164,2,IF(SMALL(W164:W167,3)=W164,3))),IF(M157=1,IF(SMALL(W164:W167,1)=W164,2,IF(SMALL(W164:W167,2)=W164,3,IF(SMALL(W164:W167,3)=W164,4))),"")),IF(COUNTIF(W164:W167,W164)=1,IF(W164&lt;W165,IF(M157=2,1,2),IF(M157=2,3,4)),IF(COUNTIF(W164:W167,W164)=2,IF(W164=W165,IF(W164&lt;W167,IF(M157=2,IF(Q180=3,1,2),IF(M157=1,IF(Q180=3,2,3))),IF(W164&gt;W167,IF(M157=2,IF(Q180=3,2,3),IF(M157=1,IF(Q180=3,3,4))))),IF(W164=W167,IF(W164&lt;W165,IF(M157=2,IF(Q174=3,1,2),IF(M157=1,IF(Q174=3,2,3))),IF(W164&gt;W165,IF(M157=2,IF(Q174=3,2,3),IF(M157=1,IF(Q174=3,3,4)))))))))))),"")</f>
        <v/>
      </c>
      <c r="AC180" s="192"/>
      <c r="AD180" s="192"/>
      <c r="AE180" s="192"/>
      <c r="AF180" s="203"/>
      <c r="AG180" s="203"/>
      <c r="AH180" s="203"/>
      <c r="AI180" s="203"/>
      <c r="AJ180" s="203"/>
      <c r="AK180" s="203"/>
      <c r="AL180" s="203"/>
      <c r="AM180" s="203"/>
      <c r="AN180" s="192"/>
      <c r="AO180" s="192"/>
      <c r="AP180" s="192"/>
      <c r="AQ180" s="192"/>
      <c r="AR180" s="192"/>
      <c r="AS180" s="192"/>
      <c r="AT180" s="192"/>
      <c r="AU180" s="192"/>
      <c r="AV180" s="192"/>
      <c r="AW180" s="192"/>
      <c r="AX180" s="192"/>
    </row>
    <row r="181" spans="2:50" ht="15" customHeight="1" thickBot="1" x14ac:dyDescent="0.35">
      <c r="B181" s="192"/>
      <c r="C181" s="192"/>
      <c r="D181" s="192"/>
      <c r="E181" s="164" t="str">
        <f>IF(Q181="","",IF(Q181=3,1,0))</f>
        <v/>
      </c>
      <c r="F181" s="164" t="str">
        <f>IF(Q181="","",IF(Q181&lt;3,1,0))</f>
        <v/>
      </c>
      <c r="G181" s="192"/>
      <c r="H181" s="192" t="str">
        <f>IF(I160&lt;&gt;"",2,"")</f>
        <v/>
      </c>
      <c r="I181" s="192" t="str">
        <f>IF(ISNUMBER(H181),VLOOKUP(H181,H157:I160,2,TRUE),"")</f>
        <v/>
      </c>
      <c r="J181" s="192"/>
      <c r="K181" s="192" t="str">
        <f>VLOOKUP(I181,I157:L160,3,FALSE)</f>
        <v/>
      </c>
      <c r="L181" s="155"/>
      <c r="M181" s="259"/>
      <c r="N181" s="259"/>
      <c r="O181" s="156"/>
      <c r="P181" s="157"/>
      <c r="Q181" s="260" t="str">
        <f>IF(L181="","",IF(AND(L181-L180&gt;1,L181&gt;10),1,0)+IF(AND(M181-M180&gt;1,M181&gt;10),1,0)+IF(AND(N181-N180&gt;1,N181&gt;10),1,0)+IF(AND(O181-O180&gt;1,O181&gt;10),1,0)+IF(AND(P181-P180&gt;1,P181&gt;10),1,0))</f>
        <v/>
      </c>
      <c r="R181" s="203" t="str">
        <f>IF(AND(Q180&lt;&gt;3,Q181&lt;&gt;3),"",IF(Q180=3,IF(VLOOKUP(I180,I157:L160,4,FALSE)&gt;VLOOKUP(I181,I157:L160,4,FALSE),VLOOKUP(R180,Point_dif,2,FALSE),VLOOKUP(R180,Point_dif,3,FALSE)),IF(Q181=3,IF(VLOOKUP(I181,I157:L160,4,FALSE)&gt;VLOOKUP(I181,I157:L160,4,FALSE),VLOOKUP(R180,Point_dif,2,FALSE),VLOOKUP(R180,Point_dif,3,FALSE)))))</f>
        <v/>
      </c>
      <c r="S181" s="256" t="str">
        <f>IF(R181="","",IF(Q181=3,+R181,-R181))</f>
        <v/>
      </c>
      <c r="T181" s="247"/>
      <c r="U181" s="235"/>
      <c r="V181" s="235"/>
      <c r="W181" s="235"/>
      <c r="X181" s="235"/>
      <c r="Y181" s="235"/>
      <c r="Z181" s="235"/>
      <c r="AA181" s="246">
        <v>2</v>
      </c>
      <c r="AB181" s="222" t="str">
        <f>IF(AND(COUNTBLANK(I157:I160)=0,Group_players=4,M157=M158,M158=M160),IF(W165="","",IF(COUNTIF(W164:W167,W165)=3,"Tied",IF(AND(COUNTIF(W164:W167,W165)=1,W164&lt;&gt;W166),IF(M158=2,IF(SMALL(W164:W167,1)=W165,1,IF(SMALL(W164:W167,2)=W165,2,IF(SMALL(W164:W167,3)=W165,3))),IF(M158=1,IF(SMALL(W164:W167,1)=W165,2,IF(SMALL(W164:W167,2)=W165,3,IF(SMALL(W164:W167,3)=W165,4))),"")),IF(COUNTIF(W164:W167,W165)=1,IF(W165&lt;W164,IF(M158=2,1,2),IF(M158=2,3,4)),IF(COUNTIF(W164:W167,W165)=2,IF(W165=W164,IF(W165&lt;W167,IF(M158=2,IF(Q181=3,1,2),IF(M158=1,IF(Q181=3,2,3))),IF(W165&gt;W167,IF(M158=2,IF(Q181=3,2,3),IF(M158=1,IF(Q181=3,3,4))))),IF(W165=W167,IF(W165&lt;W164,IF(M158=2,IF(Q171=3,1,2),IF(M158=1,IF(Q171=3,2,3))),IF(W165&gt;W164,IF(M158=2,IF(Q171=3,2,3),IF(M158=1,IF(Q171=3,3,4)))))))))))),"")</f>
        <v/>
      </c>
      <c r="AC181" s="192"/>
      <c r="AD181" s="192"/>
      <c r="AE181" s="192"/>
      <c r="AF181" s="203"/>
      <c r="AG181" s="203"/>
      <c r="AH181" s="203"/>
      <c r="AI181" s="203"/>
      <c r="AJ181" s="203"/>
      <c r="AK181" s="203"/>
      <c r="AL181" s="203"/>
      <c r="AM181" s="203"/>
      <c r="AN181" s="192"/>
      <c r="AO181" s="192"/>
      <c r="AP181" s="192"/>
      <c r="AQ181" s="192"/>
      <c r="AR181" s="192"/>
      <c r="AS181" s="192"/>
      <c r="AT181" s="192"/>
      <c r="AU181" s="192"/>
      <c r="AV181" s="192"/>
      <c r="AW181" s="192"/>
      <c r="AX181" s="192"/>
    </row>
    <row r="182" spans="2:50" ht="15" customHeight="1" thickTop="1" thickBot="1" x14ac:dyDescent="0.35">
      <c r="B182" s="192"/>
      <c r="C182" s="192"/>
      <c r="D182" s="192"/>
      <c r="E182" s="164"/>
      <c r="F182" s="164"/>
      <c r="G182" s="192"/>
      <c r="H182" s="192"/>
      <c r="I182" s="249" t="s">
        <v>121</v>
      </c>
      <c r="J182" s="249"/>
      <c r="K182" s="249"/>
      <c r="L182" s="250" t="s">
        <v>115</v>
      </c>
      <c r="M182" s="250" t="s">
        <v>116</v>
      </c>
      <c r="N182" s="250" t="s">
        <v>117</v>
      </c>
      <c r="O182" s="250" t="s">
        <v>118</v>
      </c>
      <c r="P182" s="250" t="s">
        <v>119</v>
      </c>
      <c r="Q182" s="250" t="s">
        <v>120</v>
      </c>
      <c r="R182" s="250"/>
      <c r="S182" s="251"/>
      <c r="T182" s="247"/>
      <c r="U182" s="235"/>
      <c r="V182" s="235"/>
      <c r="W182" s="235"/>
      <c r="X182" s="235"/>
      <c r="Y182" s="235"/>
      <c r="Z182" s="235"/>
      <c r="AA182" s="240">
        <v>4</v>
      </c>
      <c r="AB182" s="241" t="str">
        <f>IF(AND(COUNTBLANK(I157:I160)=0,Group_players=4,M157=M158,M158=M160),IF(W167="","",IF(COUNTIF(W164:W167,W167)=3,"Tied",IF(AND(COUNTIF(W164:W167,W167)=1,W164&lt;&gt;W165),IF(M160=2,IF(SMALL(W164:W167,1)=W167,1,IF(SMALL(W164:W167,2)=W167,2,IF(SMALL(W164:W167,3)=W167,3))),IF(M160=1,IF(SMALL(W164:W167,1)=W167,2,IF(SMALL(W164:W167,2)=W167,3,IF(SMALL(W164:W167,3)=W167,4))),"")),IF(COUNTIF(W164:W167,W167)=1,IF(W167&lt;W164,IF(M160=2,1,2),IF(M160=2,3,4)),IF(COUNTIF(W164:W167,W167)=2,IF(W167=W164,IF(W167&lt;W165,IF(M160=2,IF(Q175=3,1,2),IF(M160=1,IF(Q175=3,2,3))),IF(W167&gt;W166,IF(M160=2,IF(Q175=3,2,3),IF(M160=1,IF(Q175=3,3,4))))),IF(W167=W165,IF(W167&lt;W164,IF(M160=2,IF(Q172=3,1,2),IF(M160=1,IF(Q172=3,2,3))),IF(W167&gt;W164,IF(M160=2,IF(Q172=3,2,3),IF(M160=1,IF(Q172=3,3,4)))))))))))),"")</f>
        <v/>
      </c>
      <c r="AC182" s="192"/>
      <c r="AD182" s="192"/>
      <c r="AE182" s="192"/>
      <c r="AF182" s="203"/>
      <c r="AG182" s="203"/>
      <c r="AH182" s="203"/>
      <c r="AI182" s="203"/>
      <c r="AJ182" s="203"/>
      <c r="AK182" s="203"/>
      <c r="AL182" s="203"/>
      <c r="AM182" s="203"/>
      <c r="AN182" s="192"/>
      <c r="AO182" s="192"/>
      <c r="AP182" s="192"/>
      <c r="AQ182" s="192"/>
      <c r="AR182" s="192"/>
      <c r="AS182" s="192"/>
      <c r="AT182" s="192"/>
      <c r="AU182" s="192"/>
      <c r="AV182" s="192"/>
      <c r="AW182" s="192"/>
      <c r="AX182" s="192"/>
    </row>
    <row r="183" spans="2:50" ht="15" customHeight="1" thickTop="1" x14ac:dyDescent="0.3">
      <c r="B183" s="192"/>
      <c r="C183" s="192"/>
      <c r="D183" s="192"/>
      <c r="E183" s="164" t="str">
        <f>IF(Q183="","",IF(Q183=3,1,0))</f>
        <v/>
      </c>
      <c r="F183" s="164" t="str">
        <f>IF(Q183="","",IF(Q183&lt;3,1,0))</f>
        <v/>
      </c>
      <c r="G183" s="192"/>
      <c r="H183" s="192" t="str">
        <f>IF(I160&lt;&gt;"",3,"")</f>
        <v/>
      </c>
      <c r="I183" s="192" t="str">
        <f>IF(ISNUMBER(H183),VLOOKUP(H183,H157:I160,2,TRUE),"")</f>
        <v/>
      </c>
      <c r="J183" s="192"/>
      <c r="K183" s="192" t="str">
        <f>VLOOKUP(I183,I157:L160,3,FALSE)</f>
        <v/>
      </c>
      <c r="L183" s="253"/>
      <c r="M183" s="254"/>
      <c r="N183" s="254"/>
      <c r="O183" s="152"/>
      <c r="P183" s="153"/>
      <c r="Q183" s="255" t="str">
        <f>IF(L183="","",IF(AND(L183-L184&gt;1,L183&gt;10),1,0)+IF(AND(M183-M184&gt;1,M183&gt;10),1,0)+IF(AND(N183-N184&gt;1,N183&gt;10),1,0)+IF(AND(O183-O184&gt;1,O183&gt;10),1,0)+IF(AND(P183-P184&gt;1,P183&gt;10),1,0))</f>
        <v/>
      </c>
      <c r="R183" s="203" t="str">
        <f>IF(AND(I183="",I184=""),"",ABS(VLOOKUP(I183,I157:L160,4,FALSE)-VLOOKUP(I184,I157:L160,4,FALSE)))</f>
        <v/>
      </c>
      <c r="S183" s="256" t="str">
        <f>IF(R184="","",IF(Q183=3,+R184,-R184))</f>
        <v/>
      </c>
      <c r="T183" s="247"/>
      <c r="U183" s="264"/>
      <c r="V183" s="242"/>
      <c r="W183" s="192"/>
      <c r="X183" s="264"/>
      <c r="Y183" s="192"/>
      <c r="Z183" s="192"/>
      <c r="AA183" s="243">
        <v>2</v>
      </c>
      <c r="AB183" s="222" t="str">
        <f>IF(AND(COUNTBLANK(I157:I160)=0,Group_players=4,M158=M159,M159=M160),IF(X165="","",IF(COUNTIF(X164:X167,X165)=3,"Tied",IF(AND(COUNTIF(X164:X167,X165)=1,X166&lt;&gt;X167),IF(M158=2,IF(SMALL(X164:X167,1)=X165,1,IF(SMALL(X164:X167,2)=X165,2,IF(SMALL(X164:X167,3)=X165,3))),IF(M158=1,IF(SMALL(X164:X167,1)=X165,2,IF(SMALL(X164:X167,2)=X165,3,IF(SMALL(X164:X167,3)=X165,4))),"")),IF(COUNTIF(X164:X167,X165)=1,IF(X165&lt;X167,IF(M158=2,1,2),IF(M158=1,4)),IF(COUNTIF(X164:X167,X165)=2,IF(X165=X166,IF(X165&lt;X167,IF(M158=2,IF(Q177=3,1,2),IF(M158=1,IF(Q177=3,2,3))),IF(X165&gt;X167,IF(M158=2,IF(Q177=3,2,3),IF(M158=1,IF(Q177=3,3,4))))),IF(X165=X167,IF(X165&lt;X166,IF(M158=2,IF(Q171=3,1,2),IF(M158=1,IF(Q171=3,2,3))),IF(X165&gt;X166,IF(M158=2,IF(Q171=3,2,3),IF(M158=1,IF(Q171=3,3,4)))))))))))),"")</f>
        <v/>
      </c>
      <c r="AC183" s="192"/>
      <c r="AD183" s="192"/>
      <c r="AE183" s="192"/>
      <c r="AF183" s="203"/>
      <c r="AG183" s="203"/>
      <c r="AH183" s="203"/>
      <c r="AI183" s="203"/>
      <c r="AJ183" s="203"/>
      <c r="AK183" s="203"/>
      <c r="AL183" s="203"/>
      <c r="AM183" s="203"/>
      <c r="AN183" s="192"/>
      <c r="AO183" s="192"/>
      <c r="AP183" s="192"/>
      <c r="AQ183" s="192"/>
      <c r="AR183" s="192"/>
      <c r="AS183" s="192"/>
      <c r="AT183" s="192"/>
      <c r="AU183" s="192"/>
      <c r="AV183" s="192"/>
      <c r="AW183" s="192"/>
      <c r="AX183" s="192"/>
    </row>
    <row r="184" spans="2:50" ht="15" customHeight="1" thickBot="1" x14ac:dyDescent="0.35">
      <c r="B184" s="192"/>
      <c r="C184" s="192"/>
      <c r="D184" s="192"/>
      <c r="E184" s="164" t="str">
        <f>IF(Q184="","",IF(Q184=3,1,0))</f>
        <v/>
      </c>
      <c r="F184" s="164" t="str">
        <f>IF(Q184="","",IF(Q184&lt;3,1,0))</f>
        <v/>
      </c>
      <c r="G184" s="192"/>
      <c r="H184" s="192" t="str">
        <f>IF(I160&lt;&gt;"",4,"")</f>
        <v/>
      </c>
      <c r="I184" s="192" t="str">
        <f>IF(ISNUMBER(H184),VLOOKUP(H184,H157:I160,2,TRUE),"")</f>
        <v/>
      </c>
      <c r="J184" s="192"/>
      <c r="K184" s="192" t="str">
        <f>VLOOKUP(I184,I157:L160,3,FALSE)</f>
        <v/>
      </c>
      <c r="L184" s="155"/>
      <c r="M184" s="259"/>
      <c r="N184" s="259"/>
      <c r="O184" s="156"/>
      <c r="P184" s="157"/>
      <c r="Q184" s="260" t="str">
        <f>IF(L184="","",IF(AND(L184-L183&gt;1,L184&gt;10),1,0)+IF(AND(M184-M183&gt;1,M184&gt;10),1,0)+IF(AND(N184-N183&gt;1,N184&gt;10),1,0)+IF(AND(O184-O183&gt;1,O184&gt;10),1,0)+IF(AND(P184-P183&gt;1,P184&gt;10),1,0))</f>
        <v/>
      </c>
      <c r="R184" s="203" t="str">
        <f>IF(AND(Q183&lt;&gt;3,Q184&lt;&gt;3),"",IF(Q183=3,IF(VLOOKUP(I183,I157:L160,4,FALSE)&gt;VLOOKUP(I184,I157:L160,4,FALSE),VLOOKUP(R183,Point_dif,2,FALSE),VLOOKUP(R183,Point_dif,3,FALSE)),IF(Q184=3,IF(VLOOKUP(I184,I157:L160,4,FALSE)&gt;VLOOKUP(I183,I157:L160,4,FALSE),VLOOKUP(R183,Point_dif,2,FALSE),VLOOKUP(R183,Point_dif,3,FALSE)))))</f>
        <v/>
      </c>
      <c r="S184" s="260" t="str">
        <f>IF(R184="","",IF(Q184=3,+R184,-R184))</f>
        <v/>
      </c>
      <c r="T184" s="247"/>
      <c r="U184" s="235"/>
      <c r="V184" s="235"/>
      <c r="W184" s="235"/>
      <c r="X184" s="235"/>
      <c r="Y184" s="235"/>
      <c r="Z184" s="235"/>
      <c r="AA184" s="246">
        <v>3</v>
      </c>
      <c r="AB184" s="222" t="str">
        <f>IF(AND(COUNTBLANK(I157:I160)=0,Group_players=4,Group_players=4,M158=M159,M159=M160),IF(X166="","",IF(COUNTIF(X164:X167,X166)=3,"Tied",IF(AND(COUNTIF(X164:X167,X166)=1,X165&lt;&gt;X167),IF(M159=2,IF(SMALL(X164:X167,1)=X166,1,IF(SMALL(X164:X167,2)=X166,2,IF(SMALL(X164:X167,3)=X166,3))),IF(M159=1,IF(SMALL(X164:X167,1)=X166,2,IF(SMALL(X164:X167,2)=X166,3,IF(SMALL(X164:X167,3)=X166,4))),"")),IF(COUNTIF(X164:X167,X166)=1,IF(X166&lt;X165,IF(M159=2,1,2),IF(M159=2,3,4)),IF(COUNTIF(X164:X167,X166)=2,IF(X166=X165,IF(X166&lt;X167,IF(M159=2,IF(Q178=3,1,2),IF(M159=1,IF(Q178=3,2,3))),IF(X166&gt;X167,IF(M159=2,IF(Q178=3,2,3),IF(M159=1,IF(Q178=3,3,4))))),IF(X166=X167,IF(X166&lt;X165,IF(M159=2,IF(Q183=3,1,2),IF(M159=1,IF(Q183=3,2,3))),IF(X166&gt;X165,IF(M159=2,IF(Q183=3,2,3),IF(M159=1,IF(Q183=3,3,4)))))))))))),"")</f>
        <v/>
      </c>
      <c r="AC184" s="192"/>
      <c r="AD184" s="192"/>
      <c r="AE184" s="192"/>
      <c r="AF184" s="203"/>
      <c r="AG184" s="203"/>
      <c r="AH184" s="203"/>
      <c r="AI184" s="203"/>
      <c r="AJ184" s="203"/>
      <c r="AK184" s="203"/>
      <c r="AL184" s="203"/>
      <c r="AM184" s="203"/>
      <c r="AN184" s="192"/>
      <c r="AO184" s="192"/>
      <c r="AP184" s="192"/>
      <c r="AQ184" s="192"/>
      <c r="AR184" s="192"/>
      <c r="AS184" s="192"/>
      <c r="AT184" s="192"/>
      <c r="AU184" s="192"/>
      <c r="AV184" s="192"/>
      <c r="AW184" s="192"/>
      <c r="AX184" s="192"/>
    </row>
    <row r="185" spans="2:50" ht="15" customHeight="1" thickTop="1" thickBot="1" x14ac:dyDescent="0.35">
      <c r="B185" s="192"/>
      <c r="C185" s="192"/>
      <c r="D185" s="192"/>
      <c r="E185" s="192"/>
      <c r="F185" s="192"/>
      <c r="G185" s="192"/>
      <c r="H185" s="192"/>
      <c r="I185" s="192"/>
      <c r="J185" s="192"/>
      <c r="K185" s="192"/>
      <c r="L185" s="192"/>
      <c r="M185" s="192"/>
      <c r="N185" s="192"/>
      <c r="O185" s="268"/>
      <c r="P185" s="192"/>
      <c r="Q185" s="192"/>
      <c r="R185" s="247"/>
      <c r="S185" s="247"/>
      <c r="T185" s="247"/>
      <c r="U185" s="235"/>
      <c r="V185" s="235"/>
      <c r="W185" s="235"/>
      <c r="X185" s="235"/>
      <c r="Y185" s="235"/>
      <c r="Z185" s="235"/>
      <c r="AA185" s="261">
        <v>4</v>
      </c>
      <c r="AB185" s="233" t="str">
        <f>IF(AND(COUNTBLANK(I157:I160)=0,Group_players=4,M158=M159,M159=M160),IF(X167="","",IF(COUNTIF(X164:X167,X167)=3,"Tied",IF(AND(COUNTIF(X164:X167,X167)=1,X166&lt;&gt;X165),IF(M160=2,IF(SMALL(X164:X167,1)=X167,1,IF(SMALL(X164:X167,2)=X167,2,IF(SMALL(X164:X167,3)=X167,3))),IF(M160=1,IF(SMALL(X164:X167,1)=X167,2,IF(SMALL(X164:X167,2)=X167,3,IF(SMALL(X164:X167,3)=X167,4))),"")),IF(COUNTIF(X164:X167,X167)=1,IF(X167&lt;X165,IF(M160=2,1,2),IF(M160=2,3,4)),IF(COUNTIF(X164:X167,X167)=2,IF(X167=X165,IF(X167&lt;X166,IF(M160=2,IF(Q172=3,1,2),IF(M160=1,IF(Q172=3,2,3))),IF(X167&gt;X166,IF(M160=2,IF(Q172=3,2,3),IF(M160=1,IF(Q172=3,3,4))))),IF(X167=X166,IF(X167&lt;X165,IF(M160=2,IF(Q184=3,1,2),IF(M160=1,IF(Q184=3,2,3))),IF(X167&gt;X165,IF(M160=2,IF(Q184=3,2,3),IF(M160=1,IF(Q184=3,3,4)))))))))))),"")</f>
        <v/>
      </c>
      <c r="AC185" s="192"/>
      <c r="AD185" s="192"/>
      <c r="AE185" s="192"/>
      <c r="AF185" s="203"/>
      <c r="AG185" s="203"/>
      <c r="AH185" s="203"/>
      <c r="AI185" s="203"/>
      <c r="AJ185" s="203"/>
      <c r="AK185" s="203"/>
      <c r="AL185" s="203"/>
      <c r="AM185" s="203"/>
      <c r="AN185" s="192"/>
      <c r="AO185" s="192"/>
      <c r="AP185" s="192"/>
      <c r="AQ185" s="192"/>
      <c r="AR185" s="192"/>
      <c r="AS185" s="192"/>
      <c r="AT185" s="192"/>
      <c r="AU185" s="192"/>
      <c r="AV185" s="192"/>
      <c r="AW185" s="192"/>
      <c r="AX185" s="192"/>
    </row>
    <row r="186" spans="2:50" ht="15" customHeight="1" thickTop="1" x14ac:dyDescent="0.3">
      <c r="B186" s="192"/>
      <c r="C186" s="192"/>
      <c r="D186" s="192"/>
      <c r="E186" s="192"/>
      <c r="F186" s="192"/>
      <c r="G186" s="192"/>
      <c r="H186" s="192"/>
      <c r="I186" s="192"/>
      <c r="J186" s="192"/>
      <c r="K186" s="192"/>
      <c r="L186" s="192"/>
      <c r="M186" s="192"/>
      <c r="N186" s="192"/>
      <c r="O186" s="192"/>
      <c r="P186" s="192"/>
      <c r="Q186" s="192"/>
      <c r="R186" s="192"/>
      <c r="S186" s="192"/>
      <c r="T186" s="203"/>
      <c r="U186" s="192"/>
      <c r="V186" s="192"/>
      <c r="W186" s="192"/>
      <c r="X186" s="192"/>
      <c r="Y186" s="192"/>
      <c r="Z186" s="192"/>
      <c r="AA186" s="192"/>
      <c r="AB186" s="192"/>
      <c r="AC186" s="192"/>
      <c r="AD186" s="192"/>
      <c r="AE186" s="192"/>
      <c r="AF186" s="203"/>
      <c r="AG186" s="203"/>
      <c r="AH186" s="203"/>
      <c r="AI186" s="203"/>
      <c r="AJ186" s="203"/>
      <c r="AK186" s="203"/>
      <c r="AL186" s="203"/>
      <c r="AM186" s="203"/>
      <c r="AN186" s="192"/>
      <c r="AO186" s="192"/>
      <c r="AP186" s="192"/>
      <c r="AQ186" s="192"/>
      <c r="AR186" s="192"/>
      <c r="AS186" s="192"/>
      <c r="AT186" s="192"/>
      <c r="AU186" s="192"/>
      <c r="AV186" s="192"/>
      <c r="AW186" s="192"/>
      <c r="AX186" s="192"/>
    </row>
    <row r="187" spans="2:50" ht="15" customHeight="1" x14ac:dyDescent="0.3">
      <c r="B187" s="192"/>
      <c r="C187" s="192"/>
      <c r="D187" s="192"/>
      <c r="E187" s="192"/>
      <c r="F187" s="192"/>
      <c r="G187" s="192"/>
      <c r="H187" s="192"/>
      <c r="I187" s="192"/>
      <c r="J187" s="192"/>
      <c r="K187" s="192"/>
      <c r="L187" s="192"/>
      <c r="M187" s="192"/>
      <c r="N187" s="192"/>
      <c r="O187" s="192"/>
      <c r="P187" s="192"/>
      <c r="Q187" s="192"/>
      <c r="R187" s="192"/>
      <c r="S187" s="192"/>
      <c r="T187" s="192"/>
      <c r="U187" s="192"/>
      <c r="V187" s="192"/>
      <c r="W187" s="192"/>
      <c r="X187" s="192"/>
      <c r="Y187" s="192"/>
      <c r="Z187" s="192"/>
      <c r="AA187" s="192"/>
      <c r="AB187" s="192"/>
      <c r="AC187" s="192"/>
      <c r="AD187" s="192"/>
      <c r="AE187" s="192"/>
      <c r="AF187" s="203"/>
      <c r="AG187" s="203"/>
      <c r="AH187" s="203"/>
      <c r="AI187" s="203"/>
      <c r="AJ187" s="203"/>
      <c r="AK187" s="203"/>
      <c r="AL187" s="203"/>
      <c r="AM187" s="203"/>
      <c r="AN187" s="192"/>
      <c r="AO187" s="192"/>
      <c r="AP187" s="192"/>
      <c r="AQ187" s="192"/>
      <c r="AR187" s="192"/>
      <c r="AS187" s="192"/>
      <c r="AT187" s="192"/>
      <c r="AU187" s="192"/>
      <c r="AV187" s="192"/>
      <c r="AW187" s="192"/>
      <c r="AX187" s="192"/>
    </row>
    <row r="188" spans="2:50" ht="15" customHeight="1" x14ac:dyDescent="0.3">
      <c r="B188" s="192"/>
      <c r="C188" s="192"/>
      <c r="D188" s="192"/>
      <c r="E188" s="192"/>
      <c r="F188" s="192"/>
      <c r="G188" s="192"/>
      <c r="H188" s="192"/>
      <c r="I188" s="192"/>
      <c r="J188" s="192"/>
      <c r="K188" s="192"/>
      <c r="L188" s="192"/>
      <c r="M188" s="192"/>
      <c r="N188" s="192"/>
      <c r="O188" s="192"/>
      <c r="P188" s="192"/>
      <c r="Q188" s="192"/>
      <c r="R188" s="192"/>
      <c r="S188" s="192"/>
      <c r="T188" s="192"/>
      <c r="U188" s="192"/>
      <c r="V188" s="192"/>
      <c r="W188" s="192"/>
      <c r="X188" s="192"/>
      <c r="Y188" s="192"/>
      <c r="Z188" s="269"/>
      <c r="AA188" s="192"/>
      <c r="AB188" s="192"/>
      <c r="AC188" s="192"/>
      <c r="AD188" s="192"/>
      <c r="AE188" s="192"/>
      <c r="AF188" s="203"/>
      <c r="AG188" s="203"/>
      <c r="AH188" s="203"/>
      <c r="AI188" s="203"/>
      <c r="AJ188" s="203"/>
      <c r="AK188" s="203"/>
      <c r="AL188" s="203"/>
      <c r="AM188" s="203"/>
      <c r="AN188" s="192"/>
      <c r="AO188" s="192"/>
      <c r="AP188" s="192"/>
      <c r="AQ188" s="192"/>
      <c r="AR188" s="192"/>
      <c r="AS188" s="192"/>
      <c r="AT188" s="192"/>
      <c r="AU188" s="192"/>
      <c r="AV188" s="192"/>
      <c r="AW188" s="192"/>
      <c r="AX188" s="192"/>
    </row>
    <row r="189" spans="2:50" ht="15" customHeight="1" x14ac:dyDescent="0.3">
      <c r="B189" s="192"/>
      <c r="C189" s="192"/>
      <c r="D189" s="192"/>
      <c r="E189" s="192"/>
      <c r="F189" s="192"/>
      <c r="G189" s="192"/>
      <c r="H189" s="192"/>
      <c r="I189" s="192"/>
      <c r="J189" s="192"/>
      <c r="K189" s="192"/>
      <c r="L189" s="192"/>
      <c r="M189" s="192"/>
      <c r="N189" s="192"/>
      <c r="O189" s="192"/>
      <c r="P189" s="192"/>
      <c r="Q189" s="192"/>
      <c r="R189" s="192"/>
      <c r="S189" s="192"/>
      <c r="T189" s="192"/>
      <c r="U189" s="192"/>
      <c r="V189" s="192"/>
      <c r="W189" s="192"/>
      <c r="X189" s="192"/>
      <c r="Y189" s="192"/>
      <c r="Z189" s="192"/>
      <c r="AA189" s="192"/>
      <c r="AB189" s="192"/>
      <c r="AC189" s="192"/>
      <c r="AD189" s="192"/>
      <c r="AE189" s="192"/>
      <c r="AF189" s="203"/>
      <c r="AG189" s="203"/>
      <c r="AH189" s="203"/>
      <c r="AI189" s="203"/>
      <c r="AJ189" s="203"/>
      <c r="AK189" s="203"/>
      <c r="AL189" s="203"/>
      <c r="AM189" s="203"/>
      <c r="AN189" s="192"/>
      <c r="AO189" s="192"/>
      <c r="AP189" s="192"/>
      <c r="AQ189" s="192"/>
      <c r="AR189" s="192"/>
      <c r="AS189" s="192"/>
      <c r="AT189" s="192"/>
      <c r="AU189" s="192"/>
      <c r="AV189" s="192"/>
      <c r="AW189" s="192"/>
      <c r="AX189" s="192"/>
    </row>
    <row r="190" spans="2:50" ht="15" customHeight="1" x14ac:dyDescent="0.3">
      <c r="B190" s="192"/>
      <c r="C190" s="192"/>
      <c r="D190" s="192"/>
      <c r="E190" s="192"/>
      <c r="F190" s="192"/>
      <c r="G190" s="192"/>
      <c r="H190" s="192"/>
      <c r="I190" s="192"/>
      <c r="J190" s="192"/>
      <c r="K190" s="192"/>
      <c r="L190" s="192"/>
      <c r="M190" s="192"/>
      <c r="N190" s="192"/>
      <c r="O190" s="192"/>
      <c r="P190" s="192"/>
      <c r="Q190" s="192"/>
      <c r="R190" s="192"/>
      <c r="S190" s="192"/>
      <c r="T190" s="192"/>
      <c r="U190" s="192"/>
      <c r="V190" s="192"/>
      <c r="W190" s="192"/>
      <c r="X190" s="192"/>
      <c r="Y190" s="192"/>
      <c r="Z190" s="192"/>
      <c r="AA190" s="192"/>
      <c r="AB190" s="192"/>
      <c r="AC190" s="192"/>
      <c r="AD190" s="192"/>
      <c r="AE190" s="192"/>
      <c r="AF190" s="203"/>
      <c r="AG190" s="203"/>
      <c r="AH190" s="203"/>
      <c r="AI190" s="203"/>
      <c r="AJ190" s="203"/>
      <c r="AK190" s="203"/>
      <c r="AL190" s="203"/>
      <c r="AM190" s="203"/>
      <c r="AN190" s="192"/>
      <c r="AO190" s="192"/>
      <c r="AP190" s="192"/>
      <c r="AQ190" s="192"/>
      <c r="AR190" s="192"/>
      <c r="AS190" s="192"/>
      <c r="AT190" s="192"/>
      <c r="AU190" s="192"/>
      <c r="AV190" s="192"/>
      <c r="AW190" s="192"/>
      <c r="AX190" s="192"/>
    </row>
    <row r="191" spans="2:50" ht="15" customHeight="1" thickBot="1" x14ac:dyDescent="0.4">
      <c r="B191" s="192"/>
      <c r="C191" s="192"/>
      <c r="D191" s="192"/>
      <c r="E191" s="192"/>
      <c r="F191" s="192"/>
      <c r="G191" s="192"/>
      <c r="H191" s="192"/>
      <c r="I191" s="383" t="s">
        <v>128</v>
      </c>
      <c r="J191" s="383"/>
      <c r="K191" s="383"/>
      <c r="L191" s="383"/>
      <c r="M191" s="383"/>
      <c r="N191" s="383"/>
      <c r="O191" s="383"/>
      <c r="P191" s="383"/>
      <c r="Q191" s="383"/>
      <c r="R191" s="383"/>
      <c r="S191" s="192"/>
      <c r="T191" s="192"/>
      <c r="U191" s="370" t="s">
        <v>92</v>
      </c>
      <c r="V191" s="371"/>
      <c r="W191" s="371"/>
      <c r="X191" s="372"/>
      <c r="Y191" s="192"/>
      <c r="Z191" s="192"/>
      <c r="AA191" s="192"/>
      <c r="AB191" s="192"/>
      <c r="AC191" s="192"/>
      <c r="AD191" s="192"/>
      <c r="AE191" s="192"/>
      <c r="AF191" s="203"/>
      <c r="AG191" s="203"/>
      <c r="AH191" s="203"/>
      <c r="AI191" s="203"/>
      <c r="AJ191" s="203"/>
      <c r="AK191" s="203"/>
      <c r="AL191" s="203"/>
      <c r="AM191" s="203"/>
      <c r="AN191" s="192"/>
      <c r="AO191" s="192"/>
      <c r="AP191" s="192"/>
      <c r="AQ191" s="192"/>
      <c r="AR191" s="192"/>
      <c r="AS191" s="192"/>
      <c r="AT191" s="192"/>
      <c r="AU191" s="192"/>
      <c r="AV191" s="192"/>
      <c r="AW191" s="192"/>
      <c r="AX191" s="192"/>
    </row>
    <row r="192" spans="2:50" ht="15" customHeight="1" thickTop="1" thickBot="1" x14ac:dyDescent="0.35">
      <c r="B192" s="192"/>
      <c r="C192" s="192"/>
      <c r="D192" s="192"/>
      <c r="E192" s="192"/>
      <c r="F192" s="192"/>
      <c r="G192" s="192"/>
      <c r="H192" s="192"/>
      <c r="I192" s="400" t="s">
        <v>93</v>
      </c>
      <c r="J192" s="160"/>
      <c r="K192" s="396" t="s">
        <v>94</v>
      </c>
      <c r="L192" s="398" t="s">
        <v>95</v>
      </c>
      <c r="M192" s="390" t="s">
        <v>96</v>
      </c>
      <c r="N192" s="390" t="s">
        <v>97</v>
      </c>
      <c r="O192" s="373" t="s">
        <v>98</v>
      </c>
      <c r="P192" s="373" t="str">
        <f>IF(COUNT(U193:X204)=3,"LM/WM Ratio",IF(COUNT(U193:X204)=6,"LP/WP Ratio",""))</f>
        <v/>
      </c>
      <c r="Q192" s="390" t="s">
        <v>99</v>
      </c>
      <c r="R192" s="392" t="s">
        <v>100</v>
      </c>
      <c r="S192" s="192"/>
      <c r="T192" s="120"/>
      <c r="U192" s="121" t="s">
        <v>101</v>
      </c>
      <c r="V192" s="122" t="s">
        <v>102</v>
      </c>
      <c r="W192" s="122" t="s">
        <v>103</v>
      </c>
      <c r="X192" s="123" t="s">
        <v>104</v>
      </c>
      <c r="Y192" s="380" t="s">
        <v>105</v>
      </c>
      <c r="Z192" s="379"/>
      <c r="AA192" s="378" t="s">
        <v>106</v>
      </c>
      <c r="AB192" s="379"/>
      <c r="AC192" s="192"/>
      <c r="AD192" s="192"/>
      <c r="AE192" s="203"/>
      <c r="AF192" s="203"/>
      <c r="AG192" s="203"/>
      <c r="AH192" s="203"/>
      <c r="AI192" s="203"/>
      <c r="AJ192" s="203"/>
      <c r="AK192" s="203"/>
      <c r="AL192" s="203"/>
      <c r="AM192" s="203"/>
      <c r="AN192" s="192"/>
      <c r="AO192" s="192"/>
      <c r="AP192" s="192"/>
      <c r="AQ192" s="192"/>
      <c r="AR192" s="192"/>
      <c r="AS192" s="192"/>
      <c r="AT192" s="192"/>
      <c r="AU192" s="192"/>
      <c r="AV192" s="192"/>
      <c r="AW192" s="192"/>
      <c r="AX192" s="192"/>
    </row>
    <row r="193" spans="2:50" ht="15" customHeight="1" thickTop="1" thickBot="1" x14ac:dyDescent="0.35">
      <c r="B193" s="192"/>
      <c r="C193" s="192"/>
      <c r="D193" s="192"/>
      <c r="E193" s="192"/>
      <c r="F193" s="192"/>
      <c r="G193" s="192"/>
      <c r="H193" s="192"/>
      <c r="I193" s="401"/>
      <c r="J193" s="161"/>
      <c r="K193" s="397"/>
      <c r="L193" s="399"/>
      <c r="M193" s="391"/>
      <c r="N193" s="391"/>
      <c r="O193" s="374"/>
      <c r="P193" s="374"/>
      <c r="Q193" s="391"/>
      <c r="R193" s="393"/>
      <c r="S193" s="192"/>
      <c r="T193" s="208">
        <v>1</v>
      </c>
      <c r="U193" s="209" t="str">
        <f>IF(M194="","",IF(COUNTIF(M194:M196,M194)=3,IF(COUNTBLANK(I194:I197)=1,(Q206+Q212)/(Q205+Q211),IF(COUNTBLANK(I194:I197)=0,(Q218+Q206)/(Q217+Q205),"")),""))</f>
        <v/>
      </c>
      <c r="V193" s="125" t="str">
        <f>IF(AND(COUNTBLANK(I194:I197)=0,M194=M196,M196=M197),(Q206+Q212)/(Q205+Q211),"")</f>
        <v/>
      </c>
      <c r="W193" s="210" t="str">
        <f>IF(AND(COUNTBLANK(I194:I197)=0,M194=M195,M195=M197),(Q218+Q212)/(Q217+Q211),"")</f>
        <v/>
      </c>
      <c r="X193" s="211"/>
      <c r="Y193" s="169" t="s">
        <v>93</v>
      </c>
      <c r="Z193" s="170" t="s">
        <v>107</v>
      </c>
      <c r="AA193" s="169" t="s">
        <v>93</v>
      </c>
      <c r="AB193" s="170" t="s">
        <v>107</v>
      </c>
      <c r="AC193" s="192"/>
      <c r="AD193" s="192"/>
      <c r="AE193" s="192"/>
      <c r="AF193" s="203"/>
      <c r="AG193" s="203"/>
      <c r="AH193" s="203"/>
      <c r="AI193" s="203"/>
      <c r="AJ193" s="203"/>
      <c r="AK193" s="203"/>
      <c r="AL193" s="203"/>
      <c r="AM193" s="203"/>
      <c r="AN193" s="192"/>
      <c r="AO193" s="192"/>
      <c r="AP193" s="192"/>
      <c r="AQ193" s="192"/>
      <c r="AR193" s="192"/>
      <c r="AS193" s="192"/>
      <c r="AT193" s="192"/>
      <c r="AU193" s="192"/>
      <c r="AV193" s="192"/>
      <c r="AW193" s="192"/>
      <c r="AX193" s="192"/>
    </row>
    <row r="194" spans="2:50" ht="15" customHeight="1" thickTop="1" thickBot="1" x14ac:dyDescent="0.35">
      <c r="B194" s="192"/>
      <c r="C194" s="192"/>
      <c r="D194" s="192"/>
      <c r="E194" s="192"/>
      <c r="F194" s="192" t="str">
        <f>IF(I194="","",VLOOKUP(I194,Siembra,2,FALSE))</f>
        <v/>
      </c>
      <c r="G194" s="192" t="str">
        <f>O194</f>
        <v/>
      </c>
      <c r="H194" s="192">
        <v>1</v>
      </c>
      <c r="I194" s="128" t="str">
        <f>IF(K194="","",IF(ISNUMBER(Sorteo!$A$17),VLOOKUP(K194,Draw,2,FALSE),""))</f>
        <v/>
      </c>
      <c r="J194" s="129" t="str">
        <f>O194</f>
        <v/>
      </c>
      <c r="K194" s="130" t="str">
        <f>IF($K$9="","",IF(Group_players=4,IF(Tablas!BM$3="","",Tablas!BM$3),IF(Group_players=3,IF(Tablas!BM$11="","",Tablas!BM$11),"")))</f>
        <v/>
      </c>
      <c r="L194" s="131" t="str">
        <f>IF(K194="","",VLOOKUP(I194,Siembra,3,FALSE))</f>
        <v/>
      </c>
      <c r="M194" s="132" t="str">
        <f>IF(AND(Q205="",Q206=""),"",IF(I194="","",SUMIFS(E205:E221,I205:I221,I194)))</f>
        <v/>
      </c>
      <c r="N194" s="132" t="str">
        <f>IF(M194="","",IF(I194="","",SUMIFS(F205:F221,I205:I221,I194)))</f>
        <v/>
      </c>
      <c r="O194" s="132" t="str">
        <f>IF(M194="","",IF(COUNTBLANK(I194:I197)=1,IF(M194=2,1,IF(M194=0,3,IF(AND(M194=1,M195&lt;&gt;1),2,IF(COUNTIF(M194:M196,1)&gt;1,Z194)))),IF(COUNTBLANK(I194:I197)=0,IF(COUNTIF(M194:M197,M194)=1,IF(M194=3,1,IF(M194=2,2,IF(M194=1,3,IF(M194=0,4)))),IF(Group_players=3,Z194,IF(COUNTIF(M194:M197,M194)=2,AB194,IF(AND(M194=M195,M195=M196),AB198,IF(AND(M194=M196,M196=M197),AB201,IF(AND(M194=M195,M195=M197),AB204,"")))))),99)))</f>
        <v/>
      </c>
      <c r="P194" s="133" t="str">
        <f>IF(COUNT(U193:X204)=3,IF(ISNUMBER(U193),U193,IF(ISNUMBER(V193),V193,IF(ISNUMBER(W193),W193,IF(X193="","")))),IF(COUNT(U193:X204)=6,IF(ISNUMBER(U201),U201,IF(ISNUMBER(V201),V201,IF(ISNUMBER(W201),W201,IF(ISBLANK(X193),"")))),""))</f>
        <v/>
      </c>
      <c r="Q194" s="132" t="str">
        <f>IF(M194="","",SUMIF(I205:S221,I194,S205:S221))</f>
        <v/>
      </c>
      <c r="R194" s="134" t="str">
        <f>IF(M194="","",L194+Q194)</f>
        <v/>
      </c>
      <c r="S194" s="203"/>
      <c r="T194" s="208">
        <v>2</v>
      </c>
      <c r="U194" s="209" t="str">
        <f>IF(M195="","",IF(COUNTIF(M194:M196,M195)=3,IF(COUNTBLANK(I194:I197)=1,(Q209+Q211)/(Q208+Q212),IF(COUNTBLANK(I194:I197)=0,(Q215+Q217)/(Q214+Q218),"")),""))</f>
        <v/>
      </c>
      <c r="V194" s="135"/>
      <c r="W194" s="212" t="str">
        <f>IF(AND(COUNTBLANK(I194:I197)=0,M195=M194,M194=M197),(Q217+Q209)/(Q218+Q208),"")</f>
        <v/>
      </c>
      <c r="X194" s="213" t="str">
        <f>IF(AND(COUNTBLANK(I194:I197)=0,M195=M196,M196=M197),(Q215+Q209)/(Q214+Q208),"")</f>
        <v/>
      </c>
      <c r="Y194" s="214">
        <v>1</v>
      </c>
      <c r="Z194" s="215" t="str">
        <f>IF(U193="","",IF(OR(Group_players=3,AND(Group_players=4,COUNTBLANK(I194:I197)=1)),IF(COUNTIF(M194:M196,M194)=1,"",IF(AND(U193=U194,U194=U195),Z198,IF(AND(U193&lt;&gt;U194,U193&lt;&gt;U195,U194&lt;&gt;U195),(IF(SMALL(U193:U195,1)=U193,1,IF(SMALL(U193:U195,2)=U193,2,IF(SMALL(U193:U195,3)=U193,3)))),IF(AND(U193&lt;U194,U194=U195),1,IF(AND(U193&gt;U194,U194=U195),3,IF(AND(U193=U194,U193&lt;U195),(IF(Q211=3,1,2)),IF(AND(U193=U194,U193&gt;U195),(IF(Q211=3,2,3)),IF(AND(U193=U195,U193&lt;U194),(IF(Q205=3,1,2)),IF(AND(U193=U195,U193&gt;U194),(IF(Q205=3,2,3)),99))))))))),""))</f>
        <v/>
      </c>
      <c r="AA194" s="216">
        <v>1</v>
      </c>
      <c r="AB194" s="217" t="str">
        <f>IF(COUNTIF(M194:M197,M194)&lt;&gt;2,"",IF(COUNTIF(M194:M197,M194)=1,"",IF(AND(COUNTIF(M194:M197,M194)=2,M194=2),IF(M194=M195,IF(Q217=3,1,2),IF(M194=M196,IF(Q205=3,1,2),IF(M194=M197,IF(Q211=3,1,2)))),IF(AND(COUNTIF(M194:M197,M194)=2,M194=1),IF(M194=M195,IF(Q217=3,3,4),IF(M194=M196,IF(Q205=3,3,4),IF(M194=M197,IF(Q211=3,3,4)))),IF(COUNTIF(M194:M197,M194)=3,AB198)))))</f>
        <v/>
      </c>
      <c r="AC194" s="192"/>
      <c r="AD194" s="192"/>
      <c r="AE194" s="192"/>
      <c r="AF194" s="203"/>
      <c r="AG194" s="203"/>
      <c r="AH194" s="203"/>
      <c r="AI194" s="203"/>
      <c r="AJ194" s="203"/>
      <c r="AK194" s="203"/>
      <c r="AL194" s="203"/>
      <c r="AM194" s="203"/>
      <c r="AN194" s="192"/>
      <c r="AO194" s="192"/>
      <c r="AP194" s="192"/>
      <c r="AQ194" s="192"/>
      <c r="AR194" s="192"/>
      <c r="AS194" s="192"/>
      <c r="AT194" s="192"/>
      <c r="AU194" s="192"/>
      <c r="AV194" s="192"/>
      <c r="AW194" s="192"/>
      <c r="AX194" s="192"/>
    </row>
    <row r="195" spans="2:50" ht="15" customHeight="1" thickTop="1" thickBot="1" x14ac:dyDescent="0.35">
      <c r="B195" s="192"/>
      <c r="C195" s="192"/>
      <c r="D195" s="192"/>
      <c r="E195" s="192"/>
      <c r="F195" s="192" t="str">
        <f>IF(I195="","",VLOOKUP(I195,Siembra,2,FALSE))</f>
        <v/>
      </c>
      <c r="G195" s="192" t="str">
        <f>O195</f>
        <v/>
      </c>
      <c r="H195" s="192">
        <v>2</v>
      </c>
      <c r="I195" s="128" t="str">
        <f>IF(K195="","",IF(ISNUMBER(Sorteo!$A$17),VLOOKUP(K195,Draw,2,FALSE),""))</f>
        <v/>
      </c>
      <c r="J195" s="129" t="str">
        <f>O195</f>
        <v/>
      </c>
      <c r="K195" s="136" t="str">
        <f>IF($K$9="","",IF(Group_players=4,IF(Tablas!BM$4="","",Tablas!BM$4),IF(Group_players=3,IF(Tablas!BM$12="","",Tablas!BM$12),"")))</f>
        <v/>
      </c>
      <c r="L195" s="137" t="str">
        <f>IF(K195="","",VLOOKUP(I195,Siembra,3,FALSE))</f>
        <v/>
      </c>
      <c r="M195" s="132" t="str">
        <f>IF(AND(L205="",L206=""),"",IF(I195="","",SUMIFS(E205:E222,I205:I222,I195)))</f>
        <v/>
      </c>
      <c r="N195" s="138" t="str">
        <f>IF(M195="","",IF(I195="","",SUMIFS(F205:F221,I205:I221,I195)))</f>
        <v/>
      </c>
      <c r="O195" s="132" t="str">
        <f>IF(M195="","",IF(COUNTBLANK(I194:I197)=1,IF(M195=2,1,IF(M195=0,3,IF(AND(M195=1,M196&lt;&gt;1),2,IF(COUNTIF(M194:M197,1)&gt;1,Z195)))),IF(COUNTBLANK(I194:I197)=0,IF(COUNTIF(M194:M197,M195)=1,IF(M195=3,1,IF(M195=2,2,IF(M195=1,3,IF(M195=0,4)))),IF(Group_players=3,Z195,IF(COUNTIF(M194:M197,M195)=2,AB195,IF(AND(M195=M194,M194=M196),AB199,IF(AND(M195=M194,M194=M197),AB205,IF(AND(M195=M196,M196=M197),AB207,"")))))))))</f>
        <v/>
      </c>
      <c r="P195" s="133" t="str">
        <f>IF(COUNT(U193:X204)=3,IF(ISNUMBER(U194),U194,IF(ISNUMBER(W194),W194,IF(ISNUMBER(X194),X194,IF(X194="","")))),IF(COUNT(U193:X204)=6,IF(ISNUMBER(U202),U202,IF(ISNUMBER(W202),W202,IF(ISNUMBER(X202),X202,IF(ISBLANK(X201),"")))),""))</f>
        <v/>
      </c>
      <c r="Q195" s="138" t="str">
        <f>IF(M195="","",SUMIF(I205:S221,I195,S205:$S221))</f>
        <v/>
      </c>
      <c r="R195" s="139" t="str">
        <f>IF(M195="","",L195+Q195)</f>
        <v/>
      </c>
      <c r="S195" s="203"/>
      <c r="T195" s="208">
        <v>3</v>
      </c>
      <c r="U195" s="209" t="str">
        <f>IF(M196="","",IF(COUNTIF(M194:M196,M196)=3,IF(COUNTBLANK(I194:I197)=1,(Q205+Q208)/(Q206+Q209),IF(COUNTBLANK(I194:I197)=0,(Q205+Q214)/(Q206+Q215),"")),""))</f>
        <v/>
      </c>
      <c r="V195" s="125" t="str">
        <f>IF(AND(COUNTBLANK(I194:I197)=0,M196=M197,M197=M194),(Q205+Q221)/(Q206+Q220),"")</f>
        <v/>
      </c>
      <c r="W195" s="218"/>
      <c r="X195" s="213" t="str">
        <f>IF(AND(COUNTBLANK(I194:I197)=0,M196=M197,M197=M195),(Q214+Q221)/(Q215+Q220),"")</f>
        <v/>
      </c>
      <c r="Y195" s="219">
        <v>2</v>
      </c>
      <c r="Z195" s="220" t="str">
        <f>IF(U194="","",IF(OR(Group_players=3,AND(Group_players=4,COUNTBLANK(I194:I197)=1)),IF(COUNTIF(M194:M196,M195)=1,"",IF(AND(U194=U193,U194=U195),Z199,IF(AND(U194&lt;&gt;U193,U194&lt;&gt;U195,U193&lt;&gt;U195),(IF(SMALL(U193:U195,1)=U194,1,IF(SMALL(U193:U195,2)=U194,2,IF(SMALL(U193:U195,3)=U194,3)))),IF(AND(U194&lt;U193,U193=U195),1,IF(AND(U194&gt;U193,U193=U195),3,IF(AND(U194=U193,U194&lt;U195),(IF(Q212=3,1,2)),IF(AND(U194=U193,U194&gt;U195),(IF(Q212=3,2,3)),IF(AND(U194=U195,U194&lt;U193),(IF(Q208=3,1,2)),IF(AND(U194=U195,U194&gt;U193),(IF(Q208=3,2,3)),99))))))))),""))</f>
        <v/>
      </c>
      <c r="AA195" s="221">
        <v>2</v>
      </c>
      <c r="AB195" s="222" t="str">
        <f>IF(COUNTIF(M194:M197,M195)&lt;&gt;2,"",IF(COUNTIF(M194:M197,M195)=1,"",IF(AND(COUNTIF(M194:M197,M195)=2,M195=2),IF(M195=M194,IF(Q218=3,1,2),IF(M195=M196,IF(Q214=3,1,2),IF(M195=M197,IF(Q208=3,1,2)))),IF(AND(COUNTIF(M194:M197,M195)=2,M195=1),IF(M195=M194,IF(Q218=3,3,4),IF(M195=M196,IF(Q214=3,3,4),IF(M195=M197,IF(Q208=3,3,4)))),AB200))))</f>
        <v/>
      </c>
      <c r="AC195" s="192"/>
      <c r="AD195" s="192"/>
      <c r="AE195" s="192"/>
      <c r="AF195" s="203"/>
      <c r="AG195" s="203"/>
      <c r="AH195" s="203"/>
      <c r="AI195" s="203"/>
      <c r="AJ195" s="203"/>
      <c r="AK195" s="203"/>
      <c r="AL195" s="203"/>
      <c r="AM195" s="203"/>
      <c r="AN195" s="192"/>
      <c r="AO195" s="192"/>
      <c r="AP195" s="192"/>
      <c r="AQ195" s="192"/>
      <c r="AR195" s="192"/>
      <c r="AS195" s="192"/>
      <c r="AT195" s="192"/>
      <c r="AU195" s="192"/>
      <c r="AV195" s="192"/>
      <c r="AW195" s="192"/>
      <c r="AX195" s="192"/>
    </row>
    <row r="196" spans="2:50" ht="15" customHeight="1" thickBot="1" x14ac:dyDescent="0.35">
      <c r="B196" s="192"/>
      <c r="C196" s="192"/>
      <c r="D196" s="192"/>
      <c r="E196" s="192"/>
      <c r="F196" s="192" t="str">
        <f>IF(I196="","",VLOOKUP(I196,Siembra,2,FALSE))</f>
        <v/>
      </c>
      <c r="G196" s="192" t="str">
        <f>O196</f>
        <v/>
      </c>
      <c r="H196" s="192">
        <v>3</v>
      </c>
      <c r="I196" s="128" t="str">
        <f>IF(K196="","",IF(ISNUMBER(Sorteo!$A$17),VLOOKUP(K196,Draw,2,FALSE),""))</f>
        <v/>
      </c>
      <c r="J196" s="129" t="str">
        <f>O196</f>
        <v/>
      </c>
      <c r="K196" s="136" t="str">
        <f>IF($K$9="","",IF(Group_players=4,IF(Tablas!BM$5="","",Tablas!BM$5),IF(Group_players=3,IF(Tablas!BM$13="","",Tablas!BM$13),"")))</f>
        <v/>
      </c>
      <c r="L196" s="137" t="str">
        <f>IF(K196="","",VLOOKUP(I196,Siembra,3,FALSE))</f>
        <v/>
      </c>
      <c r="M196" s="132" t="str">
        <f>IF(AND(L206="",L205=""),"",IF(I196="","",SUMIFS(E205:E223,I205:I223,I196)))</f>
        <v/>
      </c>
      <c r="N196" s="138" t="str">
        <f>IF(M196="","",IF(I196="","",SUMIFS(F205:F221,I205:I221,I196)))</f>
        <v/>
      </c>
      <c r="O196" s="132" t="str">
        <f>IF(M196="","",IF(COUNTBLANK(I194:I197)=1,IF(M196=2,1,IF(M196=0,3,IF(AND(M196=1,M196&lt;&gt;M194),2,IF(COUNTIF(M194:M197,1)&gt;1,Z196)))),IF(COUNTBLANK(I194:I197)=0,IF(COUNTIF(M194:M197,M196)=1,IF(M196=3,1,IF(M196=2,2,IF(M196=1,3,IF(M196=0,4)))),IF(Group_players=3,Z196,IF(COUNTIF(M194:M197,M196)=2,AB196,IF(AND(M196=M194,M194=M195),AB200,IF(AND(M196=M194,M194=M197),AB202,IF(AND(M196=M195,M195=M197),AB208,"")))))))))</f>
        <v/>
      </c>
      <c r="P196" s="133" t="str">
        <f>IF(COUNT(U193:X204)=3,IF(ISNUMBER(U195),U195,IF(ISNUMBER(V195),V195,IF(ISNUMBER(X195),X195,IF(W195="","")))),IF(COUNT(U193:X204)=6,IF(ISNUMBER(U203),U203,IF(ISNUMBER(V203),V203,IF(ISNUMBER(X203),X203,""))),""))</f>
        <v/>
      </c>
      <c r="Q196" s="138" t="str">
        <f>IF(M196="","",SUMIF(I205:S221,I196,S205:S221))</f>
        <v/>
      </c>
      <c r="R196" s="139" t="str">
        <f>IF(M196="","",L196+Q196)</f>
        <v/>
      </c>
      <c r="S196" s="203"/>
      <c r="T196" s="208">
        <v>4</v>
      </c>
      <c r="U196" s="223"/>
      <c r="V196" s="140" t="str">
        <f>IF(AND(COUNTBLANK(I194:I197)=0,M197=M194,M194=M196),(Q211+Q220)/(Q212+Q221),"")</f>
        <v/>
      </c>
      <c r="W196" s="224" t="str">
        <f>IF(AND(COUNTBLANK(I194:I197)=0,M197=M194,M194=M195),(Q211+Q208)/(Q212+Q209),"")</f>
        <v/>
      </c>
      <c r="X196" s="225" t="str">
        <f>IF(AND(COUNTBLANK(I194:I197)=0,M197=M195,M195=M196),(Q208+Q220)/(Q209+Q221),"")</f>
        <v/>
      </c>
      <c r="Y196" s="226">
        <v>3</v>
      </c>
      <c r="Z196" s="227" t="str">
        <f>IF(U195="","",IF(OR(Group_players=3,AND(Group_players=4,COUNTBLANK(I194:I197)=1)),IF(COUNTIF(M194:M196,M196)=1,"",IF(AND(U195=U193,U195=U194),Z200,IF(AND(U195&lt;&gt;U194,U194&lt;&gt;U193,U195&lt;&gt;U193),(IF(SMALL(U193:U195,1)=U195,1,IF(SMALL(U193:U195,2)=U195,2,IF(SMALL(U193:U195,3)=U195,3)))),IF(AND(U195&lt;U194,U194=U193),1,IF(AND(U195&gt;U194,U194=U193),3,IF(AND(U195=U194,U195&lt;U193),(IF(Q209=3,1,2)),IF(AND(U195=U194,U195&gt;U193),(IF(Q209=3,2,3)),IF(AND(U195=U193,U195&lt;U194),(IF(Q206=3,1,2)),IF(AND(U195=U193,U195&gt;U194),(IF(Q206=3,2,3)),99))))))))),""))</f>
        <v/>
      </c>
      <c r="AA196" s="221">
        <v>3</v>
      </c>
      <c r="AB196" s="222" t="str">
        <f>IF(COUNTIF(M194:M197,M196)&lt;&gt;2,"",IF(COUNTIF(M194:M197,M196)=1,"",IF(AND(COUNTIF(M194:M197,M196)=2,M196=2),IF(M196=M194,IF(Q206=3,1,2),IF(M196=M195,IF(Q215=3,1,2),IF(M196=M197,IF(Q220=3,1,2)))),IF(AND(COUNTIF(M194:M197,M196)=2,M196=1),IF(M196=M194,IF(Q206=3,3,4),IF(M196=M195,IF(Q215=3,3,4),IF(M196=M197,IF(Q220=3,3,4)))),AB200))))</f>
        <v/>
      </c>
      <c r="AC196" s="192"/>
      <c r="AD196" s="192"/>
      <c r="AE196" s="192"/>
      <c r="AF196" s="203"/>
      <c r="AG196" s="203"/>
      <c r="AH196" s="203"/>
      <c r="AI196" s="203"/>
      <c r="AJ196" s="203"/>
      <c r="AK196" s="203"/>
      <c r="AL196" s="203"/>
      <c r="AM196" s="203"/>
      <c r="AN196" s="192"/>
      <c r="AO196" s="192"/>
      <c r="AP196" s="192"/>
      <c r="AQ196" s="192"/>
      <c r="AR196" s="192"/>
      <c r="AS196" s="192"/>
      <c r="AT196" s="192"/>
      <c r="AU196" s="192"/>
      <c r="AV196" s="192"/>
      <c r="AW196" s="192"/>
      <c r="AX196" s="192"/>
    </row>
    <row r="197" spans="2:50" ht="15" customHeight="1" thickTop="1" thickBot="1" x14ac:dyDescent="0.35">
      <c r="B197" s="192"/>
      <c r="C197" s="192"/>
      <c r="D197" s="192"/>
      <c r="E197" s="192"/>
      <c r="F197" s="192" t="str">
        <f>IF(I197="","",VLOOKUP(I197,Siembra,2,FALSE))</f>
        <v/>
      </c>
      <c r="G197" s="192" t="str">
        <f>O197</f>
        <v/>
      </c>
      <c r="H197" s="192">
        <v>4</v>
      </c>
      <c r="I197" s="141" t="str">
        <f>IF(K197="","",IF(ISNUMBER(Sorteo!$A$17),VLOOKUP(K197,Draw,2,FALSE),""))</f>
        <v/>
      </c>
      <c r="J197" s="142" t="str">
        <f>O197</f>
        <v/>
      </c>
      <c r="K197" s="143" t="str">
        <f>IF($K$9="","",IF(Group_players=4,IF(Tablas!BM$6="","",Tablas!BM$6),""))</f>
        <v/>
      </c>
      <c r="L197" s="144" t="str">
        <f>IF(K197="","",VLOOKUP(I197,Siembra,3,FALSE))</f>
        <v/>
      </c>
      <c r="M197" s="145" t="str">
        <f>IF(AND(Q208="",Q209=""),"",IF(I197="","",SUMIFS(E205:E224,I205:I224,I197)))</f>
        <v/>
      </c>
      <c r="N197" s="145" t="str">
        <f>IF(M197="","",IF(I197="","",SUMIFS(F205:F221,I205:I221,I197)))</f>
        <v/>
      </c>
      <c r="O197" s="145" t="str">
        <f>IF(M197="","",IF(COUNTIF(M194:M197,M197)=1,IF(M197=3,1,IF(M197=2,2,IF(M197=1,3,IF(M197=0,4)))),IF(COUNTIF(M194:M197,M197)=2,AB197,IF(AND(M197=M194,M194=M196),AB203,IF(AND(M197=M194,M194=M195),AB206,IF(AND(M197=M195,M195=M196),AB209,""))))))</f>
        <v/>
      </c>
      <c r="P197" s="146" t="str">
        <f>IF(COUNT(U193:X204)=3,IF(ISNUMBER(V196),V196,IF(ISNUMBER(W196),W196,IF(ISNUMBER(X196),X196,IF(X196="","")))),IF(COUNT(U193:X204)=6,IF(ISNUMBER(V204),V204,IF(ISNUMBER(W204),W204,IF(ISNUMBER(X204),X204,""))),""))</f>
        <v/>
      </c>
      <c r="Q197" s="145" t="str">
        <f>IF(M197="","",SUMIF(I205:S221,I197,S205:$S221))</f>
        <v/>
      </c>
      <c r="R197" s="147" t="str">
        <f>IF(M197="","",L197+Q197)</f>
        <v/>
      </c>
      <c r="S197" s="203"/>
      <c r="T197" s="192"/>
      <c r="U197" s="192"/>
      <c r="V197" s="192"/>
      <c r="W197" s="192"/>
      <c r="X197" s="192"/>
      <c r="Y197" s="230" t="s">
        <v>93</v>
      </c>
      <c r="Z197" s="231" t="s">
        <v>110</v>
      </c>
      <c r="AA197" s="232">
        <v>4</v>
      </c>
      <c r="AB197" s="233" t="str">
        <f>IF(COUNTIF(M194:M197,M197)&lt;&gt;2,"",IF(COUNTIF(M194:M197,M197)=1,"",IF(AND(COUNTIF(M194:M197,M197)=2,M197=2),IF(M197=M194,IF(Q212=3,1,2),IF(M197=M195,IF(Q209=3,1,2),IF(M197=M196,IF(Q221=3,1,2)))),IF(AND(COUNTIF(M194:M197,M197)=2,M197=1),IF(M197=M194,IF(Q212=3,3,4),IF(M197=M195,IF(Q209=3,3,4),IF(M197=M196,IF(Q221=3,3,4)))),AB203))))</f>
        <v/>
      </c>
      <c r="AC197" s="192"/>
      <c r="AD197" s="192"/>
      <c r="AE197" s="192"/>
      <c r="AF197" s="203"/>
      <c r="AG197" s="203"/>
      <c r="AH197" s="203"/>
      <c r="AI197" s="203"/>
      <c r="AJ197" s="203"/>
      <c r="AK197" s="203"/>
      <c r="AL197" s="203"/>
      <c r="AM197" s="203"/>
      <c r="AN197" s="192"/>
      <c r="AO197" s="192"/>
      <c r="AP197" s="192"/>
      <c r="AQ197" s="192"/>
      <c r="AR197" s="192"/>
      <c r="AS197" s="192"/>
      <c r="AT197" s="192"/>
      <c r="AU197" s="192"/>
      <c r="AV197" s="192"/>
      <c r="AW197" s="192"/>
      <c r="AX197" s="192"/>
    </row>
    <row r="198" spans="2:50" ht="15" customHeight="1" thickTop="1" x14ac:dyDescent="0.3">
      <c r="B198" s="192"/>
      <c r="C198" s="192"/>
      <c r="D198" s="192"/>
      <c r="E198" s="192"/>
      <c r="F198" s="192"/>
      <c r="G198" s="192"/>
      <c r="H198" s="192"/>
      <c r="I198" s="192"/>
      <c r="J198" s="192"/>
      <c r="K198" s="192"/>
      <c r="L198" s="192"/>
      <c r="M198" s="192"/>
      <c r="N198" s="192"/>
      <c r="O198" s="192"/>
      <c r="P198" s="192"/>
      <c r="Q198" s="192"/>
      <c r="R198" s="192"/>
      <c r="S198" s="192"/>
      <c r="T198" s="208"/>
      <c r="U198" s="192"/>
      <c r="V198" s="148"/>
      <c r="W198" s="148"/>
      <c r="X198" s="234"/>
      <c r="Y198" s="214">
        <v>1</v>
      </c>
      <c r="Z198" s="215" t="str">
        <f>IF(U201="","",IF(OR(Group_players=3,AND(Group_players=4,COUNTBLANK(I194:I197)=1)),IF(COUNTIF(M194:M196,M194)=1,"",IF(COUNTIF(U193:U195,U193)=3,IF(AND(U201=U202,U202=U203),"Tied",IF(AND(U201&lt;&gt;U202,U201&lt;&gt;U203,U202&lt;&gt;U203),(IF(SMALL(U201:U203,1)=U201,1,IF(SMALL(U201:U203,2)=U201,2,IF(SMALL(U201:U203,3)=U201,3)))),IF(AND(U201&lt;U202,U202=U203),1,IF(AND(U201&gt;U202,U202=U203),3,IF(AND(U201=U202,U201&lt;U203),(IF(Q211=3,1,2)),IF(AND(U201=U202,U201&gt;U203),(IF(Q211=3,2,3)),IF(AND(U201=U203,U201&lt;U202),(IF(Q205=3,1,2)),IF(AND(U201=U203,U201&gt;U202),(IF(Q205=3,2,3)),99)))))))),"")),""))</f>
        <v/>
      </c>
      <c r="AA198" s="208">
        <v>1</v>
      </c>
      <c r="AB198" s="222" t="str">
        <f>IF(AND(COUNTBLANK(I194:I197)=0,Group_players=4,M194=M195,M195=M196),IF(COUNTIF(U193:U196,U193)=3,AB211,IF(AND(COUNTIF(U193:U196,U193)=1,U194&lt;&gt;U195),IF(M194=2,IF(SMALL(U193:U196,1)=U193,1,IF(SMALL(U193:U196,2)=U193,2,IF(SMALL(U193:U196,3)=U193,3))),IF(M194=1,IF(SMALL(U193:U196,1)=U193,2,IF(SMALL(U193:U196,2)=U193,3,IF(SMALL(U193:U196,3)=U193,4))),"")),IF(COUNTIF(U193:U196,U193)=1,IF(U193&lt;U194,IF(M194=2,1,2),IF(M194=2,3,4)),IF(COUNTIF(U193:U196,U193)=2,IF(U193=U194,IF(U193&lt;U195,IF(M194=2,IF(Q217=3,1,2),IF(M194=1,IF(Q217=3,2,3))),IF(U193&gt;U195,IF(M194=2,IF(Q217=3,2,3),IF(M194=1,IF(Q217=3,3,4))))),IF(U193=U195,IF(U193&lt;U194,IF(M194=2,IF(Q205=3,1,2),IF(M194=1,IF(Q205=3,2,3))),IF(U193&gt;U194,IF(M194=2,IF(Q205=3,2,3),IF(M194=1,IF(Q205=3,3,4))))))),"")))),"")</f>
        <v/>
      </c>
      <c r="AC198" s="192"/>
      <c r="AD198" s="192"/>
      <c r="AE198" s="269"/>
      <c r="AF198" s="203"/>
      <c r="AG198" s="203"/>
      <c r="AH198" s="203"/>
      <c r="AI198" s="203"/>
      <c r="AJ198" s="203"/>
      <c r="AK198" s="203"/>
      <c r="AL198" s="203"/>
      <c r="AM198" s="203"/>
      <c r="AN198" s="192"/>
      <c r="AO198" s="192"/>
      <c r="AP198" s="192"/>
      <c r="AQ198" s="192"/>
      <c r="AR198" s="192"/>
      <c r="AS198" s="192"/>
      <c r="AT198" s="192"/>
      <c r="AU198" s="192"/>
      <c r="AV198" s="192"/>
      <c r="AW198" s="192"/>
      <c r="AX198" s="192"/>
    </row>
    <row r="199" spans="2:50" ht="15" customHeight="1" thickBot="1" x14ac:dyDescent="0.35">
      <c r="B199" s="192"/>
      <c r="C199" s="192"/>
      <c r="D199" s="192"/>
      <c r="E199" s="192"/>
      <c r="F199" s="192"/>
      <c r="G199" s="192"/>
      <c r="H199" s="192"/>
      <c r="I199" s="269"/>
      <c r="J199" s="269"/>
      <c r="K199" s="192"/>
      <c r="L199" s="192"/>
      <c r="M199" s="192"/>
      <c r="N199" s="192"/>
      <c r="O199" s="192"/>
      <c r="P199" s="192"/>
      <c r="Q199" s="192"/>
      <c r="R199" s="192"/>
      <c r="S199" s="192"/>
      <c r="T199" s="208"/>
      <c r="U199" s="368" t="s">
        <v>111</v>
      </c>
      <c r="V199" s="369"/>
      <c r="W199" s="369"/>
      <c r="X199" s="369"/>
      <c r="Y199" s="236">
        <v>2</v>
      </c>
      <c r="Z199" s="220" t="str">
        <f>IF(U194="","",IF(OR(Group_players=3,AND(Group_players=4,COUNTBLANK(I194:I197)=1)),IF(COUNTIF(M194:M196,M195)=1,"",IF(COUNTIF(U193:U195,U194)=3,IF(AND(U202=U201,U202=U203),"Tied",IF(AND(U202&lt;&gt;U201,U202&lt;&gt;U203,U201&lt;&gt;U203),(IF(SMALL(U201:U203,1)=U202,1,IF(SMALL(U201:U203,2)=U202,2,IF(SMALL(U201:U203,3)=U202,3)))),IF(AND(U202&lt;U201,U201=U203),1,IF(AND(U202&gt;U201,U201=U203),3,IF(AND(U202=U201,U202&lt;U203),(IF(Q212=3,1,2)),IF(AND(U202=U201,U202&gt;U203),(IF(Q212=3,2,3)),IF(AND(U202=U203,U202&lt;U201),(IF(Q208=3,1,2)),IF(AND(U202=U203,U202&gt;U201),(IF(Q208=3,2,3)),99)))))))),"")),""))</f>
        <v/>
      </c>
      <c r="AA199" s="208">
        <v>2</v>
      </c>
      <c r="AB199" s="222" t="str">
        <f>IF(AND(COUNTBLANK(I194:I197)=0,Group_players=4,M194=M195,M195=M196),IF(COUNTIF(U193:U196,U194)=3,AB212,IF(AND(COUNTIF(U193:U196,U194)=1,U193&lt;&gt;U195),IF(M195=2,IF(SMALL(U193:U196,1)=U194,1,IF(SMALL(U193:U196,2)=U194,2,IF(SMALL(U193:U196,3)=U194,3))),IF(M195=1,IF(SMALL(U193:U196,1)=U194,2,IF(SMALL(U193:U196,2)=U194,3,IF(SMALL(U193:U196,3)=U194,4))),"")),IF(COUNTIF(U193:U195,U194)=1,IF(U194&lt;U193,IF(M195=2,1,2),IF(M195=2,3,99)),IF(COUNTIF(U193:U196,U194)=2,IF(U194=U193,IF(U194&lt;U195,IF(M195=2,IF(Q218=3,1,2),IF(M195=1,IF(Q218=3,2,3))),IF(U194&gt;U195,IF(M195=2,IF(Q218=3,2,3),IF(M195=1,IF(Q218=3,3,4))))),IF(U194=U195,IF(U194&lt;U193,IF(M195=2,IF(Q214=3,1,2),IF(M195=1,IF(Q214=3,2,3))),IF(U194&gt;U193,IF(M195=2,IF(Q214=3,2,3),IF(M195=1,IF(Q214=3,3,4))))))),"")))),"")</f>
        <v/>
      </c>
      <c r="AC199" s="192"/>
      <c r="AD199" s="192"/>
      <c r="AE199" s="192"/>
      <c r="AF199" s="203"/>
      <c r="AG199" s="203"/>
      <c r="AH199" s="203"/>
      <c r="AI199" s="203"/>
      <c r="AJ199" s="203"/>
      <c r="AK199" s="203"/>
      <c r="AL199" s="203"/>
      <c r="AM199" s="203"/>
      <c r="AN199" s="192"/>
      <c r="AO199" s="192"/>
      <c r="AP199" s="192"/>
      <c r="AQ199" s="192"/>
      <c r="AR199" s="192"/>
      <c r="AS199" s="192"/>
      <c r="AT199" s="192"/>
      <c r="AU199" s="192"/>
      <c r="AV199" s="192"/>
      <c r="AW199" s="192"/>
      <c r="AX199" s="192"/>
    </row>
    <row r="200" spans="2:50" ht="15" customHeight="1" thickTop="1" thickBot="1" x14ac:dyDescent="0.35">
      <c r="B200" s="192"/>
      <c r="C200" s="192"/>
      <c r="D200" s="192"/>
      <c r="E200" s="192"/>
      <c r="F200" s="192"/>
      <c r="G200" s="192"/>
      <c r="H200" s="192"/>
      <c r="I200" s="192"/>
      <c r="J200" s="192"/>
      <c r="K200" s="192"/>
      <c r="L200" s="192"/>
      <c r="M200" s="192"/>
      <c r="N200" s="192"/>
      <c r="O200" s="192"/>
      <c r="P200" s="192"/>
      <c r="Q200" s="192"/>
      <c r="R200" s="192"/>
      <c r="S200" s="192"/>
      <c r="T200" s="120"/>
      <c r="U200" s="121" t="s">
        <v>101</v>
      </c>
      <c r="V200" s="122" t="s">
        <v>102</v>
      </c>
      <c r="W200" s="122" t="s">
        <v>103</v>
      </c>
      <c r="X200" s="123" t="s">
        <v>104</v>
      </c>
      <c r="Y200" s="238">
        <v>3</v>
      </c>
      <c r="Z200" s="239" t="str">
        <f>IF(U195="","",IF(OR(Group_players=3,AND(Group_players=4,COUNTBLANK(I194:I197)=1)),IF(COUNTIF(M194:M196,M196)=1,"",IF(COUNTIF(U193:U195,U195)=3,IF(AND(U203=U201,U203=U202),"Tied",IF(AND(U203&lt;&gt;U202,U202&lt;&gt;U201,U203&lt;&gt;U201),(IF(SMALL(U201:U203,1)=U203,1,IF(SMALL(U201:U203,2)=U203,2,IF(SMALL(U201:U203,3)=U203,3)))),IF(AND(U203&lt;U202,U202=U201),1,IF(AND(U203&gt;U202,U202=U201),3,IF(AND(U203=U202,U203&lt;U201),(IF(Q209=3,1,2)),IF(AND(U203=U202,U203&gt;U201),(IF(Q209=3,2,3)),IF(AND(U203=U201,U203&lt;U202),(IF(Q206=3,1,2)),IF(AND(U203=U201,U203&gt;U202),(IF(Q206=3,2,3)),99)))))))),"")),""))</f>
        <v/>
      </c>
      <c r="AA200" s="240">
        <v>3</v>
      </c>
      <c r="AB200" s="241" t="str">
        <f>IF(AND(COUNTBLANK(I194:I197)=0,Group_players=4,M194=M195,M195=M196),IF(COUNTIF(U193:U196,U195)=3,AB213,IF(AND(COUNTIF(U193:U196,U195)=1,U193&lt;&gt;U194),IF(M194=2,IF(SMALL(U193:U196,1)=U195,1,IF(SMALL(U193:U196,2)=U195,2,IF(SMALL(U193:U196,3)=U195,3))),IF(M196=1,IF(SMALL(U193:U196,1)=U195,2,IF(SMALL(U193:U196,2)=U195,3,IF(SMALL(U193:U196,3)=U195,4))),"")),IF(COUNTIF(U193:U196,U195)=1,IF(U195&lt;U194,IF(M196=2,1,2),IF(M196=2,3,4)),IF(COUNTIF(U193:U196,U195)=2,IF(U195=U194,IF(U195&lt;U193,IF(M196=2,IF(Q215=3,1,2),IF(M196=1,IF(Q215=3,2,3))),IF(U195&gt;U193,IF(M196=2,IF(Q215=3,2,3),IF(M196=1,IF(Q215=3,3,4))))),IF(U195=U193,IF(U195&lt;U194,IF(M196=2,IF(Q206=3,1,2),IF(M196=1,IF(Q206=3,2,3))),IF(U195&gt;U194,IF(M196=2,IF(Q206=3,2,3),IF(M196=1,IF(Q206=3,3,4))))))),"")))),"")</f>
        <v/>
      </c>
      <c r="AC200" s="192"/>
      <c r="AD200" s="192"/>
      <c r="AE200" s="192"/>
      <c r="AF200" s="203"/>
      <c r="AG200" s="203"/>
      <c r="AH200" s="203"/>
      <c r="AI200" s="203"/>
      <c r="AJ200" s="203"/>
      <c r="AK200" s="203"/>
      <c r="AL200" s="203"/>
      <c r="AM200" s="203"/>
      <c r="AN200" s="192"/>
      <c r="AO200" s="192"/>
      <c r="AP200" s="192"/>
      <c r="AQ200" s="192"/>
      <c r="AR200" s="192"/>
      <c r="AS200" s="192"/>
      <c r="AT200" s="192"/>
      <c r="AU200" s="192"/>
      <c r="AV200" s="192"/>
      <c r="AW200" s="192"/>
      <c r="AX200" s="192"/>
    </row>
    <row r="201" spans="2:50" ht="15" customHeight="1" thickTop="1" thickBot="1" x14ac:dyDescent="0.35">
      <c r="B201" s="192"/>
      <c r="C201" s="192"/>
      <c r="D201" s="192"/>
      <c r="E201" s="192"/>
      <c r="F201" s="192"/>
      <c r="G201" s="192"/>
      <c r="H201" s="192"/>
      <c r="I201" s="192"/>
      <c r="J201" s="192"/>
      <c r="K201" s="192"/>
      <c r="L201" s="192"/>
      <c r="M201" s="192"/>
      <c r="N201" s="192"/>
      <c r="O201" s="192"/>
      <c r="P201" s="192"/>
      <c r="Q201" s="192"/>
      <c r="R201" s="192"/>
      <c r="S201" s="192"/>
      <c r="T201" s="208">
        <v>1</v>
      </c>
      <c r="U201" s="209" t="str">
        <f>IF(U193="","",IF(OR(U193&lt;&gt;U194,U193&lt;&gt;U195),"",IF(COUNTIF(M194:M196,M194)=1,"",IF(COUNTBLANK(I194:I197)=1,(SUM(L206:P206)+SUM(L212:P212))/(SUM(L205:P205)+SUM(L211:P211)),IF(COUNTBLANK(I194:I197)=0,(SUM(L218:P218)+SUM(L206:P206))/(SUM(L217:P217)+SUM(L205:P205)),"")))))</f>
        <v/>
      </c>
      <c r="V201" s="125" t="str">
        <f>IF(V193="","",IF(OR(V193&lt;&gt;V195,V193&lt;&gt;V196),"",IF(AND(COUNTBLANK(I194:I197)=0,M194=M196,M196=M197),(SUM(L206:P206)+SUM(L212:P212))/(SUM(L205:P205)+SUM(L211:P211)),"")))</f>
        <v/>
      </c>
      <c r="W201" s="210" t="str">
        <f>IF(W193="","",IF(OR(W193&lt;&gt;W194,W193&lt;&gt;W196),"",IF(AND(COUNTBLANK(I194:I197)=0,M194=M195,M195=M197),(SUM(L218:P218)+SUM(L212:P212))/(SUM(L217:P217)+SUM(L211:P211)),"")))</f>
        <v/>
      </c>
      <c r="X201" s="211"/>
      <c r="Y201" s="242"/>
      <c r="Z201" s="242"/>
      <c r="AA201" s="243">
        <v>1</v>
      </c>
      <c r="AB201" s="244" t="str">
        <f>IF(AND(COUNTBLANK(I194:I197)=0,Group_players=4,M194=M196,M196=M197),IF(COUNTIF(V193:V196,V193)=3,AB214,IF(AND(COUNTIF(V193:V196,V193)=1,V195&lt;&gt;U204),IF(M194=2,IF(SMALL(V193:V196,1)=V193,1,IF(SMALL(V193:V196,2)=V193,2,IF(SMALL(V193:V196,3)=V193,3))),IF(M194=1,IF(SMALL(V193:V196,1)=V193,2,IF(SMALL(V193:V196,2)=V193,3,IF(SMALL(V193:V196,3)=V193,4))),"")),IF(COUNTIF(V193:V196,V193)=1,IF(V193&lt;V195,IF(M194=2,1,2),IF(M194=2,3,4)),IF(COUNTIF(V193:V196,V193)=2,IF(V193=V195,IF(V193&lt;V196,IF(M194=2,IF(Q205=3,1,2),IF(M194=1,IF(Q205=3,2,3))),IF(V193&gt;V196,IF(M194=2,IF(Q205=3,2,3),IF(M194=1,IF(Q205=3,3,4))))),IF(V193=V196,IF(V193&lt;V195,IF(M194=2,IF(Q211=3,1,2),IF(M194=1,IF(Q211=3,2,3))),IF(V193&gt;V194,IF(M194=2,IF(Q211=3,2,3),IF(M194=1,IF(Q211=3,3,4))))))),"")))),"")</f>
        <v/>
      </c>
      <c r="AC201" s="192"/>
      <c r="AD201" s="192"/>
      <c r="AE201" s="192"/>
      <c r="AF201" s="203"/>
      <c r="AG201" s="203"/>
      <c r="AH201" s="203"/>
      <c r="AI201" s="203"/>
      <c r="AJ201" s="203"/>
      <c r="AK201" s="203"/>
      <c r="AL201" s="203"/>
      <c r="AM201" s="203"/>
      <c r="AN201" s="192"/>
      <c r="AO201" s="192"/>
      <c r="AP201" s="192"/>
      <c r="AQ201" s="192"/>
      <c r="AR201" s="192"/>
      <c r="AS201" s="192"/>
      <c r="AT201" s="192"/>
      <c r="AU201" s="192"/>
      <c r="AV201" s="192"/>
      <c r="AW201" s="192"/>
      <c r="AX201" s="192"/>
    </row>
    <row r="202" spans="2:50" ht="15" customHeight="1" thickTop="1" thickBot="1" x14ac:dyDescent="0.35">
      <c r="B202" s="192"/>
      <c r="C202" s="192"/>
      <c r="D202" s="192"/>
      <c r="E202" s="117"/>
      <c r="F202" s="117"/>
      <c r="G202" s="117"/>
      <c r="H202" s="192"/>
      <c r="I202" s="192"/>
      <c r="J202" s="192"/>
      <c r="K202" s="192"/>
      <c r="L202" s="192"/>
      <c r="M202" s="192"/>
      <c r="N202" s="192"/>
      <c r="O202" s="192"/>
      <c r="P202" s="192"/>
      <c r="Q202" s="192"/>
      <c r="R202" s="192"/>
      <c r="S202" s="394" t="s">
        <v>112</v>
      </c>
      <c r="T202" s="208">
        <v>2</v>
      </c>
      <c r="U202" s="209" t="str">
        <f>IF(U193="","",IF(OR(U194&lt;&gt;U193,U194&lt;&gt;U195),"",IF(COUNTIF(M194:M196,M195)=1,"",IF(COUNTBLANK(I194:I197)=1,(SUM(L209:P209)+SUM(L211:P211))/(SUM(L208:P208)+SUM(L212:P212)),IF(COUNTBLANK(I194:I197)=0,(SUM(L217:P217)+SUM(L215:P215))/(SUM(L218:P218)+SUM(L214:P214)))))))</f>
        <v/>
      </c>
      <c r="V202" s="135"/>
      <c r="W202" s="212" t="str">
        <f>IF(W193="","",IF(OR(W194&lt;&gt;W193,W194&lt;&gt;W196),"",IF(AND(COUNTBLANK(I194:I197)=0,M194=M195,M195=M197),(SUM(L209:P209)+SUM(L217:P217))/(SUM(L218:P218)+SUM(L208:P208)),"")))</f>
        <v/>
      </c>
      <c r="X202" s="245" t="str">
        <f>IF(X194="","",IF(OR(X194&lt;&gt;X195,X194&lt;&gt;X196),"",IF(AND(COUNTBLANK(I194:I197)=0,M195=M196,M196=M197),(SUM(L215:P215)+SUM(L209:P209))/(SUM(L214:P214)+SUM(L208:P208)),"")))</f>
        <v/>
      </c>
      <c r="Y202" s="242"/>
      <c r="Z202" s="203"/>
      <c r="AA202" s="246">
        <v>3</v>
      </c>
      <c r="AB202" s="222" t="str">
        <f>IF(AND(COUNTBLANK(I194:I197)=0,Group_players=4,M194=M196,M196=M197),IF(COUNTIF(V193:V196,V195)=3,AB215,IF(AND(COUNTIF(V193:V196,V195)=1,V193&lt;&gt;V196),IF(M196=2,IF(SMALL(V193:V196,1)=V195,1,IF(SMALL(V193:V196,2)=V195,2,IF(SMALL(V193:V196,3)=V195,3))),IF(M196=1,IF(SMALL(V193:V196,1)=V195,2,IF(SMALL(V193:V196,2)=V195,3,IF(SMALL(V193:V196,3)=V195,4))),"")),IF(COUNTIF(V193:V196,V195)=1,IF(V195&lt;V193,IF(M196=2,1,2),IF(M196=2,3,4)),IF(COUNTIF(V193:V196,V195)=2,IF(V195=V193,IF(V195&lt;V196,IF(M196=2,IF(Q206=3,1,2),IF(M196=1,IF(Q206=3,2,3))),IF(V195&gt;V196,IF(M196=2,IF(Q206=3,2,3),IF(M196=1,IF(Q206=3,3,4))))),IF(V195=V196,IF(V195&lt;V193,IF(M196=2,IF(Q220=3,1,2),IF(M196=1,IF(Q220=3,2,3))),IF(V195&gt;V193,IF(M196=2,IF(Q220=3,2,3),IF(M196=1,IF(Q220=3,3,4))))))),"")))),"")</f>
        <v/>
      </c>
      <c r="AC202" s="192"/>
      <c r="AD202" s="192"/>
      <c r="AE202" s="192"/>
      <c r="AF202" s="203"/>
      <c r="AG202" s="203"/>
      <c r="AH202" s="203"/>
      <c r="AI202" s="203"/>
      <c r="AJ202" s="203"/>
      <c r="AK202" s="203"/>
      <c r="AL202" s="203"/>
      <c r="AM202" s="203"/>
      <c r="AN202" s="192"/>
      <c r="AO202" s="192"/>
      <c r="AP202" s="192"/>
      <c r="AQ202" s="192"/>
      <c r="AR202" s="192"/>
      <c r="AS202" s="192"/>
      <c r="AT202" s="192"/>
      <c r="AU202" s="192"/>
      <c r="AV202" s="192"/>
      <c r="AW202" s="192"/>
      <c r="AX202" s="192"/>
    </row>
    <row r="203" spans="2:50" ht="15" customHeight="1" thickTop="1" thickBot="1" x14ac:dyDescent="0.35">
      <c r="B203" s="192"/>
      <c r="C203" s="192"/>
      <c r="D203" s="192"/>
      <c r="E203" s="117"/>
      <c r="F203" s="117"/>
      <c r="G203" s="117"/>
      <c r="H203" s="192"/>
      <c r="I203" s="192"/>
      <c r="J203" s="192"/>
      <c r="K203" s="192"/>
      <c r="L203" s="192"/>
      <c r="M203" s="192"/>
      <c r="N203" s="192"/>
      <c r="O203" s="192"/>
      <c r="P203" s="192"/>
      <c r="Q203" s="192"/>
      <c r="R203" s="247"/>
      <c r="S203" s="395"/>
      <c r="T203" s="208">
        <v>3</v>
      </c>
      <c r="U203" s="209" t="str">
        <f>IF(U193="","",IF(OR(U195&lt;&gt;U193,U195&lt;&gt;U194),"",IF(COUNTIF(M194:M196,M196)=1,"",IF(COUNTBLANK(I194:I197)=1,(SUM(L205:P205)+SUM(L208:P208))/(SUM(L206:P206)+SUM(L209:P209)),IF(COUNTBLANK(I194:I197)=0,(SUM(L205:P205)+SUM(L214:P214))/(SUM(L206:P206)+SUM(L215:P215)))))))</f>
        <v/>
      </c>
      <c r="V203" s="125" t="str">
        <f>IF(V193="","",IF(OR(V195&lt;&gt;V193,V195&lt;&gt;V196),"",IF(AND(COUNTBLANK(I194:I197)=0,M194=M196,M196=M197),(SUM(L205:P205)+SUM(L221:P221))/(SUM(L206:P206)+SUM(L220:P220)),"")))</f>
        <v/>
      </c>
      <c r="W203" s="218"/>
      <c r="X203" s="245" t="str">
        <f>IF(X194="","",IF(OR(X195&lt;&gt;X194,X195&lt;&gt;X196),"",IF(AND(COUNTBLANK(I194:I197)=0,M195=M196,M196=M197),(SUM(L214:P214)+SUM(L221:P221))/(SUM(L215:P215)+SUM(L220:P220)),"")))</f>
        <v/>
      </c>
      <c r="Y203" s="208"/>
      <c r="Z203" s="203"/>
      <c r="AA203" s="240">
        <v>4</v>
      </c>
      <c r="AB203" s="222" t="str">
        <f>IF(AND(COUNTBLANK(I194:I197)=0,Group_players=4,M194=M196,M196=M197),IF(COUNTIF(V193:V196,V196)=3,AB216,IF(AND(COUNTIF(V193:V196,V196)=1,V195&lt;&gt;V193),IF(M197=2,IF(SMALL(V193:V196,1)=V196,1,IF(SMALL(V193:V196,2)=V196,2,IF(SMALL(V193:V196,3)=V196,3))),IF(M197=1,IF(SMALL(V193:V196,1)=V196,2,IF(SMALL(V193:V196,2)=V196,3,IF(SMALL(V193:V196,3)=V196,4))),"")),IF(COUNTIF(V193:V196,V196)=1,IF(V196&lt;V193,IF(M197=2,1,2),IF(M197=2,3,4)),IF(COUNTIF(V193:V196,V196)=2,IF(V196=V193,IF(V196&lt;V195,IF(M197=2,IF(Q212=3,1,2),IF(M197=1,IF(Q212=3,2,3))),IF(V196&gt;V195,IF(M197=2,IF(Q212=3,2,3),IF(M197=1,IF(Q212=3,3,4))))),IF(V196=V195,IF(V196&lt;V193,IF(M197=2,IF(Q221=3,1,2),IF(M197=1,IF(Q221=3,2,3))),IF(V196&gt;V193,IF(M197=2,IF(Q221=3,2,3),IF(M197=1,IF(Q221=3,3,4))))))),"")))),"")</f>
        <v/>
      </c>
      <c r="AC203" s="192"/>
      <c r="AD203" s="192"/>
      <c r="AE203" s="192"/>
      <c r="AF203" s="203"/>
      <c r="AG203" s="203"/>
      <c r="AH203" s="203"/>
      <c r="AI203" s="203"/>
      <c r="AJ203" s="203"/>
      <c r="AK203" s="203"/>
      <c r="AL203" s="203"/>
      <c r="AM203" s="203"/>
      <c r="AN203" s="192"/>
      <c r="AO203" s="192"/>
      <c r="AP203" s="192"/>
      <c r="AQ203" s="192"/>
      <c r="AR203" s="192"/>
      <c r="AS203" s="192"/>
      <c r="AT203" s="192"/>
      <c r="AU203" s="192"/>
      <c r="AV203" s="192"/>
      <c r="AW203" s="192"/>
      <c r="AX203" s="192"/>
    </row>
    <row r="204" spans="2:50" ht="15" customHeight="1" thickTop="1" thickBot="1" x14ac:dyDescent="0.35">
      <c r="B204" s="192"/>
      <c r="C204" s="192"/>
      <c r="D204" s="192"/>
      <c r="E204" s="168" t="s">
        <v>113</v>
      </c>
      <c r="F204" s="168" t="s">
        <v>114</v>
      </c>
      <c r="G204" s="117"/>
      <c r="H204" s="192"/>
      <c r="I204" s="249" t="s">
        <v>115</v>
      </c>
      <c r="J204" s="249"/>
      <c r="K204" s="249"/>
      <c r="L204" s="250" t="s">
        <v>115</v>
      </c>
      <c r="M204" s="250" t="s">
        <v>116</v>
      </c>
      <c r="N204" s="250" t="s">
        <v>117</v>
      </c>
      <c r="O204" s="250" t="s">
        <v>118</v>
      </c>
      <c r="P204" s="250" t="s">
        <v>119</v>
      </c>
      <c r="Q204" s="250" t="s">
        <v>120</v>
      </c>
      <c r="R204" s="250"/>
      <c r="S204" s="251"/>
      <c r="T204" s="208">
        <v>4</v>
      </c>
      <c r="U204" s="223"/>
      <c r="V204" s="140" t="str">
        <f>IF(V193="","",IF(OR(V196&lt;&gt;V193,V196&lt;&gt;V195),"",IF(AND(COUNTBLANK(I194:I197)=0,M194=M196,M196=M197),(SUM(L211:P211)+SUM(L220:P220))/(SUM(L212:P212)+SUM(L221:P221)),"")))</f>
        <v/>
      </c>
      <c r="W204" s="224" t="str">
        <f>IF(W193="","",IF(OR(W196&lt;&gt;W193,W196&lt;&gt;W194),"",IF(AND(COUNTBLANK(I194:I197)=0,M194=M195,M195=M197),(SUM(L211:P211)+SUM(L208:P208))/(SUM(L212:P212)+SUM(L209:P209)),"")))</f>
        <v/>
      </c>
      <c r="X204" s="252" t="str">
        <f>IF(X194="","",IF(OR(X196&lt;&gt;X194,X196&lt;&gt;X195),"",IF(AND(COUNTBLANK(I194:I197)=0,M195=M196,M196=M197),(SUM(L208:P208)+SUM(L220:P220))/(SUM(L209:P209)+SUM(L221:P221)),"")))</f>
        <v/>
      </c>
      <c r="Y204" s="192"/>
      <c r="Z204" s="203"/>
      <c r="AA204" s="243">
        <v>1</v>
      </c>
      <c r="AB204" s="151" t="str">
        <f>IF(AND(COUNTBLANK(I194:I197)=0,Group_players=4,M194=M195,M195=M197),IF(COUNTIF(W193:W196,W193)=3,AB217,IF(AND(COUNTIF(W193:W196,W193)=1,W194&lt;&gt;W196),IF(M194=2,IF(SMALL(W193:W196,1)=W193,1,IF(SMALL(W193:W196,2)=W193,2,IF(SMALL(W193:W196,3)=W193,3))),IF(M194=1,IF(SMALL(W193:W196,1)=W193,2,IF(SMALL(W193:W196,2)=W193,3,IF(SMALL(W193:W196,3)=W193,4))),"")),IF(COUNTIF(W193:W196,W193)=1,IF(W193&lt;W194,IF(M194=2,1,2),IF(M194=2,3,4)),IF(COUNTIF(W193:W196,W193)=2,IF(W193=W194,IF(W193&lt;W196,IF(M194=2,IF(Q217=3,1,2),IF(M194=1,IF(Q217=3,2,3))),IF(W193&gt;W196,IF(M194=2,IF(Q217=3,2,3),IF(M194=1,IF(Q217=3,3,4))))),IF(W193=W196,IF(W193&lt;W194,IF(M194=2,IF(Q211=3,1,2),IF(M194=1,IF(Q211=3,2,3))),IF(W193&gt;W194,IF(M194=2,IF(Q211=3,2,3),IF(M194=1,IF(Q211=3,3,4))))))),"")))),"")</f>
        <v/>
      </c>
      <c r="AC204" s="192"/>
      <c r="AD204" s="192"/>
      <c r="AE204" s="192"/>
      <c r="AF204" s="203"/>
      <c r="AG204" s="203"/>
      <c r="AH204" s="203"/>
      <c r="AI204" s="203"/>
      <c r="AJ204" s="203"/>
      <c r="AK204" s="203"/>
      <c r="AL204" s="203"/>
      <c r="AM204" s="203"/>
      <c r="AN204" s="192"/>
      <c r="AO204" s="192"/>
      <c r="AP204" s="192"/>
      <c r="AQ204" s="192"/>
      <c r="AR204" s="192"/>
      <c r="AS204" s="192"/>
      <c r="AT204" s="192"/>
      <c r="AU204" s="192"/>
      <c r="AV204" s="192"/>
      <c r="AW204" s="192"/>
      <c r="AX204" s="192"/>
    </row>
    <row r="205" spans="2:50" ht="15" customHeight="1" thickTop="1" x14ac:dyDescent="0.3">
      <c r="B205" s="192"/>
      <c r="C205" s="192"/>
      <c r="D205" s="192"/>
      <c r="E205" s="164" t="str">
        <f>IF(Q205="","",IF(Q205=3,1,0))</f>
        <v/>
      </c>
      <c r="F205" s="164" t="str">
        <f>IF(Q205="","",IF(Q205&lt;3,1,0))</f>
        <v/>
      </c>
      <c r="G205" s="192"/>
      <c r="H205" s="192" t="str">
        <f>IF(I194="","",1)</f>
        <v/>
      </c>
      <c r="I205" s="192" t="str">
        <f>IF(ISNUMBER(H205),VLOOKUP(H205,H194:I197,2,TRUE),"")</f>
        <v/>
      </c>
      <c r="J205" s="192"/>
      <c r="K205" s="192" t="str">
        <f>VLOOKUP(I205,I194:L197,3,FALSE)</f>
        <v/>
      </c>
      <c r="L205" s="253"/>
      <c r="M205" s="254"/>
      <c r="N205" s="254"/>
      <c r="O205" s="152"/>
      <c r="P205" s="153"/>
      <c r="Q205" s="255" t="str">
        <f>IF(L205="","",IF(AND(L205-L206&gt;1,L205&gt;10),1,0)+IF(AND(M205-M206&gt;1,M205&gt;10),1,0)+IF(AND(N205-N206&gt;1,N205&gt;10),1,0)+IF(AND(O205-O206&gt;1,O205&gt;10),1,0)+IF(AND(P205-P206&gt;1,P205&gt;10),1,0))</f>
        <v/>
      </c>
      <c r="R205" s="203" t="str">
        <f>IF(AND(I205="",I206=""),"",ABS(VLOOKUP(I205,I194:L197,4,FALSE)-VLOOKUP(I206,I194:L197,4,FALSE)))</f>
        <v/>
      </c>
      <c r="S205" s="256" t="str">
        <f>IF(R206="","",IF(Q205=3,+R206,-R206))</f>
        <v/>
      </c>
      <c r="T205" s="257"/>
      <c r="U205" s="258"/>
      <c r="V205" s="258"/>
      <c r="W205" s="258"/>
      <c r="X205" s="258"/>
      <c r="Y205" s="192"/>
      <c r="Z205" s="203"/>
      <c r="AA205" s="246">
        <v>2</v>
      </c>
      <c r="AB205" s="154" t="str">
        <f>IF(AND(COUNTBLANK(I194:I197)=0,Group_players=4,M194=M195,M195=M197),IF(COUNTIF(W193:W196,W194)=3,AB218,IF(AND(COUNTIF(W193:W196,W194)=1,W193&lt;&gt;W195),IF(M195=2,IF(SMALL(W193:W196,1)=W194,1,IF(SMALL(W193:W196,2)=W194,2,IF(SMALL(W193:W196,3)=W194,3))),IF(M195=1,IF(SMALL(W193:W196,1)=W194,2,IF(SMALL(W193:W196,2)=W194,3,IF(SMALL(W193:W196,3)=W194,4))),"")),IF(COUNTIF(W193:W196,W194)=1,IF(W194&lt;W193,IF(M195=2,1,2),IF(M195=2,3,4)),IF(COUNTIF(W193:W196,W194)=2,IF(W194=W193,IF(W194&lt;W196,IF(M195=2,IF(Q218=3,1,2),IF(M195=1,IF(Q218=3,2,3))),IF(W194&gt;W196,IF(M195=2,IF(Q218=3,2,3),IF(M195=1,IF(Q218=3,3,4))))),IF(W194=W196,IF(W194&lt;W193,IF(M195=2,IF(Q208=3,1,2),IF(M195=1,IF(Q208=3,2,3))),IF(W194&gt;W193,IF(M195=2,IF(Q208=3,2,3),IF(M195=1,IF(Q208=3,3,4))))))),"")))),"")</f>
        <v/>
      </c>
      <c r="AC205" s="192"/>
      <c r="AD205" s="192"/>
      <c r="AE205" s="192"/>
      <c r="AF205" s="203"/>
      <c r="AG205" s="203"/>
      <c r="AH205" s="203"/>
      <c r="AI205" s="203"/>
      <c r="AJ205" s="203"/>
      <c r="AK205" s="203"/>
      <c r="AL205" s="203"/>
      <c r="AM205" s="203"/>
      <c r="AN205" s="192"/>
      <c r="AO205" s="192"/>
      <c r="AP205" s="192"/>
      <c r="AQ205" s="192"/>
      <c r="AR205" s="192"/>
      <c r="AS205" s="192"/>
      <c r="AT205" s="192"/>
      <c r="AU205" s="192"/>
      <c r="AV205" s="192"/>
      <c r="AW205" s="192"/>
      <c r="AX205" s="192"/>
    </row>
    <row r="206" spans="2:50" ht="15" customHeight="1" thickBot="1" x14ac:dyDescent="0.35">
      <c r="B206" s="192"/>
      <c r="C206" s="192"/>
      <c r="D206" s="192"/>
      <c r="E206" s="164" t="str">
        <f>IF(Q206="","",IF(Q206=3,1,0))</f>
        <v/>
      </c>
      <c r="F206" s="164" t="str">
        <f>IF(Q206="","",IF(Q206&lt;3,1,0))</f>
        <v/>
      </c>
      <c r="G206" s="192"/>
      <c r="H206" s="192" t="str">
        <f>IF(I195="","",IF(I196="",2,3))</f>
        <v/>
      </c>
      <c r="I206" s="192" t="str">
        <f>IF(ISNUMBER(H206),VLOOKUP(H206,H194:I197,2,TRUE),"")</f>
        <v/>
      </c>
      <c r="J206" s="192"/>
      <c r="K206" s="192" t="str">
        <f>VLOOKUP(I206,I194:L197,3,FALSE)</f>
        <v/>
      </c>
      <c r="L206" s="155"/>
      <c r="M206" s="259"/>
      <c r="N206" s="259"/>
      <c r="O206" s="156"/>
      <c r="P206" s="157"/>
      <c r="Q206" s="260" t="str">
        <f>IF(L206="","",IF(AND(L206-L205&gt;1,L206&gt;10),1,0)+IF(AND(M206-M205&gt;1,M206&gt;10),1,0)+IF(AND(N206-N205&gt;1,N206&gt;10),1,0)+IF(AND(O206-O205&gt;1,O206&gt;10),1,0)+IF(AND(P206-P205&gt;1,P206&gt;10),1,0))</f>
        <v/>
      </c>
      <c r="R206" s="203" t="str">
        <f>IF(AND(Q205&lt;&gt;3,Q206&lt;&gt;3),"",IF(Q205=3,IF(VLOOKUP(I205,I194:L197,4,FALSE)&gt;VLOOKUP(I206,I194:L197,4,FALSE),VLOOKUP(R205,Point_dif,2,FALSE),VLOOKUP(R205,Point_dif,3,FALSE)),IF(Q206=3,IF(VLOOKUP(I206,I194:L197,4,FALSE)&gt;VLOOKUP(I205,I194:L197,4,FALSE),VLOOKUP(R205,Point_dif,2,FALSE),VLOOKUP(R205,Point_dif,3,FALSE)))))</f>
        <v/>
      </c>
      <c r="S206" s="256" t="str">
        <f>IF(R206="","",IF(Q206=3,+R206,-R206))</f>
        <v/>
      </c>
      <c r="T206" s="192"/>
      <c r="U206" s="235"/>
      <c r="V206" s="235"/>
      <c r="W206" s="235"/>
      <c r="X206" s="235"/>
      <c r="Y206" s="235"/>
      <c r="Z206" s="235"/>
      <c r="AA206" s="240">
        <v>4</v>
      </c>
      <c r="AB206" s="158" t="str">
        <f>IF(AND(COUNTBLANK(I194:I197)=0,Group_players=4,M194=M195,M195=M197),IF(COUNTIF(W193:W196,W196)=3,AB219,IF(AND(COUNTIF(W193:W196,W196)=1,W193&lt;&gt;W194),IF(M197=2,IF(SMALL(W193:W196,1)=W196,1,IF(SMALL(W193:W196,2)=W196,2,IF(SMALL(W193:W196,3)=W196,3))),IF(M197=1,IF(SMALL(W193:W196,1)=W196,2,IF(SMALL(W193:W196,2)=W196,3,IF(SMALL(W193:W196,3)=W196,4))),"")),IF(COUNTIF(W193:W196,W196)=1,IF(W196&lt;W193,IF(M197=2,1,2),IF(M197=2,3,4)),IF(COUNTIF(W193:W196,W196)=2,IF(W196=W193,IF(W196&lt;W194,IF(M197=2,IF(Q212=3,1,2),IF(M197=1,IF(Q212=3,2,3))),IF(W196&gt;W195,IF(M197=2,IF(Q212=3,2,3),IF(M197=1,IF(Q212=3,3,4))))),IF(W196=W194,IF(W196&lt;W193,IF(M197=2,IF(Q209=3,1,2),IF(M197=1,IF(Q209=3,2,3))),IF(W196&gt;W193,IF(M197=2,IF(Q209=3,2,3),IF(M197=1,IF(Q209=3,3,4))))))),"")))),"")</f>
        <v/>
      </c>
      <c r="AC206" s="192"/>
      <c r="AD206" s="192"/>
      <c r="AE206" s="192"/>
      <c r="AF206" s="203"/>
      <c r="AG206" s="203"/>
      <c r="AH206" s="203"/>
      <c r="AI206" s="203"/>
      <c r="AJ206" s="203"/>
      <c r="AK206" s="203"/>
      <c r="AL206" s="203"/>
      <c r="AM206" s="203"/>
      <c r="AN206" s="192"/>
      <c r="AO206" s="192"/>
      <c r="AP206" s="192"/>
      <c r="AQ206" s="192"/>
      <c r="AR206" s="192"/>
      <c r="AS206" s="192"/>
      <c r="AT206" s="192"/>
      <c r="AU206" s="192"/>
      <c r="AV206" s="192"/>
      <c r="AW206" s="192"/>
      <c r="AX206" s="192"/>
    </row>
    <row r="207" spans="2:50" ht="15" customHeight="1" thickTop="1" thickBot="1" x14ac:dyDescent="0.35">
      <c r="B207" s="192"/>
      <c r="C207" s="192"/>
      <c r="D207" s="192"/>
      <c r="E207" s="164"/>
      <c r="F207" s="164"/>
      <c r="G207" s="192"/>
      <c r="H207" s="192"/>
      <c r="I207" s="249" t="s">
        <v>116</v>
      </c>
      <c r="J207" s="249"/>
      <c r="K207" s="249"/>
      <c r="L207" s="250" t="s">
        <v>115</v>
      </c>
      <c r="M207" s="250" t="s">
        <v>116</v>
      </c>
      <c r="N207" s="250" t="s">
        <v>117</v>
      </c>
      <c r="O207" s="250" t="s">
        <v>118</v>
      </c>
      <c r="P207" s="250" t="s">
        <v>119</v>
      </c>
      <c r="Q207" s="250" t="s">
        <v>120</v>
      </c>
      <c r="R207" s="250"/>
      <c r="S207" s="251"/>
      <c r="T207" s="192"/>
      <c r="U207" s="235"/>
      <c r="V207" s="235"/>
      <c r="W207" s="235"/>
      <c r="X207" s="235"/>
      <c r="Y207" s="235"/>
      <c r="Z207" s="235"/>
      <c r="AA207" s="243">
        <v>2</v>
      </c>
      <c r="AB207" s="151" t="str">
        <f>IF(AND(COUNTBLANK(I194:I197)=0,Group_players=4,M195=M196,M196=M197),IF(COUNTIF(X193:X196,X194)=3,AB220,IF(AND(COUNTIF(X193:X196,X194)=1,X195&lt;&gt;X196),IF(M195=2,IF(SMALL(X193:X196,1)=X194,1,IF(SMALL(X193:X196,2)=X194,2,IF(SMALL(X193:X196,3)=X194,3))),IF(M195=1,IF(SMALL(X193:X196,1)=X194,2,IF(SMALL(X193:X196,2)=X194,3,IF(SMALL(X193:X196,3)=X194,4))),"")),IF(COUNTIF(X193:X196,X194)=1,IF(X194&lt;X196,IF(M195=2,1,2),IF(M195=1,3,3)),IF(COUNTIF(X193:X196,X194)=2,IF(X194=X195,IF(X194&lt;X196,IF(M195=2,IF(Q214=3,1,2),IF(M195=1,IF(Q214=3,2,3))),IF(X194&gt;X196,IF(M195=2,IF(Q214=3,2,3),IF(M195=1,IF(Q214=3,3,4))))),IF(X194=X196,IF(X194&lt;X195,IF(M195=2,IF(Q208=3,1,2),IF(M195=1,IF(Q208=3,2,3))),IF(X194&gt;X195,IF(M195=2,IF(Q208=3,2,3),IF(M195=1,IF(Q208=3,3,4))))))),"")))),"")</f>
        <v/>
      </c>
      <c r="AC207" s="192"/>
      <c r="AD207" s="192"/>
      <c r="AE207" s="192"/>
      <c r="AF207" s="203"/>
      <c r="AG207" s="203"/>
      <c r="AH207" s="203"/>
      <c r="AI207" s="203"/>
      <c r="AJ207" s="203"/>
      <c r="AK207" s="203"/>
      <c r="AL207" s="203"/>
      <c r="AM207" s="203"/>
      <c r="AN207" s="192"/>
      <c r="AO207" s="192"/>
      <c r="AP207" s="192"/>
      <c r="AQ207" s="192"/>
      <c r="AR207" s="192"/>
      <c r="AS207" s="192"/>
      <c r="AT207" s="192"/>
      <c r="AU207" s="192"/>
      <c r="AV207" s="192"/>
      <c r="AW207" s="192"/>
      <c r="AX207" s="192"/>
    </row>
    <row r="208" spans="2:50" ht="15" customHeight="1" thickTop="1" x14ac:dyDescent="0.3">
      <c r="B208" s="192"/>
      <c r="C208" s="192"/>
      <c r="D208" s="192"/>
      <c r="E208" s="164" t="str">
        <f>IF(Q208="","",IF(Q208=3,1,0))</f>
        <v/>
      </c>
      <c r="F208" s="164" t="str">
        <f>IF(Q208="","",IF(Q208&lt;3,1,0))</f>
        <v/>
      </c>
      <c r="G208" s="192"/>
      <c r="H208" s="192" t="str">
        <f>IF(I196="","",2)</f>
        <v/>
      </c>
      <c r="I208" s="192" t="str">
        <f>IF(ISNUMBER(H208),VLOOKUP(H208,H194:I197,2,TRUE),"")</f>
        <v/>
      </c>
      <c r="J208" s="192"/>
      <c r="K208" s="192" t="str">
        <f>VLOOKUP(I208,I194:L197,3,FALSE)</f>
        <v/>
      </c>
      <c r="L208" s="253"/>
      <c r="M208" s="254"/>
      <c r="N208" s="254"/>
      <c r="O208" s="152"/>
      <c r="P208" s="153"/>
      <c r="Q208" s="255" t="str">
        <f>IF(L208="","",IF(AND(L208-L209&gt;1,L208&gt;10),1,0)+IF(AND(M208-M209&gt;1,M208&gt;10),1,0)+IF(AND(N208-N209&gt;1,N208&gt;10),1,0)+IF(AND(O208-O209&gt;1,O208&gt;10),1,0)+IF(AND(P208-P209&gt;1,P208&gt;10),1,0))</f>
        <v/>
      </c>
      <c r="R208" s="203" t="str">
        <f>IF(AND(I208="",I209=""),"",ABS(VLOOKUP(I208,I194:L197,4,FALSE)-VLOOKUP(I209,I194:L197,4,FALSE)))</f>
        <v/>
      </c>
      <c r="S208" s="256" t="str">
        <f>IF(R209="","",IF(Q208=3,+R209,-R209))</f>
        <v/>
      </c>
      <c r="T208" s="192"/>
      <c r="U208" s="235"/>
      <c r="V208" s="235"/>
      <c r="W208" s="235"/>
      <c r="X208" s="235"/>
      <c r="Y208" s="235"/>
      <c r="Z208" s="235"/>
      <c r="AA208" s="246">
        <v>3</v>
      </c>
      <c r="AB208" s="154" t="str">
        <f>IF(AND(COUNTBLANK(I194:I197)=0,Group_players=4,M195=M196,M196=M197),IF(COUNTIF(X193:X196,X195)=3,AB221,IF(AND(COUNTIF(X193:X196,X195)=1,X194&lt;&gt;X196),IF(M196=2,IF(SMALL(X193:X196,1)=X195,1,IF(SMALL(X193:X196,2)=X195,2,IF(SMALL(X193:X196,3)=X195,3))),IF(M196=1,IF(SMALL(X193:X196,1)=X195,2,IF(SMALL(X193:X196,2)=X195,3,IF(SMALL(X193:X196,3)=X195,4))),"")),IF(COUNTIF(X193:X196,X195)=1,IF(X195&lt;X194,IF(M196=2,1,2),IF(M196=2,3,4)),IF(COUNTIF(X193:X196,X195)=2,IF(X195=X194,IF(X195&lt;X196,IF(M196=2,IF(Q215=3,1,2),IF(M196=1,IF(Q215=3,2,3))),IF(X195&gt;X196,IF(M196=2,IF(Q215=3,2,3),IF(M196=1,IF(Q215=3,3,4))))),IF(X195=X196,IF(X195&lt;X194,IF(M196=2,IF(Q220=3,1,2),IF(M196=1,IF(Q220=3,2,3))),IF(X195&gt;X194,IF(M196=2,IF(Q220=3,2,3),IF(M196=1,IF(Q220=3,3,4))))))),"")))),"")</f>
        <v/>
      </c>
      <c r="AC208" s="192"/>
      <c r="AD208" s="192"/>
      <c r="AE208" s="192"/>
      <c r="AF208" s="203"/>
      <c r="AG208" s="203"/>
      <c r="AH208" s="203"/>
      <c r="AI208" s="203"/>
      <c r="AJ208" s="203"/>
      <c r="AK208" s="203"/>
      <c r="AL208" s="203"/>
      <c r="AM208" s="203"/>
      <c r="AN208" s="192"/>
      <c r="AO208" s="192"/>
      <c r="AP208" s="192"/>
      <c r="AQ208" s="192"/>
      <c r="AR208" s="192"/>
      <c r="AS208" s="192"/>
      <c r="AT208" s="192"/>
      <c r="AU208" s="192"/>
      <c r="AV208" s="192"/>
      <c r="AW208" s="192"/>
      <c r="AX208" s="192"/>
    </row>
    <row r="209" spans="2:50" ht="15" customHeight="1" thickBot="1" x14ac:dyDescent="0.35">
      <c r="B209" s="192"/>
      <c r="C209" s="192"/>
      <c r="D209" s="192"/>
      <c r="E209" s="164" t="str">
        <f>IF(Q209="","",IF(Q209=3,1,0))</f>
        <v/>
      </c>
      <c r="F209" s="164" t="str">
        <f>IF(Q209="","",IF(Q209&lt;3,1,0))</f>
        <v/>
      </c>
      <c r="G209" s="192"/>
      <c r="H209" s="192" t="str">
        <f>IF(I196="","",IF(I197="",3,4))</f>
        <v/>
      </c>
      <c r="I209" s="192" t="str">
        <f>IF(ISNUMBER(H209),VLOOKUP(H209,H194:I197,2,TRUE),"")</f>
        <v/>
      </c>
      <c r="J209" s="192"/>
      <c r="K209" s="192" t="str">
        <f>VLOOKUP(I209,I194:L197,3,FALSE)</f>
        <v/>
      </c>
      <c r="L209" s="155"/>
      <c r="M209" s="259"/>
      <c r="N209" s="259"/>
      <c r="O209" s="156"/>
      <c r="P209" s="157"/>
      <c r="Q209" s="260" t="str">
        <f>IF(L209="","",IF(AND(L209-L208&gt;1,L209&gt;10),1,0)+IF(AND(M209-M208&gt;1,M209&gt;10),1,0)+IF(AND(N209-N208&gt;1,N209&gt;10),1,0)+IF(AND(O209-O208&gt;1,O209&gt;10),1,0)+IF(AND(P209-P208&gt;1,P209&gt;10),1,0))</f>
        <v/>
      </c>
      <c r="R209" s="203" t="str">
        <f>IF(AND(Q208&lt;&gt;3,Q209&lt;&gt;3),"",IF(Q208=3,IF(VLOOKUP(I208,I194:L197,4,FALSE)&gt;VLOOKUP(I209,I194:L197,4,FALSE),VLOOKUP(R208,Point_dif,2,FALSE),VLOOKUP(R208,Point_dif,3,FALSE)),IF(Q209=3,IF(VLOOKUP(I209,I194:L197,4,FALSE)&gt;VLOOKUP(I208,I194:L197,4,FALSE),VLOOKUP(R208,Point_dif,2,FALSE),VLOOKUP(R208,Point_dif,3,FALSE)))))</f>
        <v/>
      </c>
      <c r="S209" s="256" t="str">
        <f>IF(R209="","",IF(Q209=3,+R209,-R209))</f>
        <v/>
      </c>
      <c r="T209" s="192"/>
      <c r="U209" s="235"/>
      <c r="V209" s="235"/>
      <c r="W209" s="235"/>
      <c r="X209" s="235"/>
      <c r="Y209" s="235"/>
      <c r="Z209" s="235"/>
      <c r="AA209" s="261">
        <v>4</v>
      </c>
      <c r="AB209" s="158" t="str">
        <f>IF(AND(COUNTBLANK(I194:I197)=0,Group_players=4,M195=M196,M196=M197),IF(COUNTIF(X193:X196,X196)=3,AB222,IF(AND(COUNTIF(X193:X196,X196)=1,X195&lt;&gt;X194),IF(M197=2,IF(SMALL(X193:X196,1)=X196,1,IF(SMALL(X193:X196,2)=X196,2,IF(SMALL(X193:X196,3)=X196,3))),IF(M197=1,IF(SMALL(X193:X196,1)=X196,2,IF(SMALL(X193:X196,2)=X196,3,IF(SMALL(X193:X196,3)=X196,4))),"")),IF(COUNTIF(X193:X196,X196)=1,IF(X196&lt;X194,IF(M197=2,1,2),IF(M197=2,3,4)),IF(COUNTIF(X193:X196,X196)=2,IF(X196=X194,IF(X196&lt;X195,IF(M197=2,IF(Q209=3,1,2),IF(M197=1,IF(Q209=3,2,3))),IF(X196&gt;X195,IF(M197=2,IF(Q209=3,2,3),IF(M197=1,IF(Q209=3,3,4))))),IF(X196=X195,IF(X196&lt;X194,IF(M197=2,IF(Q221=3,1,2),IF(M197=1,IF(Q221=3,2,3))),IF(X196&gt;X194,IF(M197=2,IF(Q221=3,2,3),IF(M197=1,IF(Q221=3,3,4))))))),"")))),"")</f>
        <v/>
      </c>
      <c r="AC209" s="192"/>
      <c r="AD209" s="192"/>
      <c r="AE209" s="192"/>
      <c r="AF209" s="203"/>
      <c r="AG209" s="203"/>
      <c r="AH209" s="203"/>
      <c r="AI209" s="203"/>
      <c r="AJ209" s="203"/>
      <c r="AK209" s="203"/>
      <c r="AL209" s="203"/>
      <c r="AM209" s="203"/>
      <c r="AN209" s="192"/>
      <c r="AO209" s="192"/>
      <c r="AP209" s="192"/>
      <c r="AQ209" s="192"/>
      <c r="AR209" s="192"/>
      <c r="AS209" s="192"/>
      <c r="AT209" s="192"/>
      <c r="AU209" s="192"/>
      <c r="AV209" s="192"/>
      <c r="AW209" s="192"/>
      <c r="AX209" s="192"/>
    </row>
    <row r="210" spans="2:50" ht="15" customHeight="1" thickTop="1" thickBot="1" x14ac:dyDescent="0.35">
      <c r="B210" s="192"/>
      <c r="C210" s="192"/>
      <c r="D210" s="192"/>
      <c r="E210" s="164"/>
      <c r="F210" s="164"/>
      <c r="G210" s="192"/>
      <c r="H210" s="192"/>
      <c r="I210" s="249" t="s">
        <v>117</v>
      </c>
      <c r="J210" s="249"/>
      <c r="K210" s="249"/>
      <c r="L210" s="250" t="s">
        <v>115</v>
      </c>
      <c r="M210" s="250" t="s">
        <v>116</v>
      </c>
      <c r="N210" s="250" t="s">
        <v>117</v>
      </c>
      <c r="O210" s="250" t="s">
        <v>118</v>
      </c>
      <c r="P210" s="250" t="s">
        <v>119</v>
      </c>
      <c r="Q210" s="250" t="s">
        <v>120</v>
      </c>
      <c r="R210" s="250"/>
      <c r="S210" s="251"/>
      <c r="T210" s="263"/>
      <c r="U210" s="264"/>
      <c r="V210" s="242"/>
      <c r="W210" s="242"/>
      <c r="X210" s="264"/>
      <c r="Y210" s="192"/>
      <c r="Z210" s="203"/>
      <c r="AA210" s="126" t="s">
        <v>93</v>
      </c>
      <c r="AB210" s="265" t="s">
        <v>110</v>
      </c>
      <c r="AC210" s="192"/>
      <c r="AD210" s="192"/>
      <c r="AE210" s="192"/>
      <c r="AF210" s="203"/>
      <c r="AG210" s="203"/>
      <c r="AH210" s="203"/>
      <c r="AI210" s="203"/>
      <c r="AJ210" s="203"/>
      <c r="AK210" s="203"/>
      <c r="AL210" s="203"/>
      <c r="AM210" s="203"/>
      <c r="AN210" s="192"/>
      <c r="AO210" s="192"/>
      <c r="AP210" s="192"/>
      <c r="AQ210" s="192"/>
      <c r="AR210" s="192"/>
      <c r="AS210" s="192"/>
      <c r="AT210" s="192"/>
      <c r="AU210" s="192"/>
      <c r="AV210" s="192"/>
      <c r="AW210" s="192"/>
      <c r="AX210" s="192"/>
    </row>
    <row r="211" spans="2:50" ht="15" customHeight="1" thickTop="1" x14ac:dyDescent="0.3">
      <c r="B211" s="192"/>
      <c r="C211" s="192"/>
      <c r="D211" s="192"/>
      <c r="E211" s="164" t="str">
        <f>IF(Q211="","",IF(Q211=3,1,0))</f>
        <v/>
      </c>
      <c r="F211" s="164" t="str">
        <f>IF(Q211="","",IF(Q211&lt;3,1,0))</f>
        <v/>
      </c>
      <c r="G211" s="192"/>
      <c r="H211" s="192" t="str">
        <f>IF(I196&lt;&gt;"",1,"")</f>
        <v/>
      </c>
      <c r="I211" s="192" t="str">
        <f>IF(ISNUMBER(H211),VLOOKUP(H211,H194:I197,2,TRUE),"")</f>
        <v/>
      </c>
      <c r="J211" s="192"/>
      <c r="K211" s="192" t="str">
        <f>VLOOKUP(I211,I194:L197,3,FALSE)</f>
        <v/>
      </c>
      <c r="L211" s="253"/>
      <c r="M211" s="254"/>
      <c r="N211" s="254"/>
      <c r="O211" s="152"/>
      <c r="P211" s="153"/>
      <c r="Q211" s="255" t="str">
        <f>IF(L211="","",IF(AND(L211-L212&gt;1,L211&gt;10),1,0)+IF(AND(M211-M212&gt;1,M211&gt;10),1,0)+IF(AND(N211-N212&gt;1,N211&gt;10),1,0)+IF(AND(O211-O212&gt;1,O211&gt;10),1,0)+IF(AND(P211-P212&gt;1,P211&gt;10),1,0))</f>
        <v/>
      </c>
      <c r="R211" s="203" t="str">
        <f>IF(AND(I211="",I212=""),"",ABS(VLOOKUP(I211,I194:L197,4,FALSE)-VLOOKUP(I212,I194:L197,4,FALSE)))</f>
        <v/>
      </c>
      <c r="S211" s="256" t="str">
        <f>IF(R212="","",IF(Q211=3,+R212,-R212))</f>
        <v/>
      </c>
      <c r="T211" s="192"/>
      <c r="U211" s="235"/>
      <c r="V211" s="235"/>
      <c r="W211" s="235"/>
      <c r="X211" s="235"/>
      <c r="Y211" s="235"/>
      <c r="Z211" s="235"/>
      <c r="AA211" s="243">
        <v>1</v>
      </c>
      <c r="AB211" s="222" t="str">
        <f>IF(AND(COUNTBLANK(I194:I197)=0,Group_players=4,M194=M195,M195=M196),IF(U201="","",IF(COUNTIF(U201:U204,U201)=3,"Tied",IF(AND(COUNTIF(U201:U204,U201)=1,U202&lt;&gt;U203),IF(M194=2,IF(SMALL(U201:U204,1)=U201,1,IF(SMALL(U201:U204,2)=U201,2,IF(SMALL(U201:U204,3)=U201,3))),IF(M194=1,IF(SMALL(U201:U204,1)=U201,2,IF(SMALL(U201:U204,2)=U201,3,IF(SMALL(U201:U204,3)=U201,4))),"")),IF(COUNTIF(U201:U204,U201)=1,IF(U201&lt;U202,IF(M194=2,1,2),IF(M194=2,3,4)),IF(COUNTIF(U201:U204,U201)=2,IF(U201=U202,IF(U201&lt;U203,IF(M194=2,IF(Q217=3,1,2),IF(M194=1,IF(Q217=3,2,3))),IF(U201&gt;U203,IF(M194=2,IF(Q217=3,2,3),IF(M194=1,IF(Q217=3,3,4))))),IF(U201=U203,IF(U201&lt;U202,IF(M194=2,IF(Q205=3,1,2),IF(M194=1,IF(Q205=3,2,3))),IF(U201&gt;U202,IF(M194=2,IF(Q205=3,2,3),IF(M194=1,IF(Q205=3,3,4)))))))))))),"")</f>
        <v/>
      </c>
      <c r="AC211" s="192"/>
      <c r="AD211" s="192"/>
      <c r="AE211" s="192"/>
      <c r="AF211" s="203"/>
      <c r="AG211" s="203"/>
      <c r="AH211" s="203"/>
      <c r="AI211" s="203"/>
      <c r="AJ211" s="203"/>
      <c r="AK211" s="203"/>
      <c r="AL211" s="203"/>
      <c r="AM211" s="203"/>
      <c r="AN211" s="192"/>
      <c r="AO211" s="192"/>
      <c r="AP211" s="192"/>
      <c r="AQ211" s="192"/>
      <c r="AR211" s="192"/>
      <c r="AS211" s="192"/>
      <c r="AT211" s="192"/>
      <c r="AU211" s="192"/>
      <c r="AV211" s="192"/>
      <c r="AW211" s="192"/>
      <c r="AX211" s="192"/>
    </row>
    <row r="212" spans="2:50" ht="15" customHeight="1" thickBot="1" x14ac:dyDescent="0.35">
      <c r="B212" s="192"/>
      <c r="C212" s="192"/>
      <c r="D212" s="192"/>
      <c r="E212" s="164" t="str">
        <f>IF(Q212="","",IF(Q212=3,1,0))</f>
        <v/>
      </c>
      <c r="F212" s="164" t="str">
        <f>IF(Q212="","",IF(Q212&lt;3,1,0))</f>
        <v/>
      </c>
      <c r="G212" s="192"/>
      <c r="H212" s="192" t="str">
        <f>IF(I196="","",IF(I197&lt;&gt;"",4,2))</f>
        <v/>
      </c>
      <c r="I212" s="192" t="str">
        <f>IF(ISNUMBER(H212),VLOOKUP(H212,H194:I197,2,TRUE),"")</f>
        <v/>
      </c>
      <c r="J212" s="192"/>
      <c r="K212" s="192" t="str">
        <f>VLOOKUP(I212,I194:L197,3,FALSE)</f>
        <v/>
      </c>
      <c r="L212" s="155"/>
      <c r="M212" s="259"/>
      <c r="N212" s="259"/>
      <c r="O212" s="156"/>
      <c r="P212" s="157"/>
      <c r="Q212" s="260" t="str">
        <f>IF(L212="","",IF(AND(L212-L211&gt;1,L212&gt;10),1,0)+IF(AND(M212-M211&gt;1,M212&gt;10),1,0)+IF(AND(N212-N211&gt;1,N212&gt;10),1,0)+IF(AND(O212-O211&gt;1,O212&gt;10),1,0)+IF(AND(P212-P211&gt;1,P212&gt;10),1,0))</f>
        <v/>
      </c>
      <c r="R212" s="203" t="str">
        <f>IF(AND(Q211&lt;&gt;3,Q212&lt;&gt;3),"",IF(Q211=3,IF(VLOOKUP(I211,I194:L197,4,FALSE)&gt;VLOOKUP(I212,I194:L197,4,FALSE),VLOOKUP(R211,Point_dif,2,FALSE),VLOOKUP(R211,Point_dif,3,FALSE)),IF(Q212=3,IF(VLOOKUP(I212,I194:L197,4,FALSE)&gt;VLOOKUP(I211,I194:L197,4,FALSE),VLOOKUP(R211,Point_dif,2,FALSE),VLOOKUP(R211,Point_dif,3,FALSE)))))</f>
        <v/>
      </c>
      <c r="S212" s="256" t="str">
        <f>IF(R212="","",IF(Q212=3,+R212,-R212))</f>
        <v/>
      </c>
      <c r="T212" s="192"/>
      <c r="U212" s="235"/>
      <c r="V212" s="235"/>
      <c r="W212" s="235"/>
      <c r="X212" s="235"/>
      <c r="Y212" s="235"/>
      <c r="Z212" s="235"/>
      <c r="AA212" s="246">
        <v>2</v>
      </c>
      <c r="AB212" s="222" t="str">
        <f>IF(AND(COUNTBLANK(I194:I197)=0,Group_players=4,M194=M195,M195=M196),IF(U202="","",IF(COUNTIF(U201:U204,U202)=3,"Tied",IF(AND(COUNTIF(U201:U204,U202)=1,U201&lt;&gt;U203),IF(M195=2,IF(SMALL(U201:U204,1)=U202,1,IF(SMALL(U201:U204,2)=U202,2,IF(SMALL(U201:U204,3)=U202,3))),IF(M195=1,IF(SMALL(U201:U204,1)=U202,2,IF(SMALL(U201:U204,2)=U202,3,IF(SMALL(U201:U204,3)=U202,4))),"")),IF(COUNTIF(U201:U204,U202)=1,IF(U202&lt;U201,IF(M195=2,1,2),IF(M195=2,3,4)),IF(COUNTIF(U201:U204,U202)=2,IF(U202=U201,IF(U202&lt;U203,IF(M195=2,IF(Q218=3,1,2),IF(M195=1,IF(Q218=3,2,3))),IF(U202&gt;U203,IF(M195=2,IF(Q218=3,2,3),IF(M195=1,IF(Q218=3,3,4))))),IF(U202=U203,IF(U202&lt;U201,IF(M195=2,IF(Q214=3,1,2),IF(M195=1,IF(Q214=3,2,3))),IF(U202&gt;U201,IF(M195=2,IF(Q214=3,2,3),IF(M195=1,IF(Q214=3,3,4)))))))))))),"")</f>
        <v/>
      </c>
      <c r="AC212" s="192"/>
      <c r="AD212" s="192"/>
      <c r="AE212" s="192"/>
      <c r="AF212" s="203"/>
      <c r="AG212" s="203"/>
      <c r="AH212" s="203"/>
      <c r="AI212" s="203"/>
      <c r="AJ212" s="203"/>
      <c r="AK212" s="203"/>
      <c r="AL212" s="203"/>
      <c r="AM212" s="203"/>
      <c r="AN212" s="192"/>
      <c r="AO212" s="192"/>
      <c r="AP212" s="192"/>
      <c r="AQ212" s="192"/>
      <c r="AR212" s="192"/>
      <c r="AS212" s="192"/>
      <c r="AT212" s="192"/>
      <c r="AU212" s="192"/>
      <c r="AV212" s="192"/>
      <c r="AW212" s="192"/>
      <c r="AX212" s="192"/>
    </row>
    <row r="213" spans="2:50" ht="15" customHeight="1" thickTop="1" thickBot="1" x14ac:dyDescent="0.35">
      <c r="B213" s="192"/>
      <c r="C213" s="192"/>
      <c r="D213" s="192"/>
      <c r="E213" s="164"/>
      <c r="F213" s="164"/>
      <c r="G213" s="192"/>
      <c r="H213" s="192"/>
      <c r="I213" s="249" t="s">
        <v>118</v>
      </c>
      <c r="J213" s="249"/>
      <c r="K213" s="249"/>
      <c r="L213" s="250" t="s">
        <v>115</v>
      </c>
      <c r="M213" s="250" t="s">
        <v>116</v>
      </c>
      <c r="N213" s="250" t="s">
        <v>117</v>
      </c>
      <c r="O213" s="250" t="s">
        <v>118</v>
      </c>
      <c r="P213" s="250" t="s">
        <v>119</v>
      </c>
      <c r="Q213" s="250" t="s">
        <v>120</v>
      </c>
      <c r="R213" s="250"/>
      <c r="S213" s="251"/>
      <c r="T213" s="192"/>
      <c r="U213" s="235"/>
      <c r="V213" s="235"/>
      <c r="W213" s="235"/>
      <c r="X213" s="235"/>
      <c r="Y213" s="235"/>
      <c r="Z213" s="235"/>
      <c r="AA213" s="240">
        <v>3</v>
      </c>
      <c r="AB213" s="241" t="str">
        <f>IF(AND(COUNTBLANK(I194:I197)=0,Group_players=4,M194=M195,M195=M196),IF(U203="","",IF(COUNTIF(U201:U204,U203)=3,"Tied",IF(AND(COUNTIF(U201:U204,U203)=1,U201&lt;&gt;U202),IF(M194=2,IF(SMALL(U201:U204,1)=U203,1,IF(SMALL(U201:U204,2)=U203,2,IF(SMALL(U201:U204,3)=U203,3))),IF(M196=1,IF(SMALL(U201:U204,1)=U203,2,IF(SMALL(U201:U204,2)=U203,3,IF(SMALL(U201:U204,3)=U203,4))),"")),IF(COUNTIF(U201:U204,U203)=1,IF(U203&lt;U202,IF(M196=2,1,2),IF(M196=2,3,4)),IF(COUNTIF(U201:U204,U203)=2,IF(U203=U202,IF(U203&lt;U201,IF(M196=2,IF(Q215=3,1,2),IF(M196=1,IF(Q215=3,2,3))),IF(U203&gt;U201,IF(M196=2,IF(Q215=3,2,3),IF(M196=1,IF(Q215=3,3,4))))),IF(U203=U201,IF(U203&lt;U202,IF(M196=2,IF(Q206=3,1,2),IF(M196=1,IF(Q206=3,2,3))),IF(U203&gt;U202,IF(M196=2,IF(Q206=3,2,3),IF(M196=1,IF(Q206=3,3,4)))))))))))),"")</f>
        <v/>
      </c>
      <c r="AC213" s="192"/>
      <c r="AD213" s="192"/>
      <c r="AE213" s="192"/>
      <c r="AF213" s="203"/>
      <c r="AG213" s="203"/>
      <c r="AH213" s="203"/>
      <c r="AI213" s="203"/>
      <c r="AJ213" s="203"/>
      <c r="AK213" s="203"/>
      <c r="AL213" s="203"/>
      <c r="AM213" s="203"/>
      <c r="AN213" s="192"/>
      <c r="AO213" s="192"/>
      <c r="AP213" s="192"/>
      <c r="AQ213" s="192"/>
      <c r="AR213" s="192"/>
      <c r="AS213" s="192"/>
      <c r="AT213" s="192"/>
      <c r="AU213" s="192"/>
      <c r="AV213" s="192"/>
      <c r="AW213" s="192"/>
      <c r="AX213" s="192"/>
    </row>
    <row r="214" spans="2:50" ht="15" customHeight="1" thickTop="1" x14ac:dyDescent="0.3">
      <c r="B214" s="192"/>
      <c r="C214" s="192"/>
      <c r="D214" s="192"/>
      <c r="E214" s="164" t="str">
        <f>IF(Q214="","",IF(Q214=3,1,0))</f>
        <v/>
      </c>
      <c r="F214" s="164" t="str">
        <f>IF(Q214="","",IF(Q214&lt;3,1,0))</f>
        <v/>
      </c>
      <c r="G214" s="192"/>
      <c r="H214" s="192" t="str">
        <f>IF(I197&lt;&gt;"",2,"")</f>
        <v/>
      </c>
      <c r="I214" s="192" t="str">
        <f>IF(ISNUMBER(H214),VLOOKUP(H214,H194:I197,2,TRUE),"")</f>
        <v/>
      </c>
      <c r="J214" s="192"/>
      <c r="K214" s="192" t="str">
        <f>VLOOKUP(I214,I194:L197,3,FALSE)</f>
        <v/>
      </c>
      <c r="L214" s="253"/>
      <c r="M214" s="254"/>
      <c r="N214" s="254"/>
      <c r="O214" s="152"/>
      <c r="P214" s="153"/>
      <c r="Q214" s="255" t="str">
        <f>IF(L214="","",IF(AND(L214-L215&gt;1,L214&gt;10),1,0)+IF(AND(M214-M215&gt;1,M214&gt;10),1,0)+IF(AND(N214-N215&gt;1,N214&gt;10),1,0)+IF(AND(O214-O215&gt;1,O214&gt;10),1,0)+IF(AND(P214-P215&gt;1,P214&gt;10),1,0))</f>
        <v/>
      </c>
      <c r="R214" s="203" t="str">
        <f>IF(AND(I214="",I215=""),"",ABS(VLOOKUP(I214,I194:L197,4,FALSE)-VLOOKUP(I215,I194:L197,4,FALSE)))</f>
        <v/>
      </c>
      <c r="S214" s="256" t="str">
        <f>IF(R215="","",IF(Q214=3,+R215,-R215))</f>
        <v/>
      </c>
      <c r="T214" s="192"/>
      <c r="U214" s="235"/>
      <c r="V214" s="235"/>
      <c r="W214" s="235"/>
      <c r="X214" s="235"/>
      <c r="Y214" s="235"/>
      <c r="Z214" s="235"/>
      <c r="AA214" s="243">
        <v>1</v>
      </c>
      <c r="AB214" s="222" t="str">
        <f>IF(AND(COUNTBLANK(I194:I197)=0,Group_players=4,M194=M196,M196=M197),IF(V201="","",IF(COUNTIF(V201:V204,V201)=3,"Tied",IF(AND(COUNTIF(V201:V204,V201)=1,V203&lt;&gt;U204),IF(M194=2,IF(SMALL(V201:V204,1)=V201,1,IF(SMALL(V201:V204,2)=V201,2,IF(SMALL(V201:V204,3)=V201,3))),IF(M194=1,IF(SMALL(V201:V204,1)=V201,2,IF(SMALL(V201:V204,2)=V201,3,IF(SMALL(V201:V204,3)=V201,4))),"")),IF(COUNTIF(V201:V204,V201)=1,IF(V201&lt;V203,IF(M194=2,1,2),IF(M194=2,3,4)),IF(COUNTIF(V201:V204,V201)=2,IF(V201=V203,IF(V201&lt;V204,IF(M194=2,IF(Q205=3,1,2),IF(M194=1,IF(Q205=3,2,3))),IF(V201&gt;V204,IF(M194=2,IF(Q205=3,2,3),IF(M194=1,IF(Q205=3,3,4))))),IF(V201=V204,IF(V201&lt;V203,IF(M194=2,IF(Q211=3,1,2),IF(M194=1,IF(Q211=3,2,3))),IF(V201&gt;V202,IF(M194=2,IF(Q211=3,2,3),IF(M194=1,IF(Q211=3,3,4)))))))))))),"")</f>
        <v/>
      </c>
      <c r="AC214" s="192"/>
      <c r="AD214" s="192"/>
      <c r="AE214" s="192"/>
      <c r="AF214" s="203"/>
      <c r="AG214" s="203"/>
      <c r="AH214" s="203"/>
      <c r="AI214" s="203"/>
      <c r="AJ214" s="203"/>
      <c r="AK214" s="203"/>
      <c r="AL214" s="203"/>
      <c r="AM214" s="203"/>
      <c r="AN214" s="192"/>
      <c r="AO214" s="192"/>
      <c r="AP214" s="192"/>
      <c r="AQ214" s="192"/>
      <c r="AR214" s="192"/>
      <c r="AS214" s="192"/>
      <c r="AT214" s="192"/>
      <c r="AU214" s="192"/>
      <c r="AV214" s="192"/>
      <c r="AW214" s="192"/>
      <c r="AX214" s="192"/>
    </row>
    <row r="215" spans="2:50" ht="15" customHeight="1" thickBot="1" x14ac:dyDescent="0.35">
      <c r="B215" s="192"/>
      <c r="C215" s="192"/>
      <c r="D215" s="192"/>
      <c r="E215" s="164" t="str">
        <f>IF(Q215="","",IF(Q215=3,1,0))</f>
        <v/>
      </c>
      <c r="F215" s="164" t="str">
        <f>IF(Q215="","",IF(Q215&lt;3,1,0))</f>
        <v/>
      </c>
      <c r="G215" s="192"/>
      <c r="H215" s="192" t="str">
        <f>IF(I197&lt;&gt;"",3,"")</f>
        <v/>
      </c>
      <c r="I215" s="192" t="str">
        <f>IF(ISNUMBER(H215),VLOOKUP(H215,H194:I197,2,TRUE),"")</f>
        <v/>
      </c>
      <c r="J215" s="192"/>
      <c r="K215" s="192" t="str">
        <f>VLOOKUP(I215,I194:L197,3,FALSE)</f>
        <v/>
      </c>
      <c r="L215" s="155"/>
      <c r="M215" s="259"/>
      <c r="N215" s="259"/>
      <c r="O215" s="162"/>
      <c r="P215" s="157"/>
      <c r="Q215" s="260" t="str">
        <f>IF(L215="","",IF(AND(L215-L214&gt;1,L215&gt;10),1,0)+IF(AND(M215-M214&gt;1,M215&gt;10),1,0)+IF(AND(N215-N214&gt;1,N215&gt;10),1,0)+IF(AND(O215-O214&gt;1,O215&gt;10),1,0)+IF(AND(P215-P214&gt;1,P215&gt;10),1,0))</f>
        <v/>
      </c>
      <c r="R215" s="203" t="str">
        <f>IF(AND(Q214&lt;&gt;3,Q215&lt;&gt;3),"",IF(Q214=3,IF(VLOOKUP(I214,I194:L197,4,FALSE)&gt;VLOOKUP(I215,I194:L197,4,FALSE),VLOOKUP(R214,Point_dif,2,FALSE),VLOOKUP(R214,Point_dif,3,FALSE)),IF(Q215=3,IF(VLOOKUP(I215,I194:L197,4,FALSE)&gt;VLOOKUP(I214,I194:L197,4,FALSE),VLOOKUP(R214,Point_dif,2,FALSE),VLOOKUP(R214,Point_dif,3,FALSE)))))</f>
        <v/>
      </c>
      <c r="S215" s="256" t="str">
        <f>IF(R215="","",IF(Q215=3,+R215,-R215))</f>
        <v/>
      </c>
      <c r="T215" s="192"/>
      <c r="U215" s="159"/>
      <c r="V215" s="266"/>
      <c r="W215" s="266"/>
      <c r="X215" s="266"/>
      <c r="Y215" s="192"/>
      <c r="Z215" s="203"/>
      <c r="AA215" s="246">
        <v>3</v>
      </c>
      <c r="AB215" s="222" t="str">
        <f>IF(AND(COUNTBLANK(I194:I197)=0,Group_players=4,M194=M196,M196=M197),IF(V203="","",IF(COUNTIF(V201:V204,V203)=3,"Tied",IF(AND(COUNTIF(V201:V204,V203)=1,V201&lt;&gt;V204),IF(M196=2,IF(SMALL(V201:V204,1)=V203,1,IF(SMALL(V201:V204,2)=V203,2,IF(SMALL(V201:V204,3)=V203,3))),IF(M196=1,IF(SMALL(V201:V204,1)=V203,2,IF(SMALL(V201:V204,2)=V203,3,IF(SMALL(V201:V204,3)=V203,4))),"")),IF(COUNTIF(V201:V204,V203)=1,IF(V203&lt;V201,IF(M196=2,1,2),IF(M196=2,3,4)),IF(COUNTIF(V201:V204,V203)=2,IF(V203=V201,IF(V203&lt;V204,IF(M196=2,IF(Q206=3,1,2),IF(M196=1,IF(Q206=3,2,3))),IF(V203&gt;V204,IF(M196=2,IF(Q206=3,2,3),IF(M196=1,IF(Q206=3,3,4))))),IF(V203=V204,IF(V203&lt;V201,IF(M196=2,IF(Q220=3,1,2),IF(M196=1,IF(Q220=3,2,3))),IF(V203&gt;V201,IF(M196=2,IF(Q220=3,2,3),IF(M196=1,IF(Q220=3,3,4)))))))))))),"")</f>
        <v/>
      </c>
      <c r="AC215" s="192"/>
      <c r="AD215" s="192"/>
      <c r="AE215" s="192"/>
      <c r="AF215" s="203"/>
      <c r="AG215" s="203"/>
      <c r="AH215" s="203"/>
      <c r="AI215" s="203"/>
      <c r="AJ215" s="203"/>
      <c r="AK215" s="203"/>
      <c r="AL215" s="203"/>
      <c r="AM215" s="203"/>
      <c r="AN215" s="192"/>
      <c r="AO215" s="192"/>
      <c r="AP215" s="192"/>
      <c r="AQ215" s="192"/>
      <c r="AR215" s="192"/>
      <c r="AS215" s="192"/>
      <c r="AT215" s="192"/>
      <c r="AU215" s="192"/>
      <c r="AV215" s="192"/>
      <c r="AW215" s="192"/>
      <c r="AX215" s="192"/>
    </row>
    <row r="216" spans="2:50" ht="15" customHeight="1" thickTop="1" thickBot="1" x14ac:dyDescent="0.35">
      <c r="B216" s="192"/>
      <c r="C216" s="192"/>
      <c r="D216" s="192"/>
      <c r="E216" s="164"/>
      <c r="F216" s="164"/>
      <c r="G216" s="192"/>
      <c r="H216" s="192"/>
      <c r="I216" s="249" t="s">
        <v>119</v>
      </c>
      <c r="J216" s="249"/>
      <c r="K216" s="249"/>
      <c r="L216" s="250" t="s">
        <v>115</v>
      </c>
      <c r="M216" s="250" t="s">
        <v>116</v>
      </c>
      <c r="N216" s="250" t="s">
        <v>117</v>
      </c>
      <c r="O216" s="250" t="s">
        <v>118</v>
      </c>
      <c r="P216" s="250" t="s">
        <v>119</v>
      </c>
      <c r="Q216" s="250" t="s">
        <v>120</v>
      </c>
      <c r="R216" s="250"/>
      <c r="S216" s="251"/>
      <c r="T216" s="247"/>
      <c r="U216" s="235"/>
      <c r="V216" s="235"/>
      <c r="W216" s="235"/>
      <c r="X216" s="235"/>
      <c r="Y216" s="235"/>
      <c r="Z216" s="235"/>
      <c r="AA216" s="240">
        <v>4</v>
      </c>
      <c r="AB216" s="241" t="str">
        <f>IF(AND(COUNTBLANK(I194:I197)=0,Group_players=4,M194=M196,M196=M197),IF(V204="","",IF(COUNTIF(V201:V204,V204)=3,"Tied",IF(AND(COUNTIF(V201:V204,V204)=1,V203&lt;&gt;V201),IF(M197=2,IF(SMALL(V201:V204,1)=V204,1,IF(SMALL(V201:V204,2)=V204,2,IF(SMALL(V201:V204,3)=V204,3))),IF(M197=1,IF(SMALL(V201:V204,1)=V204,2,IF(SMALL(V201:V204,2)=V204,3,IF(SMALL(V201:V204,3)=V204,4))),"")),IF(COUNTIF(V201:V204,V204)=1,IF(V204&lt;V201,IF(M197=2,1,2),IF(M197=2,3,4)),IF(COUNTIF(V201:V204,V204)=2,IF(V204=V201,IF(V204&lt;V203,IF(M197=2,IF(Q212=3,1,2),IF(M197=1,IF(Q212=3,2,3))),IF(V204&gt;V203,IF(M197=2,IF(Q212=3,2,3),IF(M197=1,IF(Q212=3,3,4))))),IF(V204=V203,IF(V204&lt;V201,IF(M197=2,IF(Q221=3,1,2),IF(M197=1,IF(Q221=3,2,3))),IF(V204&gt;V201,IF(M197=2,IF(Q221=3,2,3),IF(M197=1,IF(Q221=3,3,4)))))))))))),"")</f>
        <v/>
      </c>
      <c r="AC216" s="192"/>
      <c r="AD216" s="192"/>
      <c r="AE216" s="192"/>
      <c r="AF216" s="203"/>
      <c r="AG216" s="203"/>
      <c r="AH216" s="203"/>
      <c r="AI216" s="203"/>
      <c r="AJ216" s="203"/>
      <c r="AK216" s="203"/>
      <c r="AL216" s="203"/>
      <c r="AM216" s="203"/>
      <c r="AN216" s="192"/>
      <c r="AO216" s="192"/>
      <c r="AP216" s="192"/>
      <c r="AQ216" s="192"/>
      <c r="AR216" s="192"/>
      <c r="AS216" s="192"/>
      <c r="AT216" s="192"/>
      <c r="AU216" s="192"/>
      <c r="AV216" s="192"/>
      <c r="AW216" s="192"/>
      <c r="AX216" s="192"/>
    </row>
    <row r="217" spans="2:50" ht="15" customHeight="1" thickTop="1" x14ac:dyDescent="0.3">
      <c r="B217" s="192"/>
      <c r="C217" s="192"/>
      <c r="D217" s="192"/>
      <c r="E217" s="164" t="str">
        <f>IF(Q217="","",IF(Q217=3,1,0))</f>
        <v/>
      </c>
      <c r="F217" s="164" t="str">
        <f>IF(Q217="","",IF(Q217&lt;3,1,0))</f>
        <v/>
      </c>
      <c r="G217" s="192"/>
      <c r="H217" s="192" t="str">
        <f>IF(I197&lt;&gt;"",1,"")</f>
        <v/>
      </c>
      <c r="I217" s="192" t="str">
        <f>IF(ISNUMBER(H217),VLOOKUP(H217,H194:I197,2,TRUE),"")</f>
        <v/>
      </c>
      <c r="J217" s="192"/>
      <c r="K217" s="192" t="str">
        <f>VLOOKUP(I217,I194:L197,3,FALSE)</f>
        <v/>
      </c>
      <c r="L217" s="253"/>
      <c r="M217" s="254"/>
      <c r="N217" s="254"/>
      <c r="O217" s="152"/>
      <c r="P217" s="153"/>
      <c r="Q217" s="255" t="str">
        <f>IF(L217="","",IF(AND(L217-L218&gt;1,L217&gt;10),1,0)+IF(AND(M217-M218&gt;1,M217&gt;10),1,0)+IF(AND(N217-N218&gt;1,N217&gt;10),1,0)+IF(AND(O217-O218&gt;1,O217&gt;10),1,0)+IF(AND(P217-P218&gt;1,P217&gt;10),1,0))</f>
        <v/>
      </c>
      <c r="R217" s="203" t="str">
        <f>IF(AND(I217="",I218=""),"",ABS(VLOOKUP(I217,I194:L197,4,FALSE)-VLOOKUP(I218,I194:L197,4,FALSE)))</f>
        <v/>
      </c>
      <c r="S217" s="256" t="str">
        <f>IF(R218="","",IF(Q217=3,+R218,-R218))</f>
        <v/>
      </c>
      <c r="T217" s="247"/>
      <c r="U217" s="235"/>
      <c r="V217" s="235"/>
      <c r="W217" s="235"/>
      <c r="X217" s="235"/>
      <c r="Y217" s="235"/>
      <c r="Z217" s="235"/>
      <c r="AA217" s="243">
        <v>1</v>
      </c>
      <c r="AB217" s="222" t="str">
        <f>IF(AND(COUNTBLANK(I194:I197)=0,Group_players=4,M194=M195,M195=M197),IF(W201="","",IF(COUNTIF(W201:W204,W201)=3,"Tied",IF(AND(COUNTIF(W201:W204,W201)=1,W202&lt;&gt;W203),IF(M194=2,IF(SMALL(W201:W204,1)=W201,1,IF(SMALL(W201:W204,2)=W201,2,IF(SMALL(W201:W204,3)=W201,3))),IF(M194=1,IF(SMALL(W201:W204,1)=W201,2,IF(SMALL(W201:W204,2)=W201,3,IF(SMALL(W201:W204,3)=W201,4))),"")),IF(COUNTIF(W201:W204,W201)=1,IF(W201&lt;W202,IF(M194=2,1,2),IF(M194=2,3,4)),IF(COUNTIF(W201:W204,W201)=2,IF(W201=W202,IF(W201&lt;W204,IF(M194=2,IF(Q217=3,1,2),IF(M194=1,IF(Q217=3,2,3))),IF(W201&gt;W204,IF(M194=2,IF(Q217=3,2,3),IF(M194=1,IF(Q217=3,3,4))))),IF(W201=W204,IF(W201&lt;W202,IF(M194=2,IF(Q211=3,1,2),IF(M194=1,IF(Q211=3,2,3))),IF(W201&gt;W202,IF(M194=2,IF(Q211=3,2,3),IF(M194=1,IF(Q211=3,3,4)))))))))))),"")</f>
        <v/>
      </c>
      <c r="AC217" s="192"/>
      <c r="AD217" s="192"/>
      <c r="AE217" s="192"/>
      <c r="AF217" s="203"/>
      <c r="AG217" s="203"/>
      <c r="AH217" s="203"/>
      <c r="AI217" s="203"/>
      <c r="AJ217" s="203"/>
      <c r="AK217" s="203"/>
      <c r="AL217" s="203"/>
      <c r="AM217" s="203"/>
      <c r="AN217" s="192"/>
      <c r="AO217" s="192"/>
      <c r="AP217" s="192"/>
      <c r="AQ217" s="192"/>
      <c r="AR217" s="192"/>
      <c r="AS217" s="192"/>
      <c r="AT217" s="192"/>
      <c r="AU217" s="192"/>
      <c r="AV217" s="192"/>
      <c r="AW217" s="192"/>
      <c r="AX217" s="192"/>
    </row>
    <row r="218" spans="2:50" ht="15" customHeight="1" thickBot="1" x14ac:dyDescent="0.35">
      <c r="B218" s="192"/>
      <c r="C218" s="192"/>
      <c r="D218" s="192"/>
      <c r="E218" s="164" t="str">
        <f>IF(Q218="","",IF(Q218=3,1,0))</f>
        <v/>
      </c>
      <c r="F218" s="164" t="str">
        <f>IF(Q218="","",IF(Q218&lt;3,1,0))</f>
        <v/>
      </c>
      <c r="G218" s="192"/>
      <c r="H218" s="192" t="str">
        <f>IF(I197&lt;&gt;"",2,"")</f>
        <v/>
      </c>
      <c r="I218" s="192" t="str">
        <f>IF(ISNUMBER(H218),VLOOKUP(H218,H194:I197,2,TRUE),"")</f>
        <v/>
      </c>
      <c r="J218" s="192"/>
      <c r="K218" s="192" t="str">
        <f>VLOOKUP(I218,I194:L197,3,FALSE)</f>
        <v/>
      </c>
      <c r="L218" s="155"/>
      <c r="M218" s="259"/>
      <c r="N218" s="259"/>
      <c r="O218" s="156"/>
      <c r="P218" s="157"/>
      <c r="Q218" s="260" t="str">
        <f>IF(L218="","",IF(AND(L218-L217&gt;1,L218&gt;10),1,0)+IF(AND(M218-M217&gt;1,M218&gt;10),1,0)+IF(AND(N218-N217&gt;1,N218&gt;10),1,0)+IF(AND(O218-O217&gt;1,O218&gt;10),1,0)+IF(AND(P218-P217&gt;1,P218&gt;10),1,0))</f>
        <v/>
      </c>
      <c r="R218" s="203" t="str">
        <f>IF(AND(Q217&lt;&gt;3,Q218&lt;&gt;3),"",IF(Q217=3,IF(VLOOKUP(I217,I194:L197,4,FALSE)&gt;VLOOKUP(I218,I194:L197,4,FALSE),VLOOKUP(R217,Point_dif,2,FALSE),VLOOKUP(R217,Point_dif,3,FALSE)),IF(Q218=3,IF(VLOOKUP(I218,I194:L197,4,FALSE)&gt;VLOOKUP(I218,I194:L197,4,FALSE),VLOOKUP(R217,Point_dif,2,FALSE),VLOOKUP(R217,Point_dif,3,FALSE)))))</f>
        <v/>
      </c>
      <c r="S218" s="256" t="str">
        <f>IF(R218="","",IF(Q218=3,+R218,-R218))</f>
        <v/>
      </c>
      <c r="T218" s="247"/>
      <c r="U218" s="235"/>
      <c r="V218" s="235"/>
      <c r="W218" s="235"/>
      <c r="X218" s="235"/>
      <c r="Y218" s="235"/>
      <c r="Z218" s="235"/>
      <c r="AA218" s="246">
        <v>2</v>
      </c>
      <c r="AB218" s="222" t="str">
        <f>IF(AND(COUNTBLANK(I194:I197)=0,Group_players=4,M194=M195,M195=M197),IF(W202="","",IF(COUNTIF(W201:W204,W202)=3,"Tied",IF(AND(COUNTIF(W201:W204,W202)=1,W201&lt;&gt;W203),IF(M195=2,IF(SMALL(W201:W204,1)=W202,1,IF(SMALL(W201:W204,2)=W202,2,IF(SMALL(W201:W204,3)=W202,3))),IF(M195=1,IF(SMALL(W201:W204,1)=W202,2,IF(SMALL(W201:W204,2)=W202,3,IF(SMALL(W201:W204,3)=W202,4))),"")),IF(COUNTIF(W201:W204,W202)=1,IF(W202&lt;W201,IF(M195=2,1,2),IF(M195=2,3,4)),IF(COUNTIF(W201:W204,W202)=2,IF(W202=W201,IF(W202&lt;W204,IF(M195=2,IF(Q218=3,1,2),IF(M195=1,IF(Q218=3,2,3))),IF(W202&gt;W204,IF(M195=2,IF(Q218=3,2,3),IF(M195=1,IF(Q218=3,3,4))))),IF(W202=W204,IF(W202&lt;W201,IF(M195=2,IF(Q208=3,1,2),IF(M195=1,IF(Q208=3,2,3))),IF(W202&gt;W201,IF(M195=2,IF(Q208=3,2,3),IF(M195=1,IF(Q208=3,3,4)))))))))))),"")</f>
        <v/>
      </c>
      <c r="AC218" s="192"/>
      <c r="AD218" s="192"/>
      <c r="AE218" s="192"/>
      <c r="AF218" s="203"/>
      <c r="AG218" s="203"/>
      <c r="AH218" s="203"/>
      <c r="AI218" s="203"/>
      <c r="AJ218" s="203"/>
      <c r="AK218" s="203"/>
      <c r="AL218" s="203"/>
      <c r="AM218" s="203"/>
      <c r="AN218" s="192"/>
      <c r="AO218" s="192"/>
      <c r="AP218" s="192"/>
      <c r="AQ218" s="192"/>
      <c r="AR218" s="192"/>
      <c r="AS218" s="192"/>
      <c r="AT218" s="192"/>
      <c r="AU218" s="192"/>
      <c r="AV218" s="192"/>
      <c r="AW218" s="192"/>
      <c r="AX218" s="192"/>
    </row>
    <row r="219" spans="2:50" ht="15" customHeight="1" thickTop="1" thickBot="1" x14ac:dyDescent="0.35">
      <c r="B219" s="192"/>
      <c r="C219" s="192"/>
      <c r="D219" s="192"/>
      <c r="E219" s="164"/>
      <c r="F219" s="164"/>
      <c r="G219" s="192"/>
      <c r="H219" s="192"/>
      <c r="I219" s="249" t="s">
        <v>121</v>
      </c>
      <c r="J219" s="249"/>
      <c r="K219" s="249"/>
      <c r="L219" s="250" t="s">
        <v>115</v>
      </c>
      <c r="M219" s="250" t="s">
        <v>116</v>
      </c>
      <c r="N219" s="250" t="s">
        <v>117</v>
      </c>
      <c r="O219" s="250" t="s">
        <v>118</v>
      </c>
      <c r="P219" s="250" t="s">
        <v>119</v>
      </c>
      <c r="Q219" s="250" t="s">
        <v>120</v>
      </c>
      <c r="R219" s="250"/>
      <c r="S219" s="251"/>
      <c r="T219" s="247"/>
      <c r="U219" s="235"/>
      <c r="V219" s="235"/>
      <c r="W219" s="235"/>
      <c r="X219" s="235"/>
      <c r="Y219" s="235"/>
      <c r="Z219" s="235"/>
      <c r="AA219" s="240">
        <v>4</v>
      </c>
      <c r="AB219" s="241" t="str">
        <f>IF(AND(COUNTBLANK(I194:I197)=0,Group_players=4,M194=M195,M195=M197),IF(W204="","",IF(COUNTIF(W201:W204,W204)=3,"Tied",IF(AND(COUNTIF(W201:W204,W204)=1,W201&lt;&gt;W202),IF(M197=2,IF(SMALL(W201:W204,1)=W204,1,IF(SMALL(W201:W204,2)=W204,2,IF(SMALL(W201:W204,3)=W204,3))),IF(M197=1,IF(SMALL(W201:W204,1)=W204,2,IF(SMALL(W201:W204,2)=W204,3,IF(SMALL(W201:W204,3)=W204,4))),"")),IF(COUNTIF(W201:W204,W204)=1,IF(W204&lt;W201,IF(M197=2,1,2),IF(M197=2,3,4)),IF(COUNTIF(W201:W204,W204)=2,IF(W204=W201,IF(W204&lt;W202,IF(M197=2,IF(Q212=3,1,2),IF(M197=1,IF(Q212=3,2,3))),IF(W204&gt;W203,IF(M197=2,IF(Q212=3,2,3),IF(M197=1,IF(Q212=3,3,4))))),IF(W204=W202,IF(W204&lt;W201,IF(M197=2,IF(Q209=3,1,2),IF(M197=1,IF(Q209=3,2,3))),IF(W204&gt;W201,IF(M197=2,IF(Q209=3,2,3),IF(M197=1,IF(Q209=3,3,4)))))))))))),"")</f>
        <v/>
      </c>
      <c r="AC219" s="192"/>
      <c r="AD219" s="192"/>
      <c r="AE219" s="192"/>
      <c r="AF219" s="203"/>
      <c r="AG219" s="203"/>
      <c r="AH219" s="203"/>
      <c r="AI219" s="203"/>
      <c r="AJ219" s="203"/>
      <c r="AK219" s="203"/>
      <c r="AL219" s="203"/>
      <c r="AM219" s="203"/>
      <c r="AN219" s="192"/>
      <c r="AO219" s="192"/>
      <c r="AP219" s="192"/>
      <c r="AQ219" s="192"/>
      <c r="AR219" s="192"/>
      <c r="AS219" s="192"/>
      <c r="AT219" s="192"/>
      <c r="AU219" s="192"/>
      <c r="AV219" s="192"/>
      <c r="AW219" s="192"/>
      <c r="AX219" s="192"/>
    </row>
    <row r="220" spans="2:50" ht="15" customHeight="1" thickTop="1" x14ac:dyDescent="0.3">
      <c r="B220" s="192"/>
      <c r="C220" s="192"/>
      <c r="D220" s="192"/>
      <c r="E220" s="164" t="str">
        <f>IF(Q220="","",IF(Q220=3,1,0))</f>
        <v/>
      </c>
      <c r="F220" s="164" t="str">
        <f>IF(Q220="","",IF(Q220&lt;3,1,0))</f>
        <v/>
      </c>
      <c r="G220" s="192"/>
      <c r="H220" s="192" t="str">
        <f>IF(I197&lt;&gt;"",3,"")</f>
        <v/>
      </c>
      <c r="I220" s="192" t="str">
        <f>IF(ISNUMBER(H220),VLOOKUP(H220,H194:I197,2,TRUE),"")</f>
        <v/>
      </c>
      <c r="J220" s="192"/>
      <c r="K220" s="192" t="str">
        <f>VLOOKUP(I220,I194:L197,3,FALSE)</f>
        <v/>
      </c>
      <c r="L220" s="253"/>
      <c r="M220" s="254"/>
      <c r="N220" s="254"/>
      <c r="O220" s="152"/>
      <c r="P220" s="153"/>
      <c r="Q220" s="255" t="str">
        <f>IF(L220="","",IF(AND(L220-L221&gt;1,L220&gt;10),1,0)+IF(AND(M220-M221&gt;1,M220&gt;10),1,0)+IF(AND(N220-N221&gt;1,N220&gt;10),1,0)+IF(AND(O220-O221&gt;1,O220&gt;10),1,0)+IF(AND(P220-P221&gt;1,P220&gt;10),1,0))</f>
        <v/>
      </c>
      <c r="R220" s="203" t="str">
        <f>IF(AND(I220="",I221=""),"",ABS(VLOOKUP(I220,I194:L197,4,FALSE)-VLOOKUP(I221,I194:L197,4,FALSE)))</f>
        <v/>
      </c>
      <c r="S220" s="256" t="str">
        <f>IF(R221="","",IF(Q220=3,+R221,-R221))</f>
        <v/>
      </c>
      <c r="T220" s="247"/>
      <c r="U220" s="264"/>
      <c r="V220" s="242"/>
      <c r="W220" s="192"/>
      <c r="X220" s="264"/>
      <c r="Y220" s="192"/>
      <c r="Z220" s="192"/>
      <c r="AA220" s="243">
        <v>2</v>
      </c>
      <c r="AB220" s="222" t="str">
        <f>IF(AND(COUNTBLANK(I194:I197)=0,Group_players=4,M195=M196,M196=M197),IF(X202="","",IF(COUNTIF(X201:X204,X202)=3,"Tied",IF(AND(COUNTIF(X201:X204,X202)=1,X203&lt;&gt;X204),IF(M195=2,IF(SMALL(X201:X204,1)=X202,1,IF(SMALL(X201:X204,2)=X202,2,IF(SMALL(X201:X204,3)=X202,3))),IF(M195=1,IF(SMALL(X201:X204,1)=X202,2,IF(SMALL(X201:X204,2)=X202,3,IF(SMALL(X201:X204,3)=X202,4))),"")),IF(COUNTIF(X201:X204,X202)=1,IF(X202&lt;X204,IF(M195=2,1,2),IF(M195=1,4)),IF(COUNTIF(X201:X204,X202)=2,IF(X202=X203,IF(X202&lt;X204,IF(M195=2,IF(Q214=3,1,2),IF(M195=1,IF(Q214=3,2,3))),IF(X202&gt;X204,IF(M195=2,IF(Q214=3,2,3),IF(M195=1,IF(Q214=3,3,4))))),IF(X202=X204,IF(X202&lt;X203,IF(M195=2,IF(Q208=3,1,2),IF(M195=1,IF(Q208=3,2,3))),IF(X202&gt;X203,IF(M195=2,IF(Q208=3,2,3),IF(M195=1,IF(Q208=3,3,4)))))))))))),"")</f>
        <v/>
      </c>
      <c r="AC220" s="192"/>
      <c r="AD220" s="192"/>
      <c r="AE220" s="192"/>
      <c r="AF220" s="203"/>
      <c r="AG220" s="203"/>
      <c r="AH220" s="203"/>
      <c r="AI220" s="203"/>
      <c r="AJ220" s="203"/>
      <c r="AK220" s="203"/>
      <c r="AL220" s="203"/>
      <c r="AM220" s="203"/>
      <c r="AN220" s="192"/>
      <c r="AO220" s="192"/>
      <c r="AP220" s="192"/>
      <c r="AQ220" s="192"/>
      <c r="AR220" s="192"/>
      <c r="AS220" s="192"/>
      <c r="AT220" s="192"/>
      <c r="AU220" s="192"/>
      <c r="AV220" s="192"/>
      <c r="AW220" s="192"/>
      <c r="AX220" s="192"/>
    </row>
    <row r="221" spans="2:50" ht="15" customHeight="1" thickBot="1" x14ac:dyDescent="0.35">
      <c r="B221" s="192"/>
      <c r="C221" s="192"/>
      <c r="D221" s="192"/>
      <c r="E221" s="164" t="str">
        <f>IF(Q221="","",IF(Q221=3,1,0))</f>
        <v/>
      </c>
      <c r="F221" s="164" t="str">
        <f>IF(Q221="","",IF(Q221&lt;3,1,0))</f>
        <v/>
      </c>
      <c r="G221" s="192"/>
      <c r="H221" s="192" t="str">
        <f>IF(I197&lt;&gt;"",4,"")</f>
        <v/>
      </c>
      <c r="I221" s="192" t="str">
        <f>IF(ISNUMBER(H221),VLOOKUP(H221,H194:I197,2,TRUE),"")</f>
        <v/>
      </c>
      <c r="J221" s="192"/>
      <c r="K221" s="192" t="str">
        <f>VLOOKUP(I221,I194:L197,3,FALSE)</f>
        <v/>
      </c>
      <c r="L221" s="155"/>
      <c r="M221" s="259"/>
      <c r="N221" s="259"/>
      <c r="O221" s="156"/>
      <c r="P221" s="157"/>
      <c r="Q221" s="260" t="str">
        <f>IF(L221="","",IF(AND(L221-L220&gt;1,L221&gt;10),1,0)+IF(AND(M221-M220&gt;1,M221&gt;10),1,0)+IF(AND(N221-N220&gt;1,N221&gt;10),1,0)+IF(AND(O221-O220&gt;1,O221&gt;10),1,0)+IF(AND(P221-P220&gt;1,P221&gt;10),1,0))</f>
        <v/>
      </c>
      <c r="R221" s="203" t="str">
        <f>IF(AND(Q220&lt;&gt;3,Q221&lt;&gt;3),"",IF(Q220=3,IF(VLOOKUP(I220,I194:L197,4,FALSE)&gt;VLOOKUP(I221,I194:L197,4,FALSE),VLOOKUP(R220,Point_dif,2,FALSE),VLOOKUP(R220,Point_dif,3,FALSE)),IF(Q221=3,IF(VLOOKUP(I221,I194:L197,4,FALSE)&gt;VLOOKUP(I220,I194:L197,4,FALSE),VLOOKUP(R220,Point_dif,2,FALSE),VLOOKUP(R220,Point_dif,3,FALSE)))))</f>
        <v/>
      </c>
      <c r="S221" s="260" t="str">
        <f>IF(R221="","",IF(Q221=3,+R221,-R221))</f>
        <v/>
      </c>
      <c r="T221" s="247"/>
      <c r="U221" s="235"/>
      <c r="V221" s="235"/>
      <c r="W221" s="235"/>
      <c r="X221" s="235"/>
      <c r="Y221" s="235"/>
      <c r="Z221" s="235"/>
      <c r="AA221" s="246">
        <v>3</v>
      </c>
      <c r="AB221" s="222" t="str">
        <f>IF(AND(COUNTBLANK(I194:I197)=0,Group_players=4,Group_players=4,M195=M196,M196=M197),IF(X203="","",IF(COUNTIF(X201:X204,X203)=3,"Tied",IF(AND(COUNTIF(X201:X204,X203)=1,X202&lt;&gt;X204),IF(M196=2,IF(SMALL(X201:X204,1)=X203,1,IF(SMALL(X201:X204,2)=X203,2,IF(SMALL(X201:X204,3)=X203,3))),IF(M196=1,IF(SMALL(X201:X204,1)=X203,2,IF(SMALL(X201:X204,2)=X203,3,IF(SMALL(X201:X204,3)=X203,4))),"")),IF(COUNTIF(X201:X204,X203)=1,IF(X203&lt;X202,IF(M196=2,1,2),IF(M196=2,3,4)),IF(COUNTIF(X201:X204,X203)=2,IF(X203=X202,IF(X203&lt;X204,IF(M196=2,IF(Q215=3,1,2),IF(M196=1,IF(Q215=3,2,3))),IF(X203&gt;X204,IF(M196=2,IF(Q215=3,2,3),IF(M196=1,IF(Q215=3,3,4))))),IF(X203=X204,IF(X203&lt;X202,IF(M196=2,IF(Q220=3,1,2),IF(M196=1,IF(Q220=3,2,3))),IF(X203&gt;X202,IF(M196=2,IF(Q220=3,2,3),IF(M196=1,IF(Q220=3,3,4)))))))))))),"")</f>
        <v/>
      </c>
      <c r="AC221" s="192"/>
      <c r="AD221" s="192"/>
      <c r="AE221" s="192"/>
      <c r="AF221" s="203"/>
      <c r="AG221" s="203"/>
      <c r="AH221" s="203"/>
      <c r="AI221" s="203"/>
      <c r="AJ221" s="203"/>
      <c r="AK221" s="203"/>
      <c r="AL221" s="203"/>
      <c r="AM221" s="203"/>
      <c r="AN221" s="192"/>
      <c r="AO221" s="192"/>
      <c r="AP221" s="192"/>
      <c r="AQ221" s="192"/>
      <c r="AR221" s="192"/>
      <c r="AS221" s="192"/>
      <c r="AT221" s="192"/>
      <c r="AU221" s="192"/>
      <c r="AV221" s="192"/>
      <c r="AW221" s="192"/>
      <c r="AX221" s="192"/>
    </row>
    <row r="222" spans="2:50" ht="15" customHeight="1" thickTop="1" thickBot="1" x14ac:dyDescent="0.35">
      <c r="B222" s="192"/>
      <c r="C222" s="192"/>
      <c r="D222" s="192"/>
      <c r="E222" s="192"/>
      <c r="F222" s="192"/>
      <c r="G222" s="192"/>
      <c r="H222" s="192"/>
      <c r="I222" s="192"/>
      <c r="J222" s="192"/>
      <c r="K222" s="192"/>
      <c r="L222" s="192"/>
      <c r="M222" s="192"/>
      <c r="N222" s="192"/>
      <c r="O222" s="268"/>
      <c r="P222" s="192"/>
      <c r="Q222" s="192"/>
      <c r="R222" s="247"/>
      <c r="S222" s="247"/>
      <c r="T222" s="247"/>
      <c r="U222" s="235"/>
      <c r="V222" s="235"/>
      <c r="W222" s="235"/>
      <c r="X222" s="235"/>
      <c r="Y222" s="235"/>
      <c r="Z222" s="235"/>
      <c r="AA222" s="261">
        <v>4</v>
      </c>
      <c r="AB222" s="233" t="str">
        <f>IF(AND(COUNTBLANK(I194:I197)=0,Group_players=4,M195=M196,M196=M197),IF(X204="","",IF(COUNTIF(X201:X204,X204)=3,"Tied",IF(AND(COUNTIF(X201:X204,X204)=1,X203&lt;&gt;X202),IF(M197=2,IF(SMALL(X201:X204,1)=X204,1,IF(SMALL(X201:X204,2)=X204,2,IF(SMALL(X201:X204,3)=X204,3))),IF(M197=1,IF(SMALL(X201:X204,1)=X204,2,IF(SMALL(X201:X204,2)=X204,3,IF(SMALL(X201:X204,3)=X204,4))),"")),IF(COUNTIF(X201:X204,X204)=1,IF(X204&lt;X202,IF(M197=2,1,2),IF(M197=2,3,4)),IF(COUNTIF(X201:X204,X204)=2,IF(X204=X202,IF(X204&lt;X203,IF(M197=2,IF(Q209=3,1,2),IF(M197=1,IF(Q209=3,2,3))),IF(X204&gt;X203,IF(M197=2,IF(Q209=3,2,3),IF(M197=1,IF(Q209=3,3,4))))),IF(X204=X203,IF(X204&lt;X202,IF(M197=2,IF(Q221=3,1,2),IF(M197=1,IF(Q221=3,2,3))),IF(X204&gt;X202,IF(M197=2,IF(Q221=3,2,3),IF(M197=1,IF(Q221=3,3,4)))))))))))),"")</f>
        <v/>
      </c>
      <c r="AC222" s="192"/>
      <c r="AD222" s="192"/>
      <c r="AE222" s="192"/>
      <c r="AF222" s="203"/>
      <c r="AG222" s="203"/>
      <c r="AH222" s="203"/>
      <c r="AI222" s="203"/>
      <c r="AJ222" s="203"/>
      <c r="AK222" s="203"/>
      <c r="AL222" s="203"/>
      <c r="AM222" s="203"/>
      <c r="AN222" s="192"/>
      <c r="AO222" s="192"/>
      <c r="AP222" s="192"/>
      <c r="AQ222" s="192"/>
      <c r="AR222" s="192"/>
      <c r="AS222" s="192"/>
      <c r="AT222" s="192"/>
      <c r="AU222" s="192"/>
      <c r="AV222" s="192"/>
      <c r="AW222" s="192"/>
      <c r="AX222" s="192"/>
    </row>
    <row r="223" spans="2:50" ht="15" customHeight="1" thickTop="1" x14ac:dyDescent="0.3">
      <c r="B223" s="192"/>
      <c r="C223" s="192"/>
      <c r="D223" s="192"/>
      <c r="E223" s="192"/>
      <c r="F223" s="192"/>
      <c r="G223" s="192"/>
      <c r="H223" s="192"/>
      <c r="I223" s="192"/>
      <c r="J223" s="192"/>
      <c r="K223" s="192"/>
      <c r="L223" s="192"/>
      <c r="M223" s="192"/>
      <c r="N223" s="192"/>
      <c r="O223" s="192"/>
      <c r="P223" s="192"/>
      <c r="Q223" s="192"/>
      <c r="R223" s="192"/>
      <c r="S223" s="192"/>
      <c r="T223" s="203"/>
      <c r="U223" s="192"/>
      <c r="V223" s="192"/>
      <c r="W223" s="192"/>
      <c r="X223" s="192"/>
      <c r="Y223" s="192"/>
      <c r="Z223" s="192"/>
      <c r="AA223" s="192"/>
      <c r="AB223" s="192"/>
      <c r="AC223" s="192"/>
      <c r="AD223" s="192"/>
      <c r="AE223" s="192"/>
      <c r="AF223" s="203"/>
      <c r="AG223" s="203"/>
      <c r="AH223" s="203"/>
      <c r="AI223" s="203"/>
      <c r="AJ223" s="203"/>
      <c r="AK223" s="203"/>
      <c r="AL223" s="203"/>
      <c r="AM223" s="203"/>
      <c r="AN223" s="192"/>
      <c r="AO223" s="192"/>
      <c r="AP223" s="192"/>
      <c r="AQ223" s="192"/>
      <c r="AR223" s="192"/>
      <c r="AS223" s="192"/>
      <c r="AT223" s="192"/>
      <c r="AU223" s="192"/>
      <c r="AV223" s="192"/>
      <c r="AW223" s="192"/>
      <c r="AX223" s="192"/>
    </row>
    <row r="224" spans="2:50" ht="15" customHeight="1" x14ac:dyDescent="0.3">
      <c r="B224" s="192"/>
      <c r="C224" s="192"/>
      <c r="D224" s="192"/>
      <c r="E224" s="192"/>
      <c r="F224" s="192"/>
      <c r="G224" s="192"/>
      <c r="H224" s="192"/>
      <c r="I224" s="192"/>
      <c r="J224" s="192"/>
      <c r="K224" s="192"/>
      <c r="L224" s="192"/>
      <c r="M224" s="192"/>
      <c r="N224" s="192"/>
      <c r="O224" s="192"/>
      <c r="P224" s="192"/>
      <c r="Q224" s="192"/>
      <c r="R224" s="192"/>
      <c r="S224" s="192"/>
      <c r="T224" s="192"/>
      <c r="U224" s="192"/>
      <c r="V224" s="192"/>
      <c r="W224" s="192"/>
      <c r="X224" s="192"/>
      <c r="Y224" s="192"/>
      <c r="Z224" s="192"/>
      <c r="AA224" s="192"/>
      <c r="AB224" s="192"/>
      <c r="AC224" s="192"/>
      <c r="AD224" s="192"/>
      <c r="AE224" s="192"/>
      <c r="AF224" s="203"/>
      <c r="AG224" s="203"/>
      <c r="AH224" s="203"/>
      <c r="AI224" s="203"/>
      <c r="AJ224" s="203"/>
      <c r="AK224" s="203"/>
      <c r="AL224" s="203"/>
      <c r="AM224" s="203"/>
      <c r="AN224" s="192"/>
      <c r="AO224" s="192"/>
      <c r="AP224" s="192"/>
      <c r="AQ224" s="192"/>
      <c r="AR224" s="192"/>
      <c r="AS224" s="192"/>
      <c r="AT224" s="192"/>
      <c r="AU224" s="192"/>
      <c r="AV224" s="192"/>
      <c r="AW224" s="192"/>
      <c r="AX224" s="192"/>
    </row>
    <row r="225" spans="2:50" ht="15" customHeight="1" x14ac:dyDescent="0.3">
      <c r="B225" s="192"/>
      <c r="C225" s="192"/>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269"/>
      <c r="AA225" s="192"/>
      <c r="AB225" s="192"/>
      <c r="AC225" s="192"/>
      <c r="AD225" s="192"/>
      <c r="AE225" s="192"/>
      <c r="AF225" s="203"/>
      <c r="AG225" s="203"/>
      <c r="AH225" s="203"/>
      <c r="AI225" s="203"/>
      <c r="AJ225" s="203"/>
      <c r="AK225" s="203"/>
      <c r="AL225" s="203"/>
      <c r="AM225" s="203"/>
      <c r="AN225" s="192"/>
      <c r="AO225" s="192"/>
      <c r="AP225" s="192"/>
      <c r="AQ225" s="192"/>
      <c r="AR225" s="192"/>
      <c r="AS225" s="192"/>
      <c r="AT225" s="192"/>
      <c r="AU225" s="192"/>
      <c r="AV225" s="192"/>
      <c r="AW225" s="192"/>
      <c r="AX225" s="192"/>
    </row>
    <row r="226" spans="2:50" ht="15" customHeight="1" x14ac:dyDescent="0.3">
      <c r="B226" s="192"/>
      <c r="C226" s="192"/>
      <c r="D226" s="192"/>
      <c r="E226" s="192"/>
      <c r="F226" s="192"/>
      <c r="G226" s="192"/>
      <c r="H226" s="192"/>
      <c r="I226" s="192"/>
      <c r="J226" s="192"/>
      <c r="K226" s="192"/>
      <c r="L226" s="192"/>
      <c r="M226" s="192"/>
      <c r="N226" s="192"/>
      <c r="O226" s="192"/>
      <c r="P226" s="192"/>
      <c r="Q226" s="192"/>
      <c r="R226" s="192"/>
      <c r="S226" s="192"/>
      <c r="T226" s="192"/>
      <c r="U226" s="192"/>
      <c r="V226" s="192"/>
      <c r="W226" s="192"/>
      <c r="X226" s="192"/>
      <c r="Y226" s="192"/>
      <c r="Z226" s="192"/>
      <c r="AA226" s="192"/>
      <c r="AB226" s="192"/>
      <c r="AC226" s="192"/>
      <c r="AD226" s="192"/>
      <c r="AE226" s="192"/>
      <c r="AF226" s="203"/>
      <c r="AG226" s="203"/>
      <c r="AH226" s="203"/>
      <c r="AI226" s="203"/>
      <c r="AJ226" s="203"/>
      <c r="AK226" s="203"/>
      <c r="AL226" s="203"/>
      <c r="AM226" s="203"/>
      <c r="AN226" s="192"/>
      <c r="AO226" s="192"/>
      <c r="AP226" s="192"/>
      <c r="AQ226" s="192"/>
      <c r="AR226" s="192"/>
      <c r="AS226" s="192"/>
      <c r="AT226" s="192"/>
      <c r="AU226" s="192"/>
      <c r="AV226" s="192"/>
      <c r="AW226" s="192"/>
      <c r="AX226" s="192"/>
    </row>
    <row r="227" spans="2:50" ht="15" customHeight="1" x14ac:dyDescent="0.3">
      <c r="B227" s="192"/>
      <c r="C227" s="192"/>
      <c r="D227" s="192"/>
      <c r="E227" s="192"/>
      <c r="F227" s="192"/>
      <c r="G227" s="192"/>
      <c r="H227" s="192"/>
      <c r="I227" s="192"/>
      <c r="J227" s="192"/>
      <c r="K227" s="192"/>
      <c r="L227" s="192"/>
      <c r="M227" s="192"/>
      <c r="N227" s="192"/>
      <c r="O227" s="192"/>
      <c r="P227" s="192"/>
      <c r="Q227" s="192"/>
      <c r="R227" s="192"/>
      <c r="S227" s="192"/>
      <c r="T227" s="192"/>
      <c r="U227" s="192"/>
      <c r="V227" s="192"/>
      <c r="W227" s="192"/>
      <c r="X227" s="192"/>
      <c r="Y227" s="192"/>
      <c r="Z227" s="192"/>
      <c r="AA227" s="192"/>
      <c r="AB227" s="192"/>
      <c r="AC227" s="192"/>
      <c r="AD227" s="192"/>
      <c r="AE227" s="192"/>
      <c r="AF227" s="203"/>
      <c r="AG227" s="203"/>
      <c r="AH227" s="203"/>
      <c r="AI227" s="203"/>
      <c r="AJ227" s="203"/>
      <c r="AK227" s="203"/>
      <c r="AL227" s="203"/>
      <c r="AM227" s="203"/>
      <c r="AN227" s="192"/>
      <c r="AO227" s="192"/>
      <c r="AP227" s="192"/>
      <c r="AQ227" s="192"/>
      <c r="AR227" s="192"/>
      <c r="AS227" s="192"/>
      <c r="AT227" s="192"/>
      <c r="AU227" s="192"/>
      <c r="AV227" s="192"/>
      <c r="AW227" s="192"/>
      <c r="AX227" s="192"/>
    </row>
    <row r="228" spans="2:50" ht="15" customHeight="1" thickBot="1" x14ac:dyDescent="0.4">
      <c r="B228" s="192"/>
      <c r="C228" s="192"/>
      <c r="D228" s="192"/>
      <c r="E228" s="192"/>
      <c r="F228" s="192"/>
      <c r="G228" s="192"/>
      <c r="H228" s="192"/>
      <c r="I228" s="383" t="s">
        <v>129</v>
      </c>
      <c r="J228" s="383"/>
      <c r="K228" s="383"/>
      <c r="L228" s="383"/>
      <c r="M228" s="383"/>
      <c r="N228" s="383"/>
      <c r="O228" s="383"/>
      <c r="P228" s="383"/>
      <c r="Q228" s="383"/>
      <c r="R228" s="383"/>
      <c r="S228" s="192"/>
      <c r="T228" s="192"/>
      <c r="U228" s="370" t="s">
        <v>92</v>
      </c>
      <c r="V228" s="371"/>
      <c r="W228" s="371"/>
      <c r="X228" s="372"/>
      <c r="Y228" s="192"/>
      <c r="Z228" s="192"/>
      <c r="AA228" s="192"/>
      <c r="AB228" s="192"/>
      <c r="AC228" s="192"/>
      <c r="AD228" s="192"/>
      <c r="AE228" s="192"/>
      <c r="AF228" s="203"/>
      <c r="AG228" s="203"/>
      <c r="AH228" s="203"/>
      <c r="AI228" s="203"/>
      <c r="AJ228" s="203"/>
      <c r="AK228" s="203"/>
      <c r="AL228" s="203"/>
      <c r="AM228" s="203"/>
      <c r="AN228" s="192"/>
      <c r="AO228" s="192"/>
      <c r="AP228" s="192"/>
      <c r="AQ228" s="192"/>
      <c r="AR228" s="192"/>
      <c r="AS228" s="192"/>
      <c r="AT228" s="192"/>
      <c r="AU228" s="192"/>
      <c r="AV228" s="192"/>
      <c r="AW228" s="192"/>
      <c r="AX228" s="192"/>
    </row>
    <row r="229" spans="2:50" ht="15" customHeight="1" thickTop="1" thickBot="1" x14ac:dyDescent="0.35">
      <c r="B229" s="192"/>
      <c r="C229" s="192"/>
      <c r="D229" s="192"/>
      <c r="E229" s="192"/>
      <c r="F229" s="192"/>
      <c r="G229" s="192"/>
      <c r="H229" s="192"/>
      <c r="I229" s="400" t="s">
        <v>93</v>
      </c>
      <c r="J229" s="160"/>
      <c r="K229" s="396" t="s">
        <v>94</v>
      </c>
      <c r="L229" s="398" t="s">
        <v>95</v>
      </c>
      <c r="M229" s="390" t="s">
        <v>96</v>
      </c>
      <c r="N229" s="390" t="s">
        <v>97</v>
      </c>
      <c r="O229" s="373" t="s">
        <v>98</v>
      </c>
      <c r="P229" s="373" t="str">
        <f>IF(COUNT(U230:X241)=3,"LM/WM Ratio",IF(COUNT(U230:X241)=6,"LP/WP Ratio",""))</f>
        <v/>
      </c>
      <c r="Q229" s="390" t="s">
        <v>99</v>
      </c>
      <c r="R229" s="392" t="s">
        <v>100</v>
      </c>
      <c r="S229" s="192"/>
      <c r="T229" s="120"/>
      <c r="U229" s="121" t="s">
        <v>101</v>
      </c>
      <c r="V229" s="122" t="s">
        <v>102</v>
      </c>
      <c r="W229" s="122" t="s">
        <v>103</v>
      </c>
      <c r="X229" s="123" t="s">
        <v>104</v>
      </c>
      <c r="Y229" s="380" t="s">
        <v>105</v>
      </c>
      <c r="Z229" s="379"/>
      <c r="AA229" s="378" t="s">
        <v>106</v>
      </c>
      <c r="AB229" s="379"/>
      <c r="AC229" s="192"/>
      <c r="AD229" s="192"/>
      <c r="AE229" s="203"/>
      <c r="AF229" s="203"/>
      <c r="AG229" s="203"/>
      <c r="AH229" s="203"/>
      <c r="AI229" s="203"/>
      <c r="AJ229" s="203"/>
      <c r="AK229" s="203"/>
      <c r="AL229" s="203"/>
      <c r="AM229" s="203"/>
      <c r="AN229" s="192"/>
      <c r="AO229" s="192"/>
      <c r="AP229" s="192"/>
      <c r="AQ229" s="192"/>
      <c r="AR229" s="192"/>
      <c r="AS229" s="192"/>
      <c r="AT229" s="192"/>
      <c r="AU229" s="192"/>
      <c r="AV229" s="192"/>
      <c r="AW229" s="192"/>
      <c r="AX229" s="192"/>
    </row>
    <row r="230" spans="2:50" ht="15" customHeight="1" thickTop="1" thickBot="1" x14ac:dyDescent="0.35">
      <c r="B230" s="192"/>
      <c r="C230" s="192"/>
      <c r="D230" s="192"/>
      <c r="E230" s="192"/>
      <c r="F230" s="192"/>
      <c r="G230" s="192"/>
      <c r="H230" s="192"/>
      <c r="I230" s="401"/>
      <c r="J230" s="161"/>
      <c r="K230" s="397"/>
      <c r="L230" s="399"/>
      <c r="M230" s="391"/>
      <c r="N230" s="391"/>
      <c r="O230" s="374"/>
      <c r="P230" s="374"/>
      <c r="Q230" s="391"/>
      <c r="R230" s="393"/>
      <c r="S230" s="192"/>
      <c r="T230" s="208">
        <v>1</v>
      </c>
      <c r="U230" s="209" t="str">
        <f>IF(M231="","",IF(COUNTIF(M231:M233,M231)=3,IF(COUNTBLANK(I231:I234)=1,(Q243+Q249)/(Q242+Q248),IF(COUNTBLANK(I231:I234)=0,(Q255+Q243)/(Q254+Q242),"")),""))</f>
        <v/>
      </c>
      <c r="V230" s="125" t="str">
        <f>IF(AND(COUNTBLANK(I231:I234)=0,M231=M233,M233=M234),(Q243+Q249)/(Q242+Q248),"")</f>
        <v/>
      </c>
      <c r="W230" s="210" t="str">
        <f>IF(AND(COUNTBLANK(I231:I234)=0,M231=M232,M232=M234),(Q255+Q249)/(Q254+Q248),"")</f>
        <v/>
      </c>
      <c r="X230" s="211"/>
      <c r="Y230" s="169" t="s">
        <v>93</v>
      </c>
      <c r="Z230" s="170" t="s">
        <v>107</v>
      </c>
      <c r="AA230" s="169" t="s">
        <v>93</v>
      </c>
      <c r="AB230" s="170" t="s">
        <v>107</v>
      </c>
      <c r="AC230" s="192"/>
      <c r="AD230" s="192"/>
      <c r="AE230" s="192"/>
      <c r="AF230" s="203"/>
      <c r="AG230" s="203"/>
      <c r="AH230" s="203"/>
      <c r="AI230" s="203"/>
      <c r="AJ230" s="203"/>
      <c r="AK230" s="203"/>
      <c r="AL230" s="203"/>
      <c r="AM230" s="203"/>
      <c r="AN230" s="192"/>
      <c r="AO230" s="192"/>
      <c r="AP230" s="192"/>
      <c r="AQ230" s="192"/>
      <c r="AR230" s="192"/>
      <c r="AS230" s="192"/>
      <c r="AT230" s="192"/>
      <c r="AU230" s="192"/>
      <c r="AV230" s="192"/>
      <c r="AW230" s="192"/>
      <c r="AX230" s="192"/>
    </row>
    <row r="231" spans="2:50" ht="15" customHeight="1" thickTop="1" thickBot="1" x14ac:dyDescent="0.35">
      <c r="B231" s="192"/>
      <c r="C231" s="192"/>
      <c r="D231" s="192"/>
      <c r="E231" s="192"/>
      <c r="F231" s="192" t="str">
        <f>IF(I231="","",VLOOKUP(I231,Siembra,2,FALSE))</f>
        <v/>
      </c>
      <c r="G231" s="192" t="str">
        <f>O231</f>
        <v/>
      </c>
      <c r="H231" s="192">
        <v>1</v>
      </c>
      <c r="I231" s="128" t="str">
        <f>IF(K231="","",IF(ISNUMBER(Sorteo!$A$17),VLOOKUP(K231,Draw,2,FALSE),""))</f>
        <v/>
      </c>
      <c r="J231" s="129" t="str">
        <f>O231</f>
        <v/>
      </c>
      <c r="K231" s="130" t="str">
        <f>IF($K$9="","",IF(Group_players=4,IF(Tablas!BN$3="","",Tablas!BN$3),IF(Group_players=3,IF(Tablas!BN$11="","",Tablas!BN$11),"")))</f>
        <v/>
      </c>
      <c r="L231" s="131" t="str">
        <f>IF(K231="","",VLOOKUP(I231,Siembra,3,FALSE))</f>
        <v/>
      </c>
      <c r="M231" s="132" t="str">
        <f>IF(AND(Q242="",Q243=""),"",IF(I231="","",SUMIFS(E242:E258,I242:I258,I231)))</f>
        <v/>
      </c>
      <c r="N231" s="132" t="str">
        <f>IF(M231="","",IF(I231="","",SUMIFS(F242:F258,I242:I258,I231)))</f>
        <v/>
      </c>
      <c r="O231" s="132" t="str">
        <f>IF(M231="","",IF(COUNTBLANK(I231:I234)=1,IF(M231=2,1,IF(M231=0,3,IF(AND(M231=1,M232&lt;&gt;1),2,IF(COUNTIF(M231:M233,1)&gt;1,Z231)))),IF(COUNTBLANK(I231:I234)=0,IF(COUNTIF(M231:M234,M231)=1,IF(M231=3,1,IF(M231=2,2,IF(M231=1,3,IF(M231=0,4)))),IF(Group_players=3,Z231,IF(COUNTIF(M231:M234,M231)=2,AB231,IF(AND(M231=M232,M232=M233),AB235,IF(AND(M231=M233,M233=M234),AB238,IF(AND(M231=M232,M232=M234),AB241,"")))))),99)))</f>
        <v/>
      </c>
      <c r="P231" s="133" t="str">
        <f>IF(COUNT(U230:X241)=3,IF(ISNUMBER(U230),U230,IF(ISNUMBER(V230),V230,IF(ISNUMBER(W230),W230,IF(X230="","")))),IF(COUNT(U230:X241)=6,IF(ISNUMBER(U238),U238,IF(ISNUMBER(V238),V238,IF(ISNUMBER(W238),W238,IF(ISBLANK(X230),"")))),""))</f>
        <v/>
      </c>
      <c r="Q231" s="132" t="str">
        <f>IF(M231="","",SUMIF(I242:S258,I231,S242:S258))</f>
        <v/>
      </c>
      <c r="R231" s="134" t="str">
        <f>IF(M231="","",L231+Q231)</f>
        <v/>
      </c>
      <c r="S231" s="203"/>
      <c r="T231" s="208">
        <v>2</v>
      </c>
      <c r="U231" s="209" t="str">
        <f>IF(M232="","",IF(COUNTIF(M231:M233,M232)=3,IF(COUNTBLANK(I231:I234)=1,(Q246+Q248)/(Q245+Q249),IF(COUNTBLANK(I231:I234)=0,(Q252+Q254)/(Q251+Q255),"")),""))</f>
        <v/>
      </c>
      <c r="V231" s="135"/>
      <c r="W231" s="212" t="str">
        <f>IF(AND(COUNTBLANK(I231:I234)=0,M232=M231,M231=M234),(Q254+Q246)/(Q255+Q245),"")</f>
        <v/>
      </c>
      <c r="X231" s="213" t="str">
        <f>IF(AND(COUNTBLANK(I231:I234)=0,M232=M233,M233=M234),(Q252+Q246)/(Q251+Q245),"")</f>
        <v/>
      </c>
      <c r="Y231" s="214">
        <v>1</v>
      </c>
      <c r="Z231" s="215" t="str">
        <f>IF(U230="","",IF(OR(Group_players=3,AND(Group_players=4,COUNTBLANK(I231:I234)=1)),IF(COUNTIF(M231:M233,M231)=1,"",IF(AND(U230=U231,U231=U232),Z235,IF(AND(U230&lt;&gt;U231,U230&lt;&gt;U232,U231&lt;&gt;U232),(IF(SMALL(U230:U232,1)=U230,1,IF(SMALL(U230:U232,2)=U230,2,IF(SMALL(U230:U232,3)=U230,3)))),IF(AND(U230&lt;U231,U231=U232),1,IF(AND(U230&gt;U231,U231=U232),3,IF(AND(U230=U231,U230&lt;U232),(IF(Q248=3,1,2)),IF(AND(U230=U231,U230&gt;U232),(IF(Q248=3,2,3)),IF(AND(U230=U232,U230&lt;U231),(IF(Q242=3,1,2)),IF(AND(U230=U232,U230&gt;U231),(IF(Q242=3,2,3)),99))))))))),""))</f>
        <v/>
      </c>
      <c r="AA231" s="216">
        <v>1</v>
      </c>
      <c r="AB231" s="217" t="str">
        <f>IF(COUNTIF(M231:M234,M231)&lt;&gt;2,"",IF(COUNTIF(M231:M234,M231)=1,"",IF(AND(COUNTIF(M231:M234,M231)=2,M231=2),IF(M231=M232,IF(Q254=3,1,2),IF(M231=M233,IF(Q242=3,1,2),IF(M231=M234,IF(Q248=3,1,2)))),IF(AND(COUNTIF(M231:M234,M231)=2,M231=1),IF(M231=M232,IF(Q254=3,3,4),IF(M231=M233,IF(Q242=3,3,4),IF(M231=M234,IF(Q248=3,3,4)))),IF(COUNTIF(M231:M234,M231)=3,AB235)))))</f>
        <v/>
      </c>
      <c r="AC231" s="192"/>
      <c r="AD231" s="192"/>
      <c r="AE231" s="192"/>
      <c r="AF231" s="203"/>
      <c r="AG231" s="203"/>
      <c r="AH231" s="203"/>
      <c r="AI231" s="203"/>
      <c r="AJ231" s="203"/>
      <c r="AK231" s="203"/>
      <c r="AL231" s="203"/>
      <c r="AM231" s="203"/>
      <c r="AN231" s="192"/>
      <c r="AO231" s="192"/>
      <c r="AP231" s="192"/>
      <c r="AQ231" s="192"/>
      <c r="AR231" s="192"/>
      <c r="AS231" s="192"/>
      <c r="AT231" s="192"/>
      <c r="AU231" s="192"/>
      <c r="AV231" s="192"/>
      <c r="AW231" s="192"/>
      <c r="AX231" s="192"/>
    </row>
    <row r="232" spans="2:50" ht="15" customHeight="1" thickTop="1" thickBot="1" x14ac:dyDescent="0.35">
      <c r="B232" s="192"/>
      <c r="C232" s="192"/>
      <c r="D232" s="192"/>
      <c r="E232" s="192"/>
      <c r="F232" s="192" t="str">
        <f>IF(I232="","",VLOOKUP(I232,Siembra,2,FALSE))</f>
        <v/>
      </c>
      <c r="G232" s="192" t="str">
        <f>O232</f>
        <v/>
      </c>
      <c r="H232" s="192">
        <v>2</v>
      </c>
      <c r="I232" s="128" t="str">
        <f>IF(K232="","",IF(ISNUMBER(Sorteo!$A$17),VLOOKUP(K232,Draw,2,FALSE),""))</f>
        <v/>
      </c>
      <c r="J232" s="129" t="str">
        <f>O232</f>
        <v/>
      </c>
      <c r="K232" s="136" t="str">
        <f>IF($K$9="","",IF(Group_players=4,IF(Tablas!BN$4="","",Tablas!BN$4),IF(Group_players=3,IF(Tablas!BN$12="","",Tablas!BN$12),"")))</f>
        <v/>
      </c>
      <c r="L232" s="137" t="str">
        <f>IF(K232="","",VLOOKUP(I232,Siembra,3,FALSE))</f>
        <v/>
      </c>
      <c r="M232" s="132" t="str">
        <f>IF(AND(L242="",L243=""),"",IF(I232="","",SUMIFS(E242:E259,I242:I259,I232)))</f>
        <v/>
      </c>
      <c r="N232" s="138" t="str">
        <f>IF(M232="","",IF(I232="","",SUMIFS(F242:F258,I242:I258,I232)))</f>
        <v/>
      </c>
      <c r="O232" s="132" t="str">
        <f>IF(M232="","",IF(COUNTBLANK(I231:I234)=1,IF(M232=2,1,IF(M232=0,3,IF(AND(M232=1,M233&lt;&gt;1),2,IF(COUNTIF(M231:M234,1)&gt;1,Z232)))),IF(COUNTBLANK(I231:I234)=0,IF(COUNTIF(M231:M234,M232)=1,IF(M232=3,1,IF(M232=2,2,IF(M232=1,3,IF(M232=0,4)))),IF(Group_players=3,Z232,IF(COUNTIF(M231:M234,M232)=2,AB232,IF(AND(M232=M231,M231=M233),AB236,IF(AND(M232=M231,M231=M234),AB242,IF(AND(M232=M233,M233=M234),AB244,"")))))))))</f>
        <v/>
      </c>
      <c r="P232" s="133" t="str">
        <f>IF(COUNT(U230:X241)=3,IF(ISNUMBER(U231),U231,IF(ISNUMBER(W231),W231,IF(ISNUMBER(X231),X231,IF(X231="","")))),IF(COUNT(U230:X241)=6,IF(ISNUMBER(U239),U239,IF(ISNUMBER(W239),W239,IF(ISNUMBER(X239),X239,IF(ISBLANK(X238),"")))),""))</f>
        <v/>
      </c>
      <c r="Q232" s="138" t="str">
        <f>IF(M232="","",SUMIF(I242:S258,I232,S242:$S258))</f>
        <v/>
      </c>
      <c r="R232" s="139" t="str">
        <f>IF(M232="","",L232+Q232)</f>
        <v/>
      </c>
      <c r="S232" s="203"/>
      <c r="T232" s="208">
        <v>3</v>
      </c>
      <c r="U232" s="209" t="str">
        <f>IF(M233="","",IF(COUNTIF(M231:M233,M233)=3,IF(COUNTBLANK(I231:I234)=1,(Q242+Q245)/(Q243+Q246),IF(COUNTBLANK(I231:I234)=0,(Q242+Q251)/(Q243+Q252),"")),""))</f>
        <v/>
      </c>
      <c r="V232" s="125" t="str">
        <f>IF(AND(COUNTBLANK(I231:I234)=0,M233=M234,M234=M231),(Q242+Q258)/(Q243+Q257),"")</f>
        <v/>
      </c>
      <c r="W232" s="218"/>
      <c r="X232" s="213" t="str">
        <f>IF(AND(COUNTBLANK(I231:I234)=0,M233=M234,M234=M232),(Q251+Q258)/(Q252+Q257),"")</f>
        <v/>
      </c>
      <c r="Y232" s="219">
        <v>2</v>
      </c>
      <c r="Z232" s="220" t="str">
        <f>IF(U231="","",IF(OR(Group_players=3,AND(Group_players=4,COUNTBLANK(I231:I234)=1)),IF(COUNTIF(M231:M233,M232)=1,"",IF(AND(U231=U230,U231=U232),Z236,IF(AND(U231&lt;&gt;U230,U231&lt;&gt;U232,U230&lt;&gt;U232),(IF(SMALL(U230:U232,1)=U231,1,IF(SMALL(U230:U232,2)=U231,2,IF(SMALL(U230:U232,3)=U231,3)))),IF(AND(U231&lt;U230,U230=U232),1,IF(AND(U231&gt;U230,U230=U232),3,IF(AND(U231=U230,U231&lt;U232),(IF(Q249=3,1,2)),IF(AND(U231=U230,U231&gt;U232),(IF(Q249=3,2,3)),IF(AND(U231=U232,U231&lt;U230),(IF(Q245=3,1,2)),IF(AND(U231=U232,U231&gt;U230),(IF(Q245=3,2,3)),99))))))))),""))</f>
        <v/>
      </c>
      <c r="AA232" s="221">
        <v>2</v>
      </c>
      <c r="AB232" s="222" t="str">
        <f>IF(COUNTIF(M231:M234,M232)&lt;&gt;2,"",IF(COUNTIF(M231:M234,M232)=1,"",IF(AND(COUNTIF(M231:M234,M232)=2,M232=2),IF(M232=M231,IF(Q255=3,1,2),IF(M232=M233,IF(Q251=3,1,2),IF(M232=M234,IF(Q245=3,1,2)))),IF(AND(COUNTIF(M231:M234,M232)=2,M232=1),IF(M232=M231,IF(Q255=3,3,4),IF(M232=M233,IF(Q251=3,3,4),IF(M232=M234,IF(Q245=3,3,4)))),AB237))))</f>
        <v/>
      </c>
      <c r="AC232" s="192"/>
      <c r="AD232" s="192"/>
      <c r="AE232" s="192"/>
      <c r="AF232" s="203"/>
      <c r="AG232" s="203"/>
      <c r="AH232" s="203"/>
      <c r="AI232" s="203"/>
      <c r="AJ232" s="203"/>
      <c r="AK232" s="203"/>
      <c r="AL232" s="203"/>
      <c r="AM232" s="203"/>
      <c r="AN232" s="192"/>
      <c r="AO232" s="192"/>
      <c r="AP232" s="192"/>
      <c r="AQ232" s="192"/>
      <c r="AR232" s="192"/>
      <c r="AS232" s="192"/>
      <c r="AT232" s="192"/>
      <c r="AU232" s="192"/>
      <c r="AV232" s="192"/>
      <c r="AW232" s="192"/>
      <c r="AX232" s="192"/>
    </row>
    <row r="233" spans="2:50" ht="15" customHeight="1" thickBot="1" x14ac:dyDescent="0.35">
      <c r="B233" s="192"/>
      <c r="C233" s="192"/>
      <c r="D233" s="192"/>
      <c r="E233" s="192"/>
      <c r="F233" s="192" t="str">
        <f>IF(I233="","",VLOOKUP(I233,Siembra,2,FALSE))</f>
        <v/>
      </c>
      <c r="G233" s="192" t="str">
        <f>O233</f>
        <v/>
      </c>
      <c r="H233" s="192">
        <v>3</v>
      </c>
      <c r="I233" s="128" t="str">
        <f>IF(K233="","",IF(ISNUMBER(Sorteo!$A$17),VLOOKUP(K233,Draw,2,FALSE),""))</f>
        <v/>
      </c>
      <c r="J233" s="129" t="str">
        <f>O233</f>
        <v/>
      </c>
      <c r="K233" s="136" t="str">
        <f>IF($K$9="","",IF(Group_players=4,IF(Tablas!BN$5="","",Tablas!BN$5),IF(Group_players=3,IF(Tablas!BN$13="","",Tablas!BN$13),"")))</f>
        <v/>
      </c>
      <c r="L233" s="137" t="str">
        <f>IF(K233="","",VLOOKUP(I233,Siembra,3,FALSE))</f>
        <v/>
      </c>
      <c r="M233" s="132" t="str">
        <f>IF(AND(L243="",L242=""),"",IF(I233="","",SUMIFS(E242:E260,I242:I260,I233)))</f>
        <v/>
      </c>
      <c r="N233" s="138" t="str">
        <f>IF(M233="","",IF(I233="","",SUMIFS(F242:F258,I242:I258,I233)))</f>
        <v/>
      </c>
      <c r="O233" s="132" t="str">
        <f>IF(M233="","",IF(COUNTBLANK(I231:I234)=1,IF(M233=2,1,IF(M233=0,3,IF(AND(M233=1,M233&lt;&gt;M231),2,IF(COUNTIF(M231:M234,1)&gt;1,Z233)))),IF(COUNTBLANK(I231:I234)=0,IF(COUNTIF(M231:M234,M233)=1,IF(M233=3,1,IF(M233=2,2,IF(M233=1,3,IF(M233=0,4)))),IF(Group_players=3,Z233,IF(COUNTIF(M231:M234,M233)=2,AB233,IF(AND(M233=M231,M231=M232),AB237,IF(AND(M233=M231,M231=M234),AB239,IF(AND(M233=M232,M232=M234),AB245,"")))))))))</f>
        <v/>
      </c>
      <c r="P233" s="133" t="str">
        <f>IF(COUNT(U230:X241)=3,IF(ISNUMBER(U232),U232,IF(ISNUMBER(V232),V232,IF(ISNUMBER(X232),X232,IF(W232="","")))),IF(COUNT(U230:X241)=6,IF(ISNUMBER(U240),U240,IF(ISNUMBER(V240),V240,IF(ISNUMBER(X240),X240,""))),""))</f>
        <v/>
      </c>
      <c r="Q233" s="138" t="str">
        <f>IF(M233="","",SUMIF(I242:S258,I233,S242:S258))</f>
        <v/>
      </c>
      <c r="R233" s="139" t="str">
        <f>IF(M233="","",L233+Q233)</f>
        <v/>
      </c>
      <c r="S233" s="203"/>
      <c r="T233" s="208">
        <v>4</v>
      </c>
      <c r="U233" s="223"/>
      <c r="V233" s="140" t="str">
        <f>IF(AND(COUNTBLANK(I231:I234)=0,M234=M231,M231=M233),(Q248+Q257)/(Q249+Q258),"")</f>
        <v/>
      </c>
      <c r="W233" s="224" t="str">
        <f>IF(AND(COUNTBLANK(I231:I234)=0,M234=M231,M231=M232),(Q248+Q245)/(Q249+Q246),"")</f>
        <v/>
      </c>
      <c r="X233" s="225" t="str">
        <f>IF(AND(COUNTBLANK(I231:I234)=0,M234=M232,M232=M233),(Q245+Q257)/(Q246+Q258),"")</f>
        <v/>
      </c>
      <c r="Y233" s="226">
        <v>3</v>
      </c>
      <c r="Z233" s="227" t="str">
        <f>IF(U232="","",IF(OR(Group_players=3,AND(Group_players=4,COUNTBLANK(I231:I234)=1)),IF(COUNTIF(M231:M233,M233)=1,"",IF(AND(U232=U230,U232=U231),Z237,IF(AND(U232&lt;&gt;U231,U231&lt;&gt;U230,U232&lt;&gt;U230),(IF(SMALL(U230:U232,1)=U232,1,IF(SMALL(U230:U232,2)=U232,2,IF(SMALL(U230:U232,3)=U232,3)))),IF(AND(U232&lt;U231,U231=U230),1,IF(AND(U232&gt;U231,U231=U230),3,IF(AND(U232=U231,U232&lt;U230),(IF(Q246=3,1,2)),IF(AND(U232=U231,U232&gt;U230),(IF(Q246=3,2,3)),IF(AND(U232=U230,U232&lt;U231),(IF(Q243=3,1,2)),IF(AND(U232=U230,U232&gt;U231),(IF(Q243=3,2,3)),99))))))))),""))</f>
        <v/>
      </c>
      <c r="AA233" s="221">
        <v>3</v>
      </c>
      <c r="AB233" s="222" t="str">
        <f>IF(COUNTIF(M231:M234,M233)&lt;&gt;2,"",IF(COUNTIF(M231:M234,M233)=1,"",IF(AND(COUNTIF(M231:M234,M233)=2,M233=2),IF(M233=M231,IF(Q243=3,1,2),IF(M233=M232,IF(Q252=3,1,2),IF(M233=M234,IF(Q257=3,1,2)))),IF(AND(COUNTIF(M231:M234,M233)=2,M233=1),IF(M233=M231,IF(Q243=3,3,4),IF(M233=M232,IF(Q252=3,3,4),IF(M233=M234,IF(Q257=3,3,4)))),AB237))))</f>
        <v/>
      </c>
      <c r="AC233" s="192"/>
      <c r="AD233" s="192"/>
      <c r="AE233" s="192"/>
      <c r="AF233" s="203"/>
      <c r="AG233" s="203"/>
      <c r="AH233" s="203"/>
      <c r="AI233" s="203"/>
      <c r="AJ233" s="203"/>
      <c r="AK233" s="203"/>
      <c r="AL233" s="203"/>
      <c r="AM233" s="203"/>
      <c r="AN233" s="192"/>
      <c r="AO233" s="192"/>
      <c r="AP233" s="192"/>
      <c r="AQ233" s="192"/>
      <c r="AR233" s="192"/>
      <c r="AS233" s="192"/>
      <c r="AT233" s="192"/>
      <c r="AU233" s="192"/>
      <c r="AV233" s="192"/>
      <c r="AW233" s="192"/>
      <c r="AX233" s="192"/>
    </row>
    <row r="234" spans="2:50" ht="15" customHeight="1" thickTop="1" thickBot="1" x14ac:dyDescent="0.35">
      <c r="B234" s="192"/>
      <c r="C234" s="192"/>
      <c r="D234" s="192"/>
      <c r="E234" s="192"/>
      <c r="F234" s="192" t="str">
        <f>IF(I234="","",VLOOKUP(I234,Siembra,2,FALSE))</f>
        <v/>
      </c>
      <c r="G234" s="192" t="str">
        <f>O234</f>
        <v/>
      </c>
      <c r="H234" s="192">
        <v>4</v>
      </c>
      <c r="I234" s="141" t="str">
        <f>IF(K234="","",IF(ISNUMBER(Sorteo!$A$17),VLOOKUP(K234,Draw,2,FALSE),""))</f>
        <v/>
      </c>
      <c r="J234" s="142" t="str">
        <f>O234</f>
        <v/>
      </c>
      <c r="K234" s="143" t="str">
        <f>IF($K$9="","",IF(Group_players=4,IF(Tablas!BN6="","",Tablas!BN6),""))</f>
        <v/>
      </c>
      <c r="L234" s="144" t="str">
        <f>IF(K234="","",VLOOKUP(I234,Siembra,3,FALSE))</f>
        <v/>
      </c>
      <c r="M234" s="145" t="str">
        <f>IF(AND(Q245="",Q246=""),"",IF(I234="","",SUMIFS(E242:E261,I242:I261,I234)))</f>
        <v/>
      </c>
      <c r="N234" s="145" t="str">
        <f>IF(M234="","",IF(I234="","",SUMIFS(F242:F258,I242:I258,I234)))</f>
        <v/>
      </c>
      <c r="O234" s="145" t="str">
        <f>IF(M234="","",IF(COUNTIF(M231:M234,M234)=1,IF(M234=3,1,IF(M234=2,2,IF(M234=1,3,IF(M234=0,4)))),IF(COUNTIF(M231:M234,M234)=2,AB234,IF(AND(M234=M231,M231=M233),AB240,IF(AND(M234=M231,M231=M232),AB243,IF(AND(M234=M232,M232=M233),AB246,""))))))</f>
        <v/>
      </c>
      <c r="P234" s="146" t="str">
        <f>IF(COUNT(U230:X241)=3,IF(ISNUMBER(V233),V233,IF(ISNUMBER(W233),W233,IF(ISNUMBER(X233),X233,IF(X233="","")))),IF(COUNT(U230:X241)=6,IF(ISNUMBER(V241),V241,IF(ISNUMBER(W241),W241,IF(ISNUMBER(X241),X241,""))),""))</f>
        <v/>
      </c>
      <c r="Q234" s="145" t="str">
        <f>IF(M234="","",SUMIF(I242:S258,I234,S242:$S258))</f>
        <v/>
      </c>
      <c r="R234" s="147" t="str">
        <f>IF(M234="","",L234+Q234)</f>
        <v/>
      </c>
      <c r="S234" s="203"/>
      <c r="T234" s="192"/>
      <c r="U234" s="192"/>
      <c r="V234" s="192"/>
      <c r="W234" s="192"/>
      <c r="X234" s="192"/>
      <c r="Y234" s="230" t="s">
        <v>93</v>
      </c>
      <c r="Z234" s="231" t="s">
        <v>110</v>
      </c>
      <c r="AA234" s="232">
        <v>4</v>
      </c>
      <c r="AB234" s="233" t="str">
        <f>IF(COUNTIF(M231:M234,M234)&lt;&gt;2,"",IF(COUNTIF(M231:M234,M234)=1,"",IF(AND(COUNTIF(M231:M234,M234)=2,M234=2),IF(M234=M231,IF(Q249=3,1,2),IF(M234=M232,IF(Q246=3,1,2),IF(M234=M233,IF(Q258=3,1,2)))),IF(AND(COUNTIF(M231:M234,M234)=2,M234=1),IF(M234=M231,IF(Q249=3,3,4),IF(M234=M232,IF(Q246=3,3,4),IF(M234=M233,IF(Q258=3,3,4)))),AB240))))</f>
        <v/>
      </c>
      <c r="AC234" s="192"/>
      <c r="AD234" s="192"/>
      <c r="AE234" s="192"/>
      <c r="AF234" s="203"/>
      <c r="AG234" s="203"/>
      <c r="AH234" s="203"/>
      <c r="AI234" s="203"/>
      <c r="AJ234" s="203"/>
      <c r="AK234" s="203"/>
      <c r="AL234" s="203"/>
      <c r="AM234" s="203"/>
      <c r="AN234" s="192"/>
      <c r="AO234" s="192"/>
      <c r="AP234" s="192"/>
      <c r="AQ234" s="192"/>
      <c r="AR234" s="192"/>
      <c r="AS234" s="192"/>
      <c r="AT234" s="192"/>
      <c r="AU234" s="192"/>
      <c r="AV234" s="192"/>
      <c r="AW234" s="192"/>
      <c r="AX234" s="192"/>
    </row>
    <row r="235" spans="2:50" ht="15" customHeight="1" thickTop="1" x14ac:dyDescent="0.3">
      <c r="B235" s="192"/>
      <c r="C235" s="192"/>
      <c r="D235" s="192"/>
      <c r="E235" s="192"/>
      <c r="F235" s="192"/>
      <c r="G235" s="192"/>
      <c r="H235" s="192"/>
      <c r="I235" s="192"/>
      <c r="J235" s="192"/>
      <c r="K235" s="192"/>
      <c r="L235" s="192"/>
      <c r="M235" s="192"/>
      <c r="N235" s="192"/>
      <c r="O235" s="192"/>
      <c r="P235" s="192"/>
      <c r="Q235" s="192"/>
      <c r="R235" s="192"/>
      <c r="S235" s="192"/>
      <c r="T235" s="208"/>
      <c r="U235" s="192"/>
      <c r="V235" s="148"/>
      <c r="W235" s="148"/>
      <c r="X235" s="234"/>
      <c r="Y235" s="214">
        <v>1</v>
      </c>
      <c r="Z235" s="215" t="str">
        <f>IF(U238="","",IF(OR(Group_players=3,AND(Group_players=4,COUNTBLANK(I231:I234)=1)),IF(COUNTIF(M231:M233,M231)=1,"",IF(COUNTIF(U230:U232,U230)=3,IF(AND(U238=U239,U239=U240),"Tied",IF(AND(U238&lt;&gt;U239,U238&lt;&gt;U240,U239&lt;&gt;U240),(IF(SMALL(U238:U240,1)=U238,1,IF(SMALL(U238:U240,2)=U238,2,IF(SMALL(U238:U240,3)=U238,3)))),IF(AND(U238&lt;U239,U239=U240),1,IF(AND(U238&gt;U239,U239=U240),3,IF(AND(U238=U239,U238&lt;U240),(IF(Q248=3,1,2)),IF(AND(U238=U239,U238&gt;U240),(IF(Q248=3,2,3)),IF(AND(U238=U240,U238&lt;U239),(IF(Q242=3,1,2)),IF(AND(U238=U240,U238&gt;U239),(IF(Q242=3,2,3)),99)))))))),"")),""))</f>
        <v/>
      </c>
      <c r="AA235" s="208">
        <v>1</v>
      </c>
      <c r="AB235" s="222" t="str">
        <f>IF(AND(COUNTBLANK(I231:I234)=0,Group_players=4,M231=M232,M232=M233),IF(COUNTIF(U230:U233,U230)=3,AB248,IF(AND(COUNTIF(U230:U233,U230)=1,U231&lt;&gt;U232),IF(M231=2,IF(SMALL(U230:U233,1)=U230,1,IF(SMALL(U230:U233,2)=U230,2,IF(SMALL(U230:U233,3)=U230,3))),IF(M231=1,IF(SMALL(U230:U233,1)=U230,2,IF(SMALL(U230:U233,2)=U230,3,IF(SMALL(U230:U233,3)=U230,4))),"")),IF(COUNTIF(U230:U233,U230)=1,IF(U230&lt;U231,IF(M231=2,1,2),IF(M231=2,3,4)),IF(COUNTIF(U230:U233,U230)=2,IF(U230=U231,IF(U230&lt;U232,IF(M231=2,IF(Q254=3,1,2),IF(M231=1,IF(Q254=3,2,3))),IF(U230&gt;U232,IF(M231=2,IF(Q254=3,2,3),IF(M231=1,IF(Q254=3,3,4))))),IF(U230=U232,IF(U230&lt;U231,IF(M231=2,IF(Q242=3,1,2),IF(M231=1,IF(Q242=3,2,3))),IF(U230&gt;U231,IF(M231=2,IF(Q242=3,2,3),IF(M231=1,IF(Q242=3,3,4))))))),"")))),"")</f>
        <v/>
      </c>
      <c r="AC235" s="192"/>
      <c r="AD235" s="192"/>
      <c r="AE235" s="269"/>
      <c r="AF235" s="203"/>
      <c r="AG235" s="203"/>
      <c r="AH235" s="203"/>
      <c r="AI235" s="203"/>
      <c r="AJ235" s="203"/>
      <c r="AK235" s="203"/>
      <c r="AL235" s="203"/>
      <c r="AM235" s="203"/>
      <c r="AN235" s="192"/>
      <c r="AO235" s="192"/>
      <c r="AP235" s="192"/>
      <c r="AQ235" s="192"/>
      <c r="AR235" s="192"/>
      <c r="AS235" s="192"/>
      <c r="AT235" s="192"/>
      <c r="AU235" s="192"/>
      <c r="AV235" s="192"/>
      <c r="AW235" s="192"/>
      <c r="AX235" s="192"/>
    </row>
    <row r="236" spans="2:50" ht="15" customHeight="1" thickBot="1" x14ac:dyDescent="0.35">
      <c r="B236" s="192"/>
      <c r="C236" s="192"/>
      <c r="D236" s="192"/>
      <c r="E236" s="192"/>
      <c r="F236" s="192"/>
      <c r="G236" s="192"/>
      <c r="H236" s="192"/>
      <c r="I236" s="269"/>
      <c r="J236" s="269"/>
      <c r="K236" s="192"/>
      <c r="L236" s="192"/>
      <c r="M236" s="192"/>
      <c r="N236" s="192"/>
      <c r="O236" s="192"/>
      <c r="P236" s="192"/>
      <c r="Q236" s="192"/>
      <c r="R236" s="192"/>
      <c r="S236" s="192"/>
      <c r="T236" s="208"/>
      <c r="U236" s="368" t="s">
        <v>111</v>
      </c>
      <c r="V236" s="369"/>
      <c r="W236" s="369"/>
      <c r="X236" s="369"/>
      <c r="Y236" s="236">
        <v>2</v>
      </c>
      <c r="Z236" s="220" t="str">
        <f>IF(U231="","",IF(OR(Group_players=3,AND(Group_players=4,COUNTBLANK(I231:I234)=1)),IF(COUNTIF(M231:M233,M232)=1,"",IF(COUNTIF(U230:U232,U231)=3,IF(AND(U239=U238,U239=U240),"Tied",IF(AND(U239&lt;&gt;U238,U239&lt;&gt;U240,U238&lt;&gt;U240),(IF(SMALL(U238:U240,1)=U239,1,IF(SMALL(U238:U240,2)=U239,2,IF(SMALL(U238:U240,3)=U239,3)))),IF(AND(U239&lt;U238,U238=U240),1,IF(AND(U239&gt;U238,U238=U240),3,IF(AND(U239=U238,U239&lt;U240),(IF(Q249=3,1,2)),IF(AND(U239=U238,U239&gt;U240),(IF(Q249=3,2,3)),IF(AND(U239=U240,U239&lt;U238),(IF(Q245=3,1,2)),IF(AND(U239=U240,U239&gt;U238),(IF(Q245=3,2,3)),99)))))))),"")),""))</f>
        <v/>
      </c>
      <c r="AA236" s="208">
        <v>2</v>
      </c>
      <c r="AB236" s="222" t="str">
        <f>IF(AND(COUNTBLANK(I231:I234)=0,Group_players=4,M231=M232,M232=M233),IF(COUNTIF(U230:U233,U231)=3,AB249,IF(AND(COUNTIF(U230:U233,U231)=1,U230&lt;&gt;U232),IF(M232=2,IF(SMALL(U230:U233,1)=U231,1,IF(SMALL(U230:U233,2)=U231,2,IF(SMALL(U230:U233,3)=U231,3))),IF(M232=1,IF(SMALL(U230:U233,1)=U231,2,IF(SMALL(U230:U233,2)=U231,3,IF(SMALL(U230:U233,3)=U231,4))),"")),IF(COUNTIF(U230:U232,U231)=1,IF(U231&lt;U230,IF(M232=2,1,2),IF(M232=2,3,99)),IF(COUNTIF(U230:U233,U231)=2,IF(U231=U230,IF(U231&lt;U232,IF(M232=2,IF(Q255=3,1,2),IF(M232=1,IF(Q255=3,2,3))),IF(U231&gt;U232,IF(M232=2,IF(Q255=3,2,3),IF(M232=1,IF(Q255=3,3,4))))),IF(U231=U232,IF(U231&lt;U230,IF(M232=2,IF(Q251=3,1,2),IF(M232=1,IF(Q251=3,2,3))),IF(U231&gt;U230,IF(M232=2,IF(Q251=3,2,3),IF(M232=1,IF(Q251=3,3,4))))))),"")))),"")</f>
        <v/>
      </c>
      <c r="AC236" s="192"/>
      <c r="AD236" s="192"/>
      <c r="AE236" s="192"/>
      <c r="AF236" s="203"/>
      <c r="AG236" s="203"/>
      <c r="AH236" s="203"/>
      <c r="AI236" s="203"/>
      <c r="AJ236" s="203"/>
      <c r="AK236" s="203"/>
      <c r="AL236" s="203"/>
      <c r="AM236" s="203"/>
      <c r="AN236" s="192"/>
      <c r="AO236" s="192"/>
      <c r="AP236" s="192"/>
      <c r="AQ236" s="192"/>
      <c r="AR236" s="192"/>
      <c r="AS236" s="192"/>
      <c r="AT236" s="192"/>
      <c r="AU236" s="192"/>
      <c r="AV236" s="192"/>
      <c r="AW236" s="192"/>
      <c r="AX236" s="192"/>
    </row>
    <row r="237" spans="2:50" ht="15" customHeight="1" thickTop="1" thickBot="1" x14ac:dyDescent="0.35">
      <c r="B237" s="192"/>
      <c r="C237" s="192"/>
      <c r="D237" s="192"/>
      <c r="E237" s="192"/>
      <c r="F237" s="192"/>
      <c r="G237" s="192"/>
      <c r="H237" s="192"/>
      <c r="I237" s="192"/>
      <c r="J237" s="192"/>
      <c r="K237" s="192"/>
      <c r="L237" s="192"/>
      <c r="M237" s="192"/>
      <c r="N237" s="192"/>
      <c r="O237" s="192"/>
      <c r="P237" s="192"/>
      <c r="Q237" s="192"/>
      <c r="R237" s="192"/>
      <c r="S237" s="192"/>
      <c r="T237" s="120"/>
      <c r="U237" s="121" t="s">
        <v>101</v>
      </c>
      <c r="V237" s="122" t="s">
        <v>102</v>
      </c>
      <c r="W237" s="122" t="s">
        <v>103</v>
      </c>
      <c r="X237" s="123" t="s">
        <v>104</v>
      </c>
      <c r="Y237" s="238">
        <v>3</v>
      </c>
      <c r="Z237" s="239" t="str">
        <f>IF(U232="","",IF(OR(Group_players=3,AND(Group_players=4,COUNTBLANK(I231:I234)=1)),IF(COUNTIF(M231:M233,M233)=1,"",IF(COUNTIF(U230:U232,U232)=3,IF(AND(U240=U238,U240=U239),"Tied",IF(AND(U240&lt;&gt;U239,U239&lt;&gt;U238,U240&lt;&gt;U238),(IF(SMALL(U238:U240,1)=U240,1,IF(SMALL(U238:U240,2)=U240,2,IF(SMALL(U238:U240,3)=U240,3)))),IF(AND(U240&lt;U239,U239=U238),1,IF(AND(U240&gt;U239,U239=U238),3,IF(AND(U240=U239,U240&lt;U238),(IF(Q246=3,1,2)),IF(AND(U240=U239,U240&gt;U238),(IF(Q246=3,2,3)),IF(AND(U240=U238,U240&lt;U239),(IF(Q243=3,1,2)),IF(AND(U240=U238,U240&gt;U239),(IF(Q243=3,2,3)),99)))))))),"")),""))</f>
        <v/>
      </c>
      <c r="AA237" s="240">
        <v>3</v>
      </c>
      <c r="AB237" s="241" t="str">
        <f>IF(AND(COUNTBLANK(I231:I234)=0,Group_players=4,M231=M232,M232=M233),IF(COUNTIF(U230:U233,U232)=3,AB250,IF(AND(COUNTIF(U230:U233,U232)=1,U230&lt;&gt;U231),IF(M231=2,IF(SMALL(U230:U233,1)=U232,1,IF(SMALL(U230:U233,2)=U232,2,IF(SMALL(U230:U233,3)=U232,3))),IF(M233=1,IF(SMALL(U230:U233,1)=U232,2,IF(SMALL(U230:U233,2)=U232,3,IF(SMALL(U230:U233,3)=U232,4))),"")),IF(COUNTIF(U230:U233,U232)=1,IF(U232&lt;U231,IF(M233=2,1,2),IF(M233=2,3,4)),IF(COUNTIF(U230:U233,U232)=2,IF(U232=U231,IF(U232&lt;U230,IF(M233=2,IF(Q252=3,1,2),IF(M233=1,IF(Q252=3,2,3))),IF(U232&gt;U230,IF(M233=2,IF(Q252=3,2,3),IF(M233=1,IF(Q252=3,3,4))))),IF(U232=U230,IF(U232&lt;U231,IF(M233=2,IF(Q243=3,1,2),IF(M233=1,IF(Q243=3,2,3))),IF(U232&gt;U231,IF(M233=2,IF(Q243=3,2,3),IF(M233=1,IF(Q243=3,3,4))))))),"")))),"")</f>
        <v/>
      </c>
      <c r="AC237" s="192"/>
      <c r="AD237" s="192"/>
      <c r="AE237" s="192"/>
      <c r="AF237" s="203"/>
      <c r="AG237" s="203"/>
      <c r="AH237" s="203"/>
      <c r="AI237" s="203"/>
      <c r="AJ237" s="203"/>
      <c r="AK237" s="203"/>
      <c r="AL237" s="203"/>
      <c r="AM237" s="203"/>
      <c r="AN237" s="192"/>
      <c r="AO237" s="192"/>
      <c r="AP237" s="192"/>
      <c r="AQ237" s="192"/>
      <c r="AR237" s="192"/>
      <c r="AS237" s="192"/>
      <c r="AT237" s="192"/>
      <c r="AU237" s="192"/>
      <c r="AV237" s="192"/>
      <c r="AW237" s="192"/>
      <c r="AX237" s="192"/>
    </row>
    <row r="238" spans="2:50" ht="15" customHeight="1" thickTop="1" thickBot="1" x14ac:dyDescent="0.35">
      <c r="B238" s="192"/>
      <c r="C238" s="192"/>
      <c r="D238" s="192"/>
      <c r="E238" s="192"/>
      <c r="F238" s="192"/>
      <c r="G238" s="192"/>
      <c r="H238" s="192"/>
      <c r="I238" s="192"/>
      <c r="J238" s="192"/>
      <c r="K238" s="192"/>
      <c r="L238" s="192"/>
      <c r="M238" s="192"/>
      <c r="N238" s="192"/>
      <c r="O238" s="192"/>
      <c r="P238" s="192"/>
      <c r="Q238" s="192"/>
      <c r="R238" s="192"/>
      <c r="S238" s="192"/>
      <c r="T238" s="208">
        <v>1</v>
      </c>
      <c r="U238" s="209" t="str">
        <f>IF(U230="","",IF(OR(U230&lt;&gt;U231,U230&lt;&gt;U232),"",IF(COUNTIF(M231:M233,M231)=1,"",IF(COUNTBLANK(I231:I234)=1,(SUM(L243:P243)+SUM(L249:P249))/(SUM(L242:P242)+SUM(L248:P248)),IF(COUNTBLANK(I231:I234)=0,(SUM(L255:P255)+SUM(L243:P243))/(SUM(L254:P254)+SUM(L242:P242)),"")))))</f>
        <v/>
      </c>
      <c r="V238" s="125" t="str">
        <f>IF(V230="","",IF(OR(V230&lt;&gt;V232,V230&lt;&gt;V233),"",IF(AND(COUNTBLANK(I231:I234)=0,M231=M233,M233=M234),(SUM(L243:P243)+SUM(L249:P249))/(SUM(L242:P242)+SUM(L248:P248)),"")))</f>
        <v/>
      </c>
      <c r="W238" s="210" t="str">
        <f>IF(W230="","",IF(OR(W230&lt;&gt;W231,W230&lt;&gt;W233),"",IF(AND(COUNTBLANK(I231:I234)=0,M231=M232,M232=M234),(SUM(L255:P255)+SUM(L249:P249))/(SUM(L254:P254)+SUM(L248:P248)),"")))</f>
        <v/>
      </c>
      <c r="X238" s="211"/>
      <c r="Y238" s="242"/>
      <c r="Z238" s="242"/>
      <c r="AA238" s="243">
        <v>1</v>
      </c>
      <c r="AB238" s="244" t="str">
        <f>IF(AND(COUNTBLANK(I231:I234)=0,Group_players=4,M231=M233,M233=M234),IF(COUNTIF(V230:V233,V230)=3,AB251,IF(AND(COUNTIF(V230:V233,V230)=1,V232&lt;&gt;U241),IF(M231=2,IF(SMALL(V230:V233,1)=V230,1,IF(SMALL(V230:V233,2)=V230,2,IF(SMALL(V230:V233,3)=V230,3))),IF(M231=1,IF(SMALL(V230:V233,1)=V230,2,IF(SMALL(V230:V233,2)=V230,3,IF(SMALL(V230:V233,3)=V230,4))),"")),IF(COUNTIF(V230:V233,V230)=1,IF(V230&lt;V232,IF(M231=2,1,2),IF(M231=2,3,4)),IF(COUNTIF(V230:V233,V230)=2,IF(V230=V232,IF(V230&lt;V233,IF(M231=2,IF(Q242=3,1,2),IF(M231=1,IF(Q242=3,2,3))),IF(V230&gt;V233,IF(M231=2,IF(Q242=3,2,3),IF(M231=1,IF(Q242=3,3,4))))),IF(V230=V233,IF(V230&lt;V232,IF(M231=2,IF(Q248=3,1,2),IF(M231=1,IF(Q248=3,2,3))),IF(V230&gt;V231,IF(M231=2,IF(Q248=3,2,3),IF(M231=1,IF(Q248=3,3,4))))))),"")))),"")</f>
        <v/>
      </c>
      <c r="AC238" s="192"/>
      <c r="AD238" s="192"/>
      <c r="AE238" s="192"/>
      <c r="AF238" s="203"/>
      <c r="AG238" s="203"/>
      <c r="AH238" s="203"/>
      <c r="AI238" s="203"/>
      <c r="AJ238" s="203"/>
      <c r="AK238" s="203"/>
      <c r="AL238" s="203"/>
      <c r="AM238" s="203"/>
      <c r="AN238" s="192"/>
      <c r="AO238" s="192"/>
      <c r="AP238" s="192"/>
      <c r="AQ238" s="192"/>
      <c r="AR238" s="192"/>
      <c r="AS238" s="192"/>
      <c r="AT238" s="192"/>
      <c r="AU238" s="192"/>
      <c r="AV238" s="192"/>
      <c r="AW238" s="192"/>
      <c r="AX238" s="192"/>
    </row>
    <row r="239" spans="2:50" ht="15" customHeight="1" thickTop="1" thickBot="1" x14ac:dyDescent="0.35">
      <c r="B239" s="192"/>
      <c r="C239" s="192"/>
      <c r="D239" s="192"/>
      <c r="E239" s="117"/>
      <c r="F239" s="117"/>
      <c r="G239" s="117"/>
      <c r="H239" s="192"/>
      <c r="I239" s="192"/>
      <c r="J239" s="192"/>
      <c r="K239" s="192"/>
      <c r="L239" s="192"/>
      <c r="M239" s="192"/>
      <c r="N239" s="192"/>
      <c r="O239" s="192"/>
      <c r="P239" s="192"/>
      <c r="Q239" s="192"/>
      <c r="R239" s="192"/>
      <c r="S239" s="394" t="s">
        <v>112</v>
      </c>
      <c r="T239" s="208">
        <v>2</v>
      </c>
      <c r="U239" s="209" t="str">
        <f>IF(U230="","",IF(OR(U231&lt;&gt;U230,U231&lt;&gt;U232),"",IF(COUNTIF(M231:M233,M232)=1,"",IF(COUNTBLANK(I231:I234)=1,(SUM(L246:P246)+SUM(L248:P248))/(SUM(L245:P245)+SUM(L249:P249)),IF(COUNTBLANK(I231:I234)=0,(SUM(L254:P254)+SUM(L252:P252))/(SUM(L255:P255)+SUM(L251:P251)))))))</f>
        <v/>
      </c>
      <c r="V239" s="135"/>
      <c r="W239" s="212" t="str">
        <f>IF(W230="","",IF(OR(W231&lt;&gt;W230,W231&lt;&gt;W233),"",IF(AND(COUNTBLANK(I231:I234)=0,M231=M232,M232=M234),(SUM(L246:P246)+SUM(L254:P254))/(SUM(L255:P255)+SUM(L245:P245)),"")))</f>
        <v/>
      </c>
      <c r="X239" s="245" t="str">
        <f>IF(X231="","",IF(OR(X231&lt;&gt;X232,X231&lt;&gt;X233),"",IF(AND(COUNTBLANK(I231:I234)=0,M232=M233,M233=M234),(SUM(L252:P252)+SUM(L246:P246))/(SUM(L251:P251)+SUM(L245:P245)),"")))</f>
        <v/>
      </c>
      <c r="Y239" s="242"/>
      <c r="Z239" s="203"/>
      <c r="AA239" s="246">
        <v>3</v>
      </c>
      <c r="AB239" s="222" t="str">
        <f>IF(AND(COUNTBLANK(I231:I234)=0,Group_players=4,M231=M233,M233=M234),IF(COUNTIF(V230:V233,V232)=3,AB252,IF(AND(COUNTIF(V230:V233,V232)=1,V230&lt;&gt;V233),IF(M233=2,IF(SMALL(V230:V233,1)=V232,1,IF(SMALL(V230:V233,2)=V232,2,IF(SMALL(V230:V233,3)=V232,3))),IF(M233=1,IF(SMALL(V230:V233,1)=V232,2,IF(SMALL(V230:V233,2)=V232,3,IF(SMALL(V230:V233,3)=V232,4))),"")),IF(COUNTIF(V230:V233,V232)=1,IF(V232&lt;V230,IF(M233=2,1,2),IF(M233=2,3,4)),IF(COUNTIF(V230:V233,V232)=2,IF(V232=V230,IF(V232&lt;V233,IF(M233=2,IF(Q243=3,1,2),IF(M233=1,IF(Q243=3,2,3))),IF(V232&gt;V233,IF(M233=2,IF(Q243=3,2,3),IF(M233=1,IF(Q243=3,3,4))))),IF(V232=V233,IF(V232&lt;V230,IF(M233=2,IF(Q257=3,1,2),IF(M233=1,IF(Q257=3,2,3))),IF(V232&gt;V230,IF(M233=2,IF(Q257=3,2,3),IF(M233=1,IF(Q257=3,3,4))))))),"")))),"")</f>
        <v/>
      </c>
      <c r="AC239" s="192"/>
      <c r="AD239" s="192"/>
      <c r="AE239" s="192"/>
      <c r="AF239" s="203"/>
      <c r="AG239" s="203"/>
      <c r="AH239" s="203"/>
      <c r="AI239" s="203"/>
      <c r="AJ239" s="203"/>
      <c r="AK239" s="203"/>
      <c r="AL239" s="203"/>
      <c r="AM239" s="203"/>
      <c r="AN239" s="192"/>
      <c r="AO239" s="192"/>
      <c r="AP239" s="192"/>
      <c r="AQ239" s="192"/>
      <c r="AR239" s="192"/>
      <c r="AS239" s="192"/>
      <c r="AT239" s="192"/>
      <c r="AU239" s="192"/>
      <c r="AV239" s="192"/>
      <c r="AW239" s="192"/>
      <c r="AX239" s="192"/>
    </row>
    <row r="240" spans="2:50" ht="15" customHeight="1" thickTop="1" thickBot="1" x14ac:dyDescent="0.35">
      <c r="B240" s="192"/>
      <c r="C240" s="192"/>
      <c r="D240" s="192"/>
      <c r="E240" s="117"/>
      <c r="F240" s="117"/>
      <c r="G240" s="117"/>
      <c r="H240" s="192"/>
      <c r="I240" s="192"/>
      <c r="J240" s="192"/>
      <c r="K240" s="192"/>
      <c r="L240" s="192"/>
      <c r="M240" s="192"/>
      <c r="N240" s="192"/>
      <c r="O240" s="192"/>
      <c r="P240" s="192"/>
      <c r="Q240" s="192"/>
      <c r="R240" s="247"/>
      <c r="S240" s="395"/>
      <c r="T240" s="208">
        <v>3</v>
      </c>
      <c r="U240" s="209" t="str">
        <f>IF(U230="","",IF(OR(U232&lt;&gt;U230,U232&lt;&gt;U231),"",IF(COUNTIF(M231:M233,M233)=1,"",IF(COUNTBLANK(I231:I234)=1,(SUM(L242:P242)+SUM(L245:P245))/(SUM(L243:P243)+SUM(L246:P246)),IF(COUNTBLANK(I231:I234)=0,(SUM(L242:P242)+SUM(L251:P251))/(SUM(L243:P243)+SUM(L252:P252)))))))</f>
        <v/>
      </c>
      <c r="V240" s="125" t="str">
        <f>IF(V230="","",IF(OR(V232&lt;&gt;V230,V232&lt;&gt;V233),"",IF(AND(COUNTBLANK(I231:I234)=0,M231=M233,M233=M234),(SUM(L242:P242)+SUM(L258:P258))/(SUM(L243:P243)+SUM(L257:P257)),"")))</f>
        <v/>
      </c>
      <c r="W240" s="218"/>
      <c r="X240" s="245" t="str">
        <f>IF(X231="","",IF(OR(X232&lt;&gt;X231,X232&lt;&gt;X233),"",IF(AND(COUNTBLANK(I231:I234)=0,M232=M233,M233=M234),(SUM(L251:P251)+SUM(L258:P258))/(SUM(L252:P252)+SUM(L257:P257)),"")))</f>
        <v/>
      </c>
      <c r="Y240" s="208"/>
      <c r="Z240" s="203"/>
      <c r="AA240" s="240">
        <v>4</v>
      </c>
      <c r="AB240" s="222" t="str">
        <f>IF(AND(COUNTBLANK(I231:I234)=0,Group_players=4,M231=M233,M233=M234),IF(COUNTIF(V230:V233,V233)=3,AB253,IF(AND(COUNTIF(V230:V233,V233)=1,V232&lt;&gt;V230),IF(M234=2,IF(SMALL(V230:V233,1)=V233,1,IF(SMALL(V230:V233,2)=V233,2,IF(SMALL(V230:V233,3)=V233,3))),IF(M234=1,IF(SMALL(V230:V233,1)=V233,2,IF(SMALL(V230:V233,2)=V233,3,IF(SMALL(V230:V233,3)=V233,4))),"")),IF(COUNTIF(V230:V233,V233)=1,IF(V233&lt;V230,IF(M234=2,1,2),IF(M234=2,3,4)),IF(COUNTIF(V230:V233,V233)=2,IF(V233=V230,IF(V233&lt;V232,IF(M234=2,IF(Q249=3,1,2),IF(M234=1,IF(Q249=3,2,3))),IF(V233&gt;V232,IF(M234=2,IF(Q249=3,2,3),IF(M234=1,IF(Q249=3,3,4))))),IF(V233=V232,IF(V233&lt;V230,IF(M234=2,IF(Q258=3,1,2),IF(M234=1,IF(Q258=3,2,3))),IF(V233&gt;V230,IF(M234=2,IF(Q258=3,2,3),IF(M234=1,IF(Q258=3,3,4))))))),"")))),"")</f>
        <v/>
      </c>
      <c r="AC240" s="192"/>
      <c r="AD240" s="192"/>
      <c r="AE240" s="192"/>
      <c r="AF240" s="203"/>
      <c r="AG240" s="203"/>
      <c r="AH240" s="203"/>
      <c r="AI240" s="203"/>
      <c r="AJ240" s="203"/>
      <c r="AK240" s="203"/>
      <c r="AL240" s="203"/>
      <c r="AM240" s="203"/>
      <c r="AN240" s="192"/>
      <c r="AO240" s="192"/>
      <c r="AP240" s="192"/>
      <c r="AQ240" s="192"/>
      <c r="AR240" s="192"/>
      <c r="AS240" s="192"/>
      <c r="AT240" s="192"/>
      <c r="AU240" s="192"/>
      <c r="AV240" s="192"/>
      <c r="AW240" s="192"/>
      <c r="AX240" s="192"/>
    </row>
    <row r="241" spans="2:50" ht="15" customHeight="1" thickTop="1" thickBot="1" x14ac:dyDescent="0.35">
      <c r="B241" s="192"/>
      <c r="C241" s="192"/>
      <c r="D241" s="192"/>
      <c r="E241" s="168" t="s">
        <v>113</v>
      </c>
      <c r="F241" s="168" t="s">
        <v>114</v>
      </c>
      <c r="G241" s="117"/>
      <c r="H241" s="192"/>
      <c r="I241" s="249" t="s">
        <v>115</v>
      </c>
      <c r="J241" s="249"/>
      <c r="K241" s="249"/>
      <c r="L241" s="250" t="s">
        <v>115</v>
      </c>
      <c r="M241" s="250" t="s">
        <v>116</v>
      </c>
      <c r="N241" s="250" t="s">
        <v>117</v>
      </c>
      <c r="O241" s="250" t="s">
        <v>118</v>
      </c>
      <c r="P241" s="250" t="s">
        <v>119</v>
      </c>
      <c r="Q241" s="250" t="s">
        <v>120</v>
      </c>
      <c r="R241" s="250"/>
      <c r="S241" s="251"/>
      <c r="T241" s="208">
        <v>4</v>
      </c>
      <c r="U241" s="223"/>
      <c r="V241" s="140" t="str">
        <f>IF(V230="","",IF(OR(V233&lt;&gt;V230,V233&lt;&gt;V232),"",IF(AND(COUNTBLANK(I231:I234)=0,M231=M233,M233=M234),(SUM(L248:P248)+SUM(L257:P257))/(SUM(L249:P249)+SUM(L258:P258)),"")))</f>
        <v/>
      </c>
      <c r="W241" s="224" t="str">
        <f>IF(W230="","",IF(OR(W233&lt;&gt;W230,W233&lt;&gt;W231),"",IF(AND(COUNTBLANK(I231:I234)=0,M231=M232,M232=M234),(SUM(L248:P248)+SUM(L245:P245))/(SUM(L249:P249)+SUM(L246:P246)),"")))</f>
        <v/>
      </c>
      <c r="X241" s="252" t="str">
        <f>IF(X231="","",IF(OR(X233&lt;&gt;X231,X233&lt;&gt;X232),"",IF(AND(COUNTBLANK(I231:I234)=0,M232=M233,M233=M234),(SUM(L245:P245)+SUM(L257:P257))/(SUM(L246:P246)+SUM(L258:P258)),"")))</f>
        <v/>
      </c>
      <c r="Y241" s="192"/>
      <c r="Z241" s="203"/>
      <c r="AA241" s="243">
        <v>1</v>
      </c>
      <c r="AB241" s="151" t="str">
        <f>IF(AND(COUNTBLANK(I231:I234)=0,Group_players=4,M231=M232,M232=M234),IF(COUNTIF(W230:W233,W230)=3,AB254,IF(AND(COUNTIF(W230:W233,W230)=1,W231&lt;&gt;W233),IF(M231=2,IF(SMALL(W230:W233,1)=W230,1,IF(SMALL(W230:W233,2)=W230,2,IF(SMALL(W230:W233,3)=W230,3))),IF(M231=1,IF(SMALL(W230:W233,1)=W230,2,IF(SMALL(W230:W233,2)=W230,3,IF(SMALL(W230:W233,3)=W230,4))),"")),IF(COUNTIF(W230:W233,W230)=1,IF(W230&lt;W231,IF(M231=2,1,2),IF(M231=2,3,4)),IF(COUNTIF(W230:W233,W230)=2,IF(W230=W231,IF(W230&lt;W233,IF(M231=2,IF(Q254=3,1,2),IF(M231=1,IF(Q254=3,2,3))),IF(W230&gt;W233,IF(M231=2,IF(Q254=3,2,3),IF(M231=1,IF(Q254=3,3,4))))),IF(W230=W233,IF(W230&lt;W231,IF(M231=2,IF(Q248=3,1,2),IF(M231=1,IF(Q248=3,2,3))),IF(W230&gt;W231,IF(M231=2,IF(Q248=3,2,3),IF(M231=1,IF(Q248=3,3,4))))))),"")))),"")</f>
        <v/>
      </c>
      <c r="AC241" s="192"/>
      <c r="AD241" s="192"/>
      <c r="AE241" s="192"/>
      <c r="AF241" s="203"/>
      <c r="AG241" s="203"/>
      <c r="AH241" s="203"/>
      <c r="AI241" s="203"/>
      <c r="AJ241" s="203"/>
      <c r="AK241" s="203"/>
      <c r="AL241" s="203"/>
      <c r="AM241" s="203"/>
      <c r="AN241" s="192"/>
      <c r="AO241" s="192"/>
      <c r="AP241" s="192"/>
      <c r="AQ241" s="192"/>
      <c r="AR241" s="192"/>
      <c r="AS241" s="192"/>
      <c r="AT241" s="192"/>
      <c r="AU241" s="192"/>
      <c r="AV241" s="192"/>
      <c r="AW241" s="192"/>
      <c r="AX241" s="192"/>
    </row>
    <row r="242" spans="2:50" ht="15" customHeight="1" thickTop="1" x14ac:dyDescent="0.3">
      <c r="B242" s="192"/>
      <c r="C242" s="192"/>
      <c r="D242" s="192"/>
      <c r="E242" s="164" t="str">
        <f>IF(Q242="","",IF(Q242=3,1,0))</f>
        <v/>
      </c>
      <c r="F242" s="164" t="str">
        <f>IF(Q242="","",IF(Q242&lt;3,1,0))</f>
        <v/>
      </c>
      <c r="G242" s="192"/>
      <c r="H242" s="192" t="str">
        <f>IF(I231="","",1)</f>
        <v/>
      </c>
      <c r="I242" s="192" t="str">
        <f>IF(ISNUMBER(H242),VLOOKUP(H242,H231:I234,2,TRUE),"")</f>
        <v/>
      </c>
      <c r="J242" s="192"/>
      <c r="K242" s="192" t="str">
        <f>VLOOKUP(I242,I231:L234,3,FALSE)</f>
        <v/>
      </c>
      <c r="L242" s="253"/>
      <c r="M242" s="254"/>
      <c r="N242" s="254"/>
      <c r="O242" s="152"/>
      <c r="P242" s="153"/>
      <c r="Q242" s="255" t="str">
        <f>IF(L242="","",IF(AND(L242-L243&gt;1,L242&gt;10),1,0)+IF(AND(M242-M243&gt;1,M242&gt;10),1,0)+IF(AND(N242-N243&gt;1,N242&gt;10),1,0)+IF(AND(O242-O243&gt;1,O242&gt;10),1,0)+IF(AND(P242-P243&gt;1,P242&gt;10),1,0))</f>
        <v/>
      </c>
      <c r="R242" s="203" t="str">
        <f>IF(AND(I242="",I243=""),"",ABS(VLOOKUP(I242,I231:L234,4,FALSE)-VLOOKUP(I243,I231:L234,4,FALSE)))</f>
        <v/>
      </c>
      <c r="S242" s="256" t="str">
        <f>IF(R243="","",IF(Q242=3,+R243,-R243))</f>
        <v/>
      </c>
      <c r="T242" s="257"/>
      <c r="U242" s="258"/>
      <c r="V242" s="258"/>
      <c r="W242" s="258"/>
      <c r="X242" s="258"/>
      <c r="Y242" s="192"/>
      <c r="Z242" s="203"/>
      <c r="AA242" s="246">
        <v>2</v>
      </c>
      <c r="AB242" s="154" t="str">
        <f>IF(AND(COUNTBLANK(I231:I234)=0,Group_players=4,M231=M232,M232=M234),IF(COUNTIF(W230:W233,W231)=3,AB255,IF(AND(COUNTIF(W230:W233,W231)=1,W230&lt;&gt;W232),IF(M232=2,IF(SMALL(W230:W233,1)=W231,1,IF(SMALL(W230:W233,2)=W231,2,IF(SMALL(W230:W233,3)=W231,3))),IF(M232=1,IF(SMALL(W230:W233,1)=W231,2,IF(SMALL(W230:W233,2)=W231,3,IF(SMALL(W230:W233,3)=W231,4))),"")),IF(COUNTIF(W230:W233,W231)=1,IF(W231&lt;W230,IF(M232=2,1,2),IF(M232=2,3,4)),IF(COUNTIF(W230:W233,W231)=2,IF(W231=W230,IF(W231&lt;W233,IF(M232=2,IF(Q255=3,1,2),IF(M232=1,IF(Q255=3,2,3))),IF(W231&gt;W233,IF(M232=2,IF(Q255=3,2,3),IF(M232=1,IF(Q255=3,3,4))))),IF(W231=W233,IF(W231&lt;W230,IF(M232=2,IF(Q245=3,1,2),IF(M232=1,IF(Q245=3,2,3))),IF(W231&gt;W230,IF(M232=2,IF(Q245=3,2,3),IF(M232=1,IF(Q245=3,3,4))))))),"")))),"")</f>
        <v/>
      </c>
      <c r="AC242" s="192"/>
      <c r="AD242" s="192"/>
      <c r="AE242" s="192"/>
      <c r="AF242" s="203"/>
      <c r="AG242" s="203"/>
      <c r="AH242" s="203"/>
      <c r="AI242" s="203"/>
      <c r="AJ242" s="203"/>
      <c r="AK242" s="203"/>
      <c r="AL242" s="203"/>
      <c r="AM242" s="203"/>
      <c r="AN242" s="192"/>
      <c r="AO242" s="192"/>
      <c r="AP242" s="192"/>
      <c r="AQ242" s="192"/>
      <c r="AR242" s="192"/>
      <c r="AS242" s="192"/>
      <c r="AT242" s="192"/>
      <c r="AU242" s="192"/>
      <c r="AV242" s="192"/>
      <c r="AW242" s="192"/>
      <c r="AX242" s="192"/>
    </row>
    <row r="243" spans="2:50" ht="15" customHeight="1" thickBot="1" x14ac:dyDescent="0.35">
      <c r="B243" s="192"/>
      <c r="C243" s="192"/>
      <c r="D243" s="192"/>
      <c r="E243" s="164" t="str">
        <f>IF(Q243="","",IF(Q243=3,1,0))</f>
        <v/>
      </c>
      <c r="F243" s="164" t="str">
        <f>IF(Q243="","",IF(Q243&lt;3,1,0))</f>
        <v/>
      </c>
      <c r="G243" s="192"/>
      <c r="H243" s="192" t="str">
        <f>IF(I232="","",IF(I233="",2,3))</f>
        <v/>
      </c>
      <c r="I243" s="294" t="str">
        <f>IF(ISNUMBER(H243),VLOOKUP(H243,H231:I234,2,TRUE),"")</f>
        <v/>
      </c>
      <c r="J243" s="192"/>
      <c r="K243" s="192" t="str">
        <f>VLOOKUP(I243,I231:L234,3,FALSE)</f>
        <v/>
      </c>
      <c r="L243" s="155"/>
      <c r="M243" s="259"/>
      <c r="N243" s="259"/>
      <c r="O243" s="156"/>
      <c r="P243" s="157"/>
      <c r="Q243" s="260" t="str">
        <f>IF(L243="","",IF(AND(L243-L242&gt;1,L243&gt;10),1,0)+IF(AND(M243-M242&gt;1,M243&gt;10),1,0)+IF(AND(N243-N242&gt;1,N243&gt;10),1,0)+IF(AND(O243-O242&gt;1,O243&gt;10),1,0)+IF(AND(P243-P242&gt;1,P243&gt;10),1,0))</f>
        <v/>
      </c>
      <c r="R243" s="203" t="str">
        <f>IF(AND(Q242&lt;&gt;3,Q243&lt;&gt;3),"",IF(Q242=3,IF(VLOOKUP(I242,I231:L234,4,FALSE)&gt;VLOOKUP(I243,I231:L234,4,FALSE),VLOOKUP(R242,Point_dif,2,FALSE),VLOOKUP(R242,Point_dif,3,FALSE)),IF(Q243=3,IF(VLOOKUP(I243,I231:L234,4,FALSE)&gt;VLOOKUP(I242,I231:L234,4,FALSE),VLOOKUP(R242,Point_dif,2,FALSE),VLOOKUP(R242,Point_dif,3,FALSE)))))</f>
        <v/>
      </c>
      <c r="S243" s="256" t="str">
        <f>IF(R243="","",IF(Q243=3,+R243,-R243))</f>
        <v/>
      </c>
      <c r="T243" s="192"/>
      <c r="U243" s="235"/>
      <c r="V243" s="235"/>
      <c r="W243" s="235"/>
      <c r="X243" s="235"/>
      <c r="Y243" s="235"/>
      <c r="Z243" s="235"/>
      <c r="AA243" s="240">
        <v>4</v>
      </c>
      <c r="AB243" s="158" t="str">
        <f>IF(AND(COUNTBLANK(I231:I234)=0,Group_players=4,M231=M232,M232=M234),IF(COUNTIF(W230:W233,W233)=3,AB256,IF(AND(COUNTIF(W230:W233,W233)=1,W230&lt;&gt;W231),IF(M234=2,IF(SMALL(W230:W233,1)=W233,1,IF(SMALL(W230:W233,2)=W233,2,IF(SMALL(W230:W233,3)=W233,3))),IF(M234=1,IF(SMALL(W230:W233,1)=W233,2,IF(SMALL(W230:W233,2)=W233,3,IF(SMALL(W230:W233,3)=W233,4))),"")),IF(COUNTIF(W230:W233,W233)=1,IF(W233&lt;W230,IF(M234=2,1,2),IF(M234=2,3,4)),IF(COUNTIF(W230:W233,W233)=2,IF(W233=W230,IF(W233&lt;W231,IF(M234=2,IF(Q249=3,1,2),IF(M234=1,IF(Q249=3,2,3))),IF(W233&gt;W232,IF(M234=2,IF(Q249=3,2,3),IF(M234=1,IF(Q249=3,3,4))))),IF(W233=W231,IF(W233&lt;W230,IF(M234=2,IF(Q246=3,1,2),IF(M234=1,IF(Q246=3,2,3))),IF(W233&gt;W230,IF(M234=2,IF(Q246=3,2,3),IF(M234=1,IF(Q246=3,3,4))))))),"")))),"")</f>
        <v/>
      </c>
      <c r="AC243" s="192"/>
      <c r="AD243" s="192"/>
      <c r="AE243" s="192"/>
      <c r="AF243" s="203"/>
      <c r="AG243" s="203"/>
      <c r="AH243" s="203"/>
      <c r="AI243" s="203"/>
      <c r="AJ243" s="203"/>
      <c r="AK243" s="203"/>
      <c r="AL243" s="203"/>
      <c r="AM243" s="203"/>
      <c r="AN243" s="192"/>
      <c r="AO243" s="192"/>
      <c r="AP243" s="192"/>
      <c r="AQ243" s="192"/>
      <c r="AR243" s="192"/>
      <c r="AS243" s="192"/>
      <c r="AT243" s="192"/>
      <c r="AU243" s="192"/>
      <c r="AV243" s="192"/>
      <c r="AW243" s="192"/>
      <c r="AX243" s="192"/>
    </row>
    <row r="244" spans="2:50" ht="15" customHeight="1" thickTop="1" thickBot="1" x14ac:dyDescent="0.35">
      <c r="B244" s="192"/>
      <c r="C244" s="192"/>
      <c r="D244" s="192"/>
      <c r="E244" s="164"/>
      <c r="F244" s="164"/>
      <c r="G244" s="192"/>
      <c r="H244" s="192"/>
      <c r="I244" s="249" t="s">
        <v>116</v>
      </c>
      <c r="J244" s="249"/>
      <c r="K244" s="249"/>
      <c r="L244" s="250" t="s">
        <v>115</v>
      </c>
      <c r="M244" s="250" t="s">
        <v>116</v>
      </c>
      <c r="N244" s="250" t="s">
        <v>117</v>
      </c>
      <c r="O244" s="250" t="s">
        <v>118</v>
      </c>
      <c r="P244" s="250" t="s">
        <v>119</v>
      </c>
      <c r="Q244" s="250" t="s">
        <v>120</v>
      </c>
      <c r="R244" s="250"/>
      <c r="S244" s="251"/>
      <c r="T244" s="192"/>
      <c r="U244" s="235"/>
      <c r="V244" s="235"/>
      <c r="W244" s="235"/>
      <c r="X244" s="235"/>
      <c r="Y244" s="235"/>
      <c r="Z244" s="235"/>
      <c r="AA244" s="243">
        <v>2</v>
      </c>
      <c r="AB244" s="151" t="str">
        <f>IF(AND(COUNTBLANK(I231:I234)=0,Group_players=4,M232=M233,M233=M234),IF(COUNTIF(X230:X233,X231)=3,AB257,IF(AND(COUNTIF(X230:X233,X231)=1,X232&lt;&gt;X233),IF(M232=2,IF(SMALL(X230:X233,1)=X231,1,IF(SMALL(X230:X233,2)=X231,2,IF(SMALL(X230:X233,3)=X231,3))),IF(M232=1,IF(SMALL(X230:X233,1)=X231,2,IF(SMALL(X230:X233,2)=X231,3,IF(SMALL(X230:X233,3)=X231,4))),"")),IF(COUNTIF(X230:X233,X231)=1,IF(X231&lt;X233,IF(M232=2,1,2),IF(M232=1,3,3)),IF(COUNTIF(X230:X233,X231)=2,IF(X231=X232,IF(X231&lt;X233,IF(M232=2,IF(Q251=3,1,2),IF(M232=1,IF(Q251=3,2,3))),IF(X231&gt;X233,IF(M232=2,IF(Q251=3,2,3),IF(M232=1,IF(Q251=3,3,4))))),IF(X231=X233,IF(X231&lt;X232,IF(M232=2,IF(Q245=3,1,2),IF(M232=1,IF(Q245=3,2,3))),IF(X231&gt;X232,IF(M232=2,IF(Q245=3,2,3),IF(M232=1,IF(Q245=3,3,4))))))),"")))),"")</f>
        <v/>
      </c>
      <c r="AC244" s="192"/>
      <c r="AD244" s="192"/>
      <c r="AE244" s="192"/>
      <c r="AF244" s="203"/>
      <c r="AG244" s="203"/>
      <c r="AH244" s="203"/>
      <c r="AI244" s="203"/>
      <c r="AJ244" s="203"/>
      <c r="AK244" s="203"/>
      <c r="AL244" s="203"/>
      <c r="AM244" s="203"/>
      <c r="AN244" s="192"/>
      <c r="AO244" s="192"/>
      <c r="AP244" s="192"/>
      <c r="AQ244" s="192"/>
      <c r="AR244" s="192"/>
      <c r="AS244" s="192"/>
      <c r="AT244" s="192"/>
      <c r="AU244" s="192"/>
      <c r="AV244" s="192"/>
      <c r="AW244" s="192"/>
      <c r="AX244" s="192"/>
    </row>
    <row r="245" spans="2:50" ht="15" customHeight="1" thickTop="1" x14ac:dyDescent="0.3">
      <c r="B245" s="192"/>
      <c r="C245" s="192"/>
      <c r="D245" s="192"/>
      <c r="E245" s="164" t="str">
        <f>IF(Q245="","",IF(Q245=3,1,0))</f>
        <v/>
      </c>
      <c r="F245" s="164" t="str">
        <f>IF(Q245="","",IF(Q245&lt;3,1,0))</f>
        <v/>
      </c>
      <c r="G245" s="192"/>
      <c r="H245" s="192" t="str">
        <f>IF(I233="","",2)</f>
        <v/>
      </c>
      <c r="I245" s="192" t="str">
        <f>IF(ISNUMBER(H245),VLOOKUP(H245,H231:I234,2,TRUE),"")</f>
        <v/>
      </c>
      <c r="J245" s="192"/>
      <c r="K245" s="192" t="str">
        <f>VLOOKUP(I245,I231:L234,3,FALSE)</f>
        <v/>
      </c>
      <c r="L245" s="253"/>
      <c r="M245" s="254"/>
      <c r="N245" s="254"/>
      <c r="O245" s="152"/>
      <c r="P245" s="153"/>
      <c r="Q245" s="255" t="str">
        <f>IF(L245="","",IF(AND(L245-L246&gt;1,L245&gt;10),1,0)+IF(AND(M245-M246&gt;1,M245&gt;10),1,0)+IF(AND(N245-N246&gt;1,N245&gt;10),1,0)+IF(AND(O245-O246&gt;1,O245&gt;10),1,0)+IF(AND(P245-P246&gt;1,P245&gt;10),1,0))</f>
        <v/>
      </c>
      <c r="R245" s="203" t="str">
        <f>IF(AND(I245="",I246=""),"",ABS(VLOOKUP(I245,I231:L234,4,FALSE)-VLOOKUP(I246,I231:L234,4,FALSE)))</f>
        <v/>
      </c>
      <c r="S245" s="256" t="str">
        <f>IF(R246="","",IF(Q245=3,+R246,-R246))</f>
        <v/>
      </c>
      <c r="T245" s="192"/>
      <c r="U245" s="235"/>
      <c r="V245" s="235"/>
      <c r="W245" s="235"/>
      <c r="X245" s="235"/>
      <c r="Y245" s="235"/>
      <c r="Z245" s="235"/>
      <c r="AA245" s="246">
        <v>3</v>
      </c>
      <c r="AB245" s="154" t="str">
        <f>IF(AND(COUNTBLANK(I231:I234)=0,Group_players=4,M232=M233,M233=M234),IF(COUNTIF(X230:X233,X232)=3,AB258,IF(AND(COUNTIF(X230:X233,X232)=1,X231&lt;&gt;X233),IF(M233=2,IF(SMALL(X230:X233,1)=X232,1,IF(SMALL(X230:X233,2)=X232,2,IF(SMALL(X230:X233,3)=X232,3))),IF(M233=1,IF(SMALL(X230:X233,1)=X232,2,IF(SMALL(X230:X233,2)=X232,3,IF(SMALL(X230:X233,3)=X232,4))),"")),IF(COUNTIF(X230:X233,X232)=1,IF(X232&lt;X231,IF(M233=2,1,2),IF(M233=2,3,4)),IF(COUNTIF(X230:X233,X232)=2,IF(X232=X231,IF(X232&lt;X233,IF(M233=2,IF(Q252=3,1,2),IF(M233=1,IF(Q252=3,2,3))),IF(X232&gt;X233,IF(M233=2,IF(Q252=3,2,3),IF(M233=1,IF(Q252=3,3,4))))),IF(X232=X233,IF(X232&lt;X231,IF(M233=2,IF(Q257=3,1,2),IF(M233=1,IF(Q257=3,2,3))),IF(X232&gt;X231,IF(M233=2,IF(Q257=3,2,3),IF(M233=1,IF(Q257=3,3,4))))))),"")))),"")</f>
        <v/>
      </c>
      <c r="AC245" s="192"/>
      <c r="AD245" s="192"/>
      <c r="AE245" s="192"/>
      <c r="AF245" s="203"/>
      <c r="AG245" s="203"/>
      <c r="AH245" s="203"/>
      <c r="AI245" s="203"/>
      <c r="AJ245" s="203"/>
      <c r="AK245" s="203"/>
      <c r="AL245" s="203"/>
      <c r="AM245" s="203"/>
      <c r="AN245" s="192"/>
      <c r="AO245" s="192"/>
      <c r="AP245" s="192"/>
      <c r="AQ245" s="192"/>
      <c r="AR245" s="192"/>
      <c r="AS245" s="192"/>
      <c r="AT245" s="192"/>
      <c r="AU245" s="192"/>
      <c r="AV245" s="192"/>
      <c r="AW245" s="192"/>
      <c r="AX245" s="192"/>
    </row>
    <row r="246" spans="2:50" ht="15" customHeight="1" thickBot="1" x14ac:dyDescent="0.35">
      <c r="B246" s="192"/>
      <c r="C246" s="192"/>
      <c r="D246" s="192"/>
      <c r="E246" s="164" t="str">
        <f>IF(Q246="","",IF(Q246=3,1,0))</f>
        <v/>
      </c>
      <c r="F246" s="164" t="str">
        <f>IF(Q246="","",IF(Q246&lt;3,1,0))</f>
        <v/>
      </c>
      <c r="G246" s="192"/>
      <c r="H246" s="192" t="str">
        <f>IF(I233="","",IF(I234="",3,4))</f>
        <v/>
      </c>
      <c r="I246" s="294" t="str">
        <f>IF(ISNUMBER(H246),VLOOKUP(H246,H231:I234,2,TRUE),"")</f>
        <v/>
      </c>
      <c r="J246" s="192"/>
      <c r="K246" s="192" t="str">
        <f>VLOOKUP(I246,I231:L234,3,FALSE)</f>
        <v/>
      </c>
      <c r="L246" s="155"/>
      <c r="M246" s="259"/>
      <c r="N246" s="259"/>
      <c r="O246" s="156"/>
      <c r="P246" s="157"/>
      <c r="Q246" s="260" t="str">
        <f>IF(L246="","",IF(AND(L246-L245&gt;1,L246&gt;10),1,0)+IF(AND(M246-M245&gt;1,M246&gt;10),1,0)+IF(AND(N246-N245&gt;1,N246&gt;10),1,0)+IF(AND(O246-O245&gt;1,O246&gt;10),1,0)+IF(AND(P246-P245&gt;1,P246&gt;10),1,0))</f>
        <v/>
      </c>
      <c r="R246" s="203" t="str">
        <f>IF(AND(Q245&lt;&gt;3,Q246&lt;&gt;3),"",IF(Q245=3,IF(VLOOKUP(I245,I231:L234,4,FALSE)&gt;VLOOKUP(I246,I231:L234,4,FALSE),VLOOKUP(R245,Point_dif,2,FALSE),VLOOKUP(R245,Point_dif,3,FALSE)),IF(Q246=3,IF(VLOOKUP(I246,I231:L234,4,FALSE)&gt;VLOOKUP(I245,I231:L234,4,FALSE),VLOOKUP(R245,Point_dif,2,FALSE),VLOOKUP(R245,Point_dif,3,FALSE)))))</f>
        <v/>
      </c>
      <c r="S246" s="256" t="str">
        <f>IF(R246="","",IF(Q246=3,+R246,-R246))</f>
        <v/>
      </c>
      <c r="T246" s="192"/>
      <c r="U246" s="235"/>
      <c r="V246" s="235"/>
      <c r="W246" s="235"/>
      <c r="X246" s="235"/>
      <c r="Y246" s="235"/>
      <c r="Z246" s="235"/>
      <c r="AA246" s="261">
        <v>4</v>
      </c>
      <c r="AB246" s="158" t="str">
        <f>IF(AND(COUNTBLANK(I231:I234)=0,Group_players=4,M232=M233,M233=M234),IF(COUNTIF(X230:X233,X233)=3,AB259,IF(AND(COUNTIF(X230:X233,X233)=1,X232&lt;&gt;X231),IF(M234=2,IF(SMALL(X230:X233,1)=X233,1,IF(SMALL(X230:X233,2)=X233,2,IF(SMALL(X230:X233,3)=X233,3))),IF(M234=1,IF(SMALL(X230:X233,1)=X233,2,IF(SMALL(X230:X233,2)=X233,3,IF(SMALL(X230:X233,3)=X233,4))),"")),IF(COUNTIF(X230:X233,X233)=1,IF(X233&lt;X231,IF(M234=2,1,2),IF(M234=2,3,4)),IF(COUNTIF(X230:X233,X233)=2,IF(X233=X231,IF(X233&lt;X232,IF(M234=2,IF(Q246=3,1,2),IF(M234=1,IF(Q246=3,2,3))),IF(X233&gt;X232,IF(M234=2,IF(Q246=3,2,3),IF(M234=1,IF(Q246=3,3,4))))),IF(X233=X232,IF(X233&lt;X231,IF(M234=2,IF(Q258=3,1,2),IF(M234=1,IF(Q258=3,2,3))),IF(X233&gt;X231,IF(M234=2,IF(Q258=3,2,3),IF(M234=1,IF(Q258=3,3,4))))))),"")))),"")</f>
        <v/>
      </c>
      <c r="AC246" s="192"/>
      <c r="AD246" s="192"/>
      <c r="AE246" s="192"/>
      <c r="AF246" s="203"/>
      <c r="AG246" s="203"/>
      <c r="AH246" s="203"/>
      <c r="AI246" s="203"/>
      <c r="AJ246" s="203"/>
      <c r="AK246" s="203"/>
      <c r="AL246" s="203"/>
      <c r="AM246" s="203"/>
      <c r="AN246" s="192"/>
      <c r="AO246" s="192"/>
      <c r="AP246" s="192"/>
      <c r="AQ246" s="192"/>
      <c r="AR246" s="192"/>
      <c r="AS246" s="192"/>
      <c r="AT246" s="192"/>
      <c r="AU246" s="192"/>
      <c r="AV246" s="192"/>
      <c r="AW246" s="192"/>
      <c r="AX246" s="192"/>
    </row>
    <row r="247" spans="2:50" ht="15" customHeight="1" thickTop="1" thickBot="1" x14ac:dyDescent="0.35">
      <c r="B247" s="192"/>
      <c r="C247" s="192"/>
      <c r="D247" s="192"/>
      <c r="E247" s="164"/>
      <c r="F247" s="164"/>
      <c r="G247" s="192"/>
      <c r="H247" s="192"/>
      <c r="I247" s="249" t="s">
        <v>117</v>
      </c>
      <c r="J247" s="249"/>
      <c r="K247" s="249"/>
      <c r="L247" s="250" t="s">
        <v>115</v>
      </c>
      <c r="M247" s="250" t="s">
        <v>116</v>
      </c>
      <c r="N247" s="250" t="s">
        <v>117</v>
      </c>
      <c r="O247" s="250" t="s">
        <v>118</v>
      </c>
      <c r="P247" s="250" t="s">
        <v>119</v>
      </c>
      <c r="Q247" s="250" t="s">
        <v>120</v>
      </c>
      <c r="R247" s="250"/>
      <c r="S247" s="251"/>
      <c r="T247" s="263"/>
      <c r="U247" s="264"/>
      <c r="V247" s="242"/>
      <c r="W247" s="242"/>
      <c r="X247" s="264"/>
      <c r="Y247" s="192"/>
      <c r="Z247" s="203"/>
      <c r="AA247" s="126" t="s">
        <v>93</v>
      </c>
      <c r="AB247" s="265" t="s">
        <v>110</v>
      </c>
      <c r="AC247" s="192"/>
      <c r="AD247" s="192"/>
      <c r="AE247" s="192"/>
      <c r="AF247" s="203"/>
      <c r="AG247" s="203"/>
      <c r="AH247" s="203"/>
      <c r="AI247" s="203"/>
      <c r="AJ247" s="203"/>
      <c r="AK247" s="203"/>
      <c r="AL247" s="203"/>
      <c r="AM247" s="203"/>
      <c r="AN247" s="192"/>
      <c r="AO247" s="192"/>
      <c r="AP247" s="192"/>
      <c r="AQ247" s="192"/>
      <c r="AR247" s="192"/>
      <c r="AS247" s="192"/>
      <c r="AT247" s="192"/>
      <c r="AU247" s="192"/>
      <c r="AV247" s="192"/>
      <c r="AW247" s="192"/>
      <c r="AX247" s="192"/>
    </row>
    <row r="248" spans="2:50" ht="15" customHeight="1" thickTop="1" x14ac:dyDescent="0.3">
      <c r="B248" s="192"/>
      <c r="C248" s="192"/>
      <c r="D248" s="192"/>
      <c r="E248" s="164" t="str">
        <f>IF(Q248="","",IF(Q248=3,1,0))</f>
        <v/>
      </c>
      <c r="F248" s="164" t="str">
        <f>IF(Q248="","",IF(Q248&lt;3,1,0))</f>
        <v/>
      </c>
      <c r="G248" s="192"/>
      <c r="H248" s="192" t="str">
        <f>IF(I233&lt;&gt;"",1,"")</f>
        <v/>
      </c>
      <c r="I248" s="192" t="str">
        <f>IF(ISNUMBER(H248),VLOOKUP(H248,H231:I234,2,TRUE),"")</f>
        <v/>
      </c>
      <c r="J248" s="192"/>
      <c r="K248" s="192" t="str">
        <f>VLOOKUP(I248,I231:L234,3,FALSE)</f>
        <v/>
      </c>
      <c r="L248" s="253"/>
      <c r="M248" s="254"/>
      <c r="N248" s="254"/>
      <c r="O248" s="152"/>
      <c r="P248" s="153"/>
      <c r="Q248" s="255" t="str">
        <f>IF(L248="","",IF(AND(L248-L249&gt;1,L248&gt;10),1,0)+IF(AND(M248-M249&gt;1,M248&gt;10),1,0)+IF(AND(N248-N249&gt;1,N248&gt;10),1,0)+IF(AND(O248-O249&gt;1,O248&gt;10),1,0)+IF(AND(P248-P249&gt;1,P248&gt;10),1,0))</f>
        <v/>
      </c>
      <c r="R248" s="203" t="str">
        <f>IF(AND(I248="",I249=""),"",ABS(VLOOKUP(I248,I231:L234,4,FALSE)-VLOOKUP(I249,I231:L234,4,FALSE)))</f>
        <v/>
      </c>
      <c r="S248" s="256" t="str">
        <f>IF(R249="","",IF(Q248=3,+R249,-R249))</f>
        <v/>
      </c>
      <c r="T248" s="192"/>
      <c r="U248" s="235"/>
      <c r="V248" s="235"/>
      <c r="W248" s="235"/>
      <c r="X248" s="235"/>
      <c r="Y248" s="235"/>
      <c r="Z248" s="235"/>
      <c r="AA248" s="243">
        <v>1</v>
      </c>
      <c r="AB248" s="222" t="str">
        <f>IF(AND(COUNTBLANK(I231:I234)=0,Group_players=4,M231=M232,M232=M233),IF(U238="","",IF(COUNTIF(U238:U241,U238)=3,"Tied",IF(AND(COUNTIF(U238:U241,U238)=1,U239&lt;&gt;U240),IF(M231=2,IF(SMALL(U238:U241,1)=U238,1,IF(SMALL(U238:U241,2)=U238,2,IF(SMALL(U238:U241,3)=U238,3))),IF(M231=1,IF(SMALL(U238:U241,1)=U238,2,IF(SMALL(U238:U241,2)=U238,3,IF(SMALL(U238:U241,3)=U238,4))),"")),IF(COUNTIF(U238:U241,U238)=1,IF(U238&lt;U239,IF(M231=2,1,2),IF(M231=2,3,4)),IF(COUNTIF(U238:U241,U238)=2,IF(U238=U239,IF(U238&lt;U240,IF(M231=2,IF(Q254=3,1,2),IF(M231=1,IF(Q254=3,2,3))),IF(U238&gt;U240,IF(M231=2,IF(Q254=3,2,3),IF(M231=1,IF(Q254=3,3,4))))),IF(U238=U240,IF(U238&lt;U239,IF(M231=2,IF(Q242=3,1,2),IF(M231=1,IF(Q242=3,2,3))),IF(U238&gt;U239,IF(M231=2,IF(Q242=3,2,3),IF(M231=1,IF(Q242=3,3,4)))))))))))),"")</f>
        <v/>
      </c>
      <c r="AC248" s="192"/>
      <c r="AD248" s="192"/>
      <c r="AE248" s="192"/>
      <c r="AF248" s="203"/>
      <c r="AG248" s="203"/>
      <c r="AH248" s="203"/>
      <c r="AI248" s="203"/>
      <c r="AJ248" s="203"/>
      <c r="AK248" s="203"/>
      <c r="AL248" s="203"/>
      <c r="AM248" s="203"/>
      <c r="AN248" s="192"/>
      <c r="AO248" s="192"/>
      <c r="AP248" s="192"/>
      <c r="AQ248" s="192"/>
      <c r="AR248" s="192"/>
      <c r="AS248" s="192"/>
      <c r="AT248" s="192"/>
      <c r="AU248" s="192"/>
      <c r="AV248" s="192"/>
      <c r="AW248" s="192"/>
      <c r="AX248" s="192"/>
    </row>
    <row r="249" spans="2:50" ht="15" customHeight="1" thickBot="1" x14ac:dyDescent="0.35">
      <c r="B249" s="192"/>
      <c r="C249" s="192"/>
      <c r="D249" s="192"/>
      <c r="E249" s="164" t="str">
        <f>IF(Q249="","",IF(Q249=3,1,0))</f>
        <v/>
      </c>
      <c r="F249" s="164" t="str">
        <f>IF(Q249="","",IF(Q249&lt;3,1,0))</f>
        <v/>
      </c>
      <c r="G249" s="192"/>
      <c r="H249" s="192" t="str">
        <f>IF(I233="","",IF(I234&lt;&gt;"",4,2))</f>
        <v/>
      </c>
      <c r="I249" s="192" t="str">
        <f>IF(ISNUMBER(H249),VLOOKUP(H249,H231:I234,2,TRUE),"")</f>
        <v/>
      </c>
      <c r="J249" s="192"/>
      <c r="K249" s="192" t="str">
        <f>VLOOKUP(I249,I231:L234,3,FALSE)</f>
        <v/>
      </c>
      <c r="L249" s="155"/>
      <c r="M249" s="259"/>
      <c r="N249" s="259"/>
      <c r="O249" s="156"/>
      <c r="P249" s="157"/>
      <c r="Q249" s="260" t="str">
        <f>IF(L249="","",IF(AND(L249-L248&gt;1,L249&gt;10),1,0)+IF(AND(M249-M248&gt;1,M249&gt;10),1,0)+IF(AND(N249-N248&gt;1,N249&gt;10),1,0)+IF(AND(O249-O248&gt;1,O249&gt;10),1,0)+IF(AND(P249-P248&gt;1,P249&gt;10),1,0))</f>
        <v/>
      </c>
      <c r="R249" s="203" t="str">
        <f>IF(AND(Q248&lt;&gt;3,Q249&lt;&gt;3),"",IF(Q248=3,IF(VLOOKUP(I248,I231:L234,4,FALSE)&gt;VLOOKUP(I249,I231:L234,4,FALSE),VLOOKUP(R248,Point_dif,2,FALSE),VLOOKUP(R248,Point_dif,3,FALSE)),IF(Q249=3,IF(VLOOKUP(I249,I231:L234,4,FALSE)&gt;VLOOKUP(I248,I231:L234,4,FALSE),VLOOKUP(R248,Point_dif,2,FALSE),VLOOKUP(R248,Point_dif,3,FALSE)))))</f>
        <v/>
      </c>
      <c r="S249" s="256" t="str">
        <f>IF(R249="","",IF(Q249=3,+R249,-R249))</f>
        <v/>
      </c>
      <c r="T249" s="192"/>
      <c r="U249" s="235"/>
      <c r="V249" s="235"/>
      <c r="W249" s="235"/>
      <c r="X249" s="235"/>
      <c r="Y249" s="235"/>
      <c r="Z249" s="235"/>
      <c r="AA249" s="246">
        <v>2</v>
      </c>
      <c r="AB249" s="222" t="str">
        <f>IF(AND(COUNTBLANK(I231:I234)=0,Group_players=4,M231=M232,M232=M233),IF(U239="","",IF(COUNTIF(U238:U241,U239)=3,"Tied",IF(AND(COUNTIF(U238:U241,U239)=1,U238&lt;&gt;U240),IF(M232=2,IF(SMALL(U238:U241,1)=U239,1,IF(SMALL(U238:U241,2)=U239,2,IF(SMALL(U238:U241,3)=U239,3))),IF(M232=1,IF(SMALL(U238:U241,1)=U239,2,IF(SMALL(U238:U241,2)=U239,3,IF(SMALL(U238:U241,3)=U239,4))),"")),IF(COUNTIF(U238:U241,U239)=1,IF(U239&lt;U238,IF(M232=2,1,2),IF(M232=2,3,4)),IF(COUNTIF(U238:U241,U239)=2,IF(U239=U238,IF(U239&lt;U240,IF(M232=2,IF(Q255=3,1,2),IF(M232=1,IF(Q255=3,2,3))),IF(U239&gt;U240,IF(M232=2,IF(Q255=3,2,3),IF(M232=1,IF(Q255=3,3,4))))),IF(U239=U240,IF(U239&lt;U238,IF(M232=2,IF(Q251=3,1,2),IF(M232=1,IF(Q251=3,2,3))),IF(U239&gt;U238,IF(M232=2,IF(Q251=3,2,3),IF(M232=1,IF(Q251=3,3,4)))))))))))),"")</f>
        <v/>
      </c>
      <c r="AC249" s="192"/>
      <c r="AD249" s="192"/>
      <c r="AE249" s="192"/>
      <c r="AF249" s="203"/>
      <c r="AG249" s="203"/>
      <c r="AH249" s="203"/>
      <c r="AI249" s="203"/>
      <c r="AJ249" s="203"/>
      <c r="AK249" s="203"/>
      <c r="AL249" s="203"/>
      <c r="AM249" s="203"/>
      <c r="AN249" s="192"/>
      <c r="AO249" s="192"/>
      <c r="AP249" s="192"/>
      <c r="AQ249" s="192"/>
      <c r="AR249" s="192"/>
      <c r="AS249" s="192"/>
      <c r="AT249" s="192"/>
      <c r="AU249" s="192"/>
      <c r="AV249" s="192"/>
      <c r="AW249" s="192"/>
      <c r="AX249" s="192"/>
    </row>
    <row r="250" spans="2:50" ht="15" customHeight="1" thickTop="1" thickBot="1" x14ac:dyDescent="0.35">
      <c r="B250" s="192"/>
      <c r="C250" s="192"/>
      <c r="D250" s="192"/>
      <c r="E250" s="164"/>
      <c r="F250" s="164"/>
      <c r="G250" s="192"/>
      <c r="H250" s="192"/>
      <c r="I250" s="249" t="s">
        <v>118</v>
      </c>
      <c r="J250" s="249"/>
      <c r="K250" s="249"/>
      <c r="L250" s="250" t="s">
        <v>115</v>
      </c>
      <c r="M250" s="250"/>
      <c r="N250" s="250" t="s">
        <v>117</v>
      </c>
      <c r="O250" s="250" t="s">
        <v>118</v>
      </c>
      <c r="P250" s="250" t="s">
        <v>119</v>
      </c>
      <c r="Q250" s="250" t="s">
        <v>120</v>
      </c>
      <c r="R250" s="250"/>
      <c r="S250" s="251"/>
      <c r="T250" s="192"/>
      <c r="U250" s="235"/>
      <c r="V250" s="235"/>
      <c r="W250" s="235"/>
      <c r="X250" s="235"/>
      <c r="Y250" s="235"/>
      <c r="Z250" s="235"/>
      <c r="AA250" s="240">
        <v>3</v>
      </c>
      <c r="AB250" s="241" t="str">
        <f>IF(AND(COUNTBLANK(I231:I234)=0,Group_players=4,M231=M232,M232=M233),IF(U240="","",IF(COUNTIF(U238:U241,U240)=3,"Tied",IF(AND(COUNTIF(U238:U241,U240)=1,U238&lt;&gt;U239),IF(M231=2,IF(SMALL(U238:U241,1)=U240,1,IF(SMALL(U238:U241,2)=U240,2,IF(SMALL(U238:U241,3)=U240,3))),IF(M233=1,IF(SMALL(U238:U241,1)=U240,2,IF(SMALL(U238:U241,2)=U240,3,IF(SMALL(U238:U241,3)=U240,4))),"")),IF(COUNTIF(U238:U241,U240)=1,IF(U240&lt;U239,IF(M233=2,1,2),IF(M233=2,3,4)),IF(COUNTIF(U238:U241,U240)=2,IF(U240=U239,IF(U240&lt;U238,IF(M233=2,IF(Q252=3,1,2),IF(M233=1,IF(Q252=3,2,3))),IF(U240&gt;U238,IF(M233=2,IF(Q252=3,2,3),IF(M233=1,IF(Q252=3,3,4))))),IF(U240=U238,IF(U240&lt;U239,IF(M233=2,IF(Q243=3,1,2),IF(M233=1,IF(Q243=3,2,3))),IF(U240&gt;U239,IF(M233=2,IF(Q243=3,2,3),IF(M233=1,IF(Q243=3,3,4)))))))))))),"")</f>
        <v/>
      </c>
      <c r="AC250" s="192"/>
      <c r="AD250" s="192"/>
      <c r="AE250" s="192"/>
      <c r="AF250" s="203"/>
      <c r="AG250" s="203"/>
      <c r="AH250" s="203"/>
      <c r="AI250" s="203"/>
      <c r="AJ250" s="203"/>
      <c r="AK250" s="203"/>
      <c r="AL250" s="203"/>
      <c r="AM250" s="203"/>
      <c r="AN250" s="192"/>
      <c r="AO250" s="192"/>
      <c r="AP250" s="192"/>
      <c r="AQ250" s="192"/>
      <c r="AR250" s="192"/>
      <c r="AS250" s="192"/>
      <c r="AT250" s="192"/>
      <c r="AU250" s="192"/>
      <c r="AV250" s="192"/>
      <c r="AW250" s="192"/>
      <c r="AX250" s="192"/>
    </row>
    <row r="251" spans="2:50" ht="15" customHeight="1" thickTop="1" x14ac:dyDescent="0.3">
      <c r="B251" s="192"/>
      <c r="C251" s="192"/>
      <c r="D251" s="192"/>
      <c r="E251" s="164" t="str">
        <f>IF(Q251="","",IF(Q251=3,1,0))</f>
        <v/>
      </c>
      <c r="F251" s="164" t="str">
        <f>IF(Q251="","",IF(Q251&lt;3,1,0))</f>
        <v/>
      </c>
      <c r="G251" s="192"/>
      <c r="H251" s="192" t="str">
        <f>IF(I234&lt;&gt;"",2,"")</f>
        <v/>
      </c>
      <c r="I251" s="192" t="str">
        <f>IF(ISNUMBER(H251),VLOOKUP(H251,H231:I234,2,TRUE),"")</f>
        <v/>
      </c>
      <c r="J251" s="192"/>
      <c r="K251" s="192" t="str">
        <f>VLOOKUP(I251,I231:L234,3,FALSE)</f>
        <v/>
      </c>
      <c r="L251" s="253"/>
      <c r="M251" s="254"/>
      <c r="N251" s="254"/>
      <c r="O251" s="152"/>
      <c r="P251" s="153"/>
      <c r="Q251" s="255" t="str">
        <f>IF(L251="","",IF(AND(L251-L252&gt;1,L251&gt;10),1,0)+IF(AND(M251-M252&gt;1,M251&gt;10),1,0)+IF(AND(N251-N252&gt;1,N251&gt;10),1,0)+IF(AND(O251-O252&gt;1,O251&gt;10),1,0)+IF(AND(P251-P252&gt;1,P251&gt;10),1,0))</f>
        <v/>
      </c>
      <c r="R251" s="203" t="str">
        <f>IF(AND(I251="",I252=""),"",ABS(VLOOKUP(I251,I231:L234,4,FALSE)-VLOOKUP(I252,I231:L234,4,FALSE)))</f>
        <v/>
      </c>
      <c r="S251" s="256" t="str">
        <f>IF(R252="","",IF(Q251=3,+R252,-R252))</f>
        <v/>
      </c>
      <c r="T251" s="192"/>
      <c r="U251" s="235"/>
      <c r="V251" s="235"/>
      <c r="W251" s="235"/>
      <c r="X251" s="235"/>
      <c r="Y251" s="235"/>
      <c r="Z251" s="235"/>
      <c r="AA251" s="243">
        <v>1</v>
      </c>
      <c r="AB251" s="222" t="str">
        <f>IF(AND(COUNTBLANK(I231:I234)=0,Group_players=4,M231=M233,M233=M234),IF(V238="","",IF(COUNTIF(V238:V241,V238)=3,"Tied",IF(AND(COUNTIF(V238:V241,V238)=1,V240&lt;&gt;U241),IF(M231=2,IF(SMALL(V238:V241,1)=V238,1,IF(SMALL(V238:V241,2)=V238,2,IF(SMALL(V238:V241,3)=V238,3))),IF(M231=1,IF(SMALL(V238:V241,1)=V238,2,IF(SMALL(V238:V241,2)=V238,3,IF(SMALL(V238:V241,3)=V238,4))),"")),IF(COUNTIF(V238:V241,V238)=1,IF(V238&lt;V240,IF(M231=2,1,2),IF(M231=2,3,4)),IF(COUNTIF(V238:V241,V238)=2,IF(V238=V240,IF(V238&lt;V241,IF(M231=2,IF(Q242=3,1,2),IF(M231=1,IF(Q242=3,2,3))),IF(V238&gt;V241,IF(M231=2,IF(Q242=3,2,3),IF(M231=1,IF(Q242=3,3,4))))),IF(V238=V241,IF(V238&lt;V240,IF(M231=2,IF(Q248=3,1,2),IF(M231=1,IF(Q248=3,2,3))),IF(V238&gt;V239,IF(M231=2,IF(Q248=3,2,3),IF(M231=1,IF(Q248=3,3,4)))))))))))),"")</f>
        <v/>
      </c>
      <c r="AC251" s="192"/>
      <c r="AD251" s="192"/>
      <c r="AE251" s="192"/>
      <c r="AF251" s="203"/>
      <c r="AG251" s="203"/>
      <c r="AH251" s="203"/>
      <c r="AI251" s="203"/>
      <c r="AJ251" s="203"/>
      <c r="AK251" s="203"/>
      <c r="AL251" s="203"/>
      <c r="AM251" s="203"/>
      <c r="AN251" s="192"/>
      <c r="AO251" s="192"/>
      <c r="AP251" s="192"/>
      <c r="AQ251" s="192"/>
      <c r="AR251" s="192"/>
      <c r="AS251" s="192"/>
      <c r="AT251" s="192"/>
      <c r="AU251" s="192"/>
      <c r="AV251" s="192"/>
      <c r="AW251" s="192"/>
      <c r="AX251" s="192"/>
    </row>
    <row r="252" spans="2:50" ht="15" customHeight="1" thickBot="1" x14ac:dyDescent="0.35">
      <c r="B252" s="192"/>
      <c r="C252" s="192"/>
      <c r="D252" s="192"/>
      <c r="E252" s="164" t="str">
        <f>IF(Q252="","",IF(Q252=3,1,0))</f>
        <v/>
      </c>
      <c r="F252" s="164" t="str">
        <f>IF(Q252="","",IF(Q252&lt;3,1,0))</f>
        <v/>
      </c>
      <c r="G252" s="192"/>
      <c r="H252" s="192" t="str">
        <f>IF(I234&lt;&gt;"",3,"")</f>
        <v/>
      </c>
      <c r="I252" s="192" t="str">
        <f>IF(ISNUMBER(H252),VLOOKUP(H252,H231:I234,2,TRUE),"")</f>
        <v/>
      </c>
      <c r="J252" s="192"/>
      <c r="K252" s="192" t="str">
        <f>VLOOKUP(I252,I231:L234,3,FALSE)</f>
        <v/>
      </c>
      <c r="L252" s="155"/>
      <c r="M252" s="259"/>
      <c r="N252" s="259"/>
      <c r="O252" s="156"/>
      <c r="P252" s="157"/>
      <c r="Q252" s="260" t="str">
        <f>IF(L252="","",IF(AND(L252-L251&gt;1,L252&gt;10),1,0)+IF(AND(M252-M251&gt;1,M252&gt;10),1,0)+IF(AND(N252-N251&gt;1,N252&gt;10),1,0)+IF(AND(O252-O251&gt;1,O252&gt;10),1,0)+IF(AND(P252-P251&gt;1,P252&gt;10),1,0))</f>
        <v/>
      </c>
      <c r="R252" s="203" t="str">
        <f>IF(AND(Q251&lt;&gt;3,Q252&lt;&gt;3),"",IF(Q251=3,IF(VLOOKUP(I251,I231:L234,4,FALSE)&gt;VLOOKUP(I252,I231:L234,4,FALSE),VLOOKUP(R251,Point_dif,2,FALSE),VLOOKUP(R251,Point_dif,3,FALSE)),IF(Q252=3,IF(VLOOKUP(I252,I231:L234,4,FALSE)&gt;VLOOKUP(I251,I231:L234,4,FALSE),VLOOKUP(R251,Point_dif,2,FALSE),VLOOKUP(R251,Point_dif,3,FALSE)))))</f>
        <v/>
      </c>
      <c r="S252" s="256" t="str">
        <f>IF(R252="","",IF(Q252=3,+R252,-R252))</f>
        <v/>
      </c>
      <c r="T252" s="192"/>
      <c r="U252" s="159"/>
      <c r="V252" s="266"/>
      <c r="W252" s="266"/>
      <c r="X252" s="266"/>
      <c r="Y252" s="192"/>
      <c r="Z252" s="203"/>
      <c r="AA252" s="246">
        <v>3</v>
      </c>
      <c r="AB252" s="222" t="str">
        <f>IF(AND(COUNTBLANK(I231:I234)=0,Group_players=4,M231=M233,M233=M234),IF(V240="","",IF(COUNTIF(V238:V241,V240)=3,"Tied",IF(AND(COUNTIF(V238:V241,V240)=1,V238&lt;&gt;V241),IF(M233=2,IF(SMALL(V238:V241,1)=V240,1,IF(SMALL(V238:V241,2)=V240,2,IF(SMALL(V238:V241,3)=V240,3))),IF(M233=1,IF(SMALL(V238:V241,1)=V240,2,IF(SMALL(V238:V241,2)=V240,3,IF(SMALL(V238:V241,3)=V240,4))),"")),IF(COUNTIF(V238:V241,V240)=1,IF(V240&lt;V238,IF(M233=2,1,2),IF(M233=2,3,4)),IF(COUNTIF(V238:V241,V240)=2,IF(V240=V238,IF(V240&lt;V241,IF(M233=2,IF(Q243=3,1,2),IF(M233=1,IF(Q243=3,2,3))),IF(V240&gt;V241,IF(M233=2,IF(Q243=3,2,3),IF(M233=1,IF(Q243=3,3,4))))),IF(V240=V241,IF(V240&lt;V238,IF(M233=2,IF(Q257=3,1,2),IF(M233=1,IF(Q257=3,2,3))),IF(V240&gt;V238,IF(M233=2,IF(Q257=3,2,3),IF(M233=1,IF(Q257=3,3,4)))))))))))),"")</f>
        <v/>
      </c>
      <c r="AC252" s="192"/>
      <c r="AD252" s="192"/>
      <c r="AE252" s="192"/>
      <c r="AF252" s="203"/>
      <c r="AG252" s="203"/>
      <c r="AH252" s="203"/>
      <c r="AI252" s="203"/>
      <c r="AJ252" s="203"/>
      <c r="AK252" s="203"/>
      <c r="AL252" s="203"/>
      <c r="AM252" s="203"/>
      <c r="AN252" s="192"/>
      <c r="AO252" s="192"/>
      <c r="AP252" s="192"/>
      <c r="AQ252" s="192"/>
      <c r="AR252" s="192"/>
      <c r="AS252" s="192"/>
      <c r="AT252" s="192"/>
      <c r="AU252" s="192"/>
      <c r="AV252" s="192"/>
      <c r="AW252" s="192"/>
      <c r="AX252" s="192"/>
    </row>
    <row r="253" spans="2:50" ht="15" customHeight="1" thickTop="1" thickBot="1" x14ac:dyDescent="0.35">
      <c r="B253" s="192"/>
      <c r="C253" s="192"/>
      <c r="D253" s="192"/>
      <c r="E253" s="164"/>
      <c r="F253" s="164"/>
      <c r="G253" s="192"/>
      <c r="H253" s="192"/>
      <c r="I253" s="249" t="s">
        <v>119</v>
      </c>
      <c r="J253" s="249"/>
      <c r="K253" s="249"/>
      <c r="L253" s="250" t="s">
        <v>115</v>
      </c>
      <c r="M253" s="250" t="s">
        <v>116</v>
      </c>
      <c r="N253" s="250" t="s">
        <v>117</v>
      </c>
      <c r="O253" s="250" t="s">
        <v>118</v>
      </c>
      <c r="P253" s="250" t="s">
        <v>119</v>
      </c>
      <c r="Q253" s="250" t="s">
        <v>120</v>
      </c>
      <c r="R253" s="250"/>
      <c r="S253" s="251"/>
      <c r="T253" s="247"/>
      <c r="U253" s="235"/>
      <c r="V253" s="235"/>
      <c r="W253" s="235"/>
      <c r="X253" s="235"/>
      <c r="Y253" s="235"/>
      <c r="Z253" s="235"/>
      <c r="AA253" s="240">
        <v>4</v>
      </c>
      <c r="AB253" s="241" t="str">
        <f>IF(AND(COUNTBLANK(I231:I234)=0,Group_players=4,M231=M233,M233=M234),IF(V241="","",IF(COUNTIF(V238:V241,V241)=3,"Tied",IF(AND(COUNTIF(V238:V241,V241)=1,V240&lt;&gt;V238),IF(M234=2,IF(SMALL(V238:V241,1)=V241,1,IF(SMALL(V238:V241,2)=V241,2,IF(SMALL(V238:V241,3)=V241,3))),IF(M234=1,IF(SMALL(V238:V241,1)=V241,2,IF(SMALL(V238:V241,2)=V241,3,IF(SMALL(V238:V241,3)=V241,4))),"")),IF(COUNTIF(V238:V241,V241)=1,IF(V241&lt;V238,IF(M234=2,1,2),IF(M234=2,3,4)),IF(COUNTIF(V238:V241,V241)=2,IF(V241=V238,IF(V241&lt;V240,IF(M234=2,IF(Q249=3,1,2),IF(M234=1,IF(Q249=3,2,3))),IF(V241&gt;V240,IF(M234=2,IF(Q249=3,2,3),IF(M234=1,IF(Q249=3,3,4))))),IF(V241=V240,IF(V241&lt;V238,IF(M234=2,IF(Q258=3,1,2),IF(M234=1,IF(Q258=3,2,3))),IF(V241&gt;V238,IF(M234=2,IF(Q258=3,2,3),IF(M234=1,IF(Q258=3,3,4)))))))))))),"")</f>
        <v/>
      </c>
      <c r="AC253" s="192"/>
      <c r="AD253" s="192"/>
      <c r="AE253" s="192"/>
      <c r="AF253" s="203"/>
      <c r="AG253" s="203"/>
      <c r="AH253" s="203"/>
      <c r="AI253" s="203"/>
      <c r="AJ253" s="203"/>
      <c r="AK253" s="203"/>
      <c r="AL253" s="203"/>
      <c r="AM253" s="203"/>
      <c r="AN253" s="192"/>
      <c r="AO253" s="192"/>
      <c r="AP253" s="192"/>
      <c r="AQ253" s="192"/>
      <c r="AR253" s="192"/>
      <c r="AS253" s="192"/>
      <c r="AT253" s="192"/>
      <c r="AU253" s="192"/>
      <c r="AV253" s="192"/>
      <c r="AW253" s="192"/>
      <c r="AX253" s="192"/>
    </row>
    <row r="254" spans="2:50" ht="15" customHeight="1" thickTop="1" x14ac:dyDescent="0.3">
      <c r="B254" s="192"/>
      <c r="C254" s="192"/>
      <c r="D254" s="192"/>
      <c r="E254" s="164" t="str">
        <f>IF(Q254="","",IF(Q254=3,1,0))</f>
        <v/>
      </c>
      <c r="F254" s="164" t="str">
        <f>IF(Q254="","",IF(Q254&lt;3,1,0))</f>
        <v/>
      </c>
      <c r="G254" s="192"/>
      <c r="H254" s="192" t="str">
        <f>IF(I234&lt;&gt;"",1,"")</f>
        <v/>
      </c>
      <c r="I254" s="192" t="str">
        <f>IF(ISNUMBER(H254),VLOOKUP(H254,H231:I234,2,TRUE),"")</f>
        <v/>
      </c>
      <c r="J254" s="192"/>
      <c r="K254" s="192" t="str">
        <f>VLOOKUP(I254,I231:L234,3,FALSE)</f>
        <v/>
      </c>
      <c r="L254" s="253"/>
      <c r="M254" s="254"/>
      <c r="N254" s="254"/>
      <c r="O254" s="152"/>
      <c r="P254" s="153"/>
      <c r="Q254" s="255" t="str">
        <f>IF(L254="","",IF(AND(L254-L255&gt;1,L254&gt;10),1,0)+IF(AND(M254-M255&gt;1,M254&gt;10),1,0)+IF(AND(N254-N255&gt;1,N254&gt;10),1,0)+IF(AND(O254-O255&gt;1,O254&gt;10),1,0)+IF(AND(P254-P255&gt;1,P254&gt;10),1,0))</f>
        <v/>
      </c>
      <c r="R254" s="203" t="str">
        <f>IF(AND(I254="",I255=""),"",ABS(VLOOKUP(I254,I231:L234,4,FALSE)-VLOOKUP(I255,I231:L234,4,FALSE)))</f>
        <v/>
      </c>
      <c r="S254" s="256" t="str">
        <f>IF(R255="","",IF(Q254=3,+R255,-R255))</f>
        <v/>
      </c>
      <c r="T254" s="247"/>
      <c r="U254" s="235"/>
      <c r="V254" s="235"/>
      <c r="W254" s="235"/>
      <c r="X254" s="235"/>
      <c r="Y254" s="235"/>
      <c r="Z254" s="235"/>
      <c r="AA254" s="243">
        <v>1</v>
      </c>
      <c r="AB254" s="222" t="str">
        <f>IF(AND(COUNTBLANK(I231:I234)=0,Group_players=4,M231=M232,M232=M234),IF(W238="","",IF(COUNTIF(W238:W241,W238)=3,"Tied",IF(AND(COUNTIF(W238:W241,W238)=1,W239&lt;&gt;W240),IF(M231=2,IF(SMALL(W238:W241,1)=W238,1,IF(SMALL(W238:W241,2)=W238,2,IF(SMALL(W238:W241,3)=W238,3))),IF(M231=1,IF(SMALL(W238:W241,1)=W238,2,IF(SMALL(W238:W241,2)=W238,3,IF(SMALL(W238:W241,3)=W238,4))),"")),IF(COUNTIF(W238:W241,W238)=1,IF(W238&lt;W239,IF(M231=2,1,2),IF(M231=2,3,4)),IF(COUNTIF(W238:W241,W238)=2,IF(W238=W239,IF(W238&lt;W241,IF(M231=2,IF(Q254=3,1,2),IF(M231=1,IF(Q254=3,2,3))),IF(W238&gt;W241,IF(M231=2,IF(Q254=3,2,3),IF(M231=1,IF(Q254=3,3,4))))),IF(W238=W241,IF(W238&lt;W239,IF(M231=2,IF(Q248=3,1,2),IF(M231=1,IF(Q248=3,2,3))),IF(W238&gt;W239,IF(M231=2,IF(Q248=3,2,3),IF(M231=1,IF(Q248=3,3,4)))))))))))),"")</f>
        <v/>
      </c>
      <c r="AC254" s="192"/>
      <c r="AD254" s="192"/>
      <c r="AE254" s="192"/>
      <c r="AF254" s="203"/>
      <c r="AG254" s="203"/>
      <c r="AH254" s="203"/>
      <c r="AI254" s="203"/>
      <c r="AJ254" s="203"/>
      <c r="AK254" s="203"/>
      <c r="AL254" s="203"/>
      <c r="AM254" s="203"/>
      <c r="AN254" s="192"/>
      <c r="AO254" s="192"/>
      <c r="AP254" s="192"/>
      <c r="AQ254" s="192"/>
      <c r="AR254" s="192"/>
      <c r="AS254" s="192"/>
      <c r="AT254" s="192"/>
      <c r="AU254" s="192"/>
      <c r="AV254" s="192"/>
      <c r="AW254" s="192"/>
      <c r="AX254" s="192"/>
    </row>
    <row r="255" spans="2:50" ht="15" customHeight="1" thickBot="1" x14ac:dyDescent="0.35">
      <c r="B255" s="192"/>
      <c r="C255" s="192"/>
      <c r="D255" s="192"/>
      <c r="E255" s="164" t="str">
        <f>IF(Q255="","",IF(Q255=3,1,0))</f>
        <v/>
      </c>
      <c r="F255" s="164" t="str">
        <f>IF(Q255="","",IF(Q255&lt;3,1,0))</f>
        <v/>
      </c>
      <c r="G255" s="192"/>
      <c r="H255" s="192" t="str">
        <f>IF(I234&lt;&gt;"",2,"")</f>
        <v/>
      </c>
      <c r="I255" s="192" t="str">
        <f>IF(ISNUMBER(H255),VLOOKUP(H255,H231:I234,2,TRUE),"")</f>
        <v/>
      </c>
      <c r="J255" s="192"/>
      <c r="K255" s="192" t="str">
        <f>VLOOKUP(I255,I231:L234,3,FALSE)</f>
        <v/>
      </c>
      <c r="L255" s="155"/>
      <c r="M255" s="259"/>
      <c r="N255" s="259"/>
      <c r="O255" s="156"/>
      <c r="P255" s="157"/>
      <c r="Q255" s="260" t="str">
        <f>IF(L255="","",IF(AND(L255-L254&gt;1,L255&gt;10),1,0)+IF(AND(M255-M254&gt;1,M255&gt;10),1,0)+IF(AND(N255-N254&gt;1,N255&gt;10),1,0)+IF(AND(O255-O254&gt;1,O255&gt;10),1,0)+IF(AND(P255-P254&gt;1,P255&gt;10),1,0))</f>
        <v/>
      </c>
      <c r="R255" s="203" t="str">
        <f>IF(AND(Q254&lt;&gt;3,Q255&lt;&gt;3),"",IF(Q254=3,IF(VLOOKUP(I254,I231:L234,4,FALSE)&gt;VLOOKUP(I255,I231:L234,4,FALSE),VLOOKUP(R254,Point_dif,2,FALSE),VLOOKUP(R254,Point_dif,3,FALSE)),IF(Q255=3,IF(VLOOKUP(I255,I231:L234,4,FALSE)&gt;VLOOKUP(I255,I231:L234,4,FALSE),VLOOKUP(R254,Point_dif,2,FALSE),VLOOKUP(R254,Point_dif,3,FALSE)))))</f>
        <v/>
      </c>
      <c r="S255" s="256" t="str">
        <f>IF(R255="","",IF(Q255=3,+R255,-R255))</f>
        <v/>
      </c>
      <c r="T255" s="247"/>
      <c r="U255" s="235"/>
      <c r="V255" s="235"/>
      <c r="W255" s="235"/>
      <c r="X255" s="235"/>
      <c r="Y255" s="235"/>
      <c r="Z255" s="235"/>
      <c r="AA255" s="246">
        <v>2</v>
      </c>
      <c r="AB255" s="222" t="str">
        <f>IF(AND(COUNTBLANK(I231:I234)=0,Group_players=4,M231=M232,M232=M234),IF(W239="","",IF(COUNTIF(W238:W241,W239)=3,"Tied",IF(AND(COUNTIF(W238:W241,W239)=1,W238&lt;&gt;W240),IF(M232=2,IF(SMALL(W238:W241,1)=W239,1,IF(SMALL(W238:W241,2)=W239,2,IF(SMALL(W238:W241,3)=W239,3))),IF(M232=1,IF(SMALL(W238:W241,1)=W239,2,IF(SMALL(W238:W241,2)=W239,3,IF(SMALL(W238:W241,3)=W239,4))),"")),IF(COUNTIF(W238:W241,W239)=1,IF(W239&lt;W238,IF(M232=2,1,2),IF(M232=2,3,4)),IF(COUNTIF(W238:W241,W239)=2,IF(W239=W238,IF(W239&lt;W241,IF(M232=2,IF(Q255=3,1,2),IF(M232=1,IF(Q255=3,2,3))),IF(W239&gt;W241,IF(M232=2,IF(Q255=3,2,3),IF(M232=1,IF(Q255=3,3,4))))),IF(W239=W241,IF(W239&lt;W238,IF(M232=2,IF(Q245=3,1,2),IF(M232=1,IF(Q245=3,2,3))),IF(W239&gt;W238,IF(M232=2,IF(Q245=3,2,3),IF(M232=1,IF(Q245=3,3,4)))))))))))),"")</f>
        <v/>
      </c>
      <c r="AC255" s="192"/>
      <c r="AD255" s="192"/>
      <c r="AE255" s="192"/>
      <c r="AF255" s="203"/>
      <c r="AG255" s="203"/>
      <c r="AH255" s="203"/>
      <c r="AI255" s="203"/>
      <c r="AJ255" s="203"/>
      <c r="AK255" s="203"/>
      <c r="AL255" s="203"/>
      <c r="AM255" s="203"/>
      <c r="AN255" s="192"/>
      <c r="AO255" s="192"/>
      <c r="AP255" s="192"/>
      <c r="AQ255" s="192"/>
      <c r="AR255" s="192"/>
      <c r="AS255" s="192"/>
      <c r="AT255" s="192"/>
      <c r="AU255" s="192"/>
      <c r="AV255" s="192"/>
      <c r="AW255" s="192"/>
      <c r="AX255" s="192"/>
    </row>
    <row r="256" spans="2:50" ht="15" customHeight="1" thickTop="1" thickBot="1" x14ac:dyDescent="0.35">
      <c r="B256" s="192"/>
      <c r="C256" s="192"/>
      <c r="D256" s="192"/>
      <c r="E256" s="164"/>
      <c r="F256" s="164"/>
      <c r="G256" s="192"/>
      <c r="H256" s="192"/>
      <c r="I256" s="249" t="s">
        <v>121</v>
      </c>
      <c r="J256" s="249"/>
      <c r="K256" s="249"/>
      <c r="L256" s="250" t="s">
        <v>115</v>
      </c>
      <c r="M256" s="250" t="s">
        <v>116</v>
      </c>
      <c r="N256" s="250" t="s">
        <v>117</v>
      </c>
      <c r="O256" s="250" t="s">
        <v>118</v>
      </c>
      <c r="P256" s="250" t="s">
        <v>119</v>
      </c>
      <c r="Q256" s="250" t="s">
        <v>120</v>
      </c>
      <c r="R256" s="250"/>
      <c r="S256" s="251"/>
      <c r="T256" s="247"/>
      <c r="U256" s="235"/>
      <c r="V256" s="235"/>
      <c r="W256" s="235"/>
      <c r="X256" s="235"/>
      <c r="Y256" s="235"/>
      <c r="Z256" s="235"/>
      <c r="AA256" s="240">
        <v>4</v>
      </c>
      <c r="AB256" s="241" t="str">
        <f>IF(AND(COUNTBLANK(I231:I234)=0,Group_players=4,M231=M232,M232=M234),IF(W241="","",IF(COUNTIF(W238:W241,W241)=3,"Tied",IF(AND(COUNTIF(W238:W241,W241)=1,W238&lt;&gt;W239),IF(M234=2,IF(SMALL(W238:W241,1)=W241,1,IF(SMALL(W238:W241,2)=W241,2,IF(SMALL(W238:W241,3)=W241,3))),IF(M234=1,IF(SMALL(W238:W241,1)=W241,2,IF(SMALL(W238:W241,2)=W241,3,IF(SMALL(W238:W241,3)=W241,4))),"")),IF(COUNTIF(W238:W241,W241)=1,IF(W241&lt;W238,IF(M234=2,1,2),IF(M234=2,3,4)),IF(COUNTIF(W238:W241,W241)=2,IF(W241=W238,IF(W241&lt;W239,IF(M234=2,IF(Q249=3,1,2),IF(M234=1,IF(Q249=3,2,3))),IF(W241&gt;W240,IF(M234=2,IF(Q249=3,2,3),IF(M234=1,IF(Q249=3,3,4))))),IF(W241=W239,IF(W241&lt;W238,IF(M234=2,IF(Q246=3,1,2),IF(M234=1,IF(Q246=3,2,3))),IF(W241&gt;W238,IF(M234=2,IF(Q246=3,2,3),IF(M234=1,IF(Q246=3,3,4)))))))))))),"")</f>
        <v/>
      </c>
      <c r="AC256" s="192"/>
      <c r="AD256" s="192"/>
      <c r="AE256" s="192"/>
      <c r="AF256" s="203"/>
      <c r="AG256" s="203"/>
      <c r="AH256" s="203"/>
      <c r="AI256" s="203"/>
      <c r="AJ256" s="203"/>
      <c r="AK256" s="203"/>
      <c r="AL256" s="203"/>
      <c r="AM256" s="203"/>
      <c r="AN256" s="192"/>
      <c r="AO256" s="192"/>
      <c r="AP256" s="192"/>
      <c r="AQ256" s="192"/>
      <c r="AR256" s="192"/>
      <c r="AS256" s="192"/>
      <c r="AT256" s="192"/>
      <c r="AU256" s="192"/>
      <c r="AV256" s="192"/>
      <c r="AW256" s="192"/>
      <c r="AX256" s="192"/>
    </row>
    <row r="257" spans="2:50" ht="15" customHeight="1" thickTop="1" x14ac:dyDescent="0.3">
      <c r="B257" s="192"/>
      <c r="C257" s="192"/>
      <c r="D257" s="192"/>
      <c r="E257" s="164" t="str">
        <f>IF(Q257="","",IF(Q257=3,1,0))</f>
        <v/>
      </c>
      <c r="F257" s="164" t="str">
        <f>IF(Q257="","",IF(Q257&lt;3,1,0))</f>
        <v/>
      </c>
      <c r="G257" s="192"/>
      <c r="H257" s="192" t="str">
        <f>IF(I234&lt;&gt;"",3,"")</f>
        <v/>
      </c>
      <c r="I257" s="192" t="str">
        <f>IF(ISNUMBER(H257),VLOOKUP(H257,H231:I234,2,TRUE),"")</f>
        <v/>
      </c>
      <c r="J257" s="192"/>
      <c r="K257" s="192" t="str">
        <f>VLOOKUP(I257,I231:L234,3,FALSE)</f>
        <v/>
      </c>
      <c r="L257" s="253"/>
      <c r="M257" s="254"/>
      <c r="N257" s="254"/>
      <c r="O257" s="152"/>
      <c r="P257" s="153"/>
      <c r="Q257" s="255" t="str">
        <f>IF(L257="","",IF(AND(L257-L258&gt;1,L257&gt;10),1,0)+IF(AND(M257-M258&gt;1,M257&gt;10),1,0)+IF(AND(N257-N258&gt;1,N257&gt;10),1,0)+IF(AND(O257-O258&gt;1,O257&gt;10),1,0)+IF(AND(P257-P258&gt;1,P257&gt;10),1,0))</f>
        <v/>
      </c>
      <c r="R257" s="203" t="str">
        <f>IF(AND(I257="",I258=""),"",ABS(VLOOKUP(I257,I231:L234,4,FALSE)-VLOOKUP(I258,I231:L234,4,FALSE)))</f>
        <v/>
      </c>
      <c r="S257" s="256" t="str">
        <f>IF(R258="","",IF(Q257=3,+R258,-R258))</f>
        <v/>
      </c>
      <c r="T257" s="247"/>
      <c r="U257" s="264"/>
      <c r="V257" s="242"/>
      <c r="W257" s="192"/>
      <c r="X257" s="264"/>
      <c r="Y257" s="192"/>
      <c r="Z257" s="192"/>
      <c r="AA257" s="243">
        <v>2</v>
      </c>
      <c r="AB257" s="222" t="str">
        <f>IF(AND(COUNTBLANK(I231:I234)=0,Group_players=4,M232=M233,M233=M234),IF(X239="","",IF(COUNTIF(X238:X241,X239)=3,"Tied",IF(AND(COUNTIF(X238:X241,X239)=1,X240&lt;&gt;X241),IF(M232=2,IF(SMALL(X238:X241,1)=X239,1,IF(SMALL(X238:X241,2)=X239,2,IF(SMALL(X238:X241,3)=X239,3))),IF(M232=1,IF(SMALL(X238:X241,1)=X239,2,IF(SMALL(X238:X241,2)=X239,3,IF(SMALL(X238:X241,3)=X239,4))),"")),IF(COUNTIF(X238:X241,X239)=1,IF(X239&lt;X241,IF(M232=2,1,2),IF(M232=1,4)),IF(COUNTIF(X238:X241,X239)=2,IF(X239=X240,IF(X239&lt;X241,IF(M232=2,IF(Q251=3,1,2),IF(M232=1,IF(Q251=3,2,3))),IF(X239&gt;X241,IF(M232=2,IF(Q251=3,2,3),IF(M232=1,IF(Q251=3,3,4))))),IF(X239=X241,IF(X239&lt;X240,IF(M232=2,IF(Q245=3,1,2),IF(M232=1,IF(Q245=3,2,3))),IF(X239&gt;X240,IF(M232=2,IF(Q245=3,2,3),IF(M232=1,IF(Q245=3,3,4)))))))))))),"")</f>
        <v/>
      </c>
      <c r="AC257" s="192"/>
      <c r="AD257" s="192"/>
      <c r="AE257" s="192"/>
      <c r="AF257" s="203"/>
      <c r="AG257" s="203"/>
      <c r="AH257" s="203"/>
      <c r="AI257" s="203"/>
      <c r="AJ257" s="203"/>
      <c r="AK257" s="203"/>
      <c r="AL257" s="203"/>
      <c r="AM257" s="203"/>
      <c r="AN257" s="192"/>
      <c r="AO257" s="192"/>
      <c r="AP257" s="192"/>
      <c r="AQ257" s="192"/>
      <c r="AR257" s="192"/>
      <c r="AS257" s="192"/>
      <c r="AT257" s="192"/>
      <c r="AU257" s="192"/>
      <c r="AV257" s="192"/>
      <c r="AW257" s="192"/>
      <c r="AX257" s="192"/>
    </row>
    <row r="258" spans="2:50" ht="15" customHeight="1" thickBot="1" x14ac:dyDescent="0.35">
      <c r="B258" s="192"/>
      <c r="C258" s="192"/>
      <c r="D258" s="192"/>
      <c r="E258" s="164" t="str">
        <f>IF(Q258="","",IF(Q258=3,1,0))</f>
        <v/>
      </c>
      <c r="F258" s="164" t="str">
        <f>IF(Q258="","",IF(Q258&lt;3,1,0))</f>
        <v/>
      </c>
      <c r="G258" s="192"/>
      <c r="H258" s="192" t="str">
        <f>IF(I234&lt;&gt;"",4,"")</f>
        <v/>
      </c>
      <c r="I258" s="192" t="str">
        <f>IF(ISNUMBER(H258),VLOOKUP(H258,H231:I234,2,TRUE),"")</f>
        <v/>
      </c>
      <c r="J258" s="192"/>
      <c r="K258" s="192" t="str">
        <f>VLOOKUP(I258,I231:L234,3,FALSE)</f>
        <v/>
      </c>
      <c r="L258" s="155"/>
      <c r="M258" s="259"/>
      <c r="N258" s="259"/>
      <c r="O258" s="156"/>
      <c r="P258" s="157"/>
      <c r="Q258" s="260" t="str">
        <f>IF(L258="","",IF(AND(L258-L257&gt;1,L258&gt;10),1,0)+IF(AND(M258-M257&gt;1,M258&gt;10),1,0)+IF(AND(N258-N257&gt;1,N258&gt;10),1,0)+IF(AND(O258-O257&gt;1,O258&gt;10),1,0)+IF(AND(P258-P257&gt;1,P258&gt;10),1,0))</f>
        <v/>
      </c>
      <c r="R258" s="203" t="str">
        <f>IF(AND(Q257&lt;&gt;3,Q258&lt;&gt;3),"",IF(Q257=3,IF(VLOOKUP(I257,I231:L234,4,FALSE)&gt;VLOOKUP(I258,I231:L234,4,FALSE),VLOOKUP(R257,Point_dif,2,FALSE),VLOOKUP(R257,Point_dif,3,FALSE)),IF(Q258=3,IF(VLOOKUP(I258,I231:L234,4,FALSE)&gt;VLOOKUP(I257,I231:L234,4,FALSE),VLOOKUP(R257,Point_dif,2,FALSE),VLOOKUP(R257,Point_dif,3,FALSE)))))</f>
        <v/>
      </c>
      <c r="S258" s="260" t="str">
        <f>IF(R258="","",IF(Q258=3,+R258,-R258))</f>
        <v/>
      </c>
      <c r="T258" s="247"/>
      <c r="U258" s="235"/>
      <c r="V258" s="235"/>
      <c r="W258" s="235"/>
      <c r="X258" s="235"/>
      <c r="Y258" s="235"/>
      <c r="Z258" s="235"/>
      <c r="AA258" s="246">
        <v>3</v>
      </c>
      <c r="AB258" s="222" t="str">
        <f>IF(AND(COUNTBLANK(I231:I234)=0,Group_players=4,Group_players=4,M232=M233,M233=M234),IF(X240="","",IF(COUNTIF(X238:X241,X240)=3,"Tied",IF(AND(COUNTIF(X238:X241,X240)=1,X239&lt;&gt;X241),IF(M233=2,IF(SMALL(X238:X241,1)=X240,1,IF(SMALL(X238:X241,2)=X240,2,IF(SMALL(X238:X241,3)=X240,3))),IF(M233=1,IF(SMALL(X238:X241,1)=X240,2,IF(SMALL(X238:X241,2)=X240,3,IF(SMALL(X238:X241,3)=X240,4))),"")),IF(COUNTIF(X238:X241,X240)=1,IF(X240&lt;X239,IF(M233=2,1,2),IF(M233=2,3,4)),IF(COUNTIF(X238:X241,X240)=2,IF(X240=X239,IF(X240&lt;X241,IF(M233=2,IF(Q252=3,1,2),IF(M233=1,IF(Q252=3,2,3))),IF(X240&gt;X241,IF(M233=2,IF(Q252=3,2,3),IF(M233=1,IF(Q252=3,3,4))))),IF(X240=X241,IF(X240&lt;X239,IF(M233=2,IF(Q257=3,1,2),IF(M233=1,IF(Q257=3,2,3))),IF(X240&gt;X239,IF(M233=2,IF(Q257=3,2,3),IF(M233=1,IF(Q257=3,3,4)))))))))))),"")</f>
        <v/>
      </c>
      <c r="AC258" s="192"/>
      <c r="AD258" s="192"/>
      <c r="AE258" s="192"/>
      <c r="AF258" s="203"/>
      <c r="AG258" s="203"/>
      <c r="AH258" s="203"/>
      <c r="AI258" s="203"/>
      <c r="AJ258" s="203"/>
      <c r="AK258" s="203"/>
      <c r="AL258" s="203"/>
      <c r="AM258" s="203"/>
      <c r="AN258" s="192"/>
      <c r="AO258" s="192"/>
      <c r="AP258" s="192"/>
      <c r="AQ258" s="192"/>
      <c r="AR258" s="192"/>
      <c r="AS258" s="192"/>
      <c r="AT258" s="192"/>
      <c r="AU258" s="192"/>
      <c r="AV258" s="192"/>
      <c r="AW258" s="192"/>
      <c r="AX258" s="192"/>
    </row>
    <row r="259" spans="2:50" ht="15" customHeight="1" thickTop="1" thickBot="1" x14ac:dyDescent="0.35">
      <c r="B259" s="192"/>
      <c r="C259" s="192"/>
      <c r="D259" s="192"/>
      <c r="E259" s="192"/>
      <c r="F259" s="192"/>
      <c r="G259" s="192"/>
      <c r="H259" s="192"/>
      <c r="I259" s="192"/>
      <c r="J259" s="192"/>
      <c r="K259" s="192"/>
      <c r="L259" s="192"/>
      <c r="M259" s="192"/>
      <c r="N259" s="192"/>
      <c r="O259" s="268"/>
      <c r="P259" s="192"/>
      <c r="Q259" s="192"/>
      <c r="R259" s="247"/>
      <c r="S259" s="247"/>
      <c r="T259" s="247"/>
      <c r="U259" s="235"/>
      <c r="V259" s="235"/>
      <c r="W259" s="235"/>
      <c r="X259" s="235"/>
      <c r="Y259" s="235"/>
      <c r="Z259" s="235"/>
      <c r="AA259" s="261">
        <v>4</v>
      </c>
      <c r="AB259" s="233" t="str">
        <f>IF(AND(COUNTBLANK(I231:I234)=0,Group_players=4,M232=M233,M233=M234),IF(X241="","",IF(COUNTIF(X238:X241,X241)=3,"Tied",IF(AND(COUNTIF(X238:X241,X241)=1,X240&lt;&gt;X239),IF(M234=2,IF(SMALL(X238:X241,1)=X241,1,IF(SMALL(X238:X241,2)=X241,2,IF(SMALL(X238:X241,3)=X241,3))),IF(M234=1,IF(SMALL(X238:X241,1)=X241,2,IF(SMALL(X238:X241,2)=X241,3,IF(SMALL(X238:X241,3)=X241,4))),"")),IF(COUNTIF(X238:X241,X241)=1,IF(X241&lt;X239,IF(M234=2,1,2),IF(M234=2,3,4)),IF(COUNTIF(X238:X241,X241)=2,IF(X241=X239,IF(X241&lt;X240,IF(M234=2,IF(Q246=3,1,2),IF(M234=1,IF(Q246=3,2,3))),IF(X241&gt;X240,IF(M234=2,IF(Q246=3,2,3),IF(M234=1,IF(Q246=3,3,4))))),IF(X241=X240,IF(X241&lt;X239,IF(M234=2,IF(Q258=3,1,2),IF(M234=1,IF(Q258=3,2,3))),IF(X241&gt;X239,IF(M234=2,IF(Q258=3,2,3),IF(M234=1,IF(Q258=3,3,4)))))))))))),"")</f>
        <v/>
      </c>
      <c r="AC259" s="192"/>
      <c r="AD259" s="192"/>
      <c r="AE259" s="192"/>
      <c r="AF259" s="203"/>
      <c r="AG259" s="203"/>
      <c r="AH259" s="203"/>
      <c r="AI259" s="203"/>
      <c r="AJ259" s="203"/>
      <c r="AK259" s="203"/>
      <c r="AL259" s="203"/>
      <c r="AM259" s="203"/>
      <c r="AN259" s="192"/>
      <c r="AO259" s="192"/>
      <c r="AP259" s="192"/>
      <c r="AQ259" s="192"/>
      <c r="AR259" s="192"/>
      <c r="AS259" s="192"/>
      <c r="AT259" s="192"/>
      <c r="AU259" s="192"/>
      <c r="AV259" s="192"/>
      <c r="AW259" s="192"/>
      <c r="AX259" s="192"/>
    </row>
    <row r="260" spans="2:50" ht="15" customHeight="1" thickTop="1" x14ac:dyDescent="0.3">
      <c r="B260" s="192"/>
      <c r="C260" s="192"/>
      <c r="D260" s="192"/>
      <c r="E260" s="192"/>
      <c r="F260" s="192"/>
      <c r="G260" s="192"/>
      <c r="H260" s="192"/>
      <c r="I260" s="192"/>
      <c r="J260" s="192"/>
      <c r="K260" s="192"/>
      <c r="L260" s="192"/>
      <c r="M260" s="192"/>
      <c r="N260" s="192"/>
      <c r="O260" s="192"/>
      <c r="P260" s="192"/>
      <c r="Q260" s="192"/>
      <c r="R260" s="192"/>
      <c r="S260" s="192"/>
      <c r="T260" s="203"/>
      <c r="U260" s="192"/>
      <c r="V260" s="192"/>
      <c r="W260" s="192"/>
      <c r="X260" s="192"/>
      <c r="Y260" s="192"/>
      <c r="Z260" s="192"/>
      <c r="AA260" s="192"/>
      <c r="AB260" s="192"/>
      <c r="AC260" s="192"/>
      <c r="AD260" s="192"/>
      <c r="AE260" s="192"/>
      <c r="AF260" s="203"/>
      <c r="AG260" s="203"/>
      <c r="AH260" s="203"/>
      <c r="AI260" s="203"/>
      <c r="AJ260" s="203"/>
      <c r="AK260" s="203"/>
      <c r="AL260" s="203"/>
      <c r="AM260" s="203"/>
      <c r="AN260" s="192"/>
      <c r="AO260" s="192"/>
      <c r="AP260" s="192"/>
      <c r="AQ260" s="192"/>
      <c r="AR260" s="192"/>
      <c r="AS260" s="192"/>
      <c r="AT260" s="192"/>
      <c r="AU260" s="192"/>
      <c r="AV260" s="192"/>
      <c r="AW260" s="192"/>
      <c r="AX260" s="192"/>
    </row>
    <row r="261" spans="2:50" ht="15" customHeight="1" x14ac:dyDescent="0.3">
      <c r="B261" s="192"/>
      <c r="C261" s="192"/>
      <c r="D261" s="192"/>
      <c r="E261" s="192"/>
      <c r="F261" s="192"/>
      <c r="G261" s="192"/>
      <c r="H261" s="192"/>
      <c r="I261" s="192"/>
      <c r="J261" s="192"/>
      <c r="K261" s="192"/>
      <c r="L261" s="192"/>
      <c r="M261" s="192"/>
      <c r="N261" s="192"/>
      <c r="O261" s="192"/>
      <c r="P261" s="192"/>
      <c r="Q261" s="192"/>
      <c r="R261" s="192"/>
      <c r="S261" s="192"/>
      <c r="T261" s="192"/>
      <c r="U261" s="192"/>
      <c r="V261" s="192"/>
      <c r="W261" s="192"/>
      <c r="X261" s="192"/>
      <c r="Y261" s="192"/>
      <c r="Z261" s="192"/>
      <c r="AA261" s="192"/>
      <c r="AB261" s="192"/>
      <c r="AC261" s="192"/>
      <c r="AD261" s="192"/>
      <c r="AE261" s="192"/>
      <c r="AF261" s="203"/>
      <c r="AG261" s="203"/>
      <c r="AH261" s="203"/>
      <c r="AI261" s="203"/>
      <c r="AJ261" s="203"/>
      <c r="AK261" s="203"/>
      <c r="AL261" s="203"/>
      <c r="AM261" s="203"/>
      <c r="AN261" s="192"/>
      <c r="AO261" s="192"/>
      <c r="AP261" s="192"/>
      <c r="AQ261" s="192"/>
      <c r="AR261" s="192"/>
      <c r="AS261" s="192"/>
      <c r="AT261" s="192"/>
      <c r="AU261" s="192"/>
      <c r="AV261" s="192"/>
      <c r="AW261" s="192"/>
      <c r="AX261" s="192"/>
    </row>
    <row r="262" spans="2:50" ht="15" customHeight="1" x14ac:dyDescent="0.3">
      <c r="B262" s="192"/>
      <c r="C262" s="192"/>
      <c r="D262" s="192"/>
      <c r="E262" s="192"/>
      <c r="F262" s="192"/>
      <c r="G262" s="192"/>
      <c r="H262" s="192"/>
      <c r="I262" s="192"/>
      <c r="J262" s="192"/>
      <c r="K262" s="192"/>
      <c r="L262" s="192"/>
      <c r="M262" s="192"/>
      <c r="N262" s="192"/>
      <c r="O262" s="192"/>
      <c r="P262" s="192"/>
      <c r="Q262" s="192"/>
      <c r="R262" s="192"/>
      <c r="S262" s="192"/>
      <c r="T262" s="192"/>
      <c r="U262" s="192"/>
      <c r="V262" s="192"/>
      <c r="W262" s="192"/>
      <c r="X262" s="192"/>
      <c r="Y262" s="192"/>
      <c r="Z262" s="269"/>
      <c r="AA262" s="192"/>
      <c r="AB262" s="192"/>
      <c r="AC262" s="192"/>
      <c r="AD262" s="192"/>
      <c r="AE262" s="192"/>
      <c r="AF262" s="203"/>
      <c r="AG262" s="203"/>
      <c r="AH262" s="203"/>
      <c r="AI262" s="203"/>
      <c r="AJ262" s="203"/>
      <c r="AK262" s="203"/>
      <c r="AL262" s="203"/>
      <c r="AM262" s="203"/>
      <c r="AN262" s="192"/>
      <c r="AO262" s="192"/>
      <c r="AP262" s="192"/>
      <c r="AQ262" s="192"/>
      <c r="AR262" s="192"/>
      <c r="AS262" s="192"/>
      <c r="AT262" s="192"/>
      <c r="AU262" s="192"/>
      <c r="AV262" s="192"/>
      <c r="AW262" s="192"/>
      <c r="AX262" s="192"/>
    </row>
    <row r="263" spans="2:50" ht="15" customHeight="1" x14ac:dyDescent="0.3">
      <c r="B263" s="192"/>
      <c r="C263" s="192"/>
      <c r="D263" s="192"/>
      <c r="E263" s="192"/>
      <c r="F263" s="192"/>
      <c r="G263" s="192"/>
      <c r="H263" s="192"/>
      <c r="I263" s="192"/>
      <c r="J263" s="192"/>
      <c r="K263" s="192"/>
      <c r="L263" s="192"/>
      <c r="M263" s="192"/>
      <c r="N263" s="192"/>
      <c r="O263" s="192"/>
      <c r="P263" s="192"/>
      <c r="Q263" s="192"/>
      <c r="R263" s="192"/>
      <c r="S263" s="192"/>
      <c r="T263" s="192"/>
      <c r="U263" s="192"/>
      <c r="V263" s="192"/>
      <c r="W263" s="192"/>
      <c r="X263" s="192"/>
      <c r="Y263" s="192"/>
      <c r="Z263" s="192"/>
      <c r="AA263" s="192"/>
      <c r="AB263" s="192"/>
      <c r="AC263" s="192"/>
      <c r="AD263" s="192"/>
      <c r="AE263" s="192"/>
      <c r="AF263" s="203"/>
      <c r="AG263" s="203"/>
      <c r="AH263" s="203"/>
      <c r="AI263" s="203"/>
      <c r="AJ263" s="203"/>
      <c r="AK263" s="203"/>
      <c r="AL263" s="203"/>
      <c r="AM263" s="203"/>
      <c r="AN263" s="192"/>
      <c r="AO263" s="192"/>
      <c r="AP263" s="192"/>
      <c r="AQ263" s="192"/>
      <c r="AR263" s="192"/>
      <c r="AS263" s="192"/>
      <c r="AT263" s="192"/>
      <c r="AU263" s="192"/>
      <c r="AV263" s="192"/>
      <c r="AW263" s="192"/>
      <c r="AX263" s="192"/>
    </row>
    <row r="264" spans="2:50" ht="15" customHeight="1" x14ac:dyDescent="0.3">
      <c r="B264" s="192"/>
      <c r="C264" s="192"/>
      <c r="D264" s="192"/>
      <c r="E264" s="192"/>
      <c r="F264" s="192"/>
      <c r="G264" s="192"/>
      <c r="H264" s="192"/>
      <c r="I264" s="192"/>
      <c r="J264" s="192"/>
      <c r="K264" s="192"/>
      <c r="L264" s="192"/>
      <c r="M264" s="192"/>
      <c r="N264" s="192"/>
      <c r="O264" s="192"/>
      <c r="P264" s="192"/>
      <c r="Q264" s="192"/>
      <c r="R264" s="192"/>
      <c r="S264" s="192"/>
      <c r="T264" s="192"/>
      <c r="U264" s="192"/>
      <c r="V264" s="192"/>
      <c r="W264" s="192"/>
      <c r="X264" s="192"/>
      <c r="Y264" s="192"/>
      <c r="Z264" s="192"/>
      <c r="AA264" s="192"/>
      <c r="AB264" s="192"/>
      <c r="AC264" s="192"/>
      <c r="AD264" s="192"/>
      <c r="AE264" s="192"/>
      <c r="AF264" s="203"/>
      <c r="AG264" s="203"/>
      <c r="AH264" s="203"/>
      <c r="AI264" s="203"/>
      <c r="AJ264" s="203"/>
      <c r="AK264" s="203"/>
      <c r="AL264" s="203"/>
      <c r="AM264" s="203"/>
      <c r="AN264" s="192"/>
      <c r="AO264" s="192"/>
      <c r="AP264" s="192"/>
      <c r="AQ264" s="192"/>
      <c r="AR264" s="192"/>
      <c r="AS264" s="192"/>
      <c r="AT264" s="192"/>
      <c r="AU264" s="192"/>
      <c r="AV264" s="192"/>
      <c r="AW264" s="192"/>
      <c r="AX264" s="192"/>
    </row>
    <row r="265" spans="2:50" ht="15" customHeight="1" thickBot="1" x14ac:dyDescent="0.4">
      <c r="B265" s="192"/>
      <c r="C265" s="192"/>
      <c r="D265" s="192"/>
      <c r="E265" s="192"/>
      <c r="F265" s="192"/>
      <c r="G265" s="192"/>
      <c r="H265" s="192"/>
      <c r="I265" s="383" t="s">
        <v>130</v>
      </c>
      <c r="J265" s="383"/>
      <c r="K265" s="383"/>
      <c r="L265" s="383"/>
      <c r="M265" s="383"/>
      <c r="N265" s="383"/>
      <c r="O265" s="383"/>
      <c r="P265" s="383"/>
      <c r="Q265" s="383"/>
      <c r="R265" s="383"/>
      <c r="S265" s="192"/>
      <c r="T265" s="192"/>
      <c r="U265" s="370" t="s">
        <v>92</v>
      </c>
      <c r="V265" s="371"/>
      <c r="W265" s="371"/>
      <c r="X265" s="372"/>
      <c r="Y265" s="192"/>
      <c r="Z265" s="192"/>
      <c r="AA265" s="192"/>
      <c r="AB265" s="192"/>
      <c r="AC265" s="192"/>
      <c r="AD265" s="192"/>
      <c r="AE265" s="192"/>
      <c r="AF265" s="203"/>
      <c r="AG265" s="203"/>
      <c r="AH265" s="203"/>
      <c r="AI265" s="203"/>
      <c r="AJ265" s="203"/>
      <c r="AK265" s="203"/>
      <c r="AL265" s="203"/>
      <c r="AM265" s="203"/>
      <c r="AN265" s="192"/>
      <c r="AO265" s="192"/>
      <c r="AP265" s="192"/>
      <c r="AQ265" s="192"/>
      <c r="AR265" s="192"/>
      <c r="AS265" s="192"/>
      <c r="AT265" s="192"/>
      <c r="AU265" s="192"/>
      <c r="AV265" s="192"/>
      <c r="AW265" s="192"/>
      <c r="AX265" s="192"/>
    </row>
    <row r="266" spans="2:50" ht="15" customHeight="1" thickTop="1" thickBot="1" x14ac:dyDescent="0.35">
      <c r="B266" s="192"/>
      <c r="C266" s="192"/>
      <c r="D266" s="192"/>
      <c r="E266" s="192"/>
      <c r="F266" s="192"/>
      <c r="G266" s="192"/>
      <c r="H266" s="192"/>
      <c r="I266" s="400" t="s">
        <v>93</v>
      </c>
      <c r="J266" s="160"/>
      <c r="K266" s="396" t="s">
        <v>94</v>
      </c>
      <c r="L266" s="398" t="s">
        <v>95</v>
      </c>
      <c r="M266" s="390" t="s">
        <v>96</v>
      </c>
      <c r="N266" s="390" t="s">
        <v>97</v>
      </c>
      <c r="O266" s="373" t="s">
        <v>98</v>
      </c>
      <c r="P266" s="373" t="str">
        <f>IF(COUNT(U267:X278)=3,"LM/WM Ratio",IF(COUNT(U267:X278)=6,"LP/WP Ratio",""))</f>
        <v/>
      </c>
      <c r="Q266" s="390" t="s">
        <v>99</v>
      </c>
      <c r="R266" s="392" t="s">
        <v>100</v>
      </c>
      <c r="S266" s="192"/>
      <c r="T266" s="120"/>
      <c r="U266" s="121" t="s">
        <v>101</v>
      </c>
      <c r="V266" s="122" t="s">
        <v>102</v>
      </c>
      <c r="W266" s="122" t="s">
        <v>103</v>
      </c>
      <c r="X266" s="123" t="s">
        <v>104</v>
      </c>
      <c r="Y266" s="380" t="s">
        <v>105</v>
      </c>
      <c r="Z266" s="379"/>
      <c r="AA266" s="378" t="s">
        <v>106</v>
      </c>
      <c r="AB266" s="379"/>
      <c r="AC266" s="192"/>
      <c r="AD266" s="192"/>
      <c r="AE266" s="203"/>
      <c r="AF266" s="203"/>
      <c r="AG266" s="203"/>
      <c r="AH266" s="203"/>
      <c r="AI266" s="203"/>
      <c r="AJ266" s="203"/>
      <c r="AK266" s="203"/>
      <c r="AL266" s="203"/>
      <c r="AM266" s="203"/>
      <c r="AN266" s="192"/>
      <c r="AO266" s="192"/>
      <c r="AP266" s="192"/>
      <c r="AQ266" s="192"/>
      <c r="AR266" s="192"/>
      <c r="AS266" s="192"/>
      <c r="AT266" s="192"/>
      <c r="AU266" s="192"/>
      <c r="AV266" s="192"/>
      <c r="AW266" s="192"/>
      <c r="AX266" s="192"/>
    </row>
    <row r="267" spans="2:50" ht="15" customHeight="1" thickTop="1" thickBot="1" x14ac:dyDescent="0.35">
      <c r="B267" s="192"/>
      <c r="C267" s="192"/>
      <c r="D267" s="192"/>
      <c r="E267" s="192"/>
      <c r="F267" s="192"/>
      <c r="G267" s="192"/>
      <c r="H267" s="192"/>
      <c r="I267" s="401"/>
      <c r="J267" s="161"/>
      <c r="K267" s="397"/>
      <c r="L267" s="399"/>
      <c r="M267" s="391"/>
      <c r="N267" s="391"/>
      <c r="O267" s="374"/>
      <c r="P267" s="374"/>
      <c r="Q267" s="391"/>
      <c r="R267" s="393"/>
      <c r="S267" s="192"/>
      <c r="T267" s="208">
        <v>1</v>
      </c>
      <c r="U267" s="209" t="str">
        <f>IF(M268="","",IF(COUNTIF(M268:M270,M268)=3,IF(COUNTBLANK(I268:I271)=1,(Q280+Q286)/(Q279+Q285),IF(COUNTBLANK(I268:I271)=0,(Q292+Q280)/(Q291+Q279),"")),""))</f>
        <v/>
      </c>
      <c r="V267" s="125" t="str">
        <f>IF(AND(COUNTBLANK(I268:I271)=0,M268=M270,M270=M271),(Q280+Q286)/(Q279+Q285),"")</f>
        <v/>
      </c>
      <c r="W267" s="210" t="str">
        <f>IF(AND(COUNTBLANK(I268:I271)=0,M268=M269,M269=M271),(Q292+Q286)/(Q291+Q285),"")</f>
        <v/>
      </c>
      <c r="X267" s="211"/>
      <c r="Y267" s="169" t="s">
        <v>93</v>
      </c>
      <c r="Z267" s="170" t="s">
        <v>107</v>
      </c>
      <c r="AA267" s="169" t="s">
        <v>93</v>
      </c>
      <c r="AB267" s="170" t="s">
        <v>107</v>
      </c>
      <c r="AC267" s="192"/>
      <c r="AD267" s="192"/>
      <c r="AE267" s="192"/>
      <c r="AF267" s="203"/>
      <c r="AG267" s="203"/>
      <c r="AH267" s="203"/>
      <c r="AI267" s="203"/>
      <c r="AJ267" s="203"/>
      <c r="AK267" s="203"/>
      <c r="AL267" s="203"/>
      <c r="AM267" s="203"/>
      <c r="AN267" s="192"/>
      <c r="AO267" s="192"/>
      <c r="AP267" s="192"/>
      <c r="AQ267" s="192"/>
      <c r="AR267" s="192"/>
      <c r="AS267" s="192"/>
      <c r="AT267" s="192"/>
      <c r="AU267" s="192"/>
      <c r="AV267" s="192"/>
      <c r="AW267" s="192"/>
      <c r="AX267" s="192"/>
    </row>
    <row r="268" spans="2:50" ht="15" customHeight="1" thickTop="1" thickBot="1" x14ac:dyDescent="0.35">
      <c r="B268" s="192"/>
      <c r="C268" s="192"/>
      <c r="D268" s="192"/>
      <c r="E268" s="192"/>
      <c r="F268" s="192" t="str">
        <f>IF(I268="","",VLOOKUP(I268,Siembra,2,FALSE))</f>
        <v/>
      </c>
      <c r="G268" s="192" t="str">
        <f>O268</f>
        <v/>
      </c>
      <c r="H268" s="192">
        <v>1</v>
      </c>
      <c r="I268" s="128" t="str">
        <f>IF(K268="","",IF(ISNUMBER(Sorteo!$A$17),VLOOKUP(K268,Draw,2,FALSE),""))</f>
        <v/>
      </c>
      <c r="J268" s="129" t="str">
        <f>O268</f>
        <v/>
      </c>
      <c r="K268" s="130" t="str">
        <f>IF($K$9="","",IF(Group_players=4,IF(Tablas!BO$3="","",Tablas!BO$3),IF(Group_players=3,IF(Tablas!BO$11="","",Tablas!BO$11),"")))</f>
        <v/>
      </c>
      <c r="L268" s="131" t="str">
        <f>IF(K268="","",VLOOKUP(I268,Siembra,3,FALSE))</f>
        <v/>
      </c>
      <c r="M268" s="132" t="str">
        <f>IF(AND(Q279="",Q280=""),"",IF(I268="","",SUMIFS(E279:E295,I279:I295,I268)))</f>
        <v/>
      </c>
      <c r="N268" s="132" t="str">
        <f>IF(M268="","",IF(I268="","",SUMIFS(F279:F295,I279:I295,I268)))</f>
        <v/>
      </c>
      <c r="O268" s="132" t="str">
        <f>IF(M268="","",IF(COUNTBLANK(I268:I271)=1,IF(M268=2,1,IF(M268=0,3,IF(AND(M268=1,M269&lt;&gt;1),2,IF(COUNTIF(M268:M270,1)&gt;1,Z268)))),IF(COUNTBLANK(I268:I271)=0,IF(COUNTIF(M268:M271,M268)=1,IF(M268=3,1,IF(M268=2,2,IF(M268=1,3,IF(M268=0,4)))),IF(Group_players=3,Z268,IF(COUNTIF(M268:M271,M268)=2,AB268,IF(AND(M268=M269,M269=M270),AB272,IF(AND(M268=M270,M270=M271),AB275,IF(AND(M268=M269,M269=M271),AB278,"")))))),99)))</f>
        <v/>
      </c>
      <c r="P268" s="133" t="str">
        <f>IF(COUNT(U267:X278)=3,IF(ISNUMBER(U267),U267,IF(ISNUMBER(V267),V267,IF(ISNUMBER(W267),W267,IF(X267="","")))),IF(COUNT(U267:X278)=6,IF(ISNUMBER(U275),U275,IF(ISNUMBER(V275),V275,IF(ISNUMBER(W275),W275,IF(ISBLANK(X267),"")))),""))</f>
        <v/>
      </c>
      <c r="Q268" s="132" t="str">
        <f>IF(M268="","",SUMIF(I279:S295,I268,S279:S295))</f>
        <v/>
      </c>
      <c r="R268" s="134" t="str">
        <f>IF(M268="","",L268+Q268)</f>
        <v/>
      </c>
      <c r="S268" s="203"/>
      <c r="T268" s="208">
        <v>2</v>
      </c>
      <c r="U268" s="209" t="str">
        <f>IF(M269="","",IF(COUNTIF(M268:M270,M269)=3,IF(COUNTBLANK(I268:I271)=1,(Q283+Q285)/(Q282+Q286),IF(COUNTBLANK(I268:I271)=0,(Q289+Q291)/(Q288+Q292),"")),""))</f>
        <v/>
      </c>
      <c r="V268" s="135"/>
      <c r="W268" s="212" t="str">
        <f>IF(AND(COUNTBLANK(I268:I271)=0,M269=M268,M268=M271),(Q291+Q283)/(Q292+Q282),"")</f>
        <v/>
      </c>
      <c r="X268" s="213" t="str">
        <f>IF(AND(COUNTBLANK(I268:I271)=0,M269=M270,M270=M271),(Q289+Q283)/(Q288+Q282),"")</f>
        <v/>
      </c>
      <c r="Y268" s="214">
        <v>1</v>
      </c>
      <c r="Z268" s="215" t="str">
        <f>IF(U267="","",IF(OR(Group_players=3,AND(Group_players=4,COUNTBLANK(I268:I271)=1)),IF(COUNTIF(M268:M270,M268)=1,"",IF(AND(U267=U268,U268=U269),Z272,IF(AND(U267&lt;&gt;U268,U267&lt;&gt;U269,U268&lt;&gt;U269),(IF(SMALL(U267:U269,1)=U267,1,IF(SMALL(U267:U269,2)=U267,2,IF(SMALL(U267:U269,3)=U267,3)))),IF(AND(U267&lt;U268,U268=U269),1,IF(AND(U267&gt;U268,U268=U269),3,IF(AND(U267=U268,U267&lt;U269),(IF(Q285=3,1,2)),IF(AND(U267=U268,U267&gt;U269),(IF(Q285=3,2,3)),IF(AND(U267=U269,U267&lt;U268),(IF(Q279=3,1,2)),IF(AND(U267=U269,U267&gt;U268),(IF(Q279=3,2,3)),99))))))))),""))</f>
        <v/>
      </c>
      <c r="AA268" s="216">
        <v>1</v>
      </c>
      <c r="AB268" s="217" t="str">
        <f>IF(COUNTIF(M268:M271,M268)&lt;&gt;2,"",IF(COUNTIF(M268:M271,M268)=1,"",IF(AND(COUNTIF(M268:M271,M268)=2,M268=2),IF(M268=M269,IF(Q291=3,1,2),IF(M268=M270,IF(Q279=3,1,2),IF(M268=M271,IF(Q285=3,1,2)))),IF(AND(COUNTIF(M268:M271,M268)=2,M268=1),IF(M268=M269,IF(Q291=3,3,4),IF(M268=M270,IF(Q279=3,3,4),IF(M268=M271,IF(Q285=3,3,4)))),IF(COUNTIF(M268:M271,M268)=3,AB272)))))</f>
        <v/>
      </c>
      <c r="AC268" s="192"/>
      <c r="AD268" s="192"/>
      <c r="AE268" s="192"/>
      <c r="AF268" s="203"/>
      <c r="AG268" s="203"/>
      <c r="AH268" s="203"/>
      <c r="AI268" s="203"/>
      <c r="AJ268" s="203"/>
      <c r="AK268" s="203"/>
      <c r="AL268" s="203"/>
      <c r="AM268" s="203"/>
      <c r="AN268" s="192"/>
      <c r="AO268" s="192"/>
      <c r="AP268" s="192"/>
      <c r="AQ268" s="192"/>
      <c r="AR268" s="192"/>
      <c r="AS268" s="192"/>
      <c r="AT268" s="192"/>
      <c r="AU268" s="192"/>
      <c r="AV268" s="192"/>
      <c r="AW268" s="192"/>
      <c r="AX268" s="192"/>
    </row>
    <row r="269" spans="2:50" ht="15" customHeight="1" thickTop="1" thickBot="1" x14ac:dyDescent="0.35">
      <c r="B269" s="192"/>
      <c r="C269" s="192"/>
      <c r="D269" s="192"/>
      <c r="E269" s="192"/>
      <c r="F269" s="192" t="str">
        <f>IF(I269="","",VLOOKUP(I269,Siembra,2,FALSE))</f>
        <v/>
      </c>
      <c r="G269" s="192" t="str">
        <f>O269</f>
        <v/>
      </c>
      <c r="H269" s="192">
        <v>2</v>
      </c>
      <c r="I269" s="128" t="str">
        <f>IF(K269="","",IF(ISNUMBER(Sorteo!$A$17),VLOOKUP(K269,Draw,2,FALSE),""))</f>
        <v/>
      </c>
      <c r="J269" s="129" t="str">
        <f>O269</f>
        <v/>
      </c>
      <c r="K269" s="136" t="str">
        <f>IF($K$9="","",IF(Group_players=4,IF(Tablas!BO$4="","",Tablas!BO$4),IF(Group_players=3,IF(Tablas!BO$12="","",Tablas!BO$12),"")))</f>
        <v/>
      </c>
      <c r="L269" s="137" t="str">
        <f>IF(K269="","",VLOOKUP(I269,Siembra,3,FALSE))</f>
        <v/>
      </c>
      <c r="M269" s="132" t="str">
        <f>IF(AND(L279="",L280=""),"",IF(I269="","",SUMIFS(E279:E296,I279:I296,I269)))</f>
        <v/>
      </c>
      <c r="N269" s="138" t="str">
        <f>IF(M269="","",IF(I269="","",SUMIFS(F279:F295,I279:I295,I269)))</f>
        <v/>
      </c>
      <c r="O269" s="132" t="str">
        <f>IF(M269="","",IF(COUNTBLANK(I268:I271)=1,IF(M269=2,1,IF(M269=0,3,IF(AND(M269=1,M270&lt;&gt;1),2,IF(COUNTIF(M268:M271,1)&gt;1,Z269)))),IF(COUNTBLANK(I268:I271)=0,IF(COUNTIF(M268:M271,M269)=1,IF(M269=3,1,IF(M269=2,2,IF(M269=1,3,IF(M269=0,4)))),IF(Group_players=3,Z269,IF(COUNTIF(M268:M271,M269)=2,AB269,IF(AND(M269=M268,M268=M270),AB273,IF(AND(M269=M268,M268=M271),AB279,IF(AND(M269=M270,M270=M271),AB281,"")))))))))</f>
        <v/>
      </c>
      <c r="P269" s="133" t="str">
        <f>IF(COUNT(U267:X278)=3,IF(ISNUMBER(U268),U268,IF(ISNUMBER(W268),W268,IF(ISNUMBER(X268),X268,IF(X268="","")))),IF(COUNT(U267:X278)=6,IF(ISNUMBER(U276),U276,IF(ISNUMBER(W276),W276,IF(ISNUMBER(X276),X276,IF(ISBLANK(X275),"")))),""))</f>
        <v/>
      </c>
      <c r="Q269" s="138" t="str">
        <f>IF(M269="","",SUMIF(I279:S295,I269,S279:$S295))</f>
        <v/>
      </c>
      <c r="R269" s="139" t="str">
        <f>IF(M269="","",L269+Q269)</f>
        <v/>
      </c>
      <c r="S269" s="203"/>
      <c r="T269" s="208">
        <v>3</v>
      </c>
      <c r="U269" s="209" t="str">
        <f>IF(M270="","",IF(COUNTIF(M268:M270,M270)=3,IF(COUNTBLANK(I268:I271)=1,(Q279+Q282)/(Q280+Q283),IF(COUNTBLANK(I268:I271)=0,(Q279+Q288)/(Q280+Q289),"")),""))</f>
        <v/>
      </c>
      <c r="V269" s="125" t="str">
        <f>IF(AND(COUNTBLANK(I268:I271)=0,M270=M271,M271=M268),(Q279+Q295)/(Q280+Q294),"")</f>
        <v/>
      </c>
      <c r="W269" s="218"/>
      <c r="X269" s="213" t="str">
        <f>IF(AND(COUNTBLANK(I268:I271)=0,M270=M271,M271=M269),(Q288+Q295)/(Q289+Q294),"")</f>
        <v/>
      </c>
      <c r="Y269" s="219">
        <v>2</v>
      </c>
      <c r="Z269" s="220" t="str">
        <f>IF(U268="","",IF(OR(Group_players=3,AND(Group_players=4,COUNTBLANK(I268:I271)=1)),IF(COUNTIF(M268:M270,M269)=1,"",IF(AND(U268=U267,U268=U269),Z273,IF(AND(U268&lt;&gt;U267,U268&lt;&gt;U269,U267&lt;&gt;U269),(IF(SMALL(U267:U269,1)=U268,1,IF(SMALL(U267:U269,2)=U268,2,IF(SMALL(U267:U269,3)=U268,3)))),IF(AND(U268&lt;U267,U267=U269),1,IF(AND(U268&gt;U267,U267=U269),3,IF(AND(U268=U267,U268&lt;U269),(IF(Q286=3,1,2)),IF(AND(U268=U267,U268&gt;U269),(IF(Q286=3,2,3)),IF(AND(U268=U269,U268&lt;U267),(IF(Q282=3,1,2)),IF(AND(U268=U269,U268&gt;U267),(IF(Q282=3,2,3)),99))))))))),""))</f>
        <v/>
      </c>
      <c r="AA269" s="221">
        <v>2</v>
      </c>
      <c r="AB269" s="222" t="str">
        <f>IF(COUNTIF(M268:M271,M269)&lt;&gt;2,"",IF(COUNTIF(M268:M271,M269)=1,"",IF(AND(COUNTIF(M268:M271,M269)=2,M269=2),IF(M269=M268,IF(Q292=3,1,2),IF(M269=M270,IF(Q288=3,1,2),IF(M269=M271,IF(Q282=3,1,2)))),IF(AND(COUNTIF(M268:M271,M269)=2,M269=1),IF(M269=M268,IF(Q292=3,3,4),IF(M269=M270,IF(Q288=3,3,4),IF(M269=M271,IF(Q282=3,3,4)))),AB274))))</f>
        <v/>
      </c>
      <c r="AC269" s="192"/>
      <c r="AD269" s="192"/>
      <c r="AE269" s="192"/>
      <c r="AF269" s="203"/>
      <c r="AG269" s="203"/>
      <c r="AH269" s="203"/>
      <c r="AI269" s="203"/>
      <c r="AJ269" s="203"/>
      <c r="AK269" s="203"/>
      <c r="AL269" s="203"/>
      <c r="AM269" s="203"/>
      <c r="AN269" s="192"/>
      <c r="AO269" s="192"/>
      <c r="AP269" s="192"/>
      <c r="AQ269" s="192"/>
      <c r="AR269" s="192"/>
      <c r="AS269" s="192"/>
      <c r="AT269" s="192"/>
      <c r="AU269" s="192"/>
      <c r="AV269" s="192"/>
      <c r="AW269" s="192"/>
      <c r="AX269" s="192"/>
    </row>
    <row r="270" spans="2:50" ht="15" customHeight="1" thickBot="1" x14ac:dyDescent="0.35">
      <c r="B270" s="192"/>
      <c r="C270" s="192"/>
      <c r="D270" s="192"/>
      <c r="E270" s="192"/>
      <c r="F270" s="192" t="str">
        <f>IF(I270="","",VLOOKUP(I270,Siembra,2,FALSE))</f>
        <v/>
      </c>
      <c r="G270" s="192" t="str">
        <f>O270</f>
        <v/>
      </c>
      <c r="H270" s="192">
        <v>3</v>
      </c>
      <c r="I270" s="128" t="str">
        <f>IF(K270="","",IF(ISNUMBER(Sorteo!$A$17),VLOOKUP(K270,Draw,2,FALSE),""))</f>
        <v/>
      </c>
      <c r="J270" s="129" t="str">
        <f>O270</f>
        <v/>
      </c>
      <c r="K270" s="136" t="str">
        <f>IF($K$9="","",IF(Group_players=4,IF(Tablas!BO$5="","",Tablas!BO$5),IF(Group_players=3,IF(Tablas!BO$13="","",Tablas!BO$13),"")))</f>
        <v/>
      </c>
      <c r="L270" s="137" t="str">
        <f>IF(K270="","",VLOOKUP(I270,Siembra,3,FALSE))</f>
        <v/>
      </c>
      <c r="M270" s="132" t="str">
        <f>IF(AND(L280="",L279=""),"",IF(I270="","",SUMIFS(E279:E297,I279:I297,I270)))</f>
        <v/>
      </c>
      <c r="N270" s="138" t="str">
        <f>IF(M270="","",IF(I270="","",SUMIFS(F279:F295,I279:I295,I270)))</f>
        <v/>
      </c>
      <c r="O270" s="132" t="str">
        <f>IF(M270="","",IF(COUNTBLANK(I268:I271)=1,IF(M270=2,1,IF(M270=0,3,IF(AND(M270=1,M270&lt;&gt;M268),2,IF(COUNTIF(M268:M271,1)&gt;1,Z270)))),IF(COUNTBLANK(I268:I271)=0,IF(COUNTIF(M268:M271,M270)=1,IF(M270=3,1,IF(M270=2,2,IF(M270=1,3,IF(M270=0,4)))),IF(Group_players=3,Z270,IF(COUNTIF(M268:M271,M270)=2,AB270,IF(AND(M270=M268,M268=M269),AB274,IF(AND(M270=M268,M268=M271),AB276,IF(AND(M270=M269,M269=M271),AB282,"")))))))))</f>
        <v/>
      </c>
      <c r="P270" s="133" t="str">
        <f>IF(COUNT(U267:X278)=3,IF(ISNUMBER(U269),U269,IF(ISNUMBER(V269),V269,IF(ISNUMBER(X269),X269,IF(W269="","")))),IF(COUNT(U267:X278)=6,IF(ISNUMBER(U277),U277,IF(ISNUMBER(V277),V277,IF(ISNUMBER(X277),X277,""))),""))</f>
        <v/>
      </c>
      <c r="Q270" s="138" t="str">
        <f>IF(M270="","",SUMIF(I279:S295,I270,S279:S295))</f>
        <v/>
      </c>
      <c r="R270" s="139" t="str">
        <f>IF(M270="","",L270+Q270)</f>
        <v/>
      </c>
      <c r="S270" s="203"/>
      <c r="T270" s="208">
        <v>4</v>
      </c>
      <c r="U270" s="223"/>
      <c r="V270" s="140" t="str">
        <f>IF(AND(COUNTBLANK(I268:I271)=0,M271=M268,M268=M270),(Q285+Q294)/(Q286+Q295),"")</f>
        <v/>
      </c>
      <c r="W270" s="224" t="str">
        <f>IF(AND(COUNTBLANK(I268:I271)=0,M271=M268,M268=M269),(Q285+Q282)/(Q286+Q283),"")</f>
        <v/>
      </c>
      <c r="X270" s="225" t="str">
        <f>IF(AND(COUNTBLANK(I268:I271)=0,M271=M269,M269=M270),(Q282+Q294)/(Q283+Q295),"")</f>
        <v/>
      </c>
      <c r="Y270" s="226">
        <v>3</v>
      </c>
      <c r="Z270" s="227" t="str">
        <f>IF(U269="","",IF(OR(Group_players=3,AND(Group_players=4,COUNTBLANK(I268:I271)=1)),IF(COUNTIF(M268:M270,M270)=1,"",IF(AND(U269=U267,U269=U268),Z274,IF(AND(U269&lt;&gt;U268,U268&lt;&gt;U267,U269&lt;&gt;U267),(IF(SMALL(U267:U269,1)=U269,1,IF(SMALL(U267:U269,2)=U269,2,IF(SMALL(U267:U269,3)=U269,3)))),IF(AND(U269&lt;U268,U268=U267),1,IF(AND(U269&gt;U268,U268=U267),3,IF(AND(U269=U268,U269&lt;U267),(IF(Q283=3,1,2)),IF(AND(U269=U268,U269&gt;U267),(IF(Q283=3,2,3)),IF(AND(U269=U267,U269&lt;U268),(IF(Q280=3,1,2)),IF(AND(U269=U267,U269&gt;U268),(IF(Q280=3,2,3)),99))))))))),""))</f>
        <v/>
      </c>
      <c r="AA270" s="221">
        <v>3</v>
      </c>
      <c r="AB270" s="222" t="str">
        <f>IF(COUNTIF(M268:M271,M270)&lt;&gt;2,"",IF(COUNTIF(M268:M271,M270)=1,"",IF(AND(COUNTIF(M268:M271,M270)=2,M270=2),IF(M270=M268,IF(Q280=3,1,2),IF(M270=M269,IF(Q289=3,1,2),IF(M270=M271,IF(Q294=3,1,2)))),IF(AND(COUNTIF(M268:M271,M270)=2,M270=1),IF(M270=M268,IF(Q280=3,3,4),IF(M270=M269,IF(Q289=3,3,4),IF(M270=M271,IF(Q294=3,3,4)))),AB274))))</f>
        <v/>
      </c>
      <c r="AC270" s="192"/>
      <c r="AD270" s="192"/>
      <c r="AE270" s="192"/>
      <c r="AF270" s="203"/>
      <c r="AG270" s="203"/>
      <c r="AH270" s="203"/>
      <c r="AI270" s="203"/>
      <c r="AJ270" s="203"/>
      <c r="AK270" s="203"/>
      <c r="AL270" s="203"/>
      <c r="AM270" s="203"/>
      <c r="AN270" s="192"/>
      <c r="AO270" s="192"/>
      <c r="AP270" s="192"/>
      <c r="AQ270" s="192"/>
      <c r="AR270" s="192"/>
      <c r="AS270" s="192"/>
      <c r="AT270" s="192"/>
      <c r="AU270" s="192"/>
      <c r="AV270" s="192"/>
      <c r="AW270" s="192"/>
      <c r="AX270" s="192"/>
    </row>
    <row r="271" spans="2:50" ht="15" customHeight="1" thickTop="1" thickBot="1" x14ac:dyDescent="0.35">
      <c r="B271" s="192"/>
      <c r="C271" s="192"/>
      <c r="D271" s="192"/>
      <c r="E271" s="192"/>
      <c r="F271" s="192" t="str">
        <f>IF(I271="","",VLOOKUP(I271,Siembra,2,FALSE))</f>
        <v/>
      </c>
      <c r="G271" s="192" t="str">
        <f>O271</f>
        <v/>
      </c>
      <c r="H271" s="192">
        <v>4</v>
      </c>
      <c r="I271" s="141" t="str">
        <f>IF(K271="","",IF(ISNUMBER(Sorteo!$A$17),VLOOKUP(K271,Draw,2,FALSE),""))</f>
        <v/>
      </c>
      <c r="J271" s="142" t="str">
        <f>O271</f>
        <v/>
      </c>
      <c r="K271" s="143" t="str">
        <f>IF($K$9="","",IF(Group_players=4,IF(Tablas!BO6="","",Tablas!BO6),""))</f>
        <v/>
      </c>
      <c r="L271" s="144" t="str">
        <f>IF(K271="","",VLOOKUP(I271,Siembra,3,FALSE))</f>
        <v/>
      </c>
      <c r="M271" s="145" t="str">
        <f>IF(AND(Q282="",Q283=""),"",IF(I271="","",SUMIFS(E279:E298,I279:I298,I271)))</f>
        <v/>
      </c>
      <c r="N271" s="145" t="str">
        <f>IF(M271="","",IF(I271="","",SUMIFS(F279:F295,I279:I295,I271)))</f>
        <v/>
      </c>
      <c r="O271" s="145" t="str">
        <f>IF(M271="","",IF(COUNTIF(M268:M271,M271)=1,IF(M271=3,1,IF(M271=2,2,IF(M271=1,3,IF(M271=0,4)))),IF(COUNTIF(M268:M271,M271)=2,AB271,IF(AND(M271=M268,M268=M270),AB277,IF(AND(M271=M268,M268=M269),AB280,IF(AND(M271=M269,M269=M270),AB283,""))))))</f>
        <v/>
      </c>
      <c r="P271" s="146" t="str">
        <f>IF(COUNT(U267:X278)=3,IF(ISNUMBER(V270),V270,IF(ISNUMBER(W270),W270,IF(ISNUMBER(X270),X270,IF(X270="","")))),IF(COUNT(U267:X278)=6,IF(ISNUMBER(V278),V278,IF(ISNUMBER(W278),W278,IF(ISNUMBER(X278),X278,""))),""))</f>
        <v/>
      </c>
      <c r="Q271" s="145" t="str">
        <f>IF(M271="","",SUMIF(I279:S295,I271,S279:$S295))</f>
        <v/>
      </c>
      <c r="R271" s="147" t="str">
        <f>IF(M271="","",L271+Q271)</f>
        <v/>
      </c>
      <c r="S271" s="203"/>
      <c r="T271" s="192"/>
      <c r="U271" s="192"/>
      <c r="V271" s="192"/>
      <c r="W271" s="192"/>
      <c r="X271" s="192"/>
      <c r="Y271" s="230" t="s">
        <v>93</v>
      </c>
      <c r="Z271" s="231" t="s">
        <v>110</v>
      </c>
      <c r="AA271" s="232">
        <v>4</v>
      </c>
      <c r="AB271" s="233" t="str">
        <f>IF(COUNTIF(M268:M271,M271)&lt;&gt;2,"",IF(COUNTIF(M268:M271,M271)=1,"",IF(AND(COUNTIF(M268:M271,M271)=2,M271=2),IF(M271=M268,IF(Q286=3,1,2),IF(M271=M269,IF(Q283=3,1,2),IF(M271=M270,IF(Q295=3,1,2)))),IF(AND(COUNTIF(M268:M271,M271)=2,M271=1),IF(M271=M268,IF(Q286=3,3,4),IF(M271=M269,IF(Q283=3,3,4),IF(M271=M270,IF(Q295=3,3,4)))),AB277))))</f>
        <v/>
      </c>
      <c r="AC271" s="192"/>
      <c r="AD271" s="192"/>
      <c r="AE271" s="192"/>
      <c r="AF271" s="203"/>
      <c r="AG271" s="203"/>
      <c r="AH271" s="203"/>
      <c r="AI271" s="203"/>
      <c r="AJ271" s="203"/>
      <c r="AK271" s="203"/>
      <c r="AL271" s="203"/>
      <c r="AM271" s="203"/>
      <c r="AN271" s="192"/>
      <c r="AO271" s="192"/>
      <c r="AP271" s="192"/>
      <c r="AQ271" s="192"/>
      <c r="AR271" s="192"/>
      <c r="AS271" s="192"/>
      <c r="AT271" s="192"/>
      <c r="AU271" s="192"/>
      <c r="AV271" s="192"/>
      <c r="AW271" s="192"/>
      <c r="AX271" s="192"/>
    </row>
    <row r="272" spans="2:50" ht="15" customHeight="1" thickTop="1" x14ac:dyDescent="0.3">
      <c r="B272" s="192"/>
      <c r="C272" s="192"/>
      <c r="D272" s="192"/>
      <c r="E272" s="192"/>
      <c r="F272" s="192"/>
      <c r="G272" s="192"/>
      <c r="H272" s="192"/>
      <c r="I272" s="192"/>
      <c r="J272" s="192"/>
      <c r="K272" s="192"/>
      <c r="L272" s="192"/>
      <c r="M272" s="192"/>
      <c r="N272" s="192"/>
      <c r="O272" s="192"/>
      <c r="P272" s="192"/>
      <c r="Q272" s="192"/>
      <c r="R272" s="192"/>
      <c r="S272" s="192"/>
      <c r="T272" s="208"/>
      <c r="U272" s="192"/>
      <c r="V272" s="148"/>
      <c r="W272" s="148"/>
      <c r="X272" s="234"/>
      <c r="Y272" s="214">
        <v>1</v>
      </c>
      <c r="Z272" s="215" t="str">
        <f>IF(U275="","",IF(OR(Group_players=3,AND(Group_players=4,COUNTBLANK(I268:I271)=1)),IF(COUNTIF(M268:M270,M268)=1,"",IF(COUNTIF(U267:U269,U267)=3,IF(AND(U275=U276,U276=U277),"Tied",IF(AND(U275&lt;&gt;U276,U275&lt;&gt;U277,U276&lt;&gt;U277),(IF(SMALL(U275:U277,1)=U275,1,IF(SMALL(U275:U277,2)=U275,2,IF(SMALL(U275:U277,3)=U275,3)))),IF(AND(U275&lt;U276,U276=U277),1,IF(AND(U275&gt;U276,U276=U277),3,IF(AND(U275=U276,U275&lt;U277),(IF(Q285=3,1,2)),IF(AND(U275=U276,U275&gt;U277),(IF(Q285=3,2,3)),IF(AND(U275=U277,U275&lt;U276),(IF(Q279=3,1,2)),IF(AND(U275=U277,U275&gt;U276),(IF(Q279=3,2,3)),99)))))))),"")),""))</f>
        <v/>
      </c>
      <c r="AA272" s="208">
        <v>1</v>
      </c>
      <c r="AB272" s="222" t="str">
        <f>IF(AND(COUNTBLANK(I268:I271)=0,Group_players=4,M268=M269,M269=M270),IF(COUNTIF(U267:U270,U267)=3,AB285,IF(AND(COUNTIF(U267:U270,U267)=1,U268&lt;&gt;U269),IF(M268=2,IF(SMALL(U267:U270,1)=U267,1,IF(SMALL(U267:U270,2)=U267,2,IF(SMALL(U267:U270,3)=U267,3))),IF(M268=1,IF(SMALL(U267:U270,1)=U267,2,IF(SMALL(U267:U270,2)=U267,3,IF(SMALL(U267:U270,3)=U267,4))),"")),IF(COUNTIF(U267:U270,U267)=1,IF(U267&lt;U268,IF(M268=2,1,2),IF(M268=2,3,4)),IF(COUNTIF(U267:U270,U267)=2,IF(U267=U268,IF(U267&lt;U269,IF(M268=2,IF(Q291=3,1,2),IF(M268=1,IF(Q291=3,2,3))),IF(U267&gt;U269,IF(M268=2,IF(Q291=3,2,3),IF(M268=1,IF(Q291=3,3,4))))),IF(U267=U269,IF(U267&lt;U268,IF(M268=2,IF(Q279=3,1,2),IF(M268=1,IF(Q279=3,2,3))),IF(U267&gt;U268,IF(M268=2,IF(Q279=3,2,3),IF(M268=1,IF(Q279=3,3,4))))))),"")))),"")</f>
        <v/>
      </c>
      <c r="AC272" s="192"/>
      <c r="AD272" s="192"/>
      <c r="AE272" s="269"/>
      <c r="AF272" s="203"/>
      <c r="AG272" s="203"/>
      <c r="AH272" s="203"/>
      <c r="AI272" s="203"/>
      <c r="AJ272" s="203"/>
      <c r="AK272" s="203"/>
      <c r="AL272" s="203"/>
      <c r="AM272" s="203"/>
      <c r="AN272" s="192"/>
      <c r="AO272" s="192"/>
      <c r="AP272" s="192"/>
      <c r="AQ272" s="192"/>
      <c r="AR272" s="192"/>
      <c r="AS272" s="192"/>
      <c r="AT272" s="192"/>
      <c r="AU272" s="192"/>
      <c r="AV272" s="192"/>
      <c r="AW272" s="192"/>
      <c r="AX272" s="192"/>
    </row>
    <row r="273" spans="2:50" ht="15" customHeight="1" thickBot="1" x14ac:dyDescent="0.35">
      <c r="B273" s="192"/>
      <c r="C273" s="192"/>
      <c r="D273" s="192"/>
      <c r="E273" s="192"/>
      <c r="F273" s="192"/>
      <c r="G273" s="192"/>
      <c r="H273" s="192"/>
      <c r="I273" s="269"/>
      <c r="J273" s="269"/>
      <c r="K273" s="192"/>
      <c r="L273" s="192"/>
      <c r="M273" s="192"/>
      <c r="N273" s="192"/>
      <c r="O273" s="192"/>
      <c r="P273" s="192"/>
      <c r="Q273" s="192"/>
      <c r="R273" s="192"/>
      <c r="S273" s="192"/>
      <c r="T273" s="208"/>
      <c r="U273" s="368" t="s">
        <v>111</v>
      </c>
      <c r="V273" s="369"/>
      <c r="W273" s="369"/>
      <c r="X273" s="369"/>
      <c r="Y273" s="236">
        <v>2</v>
      </c>
      <c r="Z273" s="220" t="str">
        <f>IF(U268="","",IF(OR(Group_players=3,AND(Group_players=4,COUNTBLANK(I268:I271)=1)),IF(COUNTIF(M268:M270,M269)=1,"",IF(COUNTIF(U267:U269,U268)=3,IF(AND(U276=U275,U276=U277),"Tied",IF(AND(U276&lt;&gt;U275,U276&lt;&gt;U277,U275&lt;&gt;U277),(IF(SMALL(U275:U277,1)=U276,1,IF(SMALL(U275:U277,2)=U276,2,IF(SMALL(U275:U277,3)=U276,3)))),IF(AND(U276&lt;U275,U275=U277),1,IF(AND(U276&gt;U275,U275=U277),3,IF(AND(U276=U275,U276&lt;U277),(IF(Q286=3,1,2)),IF(AND(U276=U275,U276&gt;U277),(IF(Q286=3,2,3)),IF(AND(U276=U277,U276&lt;U275),(IF(Q282=3,1,2)),IF(AND(U276=U277,U276&gt;U275),(IF(Q282=3,2,3)),99)))))))),"")),""))</f>
        <v/>
      </c>
      <c r="AA273" s="208">
        <v>2</v>
      </c>
      <c r="AB273" s="222" t="str">
        <f>IF(AND(COUNTBLANK(I268:I271)=0,Group_players=4,M268=M269,M269=M270),IF(COUNTIF(U267:U270,U268)=3,AB286,IF(AND(COUNTIF(U267:U270,U268)=1,U267&lt;&gt;U269),IF(M269=2,IF(SMALL(U267:U270,1)=U268,1,IF(SMALL(U267:U270,2)=U268,2,IF(SMALL(U267:U270,3)=U268,3))),IF(M269=1,IF(SMALL(U267:U270,1)=U268,2,IF(SMALL(U267:U270,2)=U268,3,IF(SMALL(U267:U270,3)=U268,4))),"")),IF(COUNTIF(U267:U269,U268)=1,IF(U268&lt;U267,IF(M269=2,1,2),IF(M269=2,3,99)),IF(COUNTIF(U267:U270,U268)=2,IF(U268=U267,IF(U268&lt;U269,IF(M269=2,IF(Q292=3,1,2),IF(M269=1,IF(Q292=3,2,3))),IF(U268&gt;U269,IF(M269=2,IF(Q292=3,2,3),IF(M269=1,IF(Q292=3,3,4))))),IF(U268=U269,IF(U268&lt;U267,IF(M269=2,IF(Q288=3,1,2),IF(M269=1,IF(Q288=3,2,3))),IF(U268&gt;U267,IF(M269=2,IF(Q288=3,2,3),IF(M269=1,IF(Q288=3,3,4))))))),"")))),"")</f>
        <v/>
      </c>
      <c r="AC273" s="192"/>
      <c r="AD273" s="192"/>
      <c r="AE273" s="192"/>
      <c r="AF273" s="203"/>
      <c r="AG273" s="203"/>
      <c r="AH273" s="203"/>
      <c r="AI273" s="203"/>
      <c r="AJ273" s="203"/>
      <c r="AK273" s="203"/>
      <c r="AL273" s="203"/>
      <c r="AM273" s="203"/>
      <c r="AN273" s="192"/>
      <c r="AO273" s="192"/>
      <c r="AP273" s="192"/>
      <c r="AQ273" s="192"/>
      <c r="AR273" s="192"/>
      <c r="AS273" s="192"/>
      <c r="AT273" s="192"/>
      <c r="AU273" s="192"/>
      <c r="AV273" s="192"/>
      <c r="AW273" s="192"/>
      <c r="AX273" s="192"/>
    </row>
    <row r="274" spans="2:50" ht="15" customHeight="1" thickTop="1" thickBot="1" x14ac:dyDescent="0.35">
      <c r="B274" s="192"/>
      <c r="C274" s="192"/>
      <c r="D274" s="192"/>
      <c r="E274" s="192"/>
      <c r="F274" s="192"/>
      <c r="G274" s="192"/>
      <c r="H274" s="192"/>
      <c r="I274" s="192"/>
      <c r="J274" s="192"/>
      <c r="K274" s="192"/>
      <c r="L274" s="192"/>
      <c r="M274" s="192"/>
      <c r="N274" s="192"/>
      <c r="O274" s="192"/>
      <c r="P274" s="192"/>
      <c r="Q274" s="192"/>
      <c r="R274" s="192"/>
      <c r="S274" s="192"/>
      <c r="T274" s="120"/>
      <c r="U274" s="121" t="s">
        <v>101</v>
      </c>
      <c r="V274" s="122" t="s">
        <v>102</v>
      </c>
      <c r="W274" s="122" t="s">
        <v>103</v>
      </c>
      <c r="X274" s="123" t="s">
        <v>104</v>
      </c>
      <c r="Y274" s="238">
        <v>3</v>
      </c>
      <c r="Z274" s="239" t="str">
        <f>IF(U269="","",IF(OR(Group_players=3,AND(Group_players=4,COUNTBLANK(I268:I271)=1)),IF(COUNTIF(M268:M270,M270)=1,"",IF(COUNTIF(U267:U269,U269)=3,IF(AND(U277=U275,U277=U276),"Tied",IF(AND(U277&lt;&gt;U276,U276&lt;&gt;U275,U277&lt;&gt;U275),(IF(SMALL(U275:U277,1)=U277,1,IF(SMALL(U275:U277,2)=U277,2,IF(SMALL(U275:U277,3)=U277,3)))),IF(AND(U277&lt;U276,U276=U275),1,IF(AND(U277&gt;U276,U276=U275),3,IF(AND(U277=U276,U277&lt;U275),(IF(Q283=3,1,2)),IF(AND(U277=U276,U277&gt;U275),(IF(Q283=3,2,3)),IF(AND(U277=U275,U277&lt;U276),(IF(Q280=3,1,2)),IF(AND(U277=U275,U277&gt;U276),(IF(Q280=3,2,3)),99)))))))),"")),""))</f>
        <v/>
      </c>
      <c r="AA274" s="240">
        <v>3</v>
      </c>
      <c r="AB274" s="241" t="str">
        <f>IF(AND(COUNTBLANK(I268:I271)=0,Group_players=4,M268=M269,M269=M270),IF(COUNTIF(U267:U270,U269)=3,AB287,IF(AND(COUNTIF(U267:U270,U269)=1,U267&lt;&gt;U268),IF(M268=2,IF(SMALL(U267:U270,1)=U269,1,IF(SMALL(U267:U270,2)=U269,2,IF(SMALL(U267:U270,3)=U269,3))),IF(M270=1,IF(SMALL(U267:U270,1)=U269,2,IF(SMALL(U267:U270,2)=U269,3,IF(SMALL(U267:U270,3)=U269,4))),"")),IF(COUNTIF(U267:U270,U269)=1,IF(U269&lt;U268,IF(M270=2,1,2),IF(M270=2,3,4)),IF(COUNTIF(U267:U270,U269)=2,IF(U269=U268,IF(U269&lt;U267,IF(M270=2,IF(Q289=3,1,2),IF(M270=1,IF(Q289=3,2,3))),IF(U269&gt;U267,IF(M270=2,IF(Q289=3,2,3),IF(M270=1,IF(Q289=3,3,4))))),IF(U269=U267,IF(U269&lt;U268,IF(M270=2,IF(Q280=3,1,2),IF(M270=1,IF(Q280=3,2,3))),IF(U269&gt;U268,IF(M270=2,IF(Q280=3,2,3),IF(M270=1,IF(Q280=3,3,4))))))),"")))),"")</f>
        <v/>
      </c>
      <c r="AC274" s="192"/>
      <c r="AD274" s="192"/>
      <c r="AE274" s="192"/>
      <c r="AF274" s="203"/>
      <c r="AG274" s="203"/>
      <c r="AH274" s="203"/>
      <c r="AI274" s="203"/>
      <c r="AJ274" s="203"/>
      <c r="AK274" s="203"/>
      <c r="AL274" s="203"/>
      <c r="AM274" s="203"/>
      <c r="AN274" s="192"/>
      <c r="AO274" s="192"/>
      <c r="AP274" s="192"/>
      <c r="AQ274" s="192"/>
      <c r="AR274" s="192"/>
      <c r="AS274" s="192"/>
      <c r="AT274" s="192"/>
      <c r="AU274" s="192"/>
      <c r="AV274" s="192"/>
      <c r="AW274" s="192"/>
      <c r="AX274" s="192"/>
    </row>
    <row r="275" spans="2:50" ht="15" customHeight="1" thickTop="1" thickBot="1" x14ac:dyDescent="0.35">
      <c r="B275" s="192"/>
      <c r="C275" s="192"/>
      <c r="D275" s="192"/>
      <c r="E275" s="192"/>
      <c r="F275" s="192"/>
      <c r="G275" s="192"/>
      <c r="H275" s="192"/>
      <c r="I275" s="192"/>
      <c r="J275" s="192"/>
      <c r="K275" s="192"/>
      <c r="L275" s="192"/>
      <c r="M275" s="192"/>
      <c r="N275" s="192"/>
      <c r="O275" s="192"/>
      <c r="P275" s="192"/>
      <c r="Q275" s="192"/>
      <c r="R275" s="192"/>
      <c r="S275" s="192"/>
      <c r="T275" s="208">
        <v>1</v>
      </c>
      <c r="U275" s="209" t="str">
        <f>IF(U267="","",IF(OR(U267&lt;&gt;U268,U267&lt;&gt;U269),"",IF(COUNTIF(M268:M270,M268)=1,"",IF(COUNTBLANK(I268:I271)=1,(SUM(L280:P280)+SUM(L286:P286))/(SUM(L279:P279)+SUM(L285:P285)),IF(COUNTBLANK(I268:I271)=0,(SUM(L292:P292)+SUM(L280:P280))/(SUM(L291:P291)+SUM(L279:P279)),"")))))</f>
        <v/>
      </c>
      <c r="V275" s="125" t="str">
        <f>IF(V267="","",IF(OR(V267&lt;&gt;V269,V267&lt;&gt;V270),"",IF(AND(COUNTBLANK(I268:I271)=0,M268=M270,M270=M271),(SUM(L280:P280)+SUM(L286:P286))/(SUM(L279:P279)+SUM(L285:P285)),"")))</f>
        <v/>
      </c>
      <c r="W275" s="210" t="str">
        <f>IF(W267="","",IF(OR(W267&lt;&gt;W268,W267&lt;&gt;W270),"",IF(AND(COUNTBLANK(I268:I271)=0,M268=M269,M269=M271),(SUM(L292:P292)+SUM(L286:P286))/(SUM(L291:P291)+SUM(L285:P285)),"")))</f>
        <v/>
      </c>
      <c r="X275" s="211"/>
      <c r="Y275" s="242"/>
      <c r="Z275" s="242"/>
      <c r="AA275" s="243">
        <v>1</v>
      </c>
      <c r="AB275" s="244" t="str">
        <f>IF(AND(COUNTBLANK(I268:I271)=0,Group_players=4,M268=M270,M270=M271),IF(COUNTIF(V267:V270,V267)=3,AB288,IF(AND(COUNTIF(V267:V270,V267)=1,V269&lt;&gt;U278),IF(M268=2,IF(SMALL(V267:V270,1)=V267,1,IF(SMALL(V267:V270,2)=V267,2,IF(SMALL(V267:V270,3)=V267,3))),IF(M268=1,IF(SMALL(V267:V270,1)=V267,2,IF(SMALL(V267:V270,2)=V267,3,IF(SMALL(V267:V270,3)=V267,4))),"")),IF(COUNTIF(V267:V270,V267)=1,IF(V267&lt;V269,IF(M268=2,1,2),IF(M268=2,3,4)),IF(COUNTIF(V267:V270,V267)=2,IF(V267=V269,IF(V267&lt;V270,IF(M268=2,IF(Q279=3,1,2),IF(M268=1,IF(Q279=3,2,3))),IF(V267&gt;V270,IF(M268=2,IF(Q279=3,2,3),IF(M268=1,IF(Q279=3,3,4))))),IF(V267=V270,IF(V267&lt;V269,IF(M268=2,IF(Q285=3,1,2),IF(M268=1,IF(Q285=3,2,3))),IF(V267&gt;V268,IF(M268=2,IF(Q285=3,2,3),IF(M268=1,IF(Q285=3,3,4))))))),"")))),"")</f>
        <v/>
      </c>
      <c r="AC275" s="192"/>
      <c r="AD275" s="192"/>
      <c r="AE275" s="192"/>
      <c r="AF275" s="203"/>
      <c r="AG275" s="203"/>
      <c r="AH275" s="203"/>
      <c r="AI275" s="203"/>
      <c r="AJ275" s="203"/>
      <c r="AK275" s="203"/>
      <c r="AL275" s="203"/>
      <c r="AM275" s="203"/>
      <c r="AN275" s="192"/>
      <c r="AO275" s="192"/>
      <c r="AP275" s="192"/>
      <c r="AQ275" s="192"/>
      <c r="AR275" s="192"/>
      <c r="AS275" s="192"/>
      <c r="AT275" s="192"/>
      <c r="AU275" s="192"/>
      <c r="AV275" s="192"/>
      <c r="AW275" s="192"/>
      <c r="AX275" s="192"/>
    </row>
    <row r="276" spans="2:50" ht="15" customHeight="1" thickTop="1" thickBot="1" x14ac:dyDescent="0.35">
      <c r="B276" s="192"/>
      <c r="C276" s="192"/>
      <c r="D276" s="192"/>
      <c r="E276" s="117"/>
      <c r="F276" s="117"/>
      <c r="G276" s="117"/>
      <c r="H276" s="192"/>
      <c r="I276" s="192"/>
      <c r="J276" s="192"/>
      <c r="K276" s="192"/>
      <c r="L276" s="192"/>
      <c r="M276" s="192"/>
      <c r="N276" s="192"/>
      <c r="O276" s="192"/>
      <c r="P276" s="192"/>
      <c r="Q276" s="192"/>
      <c r="R276" s="192"/>
      <c r="S276" s="394" t="s">
        <v>112</v>
      </c>
      <c r="T276" s="208">
        <v>2</v>
      </c>
      <c r="U276" s="209" t="str">
        <f>IF(U267="","",IF(OR(U268&lt;&gt;U267,U268&lt;&gt;U269),"",IF(COUNTIF(M268:M270,M269)=1,"",IF(COUNTBLANK(I268:I271)=1,(SUM(L283:P283)+SUM(L285:P285))/(SUM(L282:P282)+SUM(L286:P286)),IF(COUNTBLANK(I268:I271)=0,(SUM(L291:P291)+SUM(L289:P289))/(SUM(L292:P292)+SUM(L288:P288)))))))</f>
        <v/>
      </c>
      <c r="V276" s="135"/>
      <c r="W276" s="212" t="str">
        <f>IF(W267="","",IF(OR(W268&lt;&gt;W267,W268&lt;&gt;W270),"",IF(AND(COUNTBLANK(I268:I271)=0,M268=M269,M269=M271),(SUM(L283:P283)+SUM(L291:P291))/(SUM(L292:P292)+SUM(L282:P282)),"")))</f>
        <v/>
      </c>
      <c r="X276" s="245" t="str">
        <f>IF(X268="","",IF(OR(X268&lt;&gt;X269,X268&lt;&gt;X270),"",IF(AND(COUNTBLANK(I268:I271)=0,M269=M270,M270=M271),(SUM(L289:P289)+SUM(L283:P283))/(SUM(L288:P288)+SUM(L282:P282)),"")))</f>
        <v/>
      </c>
      <c r="Y276" s="242"/>
      <c r="Z276" s="203"/>
      <c r="AA276" s="246">
        <v>3</v>
      </c>
      <c r="AB276" s="222" t="str">
        <f>IF(AND(COUNTBLANK(I268:I271)=0,Group_players=4,M268=M270,M270=M271),IF(COUNTIF(V267:V270,V269)=3,AB289,IF(AND(COUNTIF(V267:V270,V269)=1,V267&lt;&gt;V270),IF(M270=2,IF(SMALL(V267:V270,1)=V269,1,IF(SMALL(V267:V270,2)=V269,2,IF(SMALL(V267:V270,3)=V269,3))),IF(M270=1,IF(SMALL(V267:V270,1)=V269,2,IF(SMALL(V267:V270,2)=V269,3,IF(SMALL(V267:V270,3)=V269,4))),"")),IF(COUNTIF(V267:V270,V269)=1,IF(V269&lt;V267,IF(M270=2,1,2),IF(M270=2,3,4)),IF(COUNTIF(V267:V270,V269)=2,IF(V269=V267,IF(V269&lt;V270,IF(M270=2,IF(Q280=3,1,2),IF(M270=1,IF(Q280=3,2,3))),IF(V269&gt;V270,IF(M270=2,IF(Q280=3,2,3),IF(M270=1,IF(Q280=3,3,4))))),IF(V269=V270,IF(V269&lt;V267,IF(M270=2,IF(Q294=3,1,2),IF(M270=1,IF(Q294=3,2,3))),IF(V269&gt;V267,IF(M270=2,IF(Q294=3,2,3),IF(M270=1,IF(Q294=3,3,4))))))),"")))),"")</f>
        <v/>
      </c>
      <c r="AC276" s="192"/>
      <c r="AD276" s="192"/>
      <c r="AE276" s="192"/>
      <c r="AF276" s="203"/>
      <c r="AG276" s="203"/>
      <c r="AH276" s="203"/>
      <c r="AI276" s="203"/>
      <c r="AJ276" s="203"/>
      <c r="AK276" s="203"/>
      <c r="AL276" s="203"/>
      <c r="AM276" s="203"/>
      <c r="AN276" s="192"/>
      <c r="AO276" s="192"/>
      <c r="AP276" s="192"/>
      <c r="AQ276" s="192"/>
      <c r="AR276" s="192"/>
      <c r="AS276" s="192"/>
      <c r="AT276" s="192"/>
      <c r="AU276" s="192"/>
      <c r="AV276" s="192"/>
      <c r="AW276" s="192"/>
      <c r="AX276" s="192"/>
    </row>
    <row r="277" spans="2:50" ht="15" customHeight="1" thickTop="1" thickBot="1" x14ac:dyDescent="0.35">
      <c r="B277" s="192"/>
      <c r="C277" s="192"/>
      <c r="D277" s="192"/>
      <c r="E277" s="117"/>
      <c r="F277" s="117"/>
      <c r="G277" s="117"/>
      <c r="H277" s="192"/>
      <c r="I277" s="192"/>
      <c r="J277" s="192"/>
      <c r="K277" s="192"/>
      <c r="L277" s="192"/>
      <c r="M277" s="192"/>
      <c r="N277" s="192"/>
      <c r="O277" s="192"/>
      <c r="P277" s="192"/>
      <c r="Q277" s="192"/>
      <c r="R277" s="247"/>
      <c r="S277" s="395"/>
      <c r="T277" s="208">
        <v>3</v>
      </c>
      <c r="U277" s="209" t="str">
        <f>IF(U267="","",IF(OR(U269&lt;&gt;U267,U269&lt;&gt;U268),"",IF(COUNTIF(M268:M270,M270)=1,"",IF(COUNTBLANK(I268:I271)=1,(SUM(L279:P279)+SUM(L282:P282))/(SUM(L280:P280)+SUM(L283:P283)),IF(COUNTBLANK(I268:I271)=0,(SUM(L279:P279)+SUM(L288:P288))/(SUM(L280:P280)+SUM(L289:P289)))))))</f>
        <v/>
      </c>
      <c r="V277" s="125" t="str">
        <f>IF(V267="","",IF(OR(V269&lt;&gt;V267,V269&lt;&gt;V270),"",IF(AND(COUNTBLANK(I268:I271)=0,M268=M270,M270=M271),(SUM(L279:P279)+SUM(L295:P295))/(SUM(L280:P280)+SUM(L294:P294)),"")))</f>
        <v/>
      </c>
      <c r="W277" s="218"/>
      <c r="X277" s="245" t="str">
        <f>IF(X268="","",IF(OR(X269&lt;&gt;X268,X269&lt;&gt;X270),"",IF(AND(COUNTBLANK(I268:I271)=0,M269=M270,M270=M271),(SUM(L288:P288)+SUM(L295:P295))/(SUM(L289:P289)+SUM(L294:P294)),"")))</f>
        <v/>
      </c>
      <c r="Y277" s="208"/>
      <c r="Z277" s="203"/>
      <c r="AA277" s="240">
        <v>4</v>
      </c>
      <c r="AB277" s="222" t="str">
        <f>IF(AND(COUNTBLANK(I268:I271)=0,Group_players=4,M268=M270,M270=M271),IF(COUNTIF(V267:V270,V270)=3,AB290,IF(AND(COUNTIF(V267:V270,V270)=1,V269&lt;&gt;V267),IF(M271=2,IF(SMALL(V267:V270,1)=V270,1,IF(SMALL(V267:V270,2)=V270,2,IF(SMALL(V267:V270,3)=V270,3))),IF(M271=1,IF(SMALL(V267:V270,1)=V270,2,IF(SMALL(V267:V270,2)=V270,3,IF(SMALL(V267:V270,3)=V270,4))),"")),IF(COUNTIF(V267:V270,V270)=1,IF(V270&lt;V267,IF(M271=2,1,2),IF(M271=2,3,4)),IF(COUNTIF(V267:V270,V270)=2,IF(V270=V267,IF(V270&lt;V269,IF(M271=2,IF(Q286=3,1,2),IF(M271=1,IF(Q286=3,2,3))),IF(V270&gt;V269,IF(M271=2,IF(Q286=3,2,3),IF(M271=1,IF(Q286=3,3,4))))),IF(V270=V269,IF(V270&lt;V267,IF(M271=2,IF(Q295=3,1,2),IF(M271=1,IF(Q295=3,2,3))),IF(V270&gt;V267,IF(M271=2,IF(Q295=3,2,3),IF(M271=1,IF(Q295=3,3,4))))))),"")))),"")</f>
        <v/>
      </c>
      <c r="AC277" s="192"/>
      <c r="AD277" s="192"/>
      <c r="AE277" s="192"/>
      <c r="AF277" s="203"/>
      <c r="AG277" s="203"/>
      <c r="AH277" s="203"/>
      <c r="AI277" s="203"/>
      <c r="AJ277" s="203"/>
      <c r="AK277" s="203"/>
      <c r="AL277" s="203"/>
      <c r="AM277" s="203"/>
      <c r="AN277" s="192"/>
      <c r="AO277" s="192"/>
      <c r="AP277" s="192"/>
      <c r="AQ277" s="192"/>
      <c r="AR277" s="192"/>
      <c r="AS277" s="192"/>
      <c r="AT277" s="192"/>
      <c r="AU277" s="192"/>
      <c r="AV277" s="192"/>
      <c r="AW277" s="192"/>
      <c r="AX277" s="192"/>
    </row>
    <row r="278" spans="2:50" ht="15" customHeight="1" thickTop="1" thickBot="1" x14ac:dyDescent="0.35">
      <c r="B278" s="192"/>
      <c r="C278" s="192"/>
      <c r="D278" s="192"/>
      <c r="E278" s="168" t="s">
        <v>113</v>
      </c>
      <c r="F278" s="168" t="s">
        <v>114</v>
      </c>
      <c r="G278" s="117"/>
      <c r="H278" s="192"/>
      <c r="I278" s="249" t="s">
        <v>115</v>
      </c>
      <c r="J278" s="249"/>
      <c r="K278" s="249"/>
      <c r="L278" s="250" t="s">
        <v>115</v>
      </c>
      <c r="M278" s="250" t="s">
        <v>116</v>
      </c>
      <c r="N278" s="250" t="s">
        <v>117</v>
      </c>
      <c r="O278" s="250" t="s">
        <v>118</v>
      </c>
      <c r="P278" s="250" t="s">
        <v>119</v>
      </c>
      <c r="Q278" s="250" t="s">
        <v>120</v>
      </c>
      <c r="R278" s="250"/>
      <c r="S278" s="251"/>
      <c r="T278" s="208">
        <v>4</v>
      </c>
      <c r="U278" s="223"/>
      <c r="V278" s="140" t="str">
        <f>IF(V267="","",IF(OR(V270&lt;&gt;V267,V270&lt;&gt;V269),"",IF(AND(COUNTBLANK(I268:I271)=0,M268=M270,M270=M271),(SUM(L285:P285)+SUM(L294:P294))/(SUM(L286:P286)+SUM(L295:P295)),"")))</f>
        <v/>
      </c>
      <c r="W278" s="224" t="str">
        <f>IF(W267="","",IF(OR(W270&lt;&gt;W267,W270&lt;&gt;W268),"",IF(AND(COUNTBLANK(I268:I271)=0,M268=M269,M269=M271),(SUM(L285:P285)+SUM(L282:P282))/(SUM(L286:P286)+SUM(L283:P283)),"")))</f>
        <v/>
      </c>
      <c r="X278" s="252" t="str">
        <f>IF(X268="","",IF(OR(X270&lt;&gt;X268,X270&lt;&gt;X269),"",IF(AND(COUNTBLANK(I268:I271)=0,M269=M270,M270=M271),(SUM(L282:P282)+SUM(L294:P294))/(SUM(L283:P283)+SUM(L295:P295)),"")))</f>
        <v/>
      </c>
      <c r="Y278" s="192"/>
      <c r="Z278" s="203"/>
      <c r="AA278" s="243">
        <v>1</v>
      </c>
      <c r="AB278" s="151" t="str">
        <f>IF(AND(COUNTBLANK(I268:I271)=0,Group_players=4,M268=M269,M269=M271),IF(COUNTIF(W267:W270,W267)=3,AB291,IF(AND(COUNTIF(W267:W270,W267)=1,W268&lt;&gt;W270),IF(M268=2,IF(SMALL(W267:W270,1)=W267,1,IF(SMALL(W267:W270,2)=W267,2,IF(SMALL(W267:W270,3)=W267,3))),IF(M268=1,IF(SMALL(W267:W270,1)=W267,2,IF(SMALL(W267:W270,2)=W267,3,IF(SMALL(W267:W270,3)=W267,4))),"")),IF(COUNTIF(W267:W270,W267)=1,IF(W267&lt;W268,IF(M268=2,1,2),IF(M268=2,3,4)),IF(COUNTIF(W267:W270,W267)=2,IF(W267=W268,IF(W267&lt;W270,IF(M268=2,IF(Q291=3,1,2),IF(M268=1,IF(Q291=3,2,3))),IF(W267&gt;W270,IF(M268=2,IF(Q291=3,2,3),IF(M268=1,IF(Q291=3,3,4))))),IF(W267=W270,IF(W267&lt;W268,IF(M268=2,IF(Q285=3,1,2),IF(M268=1,IF(Q285=3,2,3))),IF(W267&gt;W268,IF(M268=2,IF(Q285=3,2,3),IF(M268=1,IF(Q285=3,3,4))))))),"")))),"")</f>
        <v/>
      </c>
      <c r="AC278" s="192"/>
      <c r="AD278" s="192"/>
      <c r="AE278" s="192"/>
      <c r="AF278" s="203"/>
      <c r="AG278" s="203"/>
      <c r="AH278" s="203"/>
      <c r="AI278" s="203"/>
      <c r="AJ278" s="203"/>
      <c r="AK278" s="203"/>
      <c r="AL278" s="203"/>
      <c r="AM278" s="203"/>
      <c r="AN278" s="192"/>
      <c r="AO278" s="192"/>
      <c r="AP278" s="192"/>
      <c r="AQ278" s="192"/>
      <c r="AR278" s="192"/>
      <c r="AS278" s="192"/>
      <c r="AT278" s="192"/>
      <c r="AU278" s="192"/>
      <c r="AV278" s="192"/>
      <c r="AW278" s="192"/>
      <c r="AX278" s="192"/>
    </row>
    <row r="279" spans="2:50" ht="15" customHeight="1" thickTop="1" x14ac:dyDescent="0.3">
      <c r="B279" s="192"/>
      <c r="C279" s="192"/>
      <c r="D279" s="192"/>
      <c r="E279" s="164" t="str">
        <f>IF(Q279="","",IF(Q279=3,1,0))</f>
        <v/>
      </c>
      <c r="F279" s="164" t="str">
        <f>IF(Q279="","",IF(Q279&lt;3,1,0))</f>
        <v/>
      </c>
      <c r="G279" s="192"/>
      <c r="H279" s="192" t="str">
        <f>IF(I268="","",1)</f>
        <v/>
      </c>
      <c r="I279" s="192" t="str">
        <f>IF(ISNUMBER(H279),VLOOKUP(H279,H268:I271,2,TRUE),"")</f>
        <v/>
      </c>
      <c r="J279" s="192"/>
      <c r="K279" s="192" t="str">
        <f>VLOOKUP(I279,I268:L271,3,FALSE)</f>
        <v/>
      </c>
      <c r="L279" s="253"/>
      <c r="M279" s="254"/>
      <c r="N279" s="254"/>
      <c r="O279" s="152"/>
      <c r="P279" s="153"/>
      <c r="Q279" s="255" t="str">
        <f>IF(L279="","",IF(AND(L279-L280&gt;1,L279&gt;10),1,0)+IF(AND(M279-M280&gt;1,M279&gt;10),1,0)+IF(AND(N279-N280&gt;1,N279&gt;10),1,0)+IF(AND(O279-O280&gt;1,O279&gt;10),1,0)+IF(AND(P279-P280&gt;1,P279&gt;10),1,0))</f>
        <v/>
      </c>
      <c r="R279" s="203" t="str">
        <f>IF(AND(I279="",I280=""),"",ABS(VLOOKUP(I279,I268:L271,4,FALSE)-VLOOKUP(I280,I268:L271,4,FALSE)))</f>
        <v/>
      </c>
      <c r="S279" s="256" t="str">
        <f>IF(R280="","",IF(Q279=3,+R280,-R280))</f>
        <v/>
      </c>
      <c r="T279" s="257"/>
      <c r="U279" s="258"/>
      <c r="V279" s="258"/>
      <c r="W279" s="258"/>
      <c r="X279" s="258"/>
      <c r="Y279" s="192"/>
      <c r="Z279" s="203"/>
      <c r="AA279" s="246">
        <v>2</v>
      </c>
      <c r="AB279" s="154" t="str">
        <f>IF(AND(COUNTBLANK(I268:I271)=0,Group_players=4,M268=M269,M269=M271),IF(COUNTIF(W267:W270,W268)=3,AB292,IF(AND(COUNTIF(W267:W270,W268)=1,W267&lt;&gt;W269),IF(M269=2,IF(SMALL(W267:W270,1)=W268,1,IF(SMALL(W267:W270,2)=W268,2,IF(SMALL(W267:W270,3)=W268,3))),IF(M269=1,IF(SMALL(W267:W270,1)=W268,2,IF(SMALL(W267:W270,2)=W268,3,IF(SMALL(W267:W270,3)=W268,4))),"")),IF(COUNTIF(W267:W270,W268)=1,IF(W268&lt;W267,IF(M269=2,1,2),IF(M269=2,3,4)),IF(COUNTIF(W267:W270,W268)=2,IF(W268=W267,IF(W268&lt;W270,IF(M269=2,IF(Q292=3,1,2),IF(M269=1,IF(Q292=3,2,3))),IF(W268&gt;W270,IF(M269=2,IF(Q292=3,2,3),IF(M269=1,IF(Q292=3,3,4))))),IF(W268=W270,IF(W268&lt;W267,IF(M269=2,IF(Q282=3,1,2),IF(M269=1,IF(Q282=3,2,3))),IF(W268&gt;W267,IF(M269=2,IF(Q282=3,2,3),IF(M269=1,IF(Q282=3,3,4))))))),"")))),"")</f>
        <v/>
      </c>
      <c r="AC279" s="192"/>
      <c r="AD279" s="192"/>
      <c r="AE279" s="192"/>
      <c r="AF279" s="203"/>
      <c r="AG279" s="203"/>
      <c r="AH279" s="203"/>
      <c r="AI279" s="203"/>
      <c r="AJ279" s="203"/>
      <c r="AK279" s="203"/>
      <c r="AL279" s="203"/>
      <c r="AM279" s="203"/>
      <c r="AN279" s="192"/>
      <c r="AO279" s="192"/>
      <c r="AP279" s="192"/>
      <c r="AQ279" s="192"/>
      <c r="AR279" s="192"/>
      <c r="AS279" s="192"/>
      <c r="AT279" s="192"/>
      <c r="AU279" s="192"/>
      <c r="AV279" s="192"/>
      <c r="AW279" s="192"/>
      <c r="AX279" s="192"/>
    </row>
    <row r="280" spans="2:50" ht="15" customHeight="1" thickBot="1" x14ac:dyDescent="0.35">
      <c r="B280" s="192"/>
      <c r="C280" s="192"/>
      <c r="D280" s="192"/>
      <c r="E280" s="164" t="str">
        <f>IF(Q280="","",IF(Q280=3,1,0))</f>
        <v/>
      </c>
      <c r="F280" s="164" t="str">
        <f>IF(Q280="","",IF(Q280&lt;3,1,0))</f>
        <v/>
      </c>
      <c r="G280" s="192"/>
      <c r="H280" s="192" t="str">
        <f>IF(I269="","",IF(I270="",2,3))</f>
        <v/>
      </c>
      <c r="I280" s="192" t="str">
        <f>IF(ISNUMBER(H280),VLOOKUP(H280,H268:I271,2,TRUE),"")</f>
        <v/>
      </c>
      <c r="J280" s="192"/>
      <c r="K280" s="192" t="str">
        <f>VLOOKUP(I280,I268:L271,3,FALSE)</f>
        <v/>
      </c>
      <c r="L280" s="155"/>
      <c r="M280" s="259"/>
      <c r="N280" s="259"/>
      <c r="O280" s="156"/>
      <c r="P280" s="157"/>
      <c r="Q280" s="260" t="str">
        <f>IF(L280="","",IF(AND(L280-L279&gt;1,L280&gt;10),1,0)+IF(AND(M280-M279&gt;1,M280&gt;10),1,0)+IF(AND(N280-N279&gt;1,N280&gt;10),1,0)+IF(AND(O280-O279&gt;1,O280&gt;10),1,0)+IF(AND(P280-P279&gt;1,P280&gt;10),1,0))</f>
        <v/>
      </c>
      <c r="R280" s="203" t="str">
        <f>IF(AND(Q279&lt;&gt;3,Q280&lt;&gt;3),"",IF(Q279=3,IF(VLOOKUP(I279,I268:L271,4,FALSE)&gt;VLOOKUP(I280,I268:L271,4,FALSE),VLOOKUP(R279,Point_dif,2,FALSE),VLOOKUP(R279,Point_dif,3,FALSE)),IF(Q280=3,IF(VLOOKUP(I280,I268:L271,4,FALSE)&gt;VLOOKUP(I279,I268:L271,4,FALSE),VLOOKUP(R279,Point_dif,2,FALSE),VLOOKUP(R279,Point_dif,3,FALSE)))))</f>
        <v/>
      </c>
      <c r="S280" s="256" t="str">
        <f>IF(R280="","",IF(Q280=3,+R280,-R280))</f>
        <v/>
      </c>
      <c r="T280" s="192"/>
      <c r="U280" s="235"/>
      <c r="V280" s="235"/>
      <c r="W280" s="235"/>
      <c r="X280" s="235"/>
      <c r="Y280" s="235"/>
      <c r="Z280" s="235"/>
      <c r="AA280" s="240">
        <v>4</v>
      </c>
      <c r="AB280" s="158" t="str">
        <f>IF(AND(COUNTBLANK(I268:I271)=0,Group_players=4,M268=M269,M269=M271),IF(COUNTIF(W267:W270,W270)=3,AB293,IF(AND(COUNTIF(W267:W270,W270)=1,W267&lt;&gt;W268),IF(M271=2,IF(SMALL(W267:W270,1)=W270,1,IF(SMALL(W267:W270,2)=W270,2,IF(SMALL(W267:W270,3)=W270,3))),IF(M271=1,IF(SMALL(W267:W270,1)=W270,2,IF(SMALL(W267:W270,2)=W270,3,IF(SMALL(W267:W270,3)=W270,4))),"")),IF(COUNTIF(W267:W270,W270)=1,IF(W270&lt;W267,IF(M271=2,1,2),IF(M271=2,3,4)),IF(COUNTIF(W267:W270,W270)=2,IF(W270=W267,IF(W270&lt;W268,IF(M271=2,IF(Q286=3,1,2),IF(M271=1,IF(Q286=3,2,3))),IF(W270&gt;W269,IF(M271=2,IF(Q286=3,2,3),IF(M271=1,IF(Q286=3,3,4))))),IF(W270=W268,IF(W270&lt;W267,IF(M271=2,IF(Q283=3,1,2),IF(M271=1,IF(Q283=3,2,3))),IF(W270&gt;W267,IF(M271=2,IF(Q283=3,2,3),IF(M271=1,IF(Q283=3,3,4))))))),"")))),"")</f>
        <v/>
      </c>
      <c r="AC280" s="192"/>
      <c r="AD280" s="192"/>
      <c r="AE280" s="192"/>
      <c r="AF280" s="203"/>
      <c r="AG280" s="203"/>
      <c r="AH280" s="203"/>
      <c r="AI280" s="203"/>
      <c r="AJ280" s="203"/>
      <c r="AK280" s="203"/>
      <c r="AL280" s="203"/>
      <c r="AM280" s="203"/>
      <c r="AN280" s="192"/>
      <c r="AO280" s="192"/>
      <c r="AP280" s="192"/>
      <c r="AQ280" s="192"/>
      <c r="AR280" s="192"/>
      <c r="AS280" s="192"/>
      <c r="AT280" s="192"/>
      <c r="AU280" s="192"/>
      <c r="AV280" s="192"/>
      <c r="AW280" s="192"/>
      <c r="AX280" s="192"/>
    </row>
    <row r="281" spans="2:50" ht="15" customHeight="1" thickTop="1" thickBot="1" x14ac:dyDescent="0.35">
      <c r="B281" s="192"/>
      <c r="C281" s="192"/>
      <c r="D281" s="192"/>
      <c r="E281" s="164"/>
      <c r="F281" s="164"/>
      <c r="G281" s="192"/>
      <c r="H281" s="192"/>
      <c r="I281" s="249" t="s">
        <v>116</v>
      </c>
      <c r="J281" s="249"/>
      <c r="K281" s="249"/>
      <c r="L281" s="250" t="s">
        <v>115</v>
      </c>
      <c r="M281" s="250" t="s">
        <v>116</v>
      </c>
      <c r="N281" s="250" t="s">
        <v>117</v>
      </c>
      <c r="O281" s="250" t="s">
        <v>118</v>
      </c>
      <c r="P281" s="250" t="s">
        <v>119</v>
      </c>
      <c r="Q281" s="250" t="s">
        <v>120</v>
      </c>
      <c r="R281" s="250"/>
      <c r="S281" s="251"/>
      <c r="T281" s="192"/>
      <c r="U281" s="235"/>
      <c r="V281" s="235"/>
      <c r="W281" s="235"/>
      <c r="X281" s="235"/>
      <c r="Y281" s="235"/>
      <c r="Z281" s="235"/>
      <c r="AA281" s="243">
        <v>2</v>
      </c>
      <c r="AB281" s="151" t="str">
        <f>IF(AND(COUNTBLANK(I268:I271)=0,Group_players=4,M269=M270,M270=M271),IF(COUNTIF(X267:X270,X268)=3,AB294,IF(AND(COUNTIF(X267:X270,X268)=1,X269&lt;&gt;X270),IF(M269=2,IF(SMALL(X267:X270,1)=X268,1,IF(SMALL(X267:X270,2)=X268,2,IF(SMALL(X267:X270,3)=X268,3))),IF(M269=1,IF(SMALL(X267:X270,1)=X268,2,IF(SMALL(X267:X270,2)=X268,3,IF(SMALL(X267:X270,3)=X268,4))),"")),IF(COUNTIF(X267:X270,X268)=1,IF(X268&lt;X270,IF(M269=2,1,2),IF(M269=1,3,3)),IF(COUNTIF(X267:X270,X268)=2,IF(X268=X269,IF(X268&lt;X270,IF(M269=2,IF(Q288=3,1,2),IF(M269=1,IF(Q288=3,2,3))),IF(X268&gt;X270,IF(M269=2,IF(Q288=3,2,3),IF(M269=1,IF(Q288=3,3,4))))),IF(X268=X270,IF(X268&lt;X269,IF(M269=2,IF(Q282=3,1,2),IF(M269=1,IF(Q282=3,2,3))),IF(X268&gt;X269,IF(M269=2,IF(Q282=3,2,3),IF(M269=1,IF(Q282=3,3,4))))))),"")))),"")</f>
        <v/>
      </c>
      <c r="AC281" s="192"/>
      <c r="AD281" s="192"/>
      <c r="AE281" s="192"/>
      <c r="AF281" s="203"/>
      <c r="AG281" s="203"/>
      <c r="AH281" s="203"/>
      <c r="AI281" s="203"/>
      <c r="AJ281" s="203"/>
      <c r="AK281" s="203"/>
      <c r="AL281" s="203"/>
      <c r="AM281" s="203"/>
      <c r="AN281" s="192"/>
      <c r="AO281" s="192"/>
      <c r="AP281" s="192"/>
      <c r="AQ281" s="192"/>
      <c r="AR281" s="192"/>
      <c r="AS281" s="192"/>
      <c r="AT281" s="192"/>
      <c r="AU281" s="192"/>
      <c r="AV281" s="192"/>
      <c r="AW281" s="192"/>
      <c r="AX281" s="192"/>
    </row>
    <row r="282" spans="2:50" ht="15" customHeight="1" thickTop="1" x14ac:dyDescent="0.3">
      <c r="B282" s="192"/>
      <c r="C282" s="192"/>
      <c r="D282" s="192"/>
      <c r="E282" s="164" t="str">
        <f>IF(Q282="","",IF(Q282=3,1,0))</f>
        <v/>
      </c>
      <c r="F282" s="164" t="str">
        <f>IF(Q282="","",IF(Q282&lt;3,1,0))</f>
        <v/>
      </c>
      <c r="G282" s="192"/>
      <c r="H282" s="192" t="str">
        <f>IF(I270="","",2)</f>
        <v/>
      </c>
      <c r="I282" s="192" t="str">
        <f>IF(ISNUMBER(H282),VLOOKUP(H282,H268:I271,2,TRUE),"")</f>
        <v/>
      </c>
      <c r="J282" s="192"/>
      <c r="K282" s="192" t="str">
        <f>VLOOKUP(I282,I268:L271,3,FALSE)</f>
        <v/>
      </c>
      <c r="L282" s="253"/>
      <c r="M282" s="254"/>
      <c r="N282" s="254"/>
      <c r="O282" s="152"/>
      <c r="P282" s="153"/>
      <c r="Q282" s="255" t="str">
        <f>IF(L282="","",IF(AND(L282-L283&gt;1,L282&gt;10),1,0)+IF(AND(M282-M283&gt;1,M282&gt;10),1,0)+IF(AND(N282-N283&gt;1,N282&gt;10),1,0)+IF(AND(O282-O283&gt;1,O282&gt;10),1,0)+IF(AND(P282-P283&gt;1,P282&gt;10),1,0))</f>
        <v/>
      </c>
      <c r="R282" s="203" t="str">
        <f>IF(AND(I282="",I283=""),"",ABS(VLOOKUP(I282,I268:L271,4,FALSE)-VLOOKUP(I283,I268:L271,4,FALSE)))</f>
        <v/>
      </c>
      <c r="S282" s="256" t="str">
        <f>IF(R283="","",IF(Q282=3,+R283,-R283))</f>
        <v/>
      </c>
      <c r="T282" s="192"/>
      <c r="U282" s="235"/>
      <c r="V282" s="235"/>
      <c r="W282" s="235"/>
      <c r="X282" s="235"/>
      <c r="Y282" s="235"/>
      <c r="Z282" s="235"/>
      <c r="AA282" s="246">
        <v>3</v>
      </c>
      <c r="AB282" s="154" t="str">
        <f>IF(AND(COUNTBLANK(I268:I271)=0,Group_players=4,M269=M270,M270=M271),IF(COUNTIF(X267:X270,X269)=3,AB295,IF(AND(COUNTIF(X267:X270,X269)=1,X268&lt;&gt;X270),IF(M270=2,IF(SMALL(X267:X270,1)=X269,1,IF(SMALL(X267:X270,2)=X269,2,IF(SMALL(X267:X270,3)=X269,3))),IF(M270=1,IF(SMALL(X267:X270,1)=X269,2,IF(SMALL(X267:X270,2)=X269,3,IF(SMALL(X267:X270,3)=X269,4))),"")),IF(COUNTIF(X267:X270,X269)=1,IF(X269&lt;X268,IF(M270=2,1,2),IF(M270=2,3,4)),IF(COUNTIF(X267:X270,X269)=2,IF(X269=X268,IF(X269&lt;X270,IF(M270=2,IF(Q289=3,1,2),IF(M270=1,IF(Q289=3,2,3))),IF(X269&gt;X270,IF(M270=2,IF(Q289=3,2,3),IF(M270=1,IF(Q289=3,3,4))))),IF(X269=X270,IF(X269&lt;X268,IF(M270=2,IF(Q294=3,1,2),IF(M270=1,IF(Q294=3,2,3))),IF(X269&gt;X268,IF(M270=2,IF(Q294=3,2,3),IF(M270=1,IF(Q294=3,3,4))))))),"")))),"")</f>
        <v/>
      </c>
      <c r="AC282" s="192"/>
      <c r="AD282" s="192"/>
      <c r="AE282" s="192"/>
      <c r="AF282" s="203"/>
      <c r="AG282" s="203"/>
      <c r="AH282" s="203"/>
      <c r="AI282" s="203"/>
      <c r="AJ282" s="203"/>
      <c r="AK282" s="203"/>
      <c r="AL282" s="203"/>
      <c r="AM282" s="203"/>
      <c r="AN282" s="192"/>
      <c r="AO282" s="192"/>
      <c r="AP282" s="192"/>
      <c r="AQ282" s="192"/>
      <c r="AR282" s="192"/>
      <c r="AS282" s="192"/>
      <c r="AT282" s="192"/>
      <c r="AU282" s="192"/>
      <c r="AV282" s="192"/>
      <c r="AW282" s="192"/>
      <c r="AX282" s="192"/>
    </row>
    <row r="283" spans="2:50" ht="15" customHeight="1" thickBot="1" x14ac:dyDescent="0.35">
      <c r="B283" s="192"/>
      <c r="C283" s="192"/>
      <c r="D283" s="192"/>
      <c r="E283" s="164" t="str">
        <f>IF(Q283="","",IF(Q283=3,1,0))</f>
        <v/>
      </c>
      <c r="F283" s="164" t="str">
        <f>IF(Q283="","",IF(Q283&lt;3,1,0))</f>
        <v/>
      </c>
      <c r="G283" s="192"/>
      <c r="H283" s="192" t="str">
        <f>IF(I270="","",IF(I271="",3,4))</f>
        <v/>
      </c>
      <c r="I283" s="192" t="str">
        <f>IF(ISNUMBER(H283),VLOOKUP(H283,H268:I271,2,TRUE),"")</f>
        <v/>
      </c>
      <c r="J283" s="192"/>
      <c r="K283" s="192" t="str">
        <f>VLOOKUP(I283,I268:L271,3,FALSE)</f>
        <v/>
      </c>
      <c r="L283" s="155"/>
      <c r="M283" s="259"/>
      <c r="N283" s="259"/>
      <c r="O283" s="156"/>
      <c r="P283" s="157"/>
      <c r="Q283" s="260" t="str">
        <f>IF(L283="","",IF(AND(L283-L282&gt;1,L283&gt;10),1,0)+IF(AND(M283-M282&gt;1,M283&gt;10),1,0)+IF(AND(N283-N282&gt;1,N283&gt;10),1,0)+IF(AND(O283-O282&gt;1,O283&gt;10),1,0)+IF(AND(P283-P282&gt;1,P283&gt;10),1,0))</f>
        <v/>
      </c>
      <c r="R283" s="203" t="str">
        <f>IF(AND(Q282&lt;&gt;3,Q283&lt;&gt;3),"",IF(Q282=3,IF(VLOOKUP(I282,I268:L271,4,FALSE)&gt;VLOOKUP(I283,I268:L271,4,FALSE),VLOOKUP(R282,Point_dif,2,FALSE),VLOOKUP(R282,Point_dif,3,FALSE)),IF(Q283=3,IF(VLOOKUP(I283,I268:L271,4,FALSE)&gt;VLOOKUP(I282,I268:L271,4,FALSE),VLOOKUP(R282,Point_dif,2,FALSE),VLOOKUP(R282,Point_dif,3,FALSE)))))</f>
        <v/>
      </c>
      <c r="S283" s="256" t="str">
        <f>IF(R283="","",IF(Q283=3,+R283,-R283))</f>
        <v/>
      </c>
      <c r="T283" s="192"/>
      <c r="U283" s="235"/>
      <c r="V283" s="235"/>
      <c r="W283" s="235"/>
      <c r="X283" s="235"/>
      <c r="Y283" s="235"/>
      <c r="Z283" s="235"/>
      <c r="AA283" s="261">
        <v>4</v>
      </c>
      <c r="AB283" s="158" t="str">
        <f>IF(AND(COUNTBLANK(I268:I271)=0,Group_players=4,M269=M270,M270=M271),IF(COUNTIF(X267:X270,X270)=3,AB296,IF(AND(COUNTIF(X267:X270,X270)=1,X269&lt;&gt;X268),IF(M271=2,IF(SMALL(X267:X270,1)=X270,1,IF(SMALL(X267:X270,2)=X270,2,IF(SMALL(X267:X270,3)=X270,3))),IF(M271=1,IF(SMALL(X267:X270,1)=X270,2,IF(SMALL(X267:X270,2)=X270,3,IF(SMALL(X267:X270,3)=X270,4))),"")),IF(COUNTIF(X267:X270,X270)=1,IF(X270&lt;X268,IF(M271=2,1,2),IF(M271=2,3,4)),IF(COUNTIF(X267:X270,X270)=2,IF(X270=X268,IF(X270&lt;X269,IF(M271=2,IF(Q283=3,1,2),IF(M271=1,IF(Q283=3,2,3))),IF(X270&gt;X269,IF(M271=2,IF(Q283=3,2,3),IF(M271=1,IF(Q283=3,3,4))))),IF(X270=X269,IF(X270&lt;X268,IF(M271=2,IF(Q295=3,1,2),IF(M271=1,IF(Q295=3,2,3))),IF(X270&gt;X268,IF(M271=2,IF(Q295=3,2,3),IF(M271=1,IF(Q295=3,3,4))))))),"")))),"")</f>
        <v/>
      </c>
      <c r="AC283" s="192"/>
      <c r="AD283" s="192"/>
      <c r="AE283" s="192"/>
      <c r="AF283" s="203"/>
      <c r="AG283" s="203"/>
      <c r="AH283" s="203"/>
      <c r="AI283" s="203"/>
      <c r="AJ283" s="203"/>
      <c r="AK283" s="203"/>
      <c r="AL283" s="203"/>
      <c r="AM283" s="203"/>
      <c r="AN283" s="192"/>
      <c r="AO283" s="192"/>
      <c r="AP283" s="192"/>
      <c r="AQ283" s="192"/>
      <c r="AR283" s="192"/>
      <c r="AS283" s="192"/>
      <c r="AT283" s="192"/>
      <c r="AU283" s="192"/>
      <c r="AV283" s="192"/>
      <c r="AW283" s="192"/>
      <c r="AX283" s="192"/>
    </row>
    <row r="284" spans="2:50" ht="15" customHeight="1" thickTop="1" thickBot="1" x14ac:dyDescent="0.35">
      <c r="B284" s="192"/>
      <c r="C284" s="192"/>
      <c r="D284" s="192"/>
      <c r="E284" s="164"/>
      <c r="F284" s="164"/>
      <c r="G284" s="192"/>
      <c r="H284" s="192"/>
      <c r="I284" s="249" t="s">
        <v>117</v>
      </c>
      <c r="J284" s="249"/>
      <c r="K284" s="249"/>
      <c r="L284" s="250" t="s">
        <v>115</v>
      </c>
      <c r="M284" s="250" t="s">
        <v>116</v>
      </c>
      <c r="N284" s="250" t="s">
        <v>117</v>
      </c>
      <c r="O284" s="250" t="s">
        <v>118</v>
      </c>
      <c r="P284" s="250" t="s">
        <v>119</v>
      </c>
      <c r="Q284" s="250" t="s">
        <v>120</v>
      </c>
      <c r="R284" s="250"/>
      <c r="S284" s="251"/>
      <c r="T284" s="263"/>
      <c r="U284" s="264"/>
      <c r="V284" s="242"/>
      <c r="W284" s="242"/>
      <c r="X284" s="264"/>
      <c r="Y284" s="192"/>
      <c r="Z284" s="203"/>
      <c r="AA284" s="126" t="s">
        <v>93</v>
      </c>
      <c r="AB284" s="265" t="s">
        <v>110</v>
      </c>
      <c r="AC284" s="192"/>
      <c r="AD284" s="192"/>
      <c r="AE284" s="192"/>
      <c r="AF284" s="203"/>
      <c r="AG284" s="203"/>
      <c r="AH284" s="203"/>
      <c r="AI284" s="203"/>
      <c r="AJ284" s="203"/>
      <c r="AK284" s="203"/>
      <c r="AL284" s="203"/>
      <c r="AM284" s="203"/>
      <c r="AN284" s="192"/>
      <c r="AO284" s="192"/>
      <c r="AP284" s="192"/>
      <c r="AQ284" s="192"/>
      <c r="AR284" s="192"/>
      <c r="AS284" s="192"/>
      <c r="AT284" s="192"/>
      <c r="AU284" s="192"/>
      <c r="AV284" s="192"/>
      <c r="AW284" s="192"/>
      <c r="AX284" s="192"/>
    </row>
    <row r="285" spans="2:50" ht="15" customHeight="1" thickTop="1" x14ac:dyDescent="0.3">
      <c r="B285" s="192"/>
      <c r="C285" s="192"/>
      <c r="D285" s="192"/>
      <c r="E285" s="164" t="str">
        <f>IF(Q285="","",IF(Q285=3,1,0))</f>
        <v/>
      </c>
      <c r="F285" s="164" t="str">
        <f>IF(Q285="","",IF(Q285&lt;3,1,0))</f>
        <v/>
      </c>
      <c r="G285" s="192"/>
      <c r="H285" s="192" t="str">
        <f>IF(I270&lt;&gt;"",1,"")</f>
        <v/>
      </c>
      <c r="I285" s="192" t="str">
        <f>IF(ISNUMBER(H285),VLOOKUP(H285,H268:I271,2,TRUE),"")</f>
        <v/>
      </c>
      <c r="J285" s="192"/>
      <c r="K285" s="192" t="str">
        <f>VLOOKUP(I285,I268:L271,3,FALSE)</f>
        <v/>
      </c>
      <c r="L285" s="253"/>
      <c r="M285" s="254"/>
      <c r="N285" s="254"/>
      <c r="O285" s="152"/>
      <c r="P285" s="153"/>
      <c r="Q285" s="255" t="str">
        <f>IF(L285="","",IF(AND(L285-L286&gt;1,L285&gt;10),1,0)+IF(AND(M285-M286&gt;1,M285&gt;10),1,0)+IF(AND(N285-N286&gt;1,N285&gt;10),1,0)+IF(AND(O285-O286&gt;1,O285&gt;10),1,0)+IF(AND(P285-P286&gt;1,P285&gt;10),1,0))</f>
        <v/>
      </c>
      <c r="R285" s="203" t="str">
        <f>IF(AND(I285="",I286=""),"",ABS(VLOOKUP(I285,I268:L271,4,FALSE)-VLOOKUP(I286,I268:L271,4,FALSE)))</f>
        <v/>
      </c>
      <c r="S285" s="256" t="str">
        <f>IF(R286="","",IF(Q285=3,+R286,-R286))</f>
        <v/>
      </c>
      <c r="T285" s="192"/>
      <c r="U285" s="235"/>
      <c r="V285" s="235"/>
      <c r="W285" s="235"/>
      <c r="X285" s="235"/>
      <c r="Y285" s="235"/>
      <c r="Z285" s="235"/>
      <c r="AA285" s="243">
        <v>1</v>
      </c>
      <c r="AB285" s="222" t="str">
        <f>IF(AND(COUNTBLANK(I268:I271)=0,Group_players=4,M268=M269,M269=M270),IF(U275="","",IF(COUNTIF(U275:U278,U275)=3,"Tied",IF(AND(COUNTIF(U275:U278,U275)=1,U276&lt;&gt;U277),IF(M268=2,IF(SMALL(U275:U278,1)=U275,1,IF(SMALL(U275:U278,2)=U275,2,IF(SMALL(U275:U278,3)=U275,3))),IF(M268=1,IF(SMALL(U275:U278,1)=U275,2,IF(SMALL(U275:U278,2)=U275,3,IF(SMALL(U275:U278,3)=U275,4))),"")),IF(COUNTIF(U275:U278,U275)=1,IF(U275&lt;U276,IF(M268=2,1,2),IF(M268=2,3,4)),IF(COUNTIF(U275:U278,U275)=2,IF(U275=U276,IF(U275&lt;U277,IF(M268=2,IF(Q291=3,1,2),IF(M268=1,IF(Q291=3,2,3))),IF(U275&gt;U277,IF(M268=2,IF(Q291=3,2,3),IF(M268=1,IF(Q291=3,3,4))))),IF(U275=U277,IF(U275&lt;U276,IF(M268=2,IF(Q279=3,1,2),IF(M268=1,IF(Q279=3,2,3))),IF(U275&gt;U276,IF(M268=2,IF(Q279=3,2,3),IF(M268=1,IF(Q279=3,3,4)))))))))))),"")</f>
        <v/>
      </c>
      <c r="AC285" s="192"/>
      <c r="AD285" s="192"/>
      <c r="AE285" s="192"/>
      <c r="AF285" s="203"/>
      <c r="AG285" s="203"/>
      <c r="AH285" s="203"/>
      <c r="AI285" s="203"/>
      <c r="AJ285" s="203"/>
      <c r="AK285" s="203"/>
      <c r="AL285" s="203"/>
      <c r="AM285" s="203"/>
      <c r="AN285" s="192"/>
      <c r="AO285" s="192"/>
      <c r="AP285" s="192"/>
      <c r="AQ285" s="192"/>
      <c r="AR285" s="192"/>
      <c r="AS285" s="192"/>
      <c r="AT285" s="192"/>
      <c r="AU285" s="192"/>
      <c r="AV285" s="192"/>
      <c r="AW285" s="192"/>
      <c r="AX285" s="192"/>
    </row>
    <row r="286" spans="2:50" ht="15" customHeight="1" thickBot="1" x14ac:dyDescent="0.35">
      <c r="B286" s="192"/>
      <c r="C286" s="192"/>
      <c r="D286" s="192"/>
      <c r="E286" s="164" t="str">
        <f>IF(Q286="","",IF(Q286=3,1,0))</f>
        <v/>
      </c>
      <c r="F286" s="164" t="str">
        <f>IF(Q286="","",IF(Q286&lt;3,1,0))</f>
        <v/>
      </c>
      <c r="G286" s="192"/>
      <c r="H286" s="192" t="str">
        <f>IF(I270="","",IF(I271&lt;&gt;"",4,2))</f>
        <v/>
      </c>
      <c r="I286" s="192" t="str">
        <f>IF(ISNUMBER(H286),VLOOKUP(H286,H268:I271,2,TRUE),"")</f>
        <v/>
      </c>
      <c r="J286" s="192"/>
      <c r="K286" s="192" t="str">
        <f>VLOOKUP(I286,I268:L271,3,FALSE)</f>
        <v/>
      </c>
      <c r="L286" s="155"/>
      <c r="M286" s="259"/>
      <c r="N286" s="259"/>
      <c r="O286" s="156"/>
      <c r="P286" s="157"/>
      <c r="Q286" s="260" t="str">
        <f>IF(L286="","",IF(AND(L286-L285&gt;1,L286&gt;10),1,0)+IF(AND(M286-M285&gt;1,M286&gt;10),1,0)+IF(AND(N286-N285&gt;1,N286&gt;10),1,0)+IF(AND(O286-O285&gt;1,O286&gt;10),1,0)+IF(AND(P286-P285&gt;1,P286&gt;10),1,0))</f>
        <v/>
      </c>
      <c r="R286" s="203" t="str">
        <f>IF(AND(Q285&lt;&gt;3,Q286&lt;&gt;3),"",IF(Q285=3,IF(VLOOKUP(I285,I268:L271,4,FALSE)&gt;VLOOKUP(I286,I268:L271,4,FALSE),VLOOKUP(R285,Point_dif,2,FALSE),VLOOKUP(R285,Point_dif,3,FALSE)),IF(Q286=3,IF(VLOOKUP(I286,I268:L271,4,FALSE)&gt;VLOOKUP(I285,I268:L271,4,FALSE),VLOOKUP(R285,Point_dif,2,FALSE),VLOOKUP(R285,Point_dif,3,FALSE)))))</f>
        <v/>
      </c>
      <c r="S286" s="256" t="str">
        <f>IF(R286="","",IF(Q286=3,+R286,-R286))</f>
        <v/>
      </c>
      <c r="T286" s="192"/>
      <c r="U286" s="235"/>
      <c r="V286" s="235"/>
      <c r="W286" s="235"/>
      <c r="X286" s="235"/>
      <c r="Y286" s="235"/>
      <c r="Z286" s="235"/>
      <c r="AA286" s="246">
        <v>2</v>
      </c>
      <c r="AB286" s="222" t="str">
        <f>IF(AND(COUNTBLANK(I268:I271)=0,Group_players=4,M268=M269,M269=M270),IF(U276="","",IF(COUNTIF(U275:U278,U276)=3,"Tied",IF(AND(COUNTIF(U275:U278,U276)=1,U275&lt;&gt;U277),IF(M269=2,IF(SMALL(U275:U278,1)=U276,1,IF(SMALL(U275:U278,2)=U276,2,IF(SMALL(U275:U278,3)=U276,3))),IF(M269=1,IF(SMALL(U275:U278,1)=U276,2,IF(SMALL(U275:U278,2)=U276,3,IF(SMALL(U275:U278,3)=U276,4))),"")),IF(COUNTIF(U275:U278,U276)=1,IF(U276&lt;U275,IF(M269=2,1,2),IF(M269=2,3,4)),IF(COUNTIF(U275:U278,U276)=2,IF(U276=U275,IF(U276&lt;U277,IF(M269=2,IF(Q292=3,1,2),IF(M269=1,IF(Q292=3,2,3))),IF(U276&gt;U277,IF(M269=2,IF(Q292=3,2,3),IF(M269=1,IF(Q292=3,3,4))))),IF(U276=U277,IF(U276&lt;U275,IF(M269=2,IF(Q288=3,1,2),IF(M269=1,IF(Q288=3,2,3))),IF(U276&gt;U275,IF(M269=2,IF(Q288=3,2,3),IF(M269=1,IF(Q288=3,3,4)))))))))))),"")</f>
        <v/>
      </c>
      <c r="AC286" s="192"/>
      <c r="AD286" s="192"/>
      <c r="AE286" s="192"/>
      <c r="AF286" s="203"/>
      <c r="AG286" s="203"/>
      <c r="AH286" s="203"/>
      <c r="AI286" s="203"/>
      <c r="AJ286" s="203"/>
      <c r="AK286" s="203"/>
      <c r="AL286" s="203"/>
      <c r="AM286" s="203"/>
      <c r="AN286" s="192"/>
      <c r="AO286" s="192"/>
      <c r="AP286" s="192"/>
      <c r="AQ286" s="192"/>
      <c r="AR286" s="192"/>
      <c r="AS286" s="192"/>
      <c r="AT286" s="192"/>
      <c r="AU286" s="192"/>
      <c r="AV286" s="192"/>
      <c r="AW286" s="192"/>
      <c r="AX286" s="192"/>
    </row>
    <row r="287" spans="2:50" ht="15" customHeight="1" thickTop="1" thickBot="1" x14ac:dyDescent="0.35">
      <c r="B287" s="192"/>
      <c r="C287" s="192"/>
      <c r="D287" s="192"/>
      <c r="E287" s="164"/>
      <c r="F287" s="164"/>
      <c r="G287" s="192"/>
      <c r="H287" s="192"/>
      <c r="I287" s="249" t="s">
        <v>118</v>
      </c>
      <c r="J287" s="249"/>
      <c r="K287" s="249"/>
      <c r="L287" s="250" t="s">
        <v>115</v>
      </c>
      <c r="M287" s="250" t="s">
        <v>116</v>
      </c>
      <c r="N287" s="250" t="s">
        <v>117</v>
      </c>
      <c r="O287" s="250" t="s">
        <v>118</v>
      </c>
      <c r="P287" s="250" t="s">
        <v>119</v>
      </c>
      <c r="Q287" s="250" t="s">
        <v>120</v>
      </c>
      <c r="R287" s="250"/>
      <c r="S287" s="251"/>
      <c r="T287" s="192"/>
      <c r="U287" s="235"/>
      <c r="V287" s="235"/>
      <c r="W287" s="235"/>
      <c r="X287" s="235"/>
      <c r="Y287" s="235"/>
      <c r="Z287" s="235"/>
      <c r="AA287" s="240">
        <v>3</v>
      </c>
      <c r="AB287" s="241" t="str">
        <f>IF(AND(COUNTBLANK(I268:I271)=0,Group_players=4,M268=M269,M269=M270),IF(U277="","",IF(COUNTIF(U275:U278,U277)=3,"Tied",IF(AND(COUNTIF(U275:U278,U277)=1,U275&lt;&gt;U276),IF(M268=2,IF(SMALL(U275:U278,1)=U277,1,IF(SMALL(U275:U278,2)=U277,2,IF(SMALL(U275:U278,3)=U277,3))),IF(M270=1,IF(SMALL(U275:U278,1)=U277,2,IF(SMALL(U275:U278,2)=U277,3,IF(SMALL(U275:U278,3)=U277,4))),"")),IF(COUNTIF(U275:U278,U277)=1,IF(U277&lt;U276,IF(M270=2,1,2),IF(M270=2,3,4)),IF(COUNTIF(U275:U278,U277)=2,IF(U277=U276,IF(U277&lt;U275,IF(M270=2,IF(Q289=3,1,2),IF(M270=1,IF(Q289=3,2,3))),IF(U277&gt;U275,IF(M270=2,IF(Q289=3,2,3),IF(M270=1,IF(Q289=3,3,4))))),IF(U277=U275,IF(U277&lt;U276,IF(M270=2,IF(Q280=3,1,2),IF(M270=1,IF(Q280=3,2,3))),IF(U277&gt;U276,IF(M270=2,IF(Q280=3,2,3),IF(M270=1,IF(Q280=3,3,4)))))))))))),"")</f>
        <v/>
      </c>
      <c r="AC287" s="192"/>
      <c r="AD287" s="192"/>
      <c r="AE287" s="192"/>
      <c r="AF287" s="203"/>
      <c r="AG287" s="203"/>
      <c r="AH287" s="203"/>
      <c r="AI287" s="203"/>
      <c r="AJ287" s="203"/>
      <c r="AK287" s="203"/>
      <c r="AL287" s="203"/>
      <c r="AM287" s="203"/>
      <c r="AN287" s="192"/>
      <c r="AO287" s="192"/>
      <c r="AP287" s="192"/>
      <c r="AQ287" s="192"/>
      <c r="AR287" s="192"/>
      <c r="AS287" s="192"/>
      <c r="AT287" s="192"/>
      <c r="AU287" s="192"/>
      <c r="AV287" s="192"/>
      <c r="AW287" s="192"/>
      <c r="AX287" s="192"/>
    </row>
    <row r="288" spans="2:50" ht="15" customHeight="1" thickTop="1" x14ac:dyDescent="0.3">
      <c r="B288" s="192"/>
      <c r="C288" s="192"/>
      <c r="D288" s="192"/>
      <c r="E288" s="164" t="str">
        <f>IF(Q288="","",IF(Q288=3,1,0))</f>
        <v/>
      </c>
      <c r="F288" s="164" t="str">
        <f>IF(Q288="","",IF(Q288&lt;3,1,0))</f>
        <v/>
      </c>
      <c r="G288" s="192"/>
      <c r="H288" s="192" t="str">
        <f>IF(I271&lt;&gt;"",2,"")</f>
        <v/>
      </c>
      <c r="I288" s="192" t="str">
        <f>IF(ISNUMBER(H288),VLOOKUP(H288,H268:I271,2,TRUE),"")</f>
        <v/>
      </c>
      <c r="J288" s="192"/>
      <c r="K288" s="192" t="str">
        <f>VLOOKUP(I288,I268:L271,3,FALSE)</f>
        <v/>
      </c>
      <c r="L288" s="253"/>
      <c r="M288" s="254"/>
      <c r="N288" s="254"/>
      <c r="O288" s="152"/>
      <c r="P288" s="153"/>
      <c r="Q288" s="255" t="str">
        <f>IF(L288="","",IF(AND(L288-L289&gt;1,L288&gt;10),1,0)+IF(AND(M288-M289&gt;1,M288&gt;10),1,0)+IF(AND(N288-N289&gt;1,N288&gt;10),1,0)+IF(AND(O288-O289&gt;1,O288&gt;10),1,0)+IF(AND(P288-P289&gt;1,P288&gt;10),1,0))</f>
        <v/>
      </c>
      <c r="R288" s="203" t="str">
        <f>IF(AND(I288="",I289=""),"",ABS(VLOOKUP(I288,I268:L271,4,FALSE)-VLOOKUP(I289,I268:L271,4,FALSE)))</f>
        <v/>
      </c>
      <c r="S288" s="256" t="str">
        <f>IF(R289="","",IF(Q288=3,+R289,-R289))</f>
        <v/>
      </c>
      <c r="T288" s="192"/>
      <c r="U288" s="235"/>
      <c r="V288" s="235"/>
      <c r="W288" s="235"/>
      <c r="X288" s="235"/>
      <c r="Y288" s="235"/>
      <c r="Z288" s="235"/>
      <c r="AA288" s="243">
        <v>1</v>
      </c>
      <c r="AB288" s="222" t="str">
        <f>IF(AND(COUNTBLANK(I268:I271)=0,Group_players=4,M268=M270,M270=M271),IF(V275="","",IF(COUNTIF(V275:V278,V275)=3,"Tied",IF(AND(COUNTIF(V275:V278,V275)=1,V277&lt;&gt;U278),IF(M268=2,IF(SMALL(V275:V278,1)=V275,1,IF(SMALL(V275:V278,2)=V275,2,IF(SMALL(V275:V278,3)=V275,3))),IF(M268=1,IF(SMALL(V275:V278,1)=V275,2,IF(SMALL(V275:V278,2)=V275,3,IF(SMALL(V275:V278,3)=V275,4))),"")),IF(COUNTIF(V275:V278,V275)=1,IF(V275&lt;V277,IF(M268=2,1,2),IF(M268=2,3,4)),IF(COUNTIF(V275:V278,V275)=2,IF(V275=V277,IF(V275&lt;V278,IF(M268=2,IF(Q279=3,1,2),IF(M268=1,IF(Q279=3,2,3))),IF(V275&gt;V278,IF(M268=2,IF(Q279=3,2,3),IF(M268=1,IF(Q279=3,3,4))))),IF(V275=V278,IF(V275&lt;V277,IF(M268=2,IF(Q285=3,1,2),IF(M268=1,IF(Q285=3,2,3))),IF(V275&gt;V276,IF(M268=2,IF(Q285=3,2,3),IF(M268=1,IF(Q285=3,3,4)))))))))))),"")</f>
        <v/>
      </c>
      <c r="AC288" s="192"/>
      <c r="AD288" s="192"/>
      <c r="AE288" s="192"/>
      <c r="AF288" s="203"/>
      <c r="AG288" s="203"/>
      <c r="AH288" s="203"/>
      <c r="AI288" s="203"/>
      <c r="AJ288" s="203"/>
      <c r="AK288" s="203"/>
      <c r="AL288" s="203"/>
      <c r="AM288" s="203"/>
      <c r="AN288" s="192"/>
      <c r="AO288" s="192"/>
      <c r="AP288" s="192"/>
      <c r="AQ288" s="192"/>
      <c r="AR288" s="192"/>
      <c r="AS288" s="192"/>
      <c r="AT288" s="192"/>
      <c r="AU288" s="192"/>
      <c r="AV288" s="192"/>
      <c r="AW288" s="192"/>
      <c r="AX288" s="192"/>
    </row>
    <row r="289" spans="2:50" ht="15" customHeight="1" thickBot="1" x14ac:dyDescent="0.35">
      <c r="B289" s="192"/>
      <c r="C289" s="192"/>
      <c r="D289" s="192"/>
      <c r="E289" s="164" t="str">
        <f>IF(Q289="","",IF(Q289=3,1,0))</f>
        <v/>
      </c>
      <c r="F289" s="164" t="str">
        <f>IF(Q289="","",IF(Q289&lt;3,1,0))</f>
        <v/>
      </c>
      <c r="G289" s="192"/>
      <c r="H289" s="192" t="str">
        <f>IF(I271&lt;&gt;"",3,"")</f>
        <v/>
      </c>
      <c r="I289" s="192" t="str">
        <f>IF(ISNUMBER(H289),VLOOKUP(H289,H268:I271,2,TRUE),"")</f>
        <v/>
      </c>
      <c r="J289" s="192"/>
      <c r="K289" s="192" t="str">
        <f>VLOOKUP(I289,I268:L271,3,FALSE)</f>
        <v/>
      </c>
      <c r="L289" s="155"/>
      <c r="M289" s="259"/>
      <c r="N289" s="259"/>
      <c r="O289" s="156"/>
      <c r="P289" s="157"/>
      <c r="Q289" s="260" t="str">
        <f>IF(L289="","",IF(AND(L289-L288&gt;1,L289&gt;10),1,0)+IF(AND(M289-M288&gt;1,M289&gt;10),1,0)+IF(AND(N289-N288&gt;1,N289&gt;10),1,0)+IF(AND(O289-O288&gt;1,O289&gt;10),1,0)+IF(AND(P289-P288&gt;1,P289&gt;10),1,0))</f>
        <v/>
      </c>
      <c r="R289" s="203" t="str">
        <f>IF(AND(Q288&lt;&gt;3,Q289&lt;&gt;3),"",IF(Q288=3,IF(VLOOKUP(I288,I268:L271,4,FALSE)&gt;VLOOKUP(I289,I268:L271,4,FALSE),VLOOKUP(R288,Point_dif,2,FALSE),VLOOKUP(R288,Point_dif,3,FALSE)),IF(Q289=3,IF(VLOOKUP(I289,I268:L271,4,FALSE)&gt;VLOOKUP(I288,I268:L271,4,FALSE),VLOOKUP(R288,Point_dif,2,FALSE),VLOOKUP(R288,Point_dif,3,FALSE)))))</f>
        <v/>
      </c>
      <c r="S289" s="256" t="str">
        <f>IF(R289="","",IF(Q289=3,+R289,-R289))</f>
        <v/>
      </c>
      <c r="T289" s="192"/>
      <c r="U289" s="159"/>
      <c r="V289" s="266"/>
      <c r="W289" s="266"/>
      <c r="X289" s="266"/>
      <c r="Y289" s="192"/>
      <c r="Z289" s="203"/>
      <c r="AA289" s="246">
        <v>3</v>
      </c>
      <c r="AB289" s="222" t="str">
        <f>IF(AND(COUNTBLANK(I268:I271)=0,Group_players=4,M268=M270,M270=M271),IF(V277="","",IF(COUNTIF(V275:V278,V277)=3,"Tied",IF(AND(COUNTIF(V275:V278,V277)=1,V275&lt;&gt;V278),IF(M270=2,IF(SMALL(V275:V278,1)=V277,1,IF(SMALL(V275:V278,2)=V277,2,IF(SMALL(V275:V278,3)=V277,3))),IF(M270=1,IF(SMALL(V275:V278,1)=V277,2,IF(SMALL(V275:V278,2)=V277,3,IF(SMALL(V275:V278,3)=V277,4))),"")),IF(COUNTIF(V275:V278,V277)=1,IF(V277&lt;V275,IF(M270=2,1,2),IF(M270=2,3,4)),IF(COUNTIF(V275:V278,V277)=2,IF(V277=V275,IF(V277&lt;V278,IF(M270=2,IF(Q280=3,1,2),IF(M270=1,IF(Q280=3,2,3))),IF(V277&gt;V278,IF(M270=2,IF(Q280=3,2,3),IF(M270=1,IF(Q280=3,3,4))))),IF(V277=V278,IF(V277&lt;V275,IF(M270=2,IF(Q294=3,1,2),IF(M270=1,IF(Q294=3,2,3))),IF(V277&gt;V275,IF(M270=2,IF(Q294=3,2,3),IF(M270=1,IF(Q294=3,3,4)))))))))))),"")</f>
        <v/>
      </c>
      <c r="AC289" s="192"/>
      <c r="AD289" s="192"/>
      <c r="AE289" s="192"/>
      <c r="AF289" s="203"/>
      <c r="AG289" s="203"/>
      <c r="AH289" s="203"/>
      <c r="AI289" s="203"/>
      <c r="AJ289" s="203"/>
      <c r="AK289" s="203"/>
      <c r="AL289" s="203"/>
      <c r="AM289" s="203"/>
      <c r="AN289" s="192"/>
      <c r="AO289" s="192"/>
      <c r="AP289" s="192"/>
      <c r="AQ289" s="192"/>
      <c r="AR289" s="192"/>
      <c r="AS289" s="192"/>
      <c r="AT289" s="192"/>
      <c r="AU289" s="192"/>
      <c r="AV289" s="192"/>
      <c r="AW289" s="192"/>
      <c r="AX289" s="192"/>
    </row>
    <row r="290" spans="2:50" ht="15" customHeight="1" thickTop="1" thickBot="1" x14ac:dyDescent="0.35">
      <c r="B290" s="192"/>
      <c r="C290" s="192"/>
      <c r="D290" s="192"/>
      <c r="E290" s="164"/>
      <c r="F290" s="164"/>
      <c r="G290" s="192"/>
      <c r="H290" s="192"/>
      <c r="I290" s="249" t="s">
        <v>119</v>
      </c>
      <c r="J290" s="249"/>
      <c r="K290" s="249"/>
      <c r="L290" s="250" t="s">
        <v>115</v>
      </c>
      <c r="M290" s="250" t="s">
        <v>116</v>
      </c>
      <c r="N290" s="250" t="s">
        <v>117</v>
      </c>
      <c r="O290" s="250" t="s">
        <v>118</v>
      </c>
      <c r="P290" s="250" t="s">
        <v>119</v>
      </c>
      <c r="Q290" s="250" t="s">
        <v>120</v>
      </c>
      <c r="R290" s="250"/>
      <c r="S290" s="251"/>
      <c r="T290" s="247"/>
      <c r="U290" s="235"/>
      <c r="V290" s="235"/>
      <c r="W290" s="235"/>
      <c r="X290" s="235"/>
      <c r="Y290" s="235"/>
      <c r="Z290" s="235"/>
      <c r="AA290" s="240">
        <v>4</v>
      </c>
      <c r="AB290" s="241" t="str">
        <f>IF(AND(COUNTBLANK(I268:I271)=0,Group_players=4,M268=M270,M270=M271),IF(V278="","",IF(COUNTIF(V275:V278,V278)=3,"Tied",IF(AND(COUNTIF(V275:V278,V278)=1,V277&lt;&gt;V275),IF(M271=2,IF(SMALL(V275:V278,1)=V278,1,IF(SMALL(V275:V278,2)=V278,2,IF(SMALL(V275:V278,3)=V278,3))),IF(M271=1,IF(SMALL(V275:V278,1)=V278,2,IF(SMALL(V275:V278,2)=V278,3,IF(SMALL(V275:V278,3)=V278,4))),"")),IF(COUNTIF(V275:V278,V278)=1,IF(V278&lt;V275,IF(M271=2,1,2),IF(M271=2,3,4)),IF(COUNTIF(V275:V278,V278)=2,IF(V278=V275,IF(V278&lt;V277,IF(M271=2,IF(Q286=3,1,2),IF(M271=1,IF(Q286=3,2,3))),IF(V278&gt;V277,IF(M271=2,IF(Q286=3,2,3),IF(M271=1,IF(Q286=3,3,4))))),IF(V278=V277,IF(V278&lt;V275,IF(M271=2,IF(Q295=3,1,2),IF(M271=1,IF(Q295=3,2,3))),IF(V278&gt;V275,IF(M271=2,IF(Q295=3,2,3),IF(M271=1,IF(Q295=3,3,4)))))))))))),"")</f>
        <v/>
      </c>
      <c r="AC290" s="192"/>
      <c r="AD290" s="192"/>
      <c r="AE290" s="192"/>
      <c r="AF290" s="203"/>
      <c r="AG290" s="203"/>
      <c r="AH290" s="203"/>
      <c r="AI290" s="203"/>
      <c r="AJ290" s="203"/>
      <c r="AK290" s="203"/>
      <c r="AL290" s="203"/>
      <c r="AM290" s="203"/>
      <c r="AN290" s="192"/>
      <c r="AO290" s="192"/>
      <c r="AP290" s="192"/>
      <c r="AQ290" s="192"/>
      <c r="AR290" s="192"/>
      <c r="AS290" s="192"/>
      <c r="AT290" s="192"/>
      <c r="AU290" s="192"/>
      <c r="AV290" s="192"/>
      <c r="AW290" s="192"/>
      <c r="AX290" s="192"/>
    </row>
    <row r="291" spans="2:50" ht="15" customHeight="1" thickTop="1" x14ac:dyDescent="0.3">
      <c r="B291" s="192"/>
      <c r="C291" s="192"/>
      <c r="D291" s="192"/>
      <c r="E291" s="164" t="str">
        <f>IF(Q291="","",IF(Q291=3,1,0))</f>
        <v/>
      </c>
      <c r="F291" s="164" t="str">
        <f>IF(Q291="","",IF(Q291&lt;3,1,0))</f>
        <v/>
      </c>
      <c r="G291" s="192"/>
      <c r="H291" s="192" t="str">
        <f>IF(I271&lt;&gt;"",1,"")</f>
        <v/>
      </c>
      <c r="I291" s="192" t="str">
        <f>IF(ISNUMBER(H291),VLOOKUP(H291,H268:I271,2,TRUE),"")</f>
        <v/>
      </c>
      <c r="J291" s="192"/>
      <c r="K291" s="192" t="str">
        <f>VLOOKUP(I291,I268:L271,3,FALSE)</f>
        <v/>
      </c>
      <c r="L291" s="253"/>
      <c r="M291" s="254"/>
      <c r="N291" s="254"/>
      <c r="O291" s="152"/>
      <c r="P291" s="153"/>
      <c r="Q291" s="255" t="str">
        <f>IF(L291="","",IF(AND(L291-L292&gt;1,L291&gt;10),1,0)+IF(AND(M291-M292&gt;1,M291&gt;10),1,0)+IF(AND(N291-N292&gt;1,N291&gt;10),1,0)+IF(AND(O291-O292&gt;1,O291&gt;10),1,0)+IF(AND(P291-P292&gt;1,P291&gt;10),1,0))</f>
        <v/>
      </c>
      <c r="R291" s="203" t="str">
        <f>IF(AND(I291="",I292=""),"",ABS(VLOOKUP(I291,I268:L271,4,FALSE)-VLOOKUP(I292,I268:L271,4,FALSE)))</f>
        <v/>
      </c>
      <c r="S291" s="256" t="str">
        <f>IF(R292="","",IF(Q291=3,+R292,-R292))</f>
        <v/>
      </c>
      <c r="T291" s="247"/>
      <c r="U291" s="235"/>
      <c r="V291" s="235"/>
      <c r="W291" s="235"/>
      <c r="X291" s="235"/>
      <c r="Y291" s="235"/>
      <c r="Z291" s="235"/>
      <c r="AA291" s="243">
        <v>1</v>
      </c>
      <c r="AB291" s="222" t="str">
        <f>IF(AND(COUNTBLANK(I268:I271)=0,Group_players=4,M268=M269,M269=M271),IF(W275="","",IF(COUNTIF(W275:W278,W275)=3,"Tied",IF(AND(COUNTIF(W275:W278,W275)=1,W276&lt;&gt;W277),IF(M268=2,IF(SMALL(W275:W278,1)=W275,1,IF(SMALL(W275:W278,2)=W275,2,IF(SMALL(W275:W278,3)=W275,3))),IF(M268=1,IF(SMALL(W275:W278,1)=W275,2,IF(SMALL(W275:W278,2)=W275,3,IF(SMALL(W275:W278,3)=W275,4))),"")),IF(COUNTIF(W275:W278,W275)=1,IF(W275&lt;W276,IF(M268=2,1,2),IF(M268=2,3,4)),IF(COUNTIF(W275:W278,W275)=2,IF(W275=W276,IF(W275&lt;W278,IF(M268=2,IF(Q291=3,1,2),IF(M268=1,IF(Q291=3,2,3))),IF(W275&gt;W278,IF(M268=2,IF(Q291=3,2,3),IF(M268=1,IF(Q291=3,3,4))))),IF(W275=W278,IF(W275&lt;W276,IF(M268=2,IF(Q285=3,1,2),IF(M268=1,IF(Q285=3,2,3))),IF(W275&gt;W276,IF(M268=2,IF(Q285=3,2,3),IF(M268=1,IF(Q285=3,3,4)))))))))))),"")</f>
        <v/>
      </c>
      <c r="AC291" s="192"/>
      <c r="AD291" s="192"/>
      <c r="AE291" s="192"/>
      <c r="AF291" s="203"/>
      <c r="AG291" s="203"/>
      <c r="AH291" s="203"/>
      <c r="AI291" s="203"/>
      <c r="AJ291" s="203"/>
      <c r="AK291" s="203"/>
      <c r="AL291" s="203"/>
      <c r="AM291" s="203"/>
      <c r="AN291" s="192"/>
      <c r="AO291" s="192"/>
      <c r="AP291" s="192"/>
      <c r="AQ291" s="192"/>
      <c r="AR291" s="192"/>
      <c r="AS291" s="192"/>
      <c r="AT291" s="192"/>
      <c r="AU291" s="192"/>
      <c r="AV291" s="192"/>
      <c r="AW291" s="192"/>
      <c r="AX291" s="192"/>
    </row>
    <row r="292" spans="2:50" ht="15" customHeight="1" thickBot="1" x14ac:dyDescent="0.35">
      <c r="B292" s="192"/>
      <c r="C292" s="192"/>
      <c r="D292" s="192"/>
      <c r="E292" s="164" t="str">
        <f>IF(Q292="","",IF(Q292=3,1,0))</f>
        <v/>
      </c>
      <c r="F292" s="164" t="str">
        <f>IF(Q292="","",IF(Q292&lt;3,1,0))</f>
        <v/>
      </c>
      <c r="G292" s="192"/>
      <c r="H292" s="192" t="str">
        <f>IF(I271&lt;&gt;"",2,"")</f>
        <v/>
      </c>
      <c r="I292" s="192" t="str">
        <f>IF(ISNUMBER(H292),VLOOKUP(H292,H268:I271,2,TRUE),"")</f>
        <v/>
      </c>
      <c r="J292" s="192"/>
      <c r="K292" s="192" t="str">
        <f>VLOOKUP(I292,I268:L271,3,FALSE)</f>
        <v/>
      </c>
      <c r="L292" s="155"/>
      <c r="M292" s="259"/>
      <c r="N292" s="259"/>
      <c r="O292" s="156"/>
      <c r="P292" s="157"/>
      <c r="Q292" s="260" t="str">
        <f>IF(L292="","",IF(AND(L292-L291&gt;1,L292&gt;10),1,0)+IF(AND(M292-M291&gt;1,M292&gt;10),1,0)+IF(AND(N292-N291&gt;1,N292&gt;10),1,0)+IF(AND(O292-O291&gt;1,O292&gt;10),1,0)+IF(AND(P292-P291&gt;1,P292&gt;10),1,0))</f>
        <v/>
      </c>
      <c r="R292" s="203" t="str">
        <f>IF(AND(Q291&lt;&gt;3,Q292&lt;&gt;3),"",IF(Q291=3,IF(VLOOKUP(I291,I268:L271,4,FALSE)&gt;VLOOKUP(I292,I268:L271,4,FALSE),VLOOKUP(R291,Point_dif,2,FALSE),VLOOKUP(R291,Point_dif,3,FALSE)),IF(Q292=3,IF(VLOOKUP(I292,I268:L271,4,FALSE)&gt;VLOOKUP(I292,I268:L271,4,FALSE),VLOOKUP(R291,Point_dif,2,FALSE),VLOOKUP(R291,Point_dif,3,FALSE)))))</f>
        <v/>
      </c>
      <c r="S292" s="256" t="str">
        <f>IF(R292="","",IF(Q292=3,+R292,-R292))</f>
        <v/>
      </c>
      <c r="T292" s="247"/>
      <c r="U292" s="235"/>
      <c r="V292" s="235"/>
      <c r="W292" s="235"/>
      <c r="X292" s="235"/>
      <c r="Y292" s="235"/>
      <c r="Z292" s="235"/>
      <c r="AA292" s="246">
        <v>2</v>
      </c>
      <c r="AB292" s="222" t="str">
        <f>IF(AND(COUNTBLANK(I268:I271)=0,Group_players=4,M268=M269,M269=M271),IF(W276="","",IF(COUNTIF(W275:W278,W276)=3,"Tied",IF(AND(COUNTIF(W275:W278,W276)=1,W275&lt;&gt;W277),IF(M269=2,IF(SMALL(W275:W278,1)=W276,1,IF(SMALL(W275:W278,2)=W276,2,IF(SMALL(W275:W278,3)=W276,3))),IF(M269=1,IF(SMALL(W275:W278,1)=W276,2,IF(SMALL(W275:W278,2)=W276,3,IF(SMALL(W275:W278,3)=W276,4))),"")),IF(COUNTIF(W275:W278,W276)=1,IF(W276&lt;W275,IF(M269=2,1,2),IF(M269=2,3,4)),IF(COUNTIF(W275:W278,W276)=2,IF(W276=W275,IF(W276&lt;W278,IF(M269=2,IF(Q292=3,1,2),IF(M269=1,IF(Q292=3,2,3))),IF(W276&gt;W278,IF(M269=2,IF(Q292=3,2,3),IF(M269=1,IF(Q292=3,3,4))))),IF(W276=W278,IF(W276&lt;W275,IF(M269=2,IF(Q282=3,1,2),IF(M269=1,IF(Q282=3,2,3))),IF(W276&gt;W275,IF(M269=2,IF(Q282=3,2,3),IF(M269=1,IF(Q282=3,3,4)))))))))))),"")</f>
        <v/>
      </c>
      <c r="AC292" s="192"/>
      <c r="AD292" s="192"/>
      <c r="AE292" s="192"/>
      <c r="AF292" s="203"/>
      <c r="AG292" s="203"/>
      <c r="AH292" s="203"/>
      <c r="AI292" s="203"/>
      <c r="AJ292" s="203"/>
      <c r="AK292" s="203"/>
      <c r="AL292" s="203"/>
      <c r="AM292" s="203"/>
      <c r="AN292" s="192"/>
      <c r="AO292" s="192"/>
      <c r="AP292" s="192"/>
      <c r="AQ292" s="192"/>
      <c r="AR292" s="192"/>
      <c r="AS292" s="192"/>
      <c r="AT292" s="192"/>
      <c r="AU292" s="192"/>
      <c r="AV292" s="192"/>
      <c r="AW292" s="192"/>
      <c r="AX292" s="192"/>
    </row>
    <row r="293" spans="2:50" ht="15" customHeight="1" thickTop="1" thickBot="1" x14ac:dyDescent="0.35">
      <c r="B293" s="192"/>
      <c r="C293" s="192"/>
      <c r="D293" s="192"/>
      <c r="E293" s="164"/>
      <c r="F293" s="164"/>
      <c r="G293" s="192"/>
      <c r="H293" s="192"/>
      <c r="I293" s="249" t="s">
        <v>121</v>
      </c>
      <c r="J293" s="249"/>
      <c r="K293" s="249"/>
      <c r="L293" s="250" t="s">
        <v>115</v>
      </c>
      <c r="M293" s="250" t="s">
        <v>116</v>
      </c>
      <c r="N293" s="250" t="s">
        <v>117</v>
      </c>
      <c r="O293" s="250" t="s">
        <v>118</v>
      </c>
      <c r="P293" s="250" t="s">
        <v>119</v>
      </c>
      <c r="Q293" s="250" t="s">
        <v>120</v>
      </c>
      <c r="R293" s="250"/>
      <c r="S293" s="251"/>
      <c r="T293" s="247"/>
      <c r="U293" s="235"/>
      <c r="V293" s="235"/>
      <c r="W293" s="235"/>
      <c r="X293" s="235"/>
      <c r="Y293" s="235"/>
      <c r="Z293" s="235"/>
      <c r="AA293" s="240">
        <v>4</v>
      </c>
      <c r="AB293" s="241" t="str">
        <f>IF(AND(COUNTBLANK(I268:I271)=0,Group_players=4,M268=M269,M269=M271),IF(W278="","",IF(COUNTIF(W275:W278,W278)=3,"Tied",IF(AND(COUNTIF(W275:W278,W278)=1,W275&lt;&gt;W276),IF(M271=2,IF(SMALL(W275:W278,1)=W278,1,IF(SMALL(W275:W278,2)=W278,2,IF(SMALL(W275:W278,3)=W278,3))),IF(M271=1,IF(SMALL(W275:W278,1)=W278,2,IF(SMALL(W275:W278,2)=W278,3,IF(SMALL(W275:W278,3)=W278,4))),"")),IF(COUNTIF(W275:W278,W278)=1,IF(W278&lt;W275,IF(M271=2,1,2),IF(M271=2,3,4)),IF(COUNTIF(W275:W278,W278)=2,IF(W278=W275,IF(W278&lt;W276,IF(M271=2,IF(Q286=3,1,2),IF(M271=1,IF(Q286=3,2,3))),IF(W278&gt;W277,IF(M271=2,IF(Q286=3,2,3),IF(M271=1,IF(Q286=3,3,4))))),IF(W278=W276,IF(W278&lt;W275,IF(M271=2,IF(Q283=3,1,2),IF(M271=1,IF(Q283=3,2,3))),IF(W278&gt;W275,IF(M271=2,IF(Q283=3,2,3),IF(M271=1,IF(Q283=3,3,4)))))))))))),"")</f>
        <v/>
      </c>
      <c r="AC293" s="192"/>
      <c r="AD293" s="192"/>
      <c r="AE293" s="192"/>
      <c r="AF293" s="203"/>
      <c r="AG293" s="203"/>
      <c r="AH293" s="203"/>
      <c r="AI293" s="203"/>
      <c r="AJ293" s="203"/>
      <c r="AK293" s="203"/>
      <c r="AL293" s="203"/>
      <c r="AM293" s="203"/>
      <c r="AN293" s="192"/>
      <c r="AO293" s="192"/>
      <c r="AP293" s="192"/>
      <c r="AQ293" s="192"/>
      <c r="AR293" s="192"/>
      <c r="AS293" s="192"/>
      <c r="AT293" s="192"/>
      <c r="AU293" s="192"/>
      <c r="AV293" s="192"/>
      <c r="AW293" s="192"/>
      <c r="AX293" s="192"/>
    </row>
    <row r="294" spans="2:50" ht="15" customHeight="1" thickTop="1" x14ac:dyDescent="0.3">
      <c r="B294" s="192"/>
      <c r="C294" s="192"/>
      <c r="D294" s="192"/>
      <c r="E294" s="164" t="str">
        <f>IF(Q294="","",IF(Q294=3,1,0))</f>
        <v/>
      </c>
      <c r="F294" s="164" t="str">
        <f>IF(Q294="","",IF(Q294&lt;3,1,0))</f>
        <v/>
      </c>
      <c r="G294" s="192"/>
      <c r="H294" s="192" t="str">
        <f>IF(I271&lt;&gt;"",3,"")</f>
        <v/>
      </c>
      <c r="I294" s="192" t="str">
        <f>IF(ISNUMBER(H294),VLOOKUP(H294,H268:I271,2,TRUE),"")</f>
        <v/>
      </c>
      <c r="J294" s="192"/>
      <c r="K294" s="192" t="str">
        <f>VLOOKUP(I294,I268:L271,3,FALSE)</f>
        <v/>
      </c>
      <c r="L294" s="253"/>
      <c r="M294" s="254"/>
      <c r="N294" s="254"/>
      <c r="O294" s="152"/>
      <c r="P294" s="153"/>
      <c r="Q294" s="255" t="str">
        <f>IF(L294="","",IF(AND(L294-L295&gt;1,L294&gt;10),1,0)+IF(AND(M294-M295&gt;1,M294&gt;10),1,0)+IF(AND(N294-N295&gt;1,N294&gt;10),1,0)+IF(AND(O294-O295&gt;1,O294&gt;10),1,0)+IF(AND(P294-P295&gt;1,P294&gt;10),1,0))</f>
        <v/>
      </c>
      <c r="R294" s="203" t="str">
        <f>IF(AND(I294="",I295=""),"",ABS(VLOOKUP(I294,I268:L271,4,FALSE)-VLOOKUP(I295,I268:L271,4,FALSE)))</f>
        <v/>
      </c>
      <c r="S294" s="256" t="str">
        <f>IF(R295="","",IF(Q294=3,+R295,-R295))</f>
        <v/>
      </c>
      <c r="T294" s="247"/>
      <c r="U294" s="264"/>
      <c r="V294" s="242"/>
      <c r="W294" s="192"/>
      <c r="X294" s="264"/>
      <c r="Y294" s="192"/>
      <c r="Z294" s="192"/>
      <c r="AA294" s="243">
        <v>2</v>
      </c>
      <c r="AB294" s="222" t="str">
        <f>IF(AND(COUNTBLANK(I268:I271)=0,Group_players=4,M269=M270,M270=M271),IF(X276="","",IF(COUNTIF(X275:X278,X276)=3,"Tied",IF(AND(COUNTIF(X275:X278,X276)=1,X277&lt;&gt;X278),IF(M269=2,IF(SMALL(X275:X278,1)=X276,1,IF(SMALL(X275:X278,2)=X276,2,IF(SMALL(X275:X278,3)=X276,3))),IF(M269=1,IF(SMALL(X275:X278,1)=X276,2,IF(SMALL(X275:X278,2)=X276,3,IF(SMALL(X275:X278,3)=X276,4))),"")),IF(COUNTIF(X275:X278,X276)=1,IF(X276&lt;X278,IF(M269=2,1,2),IF(M269=1,4)),IF(COUNTIF(X275:X278,X276)=2,IF(X276=X277,IF(X276&lt;X278,IF(M269=2,IF(Q288=3,1,2),IF(M269=1,IF(Q288=3,2,3))),IF(X276&gt;X278,IF(M269=2,IF(Q288=3,2,3),IF(M269=1,IF(Q288=3,3,4))))),IF(X276=X278,IF(X276&lt;X277,IF(M269=2,IF(Q282=3,1,2),IF(M269=1,IF(Q282=3,2,3))),IF(X276&gt;X277,IF(M269=2,IF(Q282=3,2,3),IF(M269=1,IF(Q282=3,3,4)))))))))))),"")</f>
        <v/>
      </c>
      <c r="AC294" s="192"/>
      <c r="AD294" s="192"/>
      <c r="AE294" s="192"/>
      <c r="AF294" s="203"/>
      <c r="AG294" s="203"/>
      <c r="AH294" s="203"/>
      <c r="AI294" s="203"/>
      <c r="AJ294" s="203"/>
      <c r="AK294" s="203"/>
      <c r="AL294" s="203"/>
      <c r="AM294" s="203"/>
      <c r="AN294" s="192"/>
      <c r="AO294" s="192"/>
      <c r="AP294" s="192"/>
      <c r="AQ294" s="192"/>
      <c r="AR294" s="192"/>
      <c r="AS294" s="192"/>
      <c r="AT294" s="192"/>
      <c r="AU294" s="192"/>
      <c r="AV294" s="192"/>
      <c r="AW294" s="192"/>
      <c r="AX294" s="192"/>
    </row>
    <row r="295" spans="2:50" ht="15" customHeight="1" thickBot="1" x14ac:dyDescent="0.35">
      <c r="B295" s="192"/>
      <c r="C295" s="192"/>
      <c r="D295" s="192"/>
      <c r="E295" s="164" t="str">
        <f>IF(Q295="","",IF(Q295=3,1,0))</f>
        <v/>
      </c>
      <c r="F295" s="164" t="str">
        <f>IF(Q295="","",IF(Q295&lt;3,1,0))</f>
        <v/>
      </c>
      <c r="G295" s="192"/>
      <c r="H295" s="192" t="str">
        <f>IF(I271&lt;&gt;"",4,"")</f>
        <v/>
      </c>
      <c r="I295" s="192" t="str">
        <f>IF(ISNUMBER(H295),VLOOKUP(H295,H268:I271,2,TRUE),"")</f>
        <v/>
      </c>
      <c r="J295" s="192"/>
      <c r="K295" s="192" t="str">
        <f>VLOOKUP(I295,I268:L271,3,FALSE)</f>
        <v/>
      </c>
      <c r="L295" s="155"/>
      <c r="M295" s="259"/>
      <c r="N295" s="259"/>
      <c r="O295" s="156"/>
      <c r="P295" s="157"/>
      <c r="Q295" s="260" t="str">
        <f>IF(L295="","",IF(AND(L295-L294&gt;1,L295&gt;10),1,0)+IF(AND(M295-M294&gt;1,M295&gt;10),1,0)+IF(AND(N295-N294&gt;1,N295&gt;10),1,0)+IF(AND(O295-O294&gt;1,O295&gt;10),1,0)+IF(AND(P295-P294&gt;1,P295&gt;10),1,0))</f>
        <v/>
      </c>
      <c r="R295" s="203" t="str">
        <f>IF(AND(Q294&lt;&gt;3,Q295&lt;&gt;3),"",IF(Q294=3,IF(VLOOKUP(I294,I268:L271,4,FALSE)&gt;VLOOKUP(I295,I268:L271,4,FALSE),VLOOKUP(R294,Point_dif,2,FALSE),VLOOKUP(R294,Point_dif,3,FALSE)),IF(Q295=3,IF(VLOOKUP(I295,I268:L271,4,FALSE)&gt;VLOOKUP(I294,I268:L271,4,FALSE),VLOOKUP(R294,Point_dif,2,FALSE),VLOOKUP(R294,Point_dif,3,FALSE)))))</f>
        <v/>
      </c>
      <c r="S295" s="260" t="str">
        <f>IF(R295="","",IF(Q295=3,+R295,-R295))</f>
        <v/>
      </c>
      <c r="T295" s="247"/>
      <c r="U295" s="235"/>
      <c r="V295" s="235"/>
      <c r="W295" s="235"/>
      <c r="X295" s="235"/>
      <c r="Y295" s="235"/>
      <c r="Z295" s="235"/>
      <c r="AA295" s="246">
        <v>3</v>
      </c>
      <c r="AB295" s="222" t="str">
        <f>IF(AND(COUNTBLANK(I268:I271)=0,Group_players=4,Group_players=4,M269=M270,M270=M271),IF(X277="","",IF(COUNTIF(X275:X278,X277)=3,"Tied",IF(AND(COUNTIF(X275:X278,X277)=1,X276&lt;&gt;X278),IF(M270=2,IF(SMALL(X275:X278,1)=X277,1,IF(SMALL(X275:X278,2)=X277,2,IF(SMALL(X275:X278,3)=X277,3))),IF(M270=1,IF(SMALL(X275:X278,1)=X277,2,IF(SMALL(X275:X278,2)=X277,3,IF(SMALL(X275:X278,3)=X277,4))),"")),IF(COUNTIF(X275:X278,X277)=1,IF(X277&lt;X276,IF(M270=2,1,2),IF(M270=2,3,4)),IF(COUNTIF(X275:X278,X277)=2,IF(X277=X276,IF(X277&lt;X278,IF(M270=2,IF(Q289=3,1,2),IF(M270=1,IF(Q289=3,2,3))),IF(X277&gt;X278,IF(M270=2,IF(Q289=3,2,3),IF(M270=1,IF(Q289=3,3,4))))),IF(X277=X278,IF(X277&lt;X276,IF(M270=2,IF(Q294=3,1,2),IF(M270=1,IF(Q294=3,2,3))),IF(X277&gt;X276,IF(M270=2,IF(Q294=3,2,3),IF(M270=1,IF(Q294=3,3,4)))))))))))),"")</f>
        <v/>
      </c>
      <c r="AC295" s="192"/>
      <c r="AD295" s="192"/>
      <c r="AE295" s="192"/>
      <c r="AF295" s="203"/>
      <c r="AG295" s="203"/>
      <c r="AH295" s="203"/>
      <c r="AI295" s="203"/>
      <c r="AJ295" s="203"/>
      <c r="AK295" s="203"/>
      <c r="AL295" s="203"/>
      <c r="AM295" s="203"/>
      <c r="AN295" s="192"/>
      <c r="AO295" s="192"/>
      <c r="AP295" s="192"/>
      <c r="AQ295" s="192"/>
      <c r="AR295" s="192"/>
      <c r="AS295" s="192"/>
      <c r="AT295" s="192"/>
      <c r="AU295" s="192"/>
      <c r="AV295" s="192"/>
      <c r="AW295" s="192"/>
      <c r="AX295" s="192"/>
    </row>
    <row r="296" spans="2:50" ht="15" customHeight="1" thickTop="1" thickBot="1" x14ac:dyDescent="0.35">
      <c r="B296" s="192"/>
      <c r="C296" s="192"/>
      <c r="D296" s="192"/>
      <c r="E296" s="192"/>
      <c r="F296" s="192"/>
      <c r="G296" s="192"/>
      <c r="H296" s="192"/>
      <c r="I296" s="192"/>
      <c r="J296" s="192"/>
      <c r="K296" s="192"/>
      <c r="L296" s="192"/>
      <c r="M296" s="192"/>
      <c r="N296" s="192"/>
      <c r="O296" s="268"/>
      <c r="P296" s="192"/>
      <c r="Q296" s="192"/>
      <c r="R296" s="247"/>
      <c r="S296" s="247"/>
      <c r="T296" s="247"/>
      <c r="U296" s="235"/>
      <c r="V296" s="235"/>
      <c r="W296" s="235"/>
      <c r="X296" s="235"/>
      <c r="Y296" s="235"/>
      <c r="Z296" s="235"/>
      <c r="AA296" s="261">
        <v>4</v>
      </c>
      <c r="AB296" s="233" t="str">
        <f>IF(AND(COUNTBLANK(I268:I271)=0,Group_players=4,M269=M270,M270=M271),IF(X278="","",IF(COUNTIF(X275:X278,X278)=3,"Tied",IF(AND(COUNTIF(X275:X278,X278)=1,X277&lt;&gt;X276),IF(M271=2,IF(SMALL(X275:X278,1)=X278,1,IF(SMALL(X275:X278,2)=X278,2,IF(SMALL(X275:X278,3)=X278,3))),IF(M271=1,IF(SMALL(X275:X278,1)=X278,2,IF(SMALL(X275:X278,2)=X278,3,IF(SMALL(X275:X278,3)=X278,4))),"")),IF(COUNTIF(X275:X278,X278)=1,IF(X278&lt;X276,IF(M271=2,1,2),IF(M271=2,3,4)),IF(COUNTIF(X275:X278,X278)=2,IF(X278=X276,IF(X278&lt;X277,IF(M271=2,IF(Q283=3,1,2),IF(M271=1,IF(Q283=3,2,3))),IF(X278&gt;X277,IF(M271=2,IF(Q283=3,2,3),IF(M271=1,IF(Q283=3,3,4))))),IF(X278=X277,IF(X278&lt;X276,IF(M271=2,IF(Q295=3,1,2),IF(M271=1,IF(Q295=3,2,3))),IF(X278&gt;X276,IF(M271=2,IF(Q295=3,2,3),IF(M271=1,IF(Q295=3,3,4)))))))))))),"")</f>
        <v/>
      </c>
      <c r="AC296" s="192"/>
      <c r="AD296" s="192"/>
      <c r="AE296" s="192"/>
      <c r="AF296" s="203"/>
      <c r="AG296" s="203"/>
      <c r="AH296" s="203"/>
      <c r="AI296" s="203"/>
      <c r="AJ296" s="203"/>
      <c r="AK296" s="203"/>
      <c r="AL296" s="203"/>
      <c r="AM296" s="203"/>
      <c r="AN296" s="192"/>
      <c r="AO296" s="192"/>
      <c r="AP296" s="192"/>
      <c r="AQ296" s="192"/>
      <c r="AR296" s="192"/>
      <c r="AS296" s="192"/>
      <c r="AT296" s="192"/>
      <c r="AU296" s="192"/>
      <c r="AV296" s="192"/>
      <c r="AW296" s="192"/>
      <c r="AX296" s="192"/>
    </row>
    <row r="297" spans="2:50" ht="15" customHeight="1" thickTop="1" x14ac:dyDescent="0.3">
      <c r="B297" s="192"/>
      <c r="C297" s="192"/>
      <c r="D297" s="192"/>
      <c r="E297" s="192"/>
      <c r="F297" s="192"/>
      <c r="G297" s="192"/>
      <c r="H297" s="192"/>
      <c r="I297" s="192"/>
      <c r="J297" s="192"/>
      <c r="K297" s="192"/>
      <c r="L297" s="192"/>
      <c r="M297" s="192"/>
      <c r="N297" s="192"/>
      <c r="O297" s="192"/>
      <c r="P297" s="192"/>
      <c r="Q297" s="192"/>
      <c r="R297" s="192"/>
      <c r="S297" s="192"/>
      <c r="T297" s="203"/>
      <c r="U297" s="192"/>
      <c r="V297" s="192"/>
      <c r="W297" s="192"/>
      <c r="X297" s="192"/>
      <c r="Y297" s="192"/>
      <c r="Z297" s="192"/>
      <c r="AA297" s="192"/>
      <c r="AB297" s="192"/>
      <c r="AC297" s="192"/>
      <c r="AD297" s="192"/>
      <c r="AE297" s="192"/>
      <c r="AF297" s="203"/>
      <c r="AG297" s="203"/>
      <c r="AH297" s="203"/>
      <c r="AI297" s="203"/>
      <c r="AJ297" s="203"/>
      <c r="AK297" s="203"/>
      <c r="AL297" s="203"/>
      <c r="AM297" s="203"/>
      <c r="AN297" s="192"/>
      <c r="AO297" s="192"/>
      <c r="AP297" s="192"/>
      <c r="AQ297" s="192"/>
      <c r="AR297" s="192"/>
      <c r="AS297" s="192"/>
      <c r="AT297" s="192"/>
      <c r="AU297" s="192"/>
      <c r="AV297" s="192"/>
      <c r="AW297" s="192"/>
      <c r="AX297" s="192"/>
    </row>
    <row r="298" spans="2:50" ht="15" customHeight="1" x14ac:dyDescent="0.3">
      <c r="B298" s="192"/>
      <c r="C298" s="192"/>
      <c r="D298" s="192"/>
      <c r="E298" s="192"/>
      <c r="F298" s="192"/>
      <c r="G298" s="192"/>
      <c r="H298" s="192"/>
      <c r="I298" s="192"/>
      <c r="J298" s="192"/>
      <c r="K298" s="192"/>
      <c r="L298" s="192"/>
      <c r="M298" s="192"/>
      <c r="N298" s="192"/>
      <c r="O298" s="192"/>
      <c r="P298" s="192"/>
      <c r="Q298" s="192"/>
      <c r="R298" s="192"/>
      <c r="S298" s="192"/>
      <c r="T298" s="192"/>
      <c r="U298" s="192"/>
      <c r="V298" s="192"/>
      <c r="W298" s="192"/>
      <c r="X298" s="192"/>
      <c r="Y298" s="192"/>
      <c r="Z298" s="192"/>
      <c r="AA298" s="192"/>
      <c r="AB298" s="192"/>
      <c r="AC298" s="192"/>
      <c r="AD298" s="192"/>
      <c r="AE298" s="192"/>
      <c r="AF298" s="203"/>
      <c r="AG298" s="203"/>
      <c r="AH298" s="203"/>
      <c r="AI298" s="203"/>
      <c r="AJ298" s="203"/>
      <c r="AK298" s="203"/>
      <c r="AL298" s="203"/>
      <c r="AM298" s="203"/>
      <c r="AN298" s="192"/>
      <c r="AO298" s="192"/>
      <c r="AP298" s="192"/>
      <c r="AQ298" s="192"/>
      <c r="AR298" s="192"/>
      <c r="AS298" s="192"/>
      <c r="AT298" s="192"/>
      <c r="AU298" s="192"/>
      <c r="AV298" s="192"/>
      <c r="AW298" s="192"/>
      <c r="AX298" s="192"/>
    </row>
    <row r="299" spans="2:50" ht="15" customHeight="1" x14ac:dyDescent="0.3">
      <c r="B299" s="192"/>
      <c r="C299" s="192"/>
      <c r="D299" s="192"/>
      <c r="E299" s="192"/>
      <c r="F299" s="192"/>
      <c r="G299" s="192"/>
      <c r="H299" s="192"/>
      <c r="I299" s="192"/>
      <c r="J299" s="192"/>
      <c r="K299" s="192"/>
      <c r="L299" s="192"/>
      <c r="M299" s="192"/>
      <c r="N299" s="192"/>
      <c r="O299" s="192"/>
      <c r="P299" s="192"/>
      <c r="Q299" s="192"/>
      <c r="R299" s="192"/>
      <c r="S299" s="192"/>
      <c r="T299" s="192"/>
      <c r="U299" s="192"/>
      <c r="V299" s="192"/>
      <c r="W299" s="192"/>
      <c r="X299" s="192"/>
      <c r="Y299" s="192"/>
      <c r="Z299" s="269"/>
      <c r="AA299" s="192"/>
      <c r="AB299" s="192"/>
      <c r="AC299" s="192"/>
      <c r="AD299" s="192"/>
      <c r="AE299" s="192"/>
      <c r="AF299" s="203"/>
      <c r="AG299" s="203"/>
      <c r="AH299" s="203"/>
      <c r="AI299" s="203"/>
      <c r="AJ299" s="203"/>
      <c r="AK299" s="203"/>
      <c r="AL299" s="203"/>
      <c r="AM299" s="203"/>
      <c r="AN299" s="192"/>
      <c r="AO299" s="192"/>
      <c r="AP299" s="192"/>
      <c r="AQ299" s="192"/>
      <c r="AR299" s="192"/>
      <c r="AS299" s="192"/>
      <c r="AT299" s="192"/>
      <c r="AU299" s="192"/>
      <c r="AV299" s="192"/>
      <c r="AW299" s="192"/>
      <c r="AX299" s="192"/>
    </row>
    <row r="300" spans="2:50" ht="15" customHeight="1" x14ac:dyDescent="0.3">
      <c r="B300" s="192"/>
      <c r="C300" s="192"/>
      <c r="D300" s="192"/>
      <c r="E300" s="192"/>
      <c r="F300" s="192"/>
      <c r="G300" s="192"/>
      <c r="H300" s="192"/>
      <c r="I300" s="192"/>
      <c r="J300" s="192"/>
      <c r="K300" s="192"/>
      <c r="L300" s="192"/>
      <c r="M300" s="192"/>
      <c r="N300" s="192"/>
      <c r="O300" s="192"/>
      <c r="P300" s="192"/>
      <c r="Q300" s="192"/>
      <c r="R300" s="192"/>
      <c r="S300" s="192"/>
      <c r="T300" s="192"/>
      <c r="U300" s="192"/>
      <c r="V300" s="192"/>
      <c r="W300" s="192"/>
      <c r="X300" s="192"/>
      <c r="Y300" s="192"/>
      <c r="Z300" s="192"/>
      <c r="AA300" s="192"/>
      <c r="AB300" s="192"/>
      <c r="AC300" s="192"/>
      <c r="AD300" s="192"/>
      <c r="AE300" s="192"/>
      <c r="AF300" s="203"/>
      <c r="AG300" s="203"/>
      <c r="AH300" s="203"/>
      <c r="AI300" s="203"/>
      <c r="AJ300" s="203"/>
      <c r="AK300" s="203"/>
      <c r="AL300" s="203"/>
      <c r="AM300" s="203"/>
      <c r="AN300" s="192"/>
      <c r="AO300" s="192"/>
      <c r="AP300" s="192"/>
      <c r="AQ300" s="192"/>
      <c r="AR300" s="192"/>
      <c r="AS300" s="192"/>
      <c r="AT300" s="192"/>
      <c r="AU300" s="192"/>
      <c r="AV300" s="192"/>
      <c r="AW300" s="192"/>
      <c r="AX300" s="192"/>
    </row>
    <row r="301" spans="2:50" ht="15" customHeight="1" x14ac:dyDescent="0.3">
      <c r="B301" s="192"/>
      <c r="C301" s="192"/>
      <c r="D301" s="192"/>
      <c r="E301" s="192"/>
      <c r="F301" s="192"/>
      <c r="G301" s="192"/>
      <c r="H301" s="192"/>
      <c r="I301" s="192"/>
      <c r="J301" s="192"/>
      <c r="K301" s="192"/>
      <c r="L301" s="192"/>
      <c r="M301" s="192"/>
      <c r="N301" s="192"/>
      <c r="O301" s="192"/>
      <c r="P301" s="192"/>
      <c r="Q301" s="192"/>
      <c r="R301" s="192"/>
      <c r="S301" s="192"/>
      <c r="T301" s="192"/>
      <c r="U301" s="192"/>
      <c r="V301" s="192"/>
      <c r="W301" s="192"/>
      <c r="X301" s="192"/>
      <c r="Y301" s="192"/>
      <c r="Z301" s="192"/>
      <c r="AA301" s="192"/>
      <c r="AB301" s="192"/>
      <c r="AC301" s="192"/>
      <c r="AD301" s="192"/>
      <c r="AE301" s="192"/>
      <c r="AF301" s="203"/>
      <c r="AG301" s="203"/>
      <c r="AH301" s="203"/>
      <c r="AI301" s="203"/>
      <c r="AJ301" s="203"/>
      <c r="AK301" s="203"/>
      <c r="AL301" s="203"/>
      <c r="AM301" s="203"/>
      <c r="AN301" s="192"/>
      <c r="AO301" s="192"/>
      <c r="AP301" s="192"/>
      <c r="AQ301" s="192"/>
      <c r="AR301" s="192"/>
      <c r="AS301" s="192"/>
      <c r="AT301" s="192"/>
      <c r="AU301" s="192"/>
      <c r="AV301" s="192"/>
      <c r="AW301" s="192"/>
      <c r="AX301" s="192"/>
    </row>
    <row r="302" spans="2:50" ht="15" customHeight="1" thickBot="1" x14ac:dyDescent="0.4">
      <c r="B302" s="192"/>
      <c r="C302" s="192"/>
      <c r="D302" s="192"/>
      <c r="E302" s="192"/>
      <c r="F302" s="192"/>
      <c r="G302" s="192"/>
      <c r="H302" s="192"/>
      <c r="I302" s="383" t="s">
        <v>131</v>
      </c>
      <c r="J302" s="383"/>
      <c r="K302" s="383"/>
      <c r="L302" s="383"/>
      <c r="M302" s="383"/>
      <c r="N302" s="383"/>
      <c r="O302" s="383"/>
      <c r="P302" s="383"/>
      <c r="Q302" s="383"/>
      <c r="R302" s="383"/>
      <c r="S302" s="192"/>
      <c r="T302" s="192"/>
      <c r="U302" s="370" t="s">
        <v>92</v>
      </c>
      <c r="V302" s="371"/>
      <c r="W302" s="371"/>
      <c r="X302" s="372"/>
      <c r="Y302" s="192"/>
      <c r="Z302" s="192"/>
      <c r="AA302" s="192"/>
      <c r="AB302" s="192"/>
      <c r="AC302" s="192"/>
      <c r="AD302" s="192"/>
      <c r="AE302" s="192"/>
      <c r="AF302" s="203"/>
      <c r="AG302" s="203"/>
      <c r="AH302" s="203"/>
      <c r="AI302" s="203"/>
      <c r="AJ302" s="203"/>
      <c r="AK302" s="203"/>
      <c r="AL302" s="203"/>
      <c r="AM302" s="203"/>
      <c r="AN302" s="192"/>
      <c r="AO302" s="192"/>
      <c r="AP302" s="192"/>
      <c r="AQ302" s="192"/>
      <c r="AR302" s="192"/>
      <c r="AS302" s="192"/>
      <c r="AT302" s="192"/>
      <c r="AU302" s="192"/>
      <c r="AV302" s="192"/>
      <c r="AW302" s="192"/>
      <c r="AX302" s="192"/>
    </row>
    <row r="303" spans="2:50" ht="15" customHeight="1" thickTop="1" thickBot="1" x14ac:dyDescent="0.35">
      <c r="B303" s="192"/>
      <c r="C303" s="192"/>
      <c r="D303" s="192"/>
      <c r="E303" s="192"/>
      <c r="F303" s="192"/>
      <c r="G303" s="192"/>
      <c r="H303" s="192"/>
      <c r="I303" s="400" t="s">
        <v>93</v>
      </c>
      <c r="J303" s="160"/>
      <c r="K303" s="396" t="s">
        <v>94</v>
      </c>
      <c r="L303" s="398" t="s">
        <v>95</v>
      </c>
      <c r="M303" s="390" t="s">
        <v>96</v>
      </c>
      <c r="N303" s="390" t="s">
        <v>97</v>
      </c>
      <c r="O303" s="373" t="s">
        <v>98</v>
      </c>
      <c r="P303" s="373" t="str">
        <f>IF(COUNT(U304:X315)=3,"LM/WM Ratio",IF(COUNT(U304:X315)=6,"LP/WP Ratio",""))</f>
        <v/>
      </c>
      <c r="Q303" s="390" t="s">
        <v>99</v>
      </c>
      <c r="R303" s="392" t="s">
        <v>100</v>
      </c>
      <c r="S303" s="192"/>
      <c r="T303" s="120"/>
      <c r="U303" s="121" t="s">
        <v>101</v>
      </c>
      <c r="V303" s="122" t="s">
        <v>102</v>
      </c>
      <c r="W303" s="122" t="s">
        <v>103</v>
      </c>
      <c r="X303" s="123" t="s">
        <v>104</v>
      </c>
      <c r="Y303" s="380" t="s">
        <v>105</v>
      </c>
      <c r="Z303" s="379"/>
      <c r="AA303" s="378" t="s">
        <v>106</v>
      </c>
      <c r="AB303" s="379"/>
      <c r="AC303" s="192"/>
      <c r="AD303" s="192"/>
      <c r="AE303" s="203"/>
      <c r="AF303" s="203"/>
      <c r="AG303" s="203"/>
      <c r="AH303" s="203"/>
      <c r="AI303" s="203"/>
      <c r="AJ303" s="203"/>
      <c r="AK303" s="203"/>
      <c r="AL303" s="203"/>
      <c r="AM303" s="203"/>
      <c r="AN303" s="192"/>
      <c r="AO303" s="192"/>
      <c r="AP303" s="192"/>
      <c r="AQ303" s="192"/>
      <c r="AR303" s="192"/>
      <c r="AS303" s="192"/>
      <c r="AT303" s="192"/>
      <c r="AU303" s="192"/>
      <c r="AV303" s="192"/>
      <c r="AW303" s="192"/>
      <c r="AX303" s="192"/>
    </row>
    <row r="304" spans="2:50" ht="15" customHeight="1" thickTop="1" thickBot="1" x14ac:dyDescent="0.35">
      <c r="B304" s="192"/>
      <c r="C304" s="192"/>
      <c r="D304" s="192"/>
      <c r="E304" s="192"/>
      <c r="F304" s="192"/>
      <c r="G304" s="192"/>
      <c r="H304" s="192"/>
      <c r="I304" s="401"/>
      <c r="J304" s="161"/>
      <c r="K304" s="397"/>
      <c r="L304" s="399"/>
      <c r="M304" s="391"/>
      <c r="N304" s="391"/>
      <c r="O304" s="374"/>
      <c r="P304" s="374"/>
      <c r="Q304" s="391"/>
      <c r="R304" s="393"/>
      <c r="S304" s="192"/>
      <c r="T304" s="208">
        <v>1</v>
      </c>
      <c r="U304" s="209" t="str">
        <f>IF(M305="","",IF(COUNTIF(M305:M307,M305)=3,IF(COUNTBLANK(I305:I308)=1,(Q317+Q323)/(Q316+Q322),IF(COUNTBLANK(I305:I308)=0,(Q329+Q317)/(Q328+Q316),"")),""))</f>
        <v/>
      </c>
      <c r="V304" s="125" t="str">
        <f>IF(AND(COUNTBLANK(I305:I308)=0,M305=M307,M307=M308),(Q317+Q323)/(Q316+Q322),"")</f>
        <v/>
      </c>
      <c r="W304" s="210" t="str">
        <f>IF(AND(COUNTBLANK(I305:I308)=0,M305=M306,M306=M308),(Q329+Q323)/(Q328+Q322),"")</f>
        <v/>
      </c>
      <c r="X304" s="211"/>
      <c r="Y304" s="169" t="s">
        <v>93</v>
      </c>
      <c r="Z304" s="170" t="s">
        <v>107</v>
      </c>
      <c r="AA304" s="169" t="s">
        <v>93</v>
      </c>
      <c r="AB304" s="170" t="s">
        <v>107</v>
      </c>
      <c r="AC304" s="192"/>
      <c r="AD304" s="192"/>
      <c r="AE304" s="192"/>
      <c r="AF304" s="203"/>
      <c r="AG304" s="203"/>
      <c r="AH304" s="203"/>
      <c r="AI304" s="203"/>
      <c r="AJ304" s="203"/>
      <c r="AK304" s="203"/>
      <c r="AL304" s="203"/>
      <c r="AM304" s="203"/>
      <c r="AN304" s="192"/>
      <c r="AO304" s="192"/>
      <c r="AP304" s="192"/>
      <c r="AQ304" s="192"/>
      <c r="AR304" s="192"/>
      <c r="AS304" s="192"/>
      <c r="AT304" s="192"/>
      <c r="AU304" s="192"/>
      <c r="AV304" s="192"/>
      <c r="AW304" s="192"/>
      <c r="AX304" s="192"/>
    </row>
    <row r="305" spans="2:50" ht="15" customHeight="1" thickTop="1" thickBot="1" x14ac:dyDescent="0.35">
      <c r="B305" s="192"/>
      <c r="C305" s="192"/>
      <c r="D305" s="192"/>
      <c r="E305" s="192"/>
      <c r="F305" s="192" t="str">
        <f>IF(I305="","",VLOOKUP(I305,Siembra,2,FALSE))</f>
        <v/>
      </c>
      <c r="G305" s="192" t="str">
        <f>O305</f>
        <v/>
      </c>
      <c r="H305" s="192">
        <v>1</v>
      </c>
      <c r="I305" s="128" t="str">
        <f>IF(K305="","",IF(ISNUMBER(Sorteo!$A$17),VLOOKUP(K305,Draw,2,FALSE),""))</f>
        <v/>
      </c>
      <c r="J305" s="129" t="str">
        <f>O305</f>
        <v/>
      </c>
      <c r="K305" s="130" t="str">
        <f>IF($K$9="","",IF(Group_players=4,IF(Tablas!BP$3="","",Tablas!BP$3),IF(Group_players=3,IF(Tablas!BP$11="","",Tablas!BP$11),"")))</f>
        <v/>
      </c>
      <c r="L305" s="131" t="str">
        <f>IF(K305="","",VLOOKUP(I305,Siembra,3,FALSE))</f>
        <v/>
      </c>
      <c r="M305" s="132" t="str">
        <f>IF(AND(Q316="",Q317=""),"",IF(I305="","",SUMIFS(E316:E332,I316:I332,I305)))</f>
        <v/>
      </c>
      <c r="N305" s="132" t="str">
        <f>IF(M305="","",IF(I305="","",SUMIFS(F316:F332,I316:I332,I305)))</f>
        <v/>
      </c>
      <c r="O305" s="132" t="str">
        <f>IF(M305="","",IF(COUNTBLANK(I305:I308)=1,IF(M305=2,1,IF(M305=0,3,IF(AND(M305=1,M306&lt;&gt;1),2,IF(COUNTIF(M305:M307,1)&gt;1,Z305)))),IF(COUNTBLANK(I305:I308)=0,IF(COUNTIF(M305:M308,M305)=1,IF(M305=3,1,IF(M305=2,2,IF(M305=1,3,IF(M305=0,4)))),IF(Group_players=3,Z305,IF(COUNTIF(M305:M308,M305)=2,AB305,IF(AND(M305=M306,M306=M307),AB309,IF(AND(M305=M307,M307=M308),AB312,IF(AND(M305=M306,M306=M308),AB315,"")))))),99)))</f>
        <v/>
      </c>
      <c r="P305" s="133" t="str">
        <f>IF(COUNT(U304:X315)=3,IF(ISNUMBER(U304),U304,IF(ISNUMBER(V304),V304,IF(ISNUMBER(W304),W304,IF(X304="","")))),IF(COUNT(U304:X315)=6,IF(ISNUMBER(U312),U312,IF(ISNUMBER(V312),V312,IF(ISNUMBER(W312),W312,IF(ISBLANK(X304),"")))),""))</f>
        <v/>
      </c>
      <c r="Q305" s="132" t="str">
        <f>IF(M305="","",SUMIF(I316:S332,I305,S316:S332))</f>
        <v/>
      </c>
      <c r="R305" s="134" t="str">
        <f>IF(M305="","",L305+Q305)</f>
        <v/>
      </c>
      <c r="S305" s="203"/>
      <c r="T305" s="208">
        <v>2</v>
      </c>
      <c r="U305" s="209" t="str">
        <f>IF(M306="","",IF(COUNTIF(M305:M307,M306)=3,IF(COUNTBLANK(I305:I308)=1,(Q320+Q322)/(Q319+Q323),IF(COUNTBLANK(I305:I308)=0,(Q326+Q328)/(Q325+Q329),"")),""))</f>
        <v/>
      </c>
      <c r="V305" s="135"/>
      <c r="W305" s="212" t="str">
        <f>IF(AND(COUNTBLANK(I305:I308)=0,M306=M305,M305=M308),(Q328+Q320)/(Q329+Q319),"")</f>
        <v/>
      </c>
      <c r="X305" s="213" t="str">
        <f>IF(AND(COUNTBLANK(I305:I308)=0,M306=M307,M307=M308),(Q326+Q320)/(Q325+Q319),"")</f>
        <v/>
      </c>
      <c r="Y305" s="214">
        <v>1</v>
      </c>
      <c r="Z305" s="215" t="str">
        <f>IF(U304="","",IF(OR(Group_players=3,AND(Group_players=4,COUNTBLANK(I305:I308)=1)),IF(COUNTIF(M305:M307,M305)=1,"",IF(AND(U304=U305,U305=U306),Z309,IF(AND(U304&lt;&gt;U305,U304&lt;&gt;U306,U305&lt;&gt;U306),(IF(SMALL(U304:U306,1)=U304,1,IF(SMALL(U304:U306,2)=U304,2,IF(SMALL(U304:U306,3)=U304,3)))),IF(AND(U304&lt;U305,U305=U306),1,IF(AND(U304&gt;U305,U305=U306),3,IF(AND(U304=U305,U304&lt;U306),(IF(Q322=3,1,2)),IF(AND(U304=U305,U304&gt;U306),(IF(Q322=3,2,3)),IF(AND(U304=U306,U304&lt;U305),(IF(Q316=3,1,2)),IF(AND(U304=U306,U304&gt;U305),(IF(Q316=3,2,3)),99))))))))),""))</f>
        <v/>
      </c>
      <c r="AA305" s="216">
        <v>1</v>
      </c>
      <c r="AB305" s="217" t="str">
        <f>IF(COUNTIF(M305:M308,M305)&lt;&gt;2,"",IF(COUNTIF(M305:M308,M305)=1,"",IF(AND(COUNTIF(M305:M308,M305)=2,M305=2),IF(M305=M306,IF(Q328=3,1,2),IF(M305=M307,IF(Q316=3,1,2),IF(M305=M308,IF(Q322=3,1,2)))),IF(AND(COUNTIF(M305:M308,M305)=2,M305=1),IF(M305=M306,IF(Q328=3,3,4),IF(M305=M307,IF(Q316=3,3,4),IF(M305=M308,IF(Q322=3,3,4)))),IF(COUNTIF(M305:M308,M305)=3,AB309)))))</f>
        <v/>
      </c>
      <c r="AC305" s="192"/>
      <c r="AD305" s="192"/>
      <c r="AE305" s="192"/>
      <c r="AF305" s="203"/>
      <c r="AG305" s="203"/>
      <c r="AH305" s="203"/>
      <c r="AI305" s="203"/>
      <c r="AJ305" s="203"/>
      <c r="AK305" s="203"/>
      <c r="AL305" s="203"/>
      <c r="AM305" s="203"/>
      <c r="AN305" s="192"/>
      <c r="AO305" s="192"/>
      <c r="AP305" s="192"/>
      <c r="AQ305" s="192"/>
      <c r="AR305" s="192"/>
      <c r="AS305" s="192"/>
      <c r="AT305" s="192"/>
      <c r="AU305" s="192"/>
      <c r="AV305" s="192"/>
      <c r="AW305" s="192"/>
      <c r="AX305" s="192"/>
    </row>
    <row r="306" spans="2:50" ht="15" customHeight="1" thickTop="1" thickBot="1" x14ac:dyDescent="0.35">
      <c r="B306" s="192"/>
      <c r="C306" s="192"/>
      <c r="D306" s="192"/>
      <c r="E306" s="192"/>
      <c r="F306" s="192" t="str">
        <f>IF(I306="","",VLOOKUP(I306,Siembra,2,FALSE))</f>
        <v/>
      </c>
      <c r="G306" s="192" t="str">
        <f>O306</f>
        <v/>
      </c>
      <c r="H306" s="192">
        <v>2</v>
      </c>
      <c r="I306" s="128" t="str">
        <f>IF(K306="","",IF(ISNUMBER(Sorteo!$A$17),VLOOKUP(K306,Draw,2,FALSE),""))</f>
        <v/>
      </c>
      <c r="J306" s="129" t="str">
        <f>O306</f>
        <v/>
      </c>
      <c r="K306" s="136" t="str">
        <f>IF($K$9="","",IF(Group_players=4,IF(Tablas!BP$4="","",Tablas!BP$4),IF(Group_players=3,IF(Tablas!BP$12="","",Tablas!BP$12),"")))</f>
        <v/>
      </c>
      <c r="L306" s="137" t="str">
        <f>IF(K306="","",VLOOKUP(I306,Siembra,3,FALSE))</f>
        <v/>
      </c>
      <c r="M306" s="132" t="str">
        <f>IF(AND(L316="",L317=""),"",IF(I306="","",SUMIFS(E316:E333,I316:I333,I306)))</f>
        <v/>
      </c>
      <c r="N306" s="138" t="str">
        <f>IF(M306="","",IF(I306="","",SUMIFS(F316:F332,I316:I332,I306)))</f>
        <v/>
      </c>
      <c r="O306" s="132" t="str">
        <f>IF(M306="","",IF(COUNTBLANK(I305:I308)=1,IF(M306=2,1,IF(M306=0,3,IF(AND(M306=1,M307&lt;&gt;1),2,IF(COUNTIF(M305:M308,1)&gt;1,Z306)))),IF(COUNTBLANK(I305:I308)=0,IF(COUNTIF(M305:M308,M306)=1,IF(M306=3,1,IF(M306=2,2,IF(M306=1,3,IF(M306=0,4)))),IF(Group_players=3,Z306,IF(COUNTIF(M305:M308,M306)=2,AB306,IF(AND(M306=M305,M305=M307),AB310,IF(AND(M306=M305,M305=M308),AB316,IF(AND(M306=M307,M307=M308),AB318,"")))))))))</f>
        <v/>
      </c>
      <c r="P306" s="133" t="str">
        <f>IF(COUNT(U304:X315)=3,IF(ISNUMBER(U305),U305,IF(ISNUMBER(W305),W305,IF(ISNUMBER(X305),X305,IF(X305="","")))),IF(COUNT(U304:X315)=6,IF(ISNUMBER(U313),U313,IF(ISNUMBER(W313),W313,IF(ISNUMBER(X313),X313,IF(ISBLANK(X312),"")))),""))</f>
        <v/>
      </c>
      <c r="Q306" s="138" t="str">
        <f>IF(M306="","",SUMIF(I316:S332,I306,S316:$S332))</f>
        <v/>
      </c>
      <c r="R306" s="139" t="str">
        <f>IF(M306="","",L306+Q306)</f>
        <v/>
      </c>
      <c r="S306" s="203"/>
      <c r="T306" s="208">
        <v>3</v>
      </c>
      <c r="U306" s="209" t="str">
        <f>IF(M307="","",IF(COUNTIF(M305:M307,M307)=3,IF(COUNTBLANK(I305:I308)=1,(Q316+Q319)/(Q317+Q320),IF(COUNTBLANK(I305:I308)=0,(Q316+Q325)/(Q317+Q326),"")),""))</f>
        <v/>
      </c>
      <c r="V306" s="125" t="str">
        <f>IF(AND(COUNTBLANK(I305:I308)=0,M307=M308,M308=M305),(Q316+Q332)/(Q317+Q331),"")</f>
        <v/>
      </c>
      <c r="W306" s="218"/>
      <c r="X306" s="213" t="str">
        <f>IF(AND(COUNTBLANK(I305:I308)=0,M307=M308,M308=M306),(Q325+Q332)/(Q326+Q331),"")</f>
        <v/>
      </c>
      <c r="Y306" s="219">
        <v>2</v>
      </c>
      <c r="Z306" s="220" t="str">
        <f>IF(U305="","",IF(OR(Group_players=3,AND(Group_players=4,COUNTBLANK(I305:I308)=1)),IF(COUNTIF(M305:M307,M306)=1,"",IF(AND(U305=U304,U305=U306),Z310,IF(AND(U305&lt;&gt;U304,U305&lt;&gt;U306,U304&lt;&gt;U306),(IF(SMALL(U304:U306,1)=U305,1,IF(SMALL(U304:U306,2)=U305,2,IF(SMALL(U304:U306,3)=U305,3)))),IF(AND(U305&lt;U304,U304=U306),1,IF(AND(U305&gt;U304,U304=U306),3,IF(AND(U305=U304,U305&lt;U306),(IF(Q323=3,1,2)),IF(AND(U305=U304,U305&gt;U306),(IF(Q323=3,2,3)),IF(AND(U305=U306,U305&lt;U304),(IF(Q319=3,1,2)),IF(AND(U305=U306,U305&gt;U304),(IF(Q319=3,2,3)),99))))))))),""))</f>
        <v/>
      </c>
      <c r="AA306" s="221">
        <v>2</v>
      </c>
      <c r="AB306" s="222" t="str">
        <f>IF(COUNTIF(M305:M308,M306)&lt;&gt;2,"",IF(COUNTIF(M305:M308,M306)=1,"",IF(AND(COUNTIF(M305:M308,M306)=2,M306=2),IF(M306=M305,IF(Q329=3,1,2),IF(M306=M307,IF(Q325=3,1,2),IF(M306=M308,IF(Q319=3,1,2)))),IF(AND(COUNTIF(M305:M308,M306)=2,M306=1),IF(M306=M305,IF(Q329=3,3,4),IF(M306=M307,IF(Q325=3,3,4),IF(M306=M308,IF(Q319=3,3,4)))),AB311))))</f>
        <v/>
      </c>
      <c r="AC306" s="192"/>
      <c r="AD306" s="192"/>
      <c r="AE306" s="192"/>
      <c r="AF306" s="203"/>
      <c r="AG306" s="203"/>
      <c r="AH306" s="203"/>
      <c r="AI306" s="203"/>
      <c r="AJ306" s="203"/>
      <c r="AK306" s="203"/>
      <c r="AL306" s="203"/>
      <c r="AM306" s="203"/>
      <c r="AN306" s="192"/>
      <c r="AO306" s="192"/>
      <c r="AP306" s="192"/>
      <c r="AQ306" s="192"/>
      <c r="AR306" s="192"/>
      <c r="AS306" s="192"/>
      <c r="AT306" s="192"/>
      <c r="AU306" s="192"/>
      <c r="AV306" s="192"/>
      <c r="AW306" s="192"/>
      <c r="AX306" s="192"/>
    </row>
    <row r="307" spans="2:50" ht="15" customHeight="1" thickBot="1" x14ac:dyDescent="0.35">
      <c r="B307" s="192"/>
      <c r="C307" s="192"/>
      <c r="D307" s="192"/>
      <c r="E307" s="192"/>
      <c r="F307" s="192" t="str">
        <f>IF(I307="","",VLOOKUP(I307,Siembra,2,FALSE))</f>
        <v/>
      </c>
      <c r="G307" s="192" t="str">
        <f>O307</f>
        <v/>
      </c>
      <c r="H307" s="192">
        <v>3</v>
      </c>
      <c r="I307" s="128" t="str">
        <f>IF(K307="","",IF(ISNUMBER(Sorteo!$A$17),VLOOKUP(K307,Draw,2,FALSE),""))</f>
        <v/>
      </c>
      <c r="J307" s="129" t="str">
        <f>O307</f>
        <v/>
      </c>
      <c r="K307" s="136" t="str">
        <f>IF($K$9="","",IF(Group_players=4,IF(Tablas!BP$5="","",Tablas!BP$5),IF(Group_players=3,IF(Tablas!BP$13="","",Tablas!BP$13),"")))</f>
        <v/>
      </c>
      <c r="L307" s="137" t="str">
        <f>IF(K307="","",VLOOKUP(I307,Siembra,3,FALSE))</f>
        <v/>
      </c>
      <c r="M307" s="132" t="str">
        <f>IF(AND(L317="",L316=""),"",IF(I307="","",SUMIFS(E316:E334,I316:I334,I307)))</f>
        <v/>
      </c>
      <c r="N307" s="138" t="str">
        <f>IF(M307="","",IF(I307="","",SUMIFS(F316:F332,I316:I332,I307)))</f>
        <v/>
      </c>
      <c r="O307" s="132" t="str">
        <f>IF(M307="","",IF(COUNTBLANK(I305:I308)=1,IF(M307=2,1,IF(M307=0,3,IF(AND(M307=1,M307&lt;&gt;M305),2,IF(COUNTIF(M305:M308,1)&gt;1,Z307)))),IF(COUNTBLANK(I305:I308)=0,IF(COUNTIF(M305:M308,M307)=1,IF(M307=3,1,IF(M307=2,2,IF(M307=1,3,IF(M307=0,4)))),IF(Group_players=3,Z307,IF(COUNTIF(M305:M308,M307)=2,AB307,IF(AND(M307=M305,M305=M306),AB311,IF(AND(M307=M305,M305=M308),AB313,IF(AND(M307=M306,M306=M308),AB319,"")))))))))</f>
        <v/>
      </c>
      <c r="P307" s="133" t="str">
        <f>IF(COUNT(U304:X315)=3,IF(ISNUMBER(U306),U306,IF(ISNUMBER(V306),V306,IF(ISNUMBER(X306),X306,IF(W306="","")))),IF(COUNT(U304:X315)=6,IF(ISNUMBER(U314),U314,IF(ISNUMBER(V314),V314,IF(ISNUMBER(X314),X314,""))),""))</f>
        <v/>
      </c>
      <c r="Q307" s="138" t="str">
        <f>IF(M307="","",SUMIF(I316:S332,I307,S316:S332))</f>
        <v/>
      </c>
      <c r="R307" s="139" t="str">
        <f>IF(M307="","",L307+Q307)</f>
        <v/>
      </c>
      <c r="S307" s="203"/>
      <c r="T307" s="208">
        <v>4</v>
      </c>
      <c r="U307" s="223"/>
      <c r="V307" s="140" t="str">
        <f>IF(AND(COUNTBLANK(I305:I308)=0,M308=M305,M305=M307),(Q322+Q331)/(Q323+Q332),"")</f>
        <v/>
      </c>
      <c r="W307" s="224" t="str">
        <f>IF(AND(COUNTBLANK(I305:I308)=0,M308=M305,M305=M306),(Q322+Q319)/(Q323+Q320),"")</f>
        <v/>
      </c>
      <c r="X307" s="225" t="str">
        <f>IF(AND(COUNTBLANK(I305:I308)=0,M308=M306,M306=M307),(Q319+Q331)/(Q320+Q332),"")</f>
        <v/>
      </c>
      <c r="Y307" s="226">
        <v>3</v>
      </c>
      <c r="Z307" s="227" t="str">
        <f>IF(U306="","",IF(OR(Group_players=3,AND(Group_players=4,COUNTBLANK(I305:I308)=1)),IF(COUNTIF(M305:M307,M307)=1,"",IF(AND(U306=U304,U306=U305),Z311,IF(AND(U306&lt;&gt;U305,U305&lt;&gt;U304,U306&lt;&gt;U304),(IF(SMALL(U304:U306,1)=U306,1,IF(SMALL(U304:U306,2)=U306,2,IF(SMALL(U304:U306,3)=U306,3)))),IF(AND(U306&lt;U305,U305=U304),1,IF(AND(U306&gt;U305,U305=U304),3,IF(AND(U306=U305,U306&lt;U304),(IF(Q320=3,1,2)),IF(AND(U306=U305,U306&gt;U304),(IF(Q320=3,2,3)),IF(AND(U306=U304,U306&lt;U305),(IF(Q317=3,1,2)),IF(AND(U306=U304,U306&gt;U305),(IF(Q317=3,2,3)),99))))))))),""))</f>
        <v/>
      </c>
      <c r="AA307" s="221">
        <v>3</v>
      </c>
      <c r="AB307" s="222" t="str">
        <f>IF(COUNTIF(M305:M308,M307)&lt;&gt;2,"",IF(COUNTIF(M305:M308,M307)=1,"",IF(AND(COUNTIF(M305:M308,M307)=2,M307=2),IF(M307=M305,IF(Q317=3,1,2),IF(M307=M306,IF(Q326=3,1,2),IF(M307=M308,IF(Q331=3,1,2)))),IF(AND(COUNTIF(M305:M308,M307)=2,M307=1),IF(M307=M305,IF(Q317=3,3,4),IF(M307=M306,IF(Q326=3,3,4),IF(M307=M308,IF(Q331=3,3,4)))),AB311))))</f>
        <v/>
      </c>
      <c r="AC307" s="192"/>
      <c r="AD307" s="192"/>
      <c r="AE307" s="192"/>
      <c r="AF307" s="203"/>
      <c r="AG307" s="203"/>
      <c r="AH307" s="203"/>
      <c r="AI307" s="203"/>
      <c r="AJ307" s="203"/>
      <c r="AK307" s="203"/>
      <c r="AL307" s="203"/>
      <c r="AM307" s="203"/>
      <c r="AN307" s="192"/>
      <c r="AO307" s="192"/>
      <c r="AP307" s="192"/>
      <c r="AQ307" s="192"/>
      <c r="AR307" s="192"/>
      <c r="AS307" s="192"/>
      <c r="AT307" s="192"/>
      <c r="AU307" s="192"/>
      <c r="AV307" s="192"/>
      <c r="AW307" s="192"/>
      <c r="AX307" s="192"/>
    </row>
    <row r="308" spans="2:50" ht="15" customHeight="1" thickTop="1" thickBot="1" x14ac:dyDescent="0.35">
      <c r="B308" s="192"/>
      <c r="C308" s="192"/>
      <c r="D308" s="192"/>
      <c r="E308" s="192"/>
      <c r="F308" s="192" t="str">
        <f>IF(I308="","",VLOOKUP(I308,Siembra,2,FALSE))</f>
        <v/>
      </c>
      <c r="G308" s="192" t="str">
        <f>O308</f>
        <v/>
      </c>
      <c r="H308" s="192">
        <v>4</v>
      </c>
      <c r="I308" s="141" t="str">
        <f>IF(K308="","",IF(ISNUMBER(Sorteo!$A$17),VLOOKUP(K308,Draw,2,FALSE),""))</f>
        <v/>
      </c>
      <c r="J308" s="142" t="str">
        <f>O308</f>
        <v/>
      </c>
      <c r="K308" s="143" t="str">
        <f>IF($K$9="","",IF(Group_players=4,IF(Tablas!BP6="","",Tablas!BP6),""))</f>
        <v/>
      </c>
      <c r="L308" s="144" t="str">
        <f>IF(K308="","",VLOOKUP(I308,Siembra,3,FALSE))</f>
        <v/>
      </c>
      <c r="M308" s="145" t="str">
        <f>IF(AND(Q319="",Q320=""),"",IF(I308="","",SUMIFS(E316:E335,I316:I335,I308)))</f>
        <v/>
      </c>
      <c r="N308" s="145" t="str">
        <f>IF(M308="","",IF(I308="","",SUMIFS(F316:F332,I316:I332,I308)))</f>
        <v/>
      </c>
      <c r="O308" s="145" t="str">
        <f>IF(M308="","",IF(COUNTIF(M305:M308,M308)=1,IF(M308=3,1,IF(M308=2,2,IF(M308=1,3,IF(M308=0,4)))),IF(COUNTIF(M305:M308,M308)=2,AB308,IF(AND(M308=M305,M305=M307),AB314,IF(AND(M308=M305,M305=M306),AB317,IF(AND(M308=M306,M306=M307),AB320,""))))))</f>
        <v/>
      </c>
      <c r="P308" s="146" t="str">
        <f>IF(COUNT(U304:X315)=3,IF(ISNUMBER(V307),V307,IF(ISNUMBER(W307),W307,IF(ISNUMBER(X307),X307,IF(X307="","")))),IF(COUNT(U304:X315)=6,IF(ISNUMBER(V315),V315,IF(ISNUMBER(W315),W315,IF(ISNUMBER(X315),X315,""))),""))</f>
        <v/>
      </c>
      <c r="Q308" s="145" t="str">
        <f>IF(M308="","",SUMIF(I316:S332,I308,S316:$S332))</f>
        <v/>
      </c>
      <c r="R308" s="147" t="str">
        <f>IF(M308="","",L308+Q308)</f>
        <v/>
      </c>
      <c r="S308" s="203"/>
      <c r="T308" s="192"/>
      <c r="U308" s="192"/>
      <c r="V308" s="192"/>
      <c r="W308" s="192"/>
      <c r="X308" s="192"/>
      <c r="Y308" s="230" t="s">
        <v>93</v>
      </c>
      <c r="Z308" s="231" t="s">
        <v>110</v>
      </c>
      <c r="AA308" s="232">
        <v>4</v>
      </c>
      <c r="AB308" s="233" t="str">
        <f>IF(COUNTIF(M305:M308,M308)&lt;&gt;2,"",IF(COUNTIF(M305:M308,M308)=1,"",IF(AND(COUNTIF(M305:M308,M308)=2,M308=2),IF(M308=M305,IF(Q323=3,1,2),IF(M308=M306,IF(Q320=3,1,2),IF(M308=M307,IF(Q332=3,1,2)))),IF(AND(COUNTIF(M305:M308,M308)=2,M308=1),IF(M308=M305,IF(Q323=3,3,4),IF(M308=M306,IF(Q320=3,3,4),IF(M308=M307,IF(Q332=3,3,4)))),AB314))))</f>
        <v/>
      </c>
      <c r="AC308" s="192"/>
      <c r="AD308" s="192"/>
      <c r="AE308" s="192"/>
      <c r="AF308" s="203"/>
      <c r="AG308" s="203"/>
      <c r="AH308" s="203"/>
      <c r="AI308" s="203"/>
      <c r="AJ308" s="203"/>
      <c r="AK308" s="203"/>
      <c r="AL308" s="203"/>
      <c r="AM308" s="203"/>
      <c r="AN308" s="192"/>
      <c r="AO308" s="192"/>
      <c r="AP308" s="192"/>
      <c r="AQ308" s="192"/>
      <c r="AR308" s="192"/>
      <c r="AS308" s="192"/>
      <c r="AT308" s="192"/>
      <c r="AU308" s="192"/>
      <c r="AV308" s="192"/>
      <c r="AW308" s="192"/>
      <c r="AX308" s="192"/>
    </row>
    <row r="309" spans="2:50" ht="15" customHeight="1" thickTop="1" x14ac:dyDescent="0.3">
      <c r="B309" s="192"/>
      <c r="C309" s="192"/>
      <c r="D309" s="192"/>
      <c r="E309" s="192"/>
      <c r="F309" s="192"/>
      <c r="G309" s="192"/>
      <c r="H309" s="192"/>
      <c r="I309" s="192"/>
      <c r="J309" s="192"/>
      <c r="K309" s="192"/>
      <c r="L309" s="192"/>
      <c r="M309" s="192"/>
      <c r="N309" s="192"/>
      <c r="O309" s="192"/>
      <c r="P309" s="192"/>
      <c r="Q309" s="192"/>
      <c r="R309" s="192"/>
      <c r="S309" s="192"/>
      <c r="T309" s="208"/>
      <c r="U309" s="192"/>
      <c r="V309" s="148"/>
      <c r="W309" s="148"/>
      <c r="X309" s="234"/>
      <c r="Y309" s="214">
        <v>1</v>
      </c>
      <c r="Z309" s="215" t="str">
        <f>IF(U312="","",IF(OR(Group_players=3,AND(Group_players=4,COUNTBLANK(I305:I308)=1)),IF(COUNTIF(M305:M307,M305)=1,"",IF(COUNTIF(U304:U306,U304)=3,IF(AND(U312=U313,U313=U314),"Tied",IF(AND(U312&lt;&gt;U313,U312&lt;&gt;U314,U313&lt;&gt;U314),(IF(SMALL(U312:U314,1)=U312,1,IF(SMALL(U312:U314,2)=U312,2,IF(SMALL(U312:U314,3)=U312,3)))),IF(AND(U312&lt;U313,U313=U314),1,IF(AND(U312&gt;U313,U313=U314),3,IF(AND(U312=U313,U312&lt;U314),(IF(Q322=3,1,2)),IF(AND(U312=U313,U312&gt;U314),(IF(Q322=3,2,3)),IF(AND(U312=U314,U312&lt;U313),(IF(Q316=3,1,2)),IF(AND(U312=U314,U312&gt;U313),(IF(Q316=3,2,3)),99)))))))),"")),""))</f>
        <v/>
      </c>
      <c r="AA309" s="208">
        <v>1</v>
      </c>
      <c r="AB309" s="222" t="str">
        <f>IF(AND(COUNTBLANK(I305:I308)=0,Group_players=4,M305=M306,M306=M307),IF(COUNTIF(U304:U307,U304)=3,AB322,IF(AND(COUNTIF(U304:U307,U304)=1,U305&lt;&gt;U306),IF(M305=2,IF(SMALL(U304:U307,1)=U304,1,IF(SMALL(U304:U307,2)=U304,2,IF(SMALL(U304:U307,3)=U304,3))),IF(M305=1,IF(SMALL(U304:U307,1)=U304,2,IF(SMALL(U304:U307,2)=U304,3,IF(SMALL(U304:U307,3)=U304,4))),"")),IF(COUNTIF(U304:U307,U304)=1,IF(U304&lt;U305,IF(M305=2,1,2),IF(M305=2,3,4)),IF(COUNTIF(U304:U307,U304)=2,IF(U304=U305,IF(U304&lt;U306,IF(M305=2,IF(Q328=3,1,2),IF(M305=1,IF(Q328=3,2,3))),IF(U304&gt;U306,IF(M305=2,IF(Q328=3,2,3),IF(M305=1,IF(Q328=3,3,4))))),IF(U304=U306,IF(U304&lt;U305,IF(M305=2,IF(Q316=3,1,2),IF(M305=1,IF(Q316=3,2,3))),IF(U304&gt;U305,IF(M305=2,IF(Q316=3,2,3),IF(M305=1,IF(Q316=3,3,4))))))),"")))),"")</f>
        <v/>
      </c>
      <c r="AC309" s="192"/>
      <c r="AD309" s="192"/>
      <c r="AE309" s="269"/>
      <c r="AF309" s="203"/>
      <c r="AG309" s="203"/>
      <c r="AH309" s="203"/>
      <c r="AI309" s="203"/>
      <c r="AJ309" s="203"/>
      <c r="AK309" s="203"/>
      <c r="AL309" s="203"/>
      <c r="AM309" s="203"/>
      <c r="AN309" s="192"/>
      <c r="AO309" s="192"/>
      <c r="AP309" s="192"/>
      <c r="AQ309" s="192"/>
      <c r="AR309" s="192"/>
      <c r="AS309" s="192"/>
      <c r="AT309" s="192"/>
      <c r="AU309" s="192"/>
      <c r="AV309" s="192"/>
      <c r="AW309" s="192"/>
      <c r="AX309" s="192"/>
    </row>
    <row r="310" spans="2:50" ht="15" customHeight="1" thickBot="1" x14ac:dyDescent="0.35">
      <c r="B310" s="192"/>
      <c r="C310" s="192"/>
      <c r="D310" s="192"/>
      <c r="E310" s="192"/>
      <c r="F310" s="192"/>
      <c r="G310" s="192"/>
      <c r="H310" s="192"/>
      <c r="I310" s="269"/>
      <c r="J310" s="269"/>
      <c r="K310" s="192"/>
      <c r="L310" s="192"/>
      <c r="M310" s="192"/>
      <c r="N310" s="192"/>
      <c r="O310" s="192"/>
      <c r="P310" s="192"/>
      <c r="Q310" s="192"/>
      <c r="R310" s="192"/>
      <c r="S310" s="192"/>
      <c r="T310" s="208"/>
      <c r="U310" s="368" t="s">
        <v>111</v>
      </c>
      <c r="V310" s="369"/>
      <c r="W310" s="369"/>
      <c r="X310" s="369"/>
      <c r="Y310" s="236">
        <v>2</v>
      </c>
      <c r="Z310" s="220" t="str">
        <f>IF(U305="","",IF(OR(Group_players=3,AND(Group_players=4,COUNTBLANK(I305:I308)=1)),IF(COUNTIF(M305:M307,M306)=1,"",IF(COUNTIF(U304:U306,U305)=3,IF(AND(U313=U312,U313=U314),"Tied",IF(AND(U313&lt;&gt;U312,U313&lt;&gt;U314,U312&lt;&gt;U314),(IF(SMALL(U312:U314,1)=U313,1,IF(SMALL(U312:U314,2)=U313,2,IF(SMALL(U312:U314,3)=U313,3)))),IF(AND(U313&lt;U312,U312=U314),1,IF(AND(U313&gt;U312,U312=U314),3,IF(AND(U313=U312,U313&lt;U314),(IF(Q323=3,1,2)),IF(AND(U313=U312,U313&gt;U314),(IF(Q323=3,2,3)),IF(AND(U313=U314,U313&lt;U312),(IF(Q319=3,1,2)),IF(AND(U313=U314,U313&gt;U312),(IF(Q319=3,2,3)),99)))))))),"")),""))</f>
        <v/>
      </c>
      <c r="AA310" s="208">
        <v>2</v>
      </c>
      <c r="AB310" s="222" t="str">
        <f>IF(AND(COUNTBLANK(I305:I308)=0,Group_players=4,M305=M306,M306=M307),IF(COUNTIF(U304:U307,U305)=3,AB323,IF(AND(COUNTIF(U304:U307,U305)=1,U304&lt;&gt;U306),IF(M306=2,IF(SMALL(U304:U307,1)=U305,1,IF(SMALL(U304:U307,2)=U305,2,IF(SMALL(U304:U307,3)=U305,3))),IF(M306=1,IF(SMALL(U304:U307,1)=U305,2,IF(SMALL(U304:U307,2)=U305,3,IF(SMALL(U304:U307,3)=U305,4))),"")),IF(COUNTIF(U304:U306,U305)=1,IF(U305&lt;U304,IF(M306=2,1,2),IF(M306=2,3,99)),IF(COUNTIF(U304:U307,U305)=2,IF(U305=U304,IF(U305&lt;U306,IF(M306=2,IF(Q329=3,1,2),IF(M306=1,IF(Q329=3,2,3))),IF(U305&gt;U306,IF(M306=2,IF(Q329=3,2,3),IF(M306=1,IF(Q329=3,3,4))))),IF(U305=U306,IF(U305&lt;U304,IF(M306=2,IF(Q325=3,1,2),IF(M306=1,IF(Q325=3,2,3))),IF(U305&gt;U304,IF(M306=2,IF(Q325=3,2,3),IF(M306=1,IF(Q325=3,3,4))))))),"")))),"")</f>
        <v/>
      </c>
      <c r="AC310" s="192"/>
      <c r="AD310" s="192"/>
      <c r="AE310" s="192"/>
      <c r="AF310" s="203"/>
      <c r="AG310" s="203"/>
      <c r="AH310" s="203"/>
      <c r="AI310" s="203"/>
      <c r="AJ310" s="203"/>
      <c r="AK310" s="203"/>
      <c r="AL310" s="203"/>
      <c r="AM310" s="203"/>
      <c r="AN310" s="192"/>
      <c r="AO310" s="192"/>
      <c r="AP310" s="192"/>
      <c r="AQ310" s="192"/>
      <c r="AR310" s="192"/>
      <c r="AS310" s="192"/>
      <c r="AT310" s="192"/>
      <c r="AU310" s="192"/>
      <c r="AV310" s="192"/>
      <c r="AW310" s="192"/>
      <c r="AX310" s="192"/>
    </row>
    <row r="311" spans="2:50" ht="15" customHeight="1" thickTop="1" thickBot="1" x14ac:dyDescent="0.35">
      <c r="B311" s="192"/>
      <c r="C311" s="192"/>
      <c r="D311" s="192"/>
      <c r="E311" s="192"/>
      <c r="F311" s="192"/>
      <c r="G311" s="192"/>
      <c r="H311" s="192"/>
      <c r="I311" s="192"/>
      <c r="J311" s="192"/>
      <c r="K311" s="192"/>
      <c r="L311" s="192"/>
      <c r="M311" s="192"/>
      <c r="N311" s="192"/>
      <c r="O311" s="192"/>
      <c r="P311" s="192"/>
      <c r="Q311" s="192"/>
      <c r="R311" s="192"/>
      <c r="S311" s="192"/>
      <c r="T311" s="120"/>
      <c r="U311" s="121" t="s">
        <v>101</v>
      </c>
      <c r="V311" s="122" t="s">
        <v>102</v>
      </c>
      <c r="W311" s="122" t="s">
        <v>103</v>
      </c>
      <c r="X311" s="123" t="s">
        <v>104</v>
      </c>
      <c r="Y311" s="238">
        <v>3</v>
      </c>
      <c r="Z311" s="239" t="str">
        <f>IF(U306="","",IF(OR(Group_players=3,AND(Group_players=4,COUNTBLANK(I305:I308)=1)),IF(COUNTIF(M305:M307,M307)=1,"",IF(COUNTIF(U304:U306,U306)=3,IF(AND(U314=U312,U314=U313),"Tied",IF(AND(U314&lt;&gt;U313,U313&lt;&gt;U312,U314&lt;&gt;U312),(IF(SMALL(U312:U314,1)=U314,1,IF(SMALL(U312:U314,2)=U314,2,IF(SMALL(U312:U314,3)=U314,3)))),IF(AND(U314&lt;U313,U313=U312),1,IF(AND(U314&gt;U313,U313=U312),3,IF(AND(U314=U313,U314&lt;U312),(IF(Q320=3,1,2)),IF(AND(U314=U313,U314&gt;U312),(IF(Q320=3,2,3)),IF(AND(U314=U312,U314&lt;U313),(IF(Q317=3,1,2)),IF(AND(U314=U312,U314&gt;U313),(IF(Q317=3,2,3)),99)))))))),"")),""))</f>
        <v/>
      </c>
      <c r="AA311" s="240">
        <v>3</v>
      </c>
      <c r="AB311" s="241" t="str">
        <f>IF(AND(COUNTBLANK(I305:I308)=0,Group_players=4,M305=M306,M306=M307),IF(COUNTIF(U304:U307,U306)=3,AB324,IF(AND(COUNTIF(U304:U307,U306)=1,U304&lt;&gt;U305),IF(M305=2,IF(SMALL(U304:U307,1)=U306,1,IF(SMALL(U304:U307,2)=U306,2,IF(SMALL(U304:U307,3)=U306,3))),IF(M307=1,IF(SMALL(U304:U307,1)=U306,2,IF(SMALL(U304:U307,2)=U306,3,IF(SMALL(U304:U307,3)=U306,4))),"")),IF(COUNTIF(U304:U307,U306)=1,IF(U306&lt;U305,IF(M307=2,1,2),IF(M307=2,3,4)),IF(COUNTIF(U304:U307,U306)=2,IF(U306=U305,IF(U306&lt;U304,IF(M307=2,IF(Q326=3,1,2),IF(M307=1,IF(Q326=3,2,3))),IF(U306&gt;U304,IF(M307=2,IF(Q326=3,2,3),IF(M307=1,IF(Q326=3,3,4))))),IF(U306=U304,IF(U306&lt;U305,IF(M307=2,IF(Q317=3,1,2),IF(M307=1,IF(Q317=3,2,3))),IF(U306&gt;U305,IF(M307=2,IF(Q317=3,2,3),IF(M307=1,IF(Q317=3,3,4))))))),"")))),"")</f>
        <v/>
      </c>
      <c r="AC311" s="192"/>
      <c r="AD311" s="192"/>
      <c r="AE311" s="192"/>
      <c r="AF311" s="203"/>
      <c r="AG311" s="203"/>
      <c r="AH311" s="203"/>
      <c r="AI311" s="203"/>
      <c r="AJ311" s="203"/>
      <c r="AK311" s="203"/>
      <c r="AL311" s="203"/>
      <c r="AM311" s="203"/>
      <c r="AN311" s="192"/>
      <c r="AO311" s="192"/>
      <c r="AP311" s="192"/>
      <c r="AQ311" s="192"/>
      <c r="AR311" s="192"/>
      <c r="AS311" s="192"/>
      <c r="AT311" s="192"/>
      <c r="AU311" s="192"/>
      <c r="AV311" s="192"/>
      <c r="AW311" s="192"/>
      <c r="AX311" s="192"/>
    </row>
    <row r="312" spans="2:50" ht="15" customHeight="1" thickTop="1" thickBot="1" x14ac:dyDescent="0.35">
      <c r="B312" s="192"/>
      <c r="C312" s="192"/>
      <c r="D312" s="192"/>
      <c r="E312" s="192"/>
      <c r="F312" s="192"/>
      <c r="G312" s="192"/>
      <c r="H312" s="192"/>
      <c r="I312" s="192"/>
      <c r="J312" s="192"/>
      <c r="K312" s="192"/>
      <c r="L312" s="192"/>
      <c r="M312" s="192"/>
      <c r="N312" s="192"/>
      <c r="O312" s="192"/>
      <c r="P312" s="192"/>
      <c r="Q312" s="192"/>
      <c r="R312" s="192"/>
      <c r="S312" s="192"/>
      <c r="T312" s="208">
        <v>1</v>
      </c>
      <c r="U312" s="209" t="str">
        <f>IF(U304="","",IF(OR(U304&lt;&gt;U305,U304&lt;&gt;U306),"",IF(COUNTIF(M305:M307,M305)=1,"",IF(COUNTBLANK(I305:I308)=1,(SUM(L317:P317)+SUM(L323:P323))/(SUM(L316:P316)+SUM(L322:P322)),IF(COUNTBLANK(I305:I308)=0,(SUM(L329:P329)+SUM(L317:P317))/(SUM(L328:P328)+SUM(L316:P316)),"")))))</f>
        <v/>
      </c>
      <c r="V312" s="125" t="str">
        <f>IF(V304="","",IF(OR(V304&lt;&gt;V306,V304&lt;&gt;V307),"",IF(AND(COUNTBLANK(I305:I308)=0,M305=M307,M307=M308),(SUM(L317:P317)+SUM(L323:P323))/(SUM(L316:P316)+SUM(L322:P322)),"")))</f>
        <v/>
      </c>
      <c r="W312" s="210" t="str">
        <f>IF(W304="","",IF(OR(W304&lt;&gt;W305,W304&lt;&gt;W307),"",IF(AND(COUNTBLANK(I305:I308)=0,M305=M306,M306=M308),(SUM(L329:P329)+SUM(L323:P323))/(SUM(L328:P328)+SUM(L322:P322)),"")))</f>
        <v/>
      </c>
      <c r="X312" s="211"/>
      <c r="Y312" s="242"/>
      <c r="Z312" s="242"/>
      <c r="AA312" s="243">
        <v>1</v>
      </c>
      <c r="AB312" s="244" t="str">
        <f>IF(AND(COUNTBLANK(I305:I308)=0,Group_players=4,M305=M307,M307=M308),IF(COUNTIF(V304:V307,V304)=3,AB325,IF(AND(COUNTIF(V304:V307,V304)=1,V306&lt;&gt;U315),IF(M305=2,IF(SMALL(V304:V307,1)=V304,1,IF(SMALL(V304:V307,2)=V304,2,IF(SMALL(V304:V307,3)=V304,3))),IF(M305=1,IF(SMALL(V304:V307,1)=V304,2,IF(SMALL(V304:V307,2)=V304,3,IF(SMALL(V304:V307,3)=V304,4))),"")),IF(COUNTIF(V304:V307,V304)=1,IF(V304&lt;V306,IF(M305=2,1,2),IF(M305=2,3,4)),IF(COUNTIF(V304:V307,V304)=2,IF(V304=V306,IF(V304&lt;V307,IF(M305=2,IF(Q316=3,1,2),IF(M305=1,IF(Q316=3,2,3))),IF(V304&gt;V307,IF(M305=2,IF(Q316=3,2,3),IF(M305=1,IF(Q316=3,3,4))))),IF(V304=V307,IF(V304&lt;V306,IF(M305=2,IF(Q322=3,1,2),IF(M305=1,IF(Q322=3,2,3))),IF(V304&gt;V305,IF(M305=2,IF(Q322=3,2,3),IF(M305=1,IF(Q322=3,3,4))))))),"")))),"")</f>
        <v/>
      </c>
      <c r="AC312" s="192"/>
      <c r="AD312" s="192"/>
      <c r="AE312" s="192"/>
      <c r="AF312" s="203"/>
      <c r="AG312" s="203"/>
      <c r="AH312" s="203"/>
      <c r="AI312" s="203"/>
      <c r="AJ312" s="203"/>
      <c r="AK312" s="203"/>
      <c r="AL312" s="203"/>
      <c r="AM312" s="203"/>
      <c r="AN312" s="192"/>
      <c r="AO312" s="192"/>
      <c r="AP312" s="192"/>
      <c r="AQ312" s="192"/>
      <c r="AR312" s="192"/>
      <c r="AS312" s="192"/>
      <c r="AT312" s="192"/>
      <c r="AU312" s="192"/>
      <c r="AV312" s="192"/>
      <c r="AW312" s="192"/>
      <c r="AX312" s="192"/>
    </row>
    <row r="313" spans="2:50" ht="15" customHeight="1" thickTop="1" thickBot="1" x14ac:dyDescent="0.35">
      <c r="B313" s="192"/>
      <c r="C313" s="192"/>
      <c r="D313" s="192"/>
      <c r="E313" s="117"/>
      <c r="F313" s="117"/>
      <c r="G313" s="117"/>
      <c r="H313" s="192"/>
      <c r="I313" s="192"/>
      <c r="J313" s="192"/>
      <c r="K313" s="192"/>
      <c r="L313" s="192"/>
      <c r="M313" s="192"/>
      <c r="N313" s="192"/>
      <c r="O313" s="192"/>
      <c r="P313" s="192"/>
      <c r="Q313" s="192"/>
      <c r="R313" s="192"/>
      <c r="S313" s="394" t="s">
        <v>112</v>
      </c>
      <c r="T313" s="208">
        <v>2</v>
      </c>
      <c r="U313" s="209" t="str">
        <f>IF(U304="","",IF(OR(U305&lt;&gt;U304,U305&lt;&gt;U306),"",IF(COUNTIF(M305:M307,M306)=1,"",IF(COUNTBLANK(I305:I308)=1,(SUM(L320:P320)+SUM(L322:P322))/(SUM(L319:P319)+SUM(L323:P323)),IF(COUNTBLANK(I305:I308)=0,(SUM(L328:P328)+SUM(L326:P326))/(SUM(L329:P329)+SUM(L325:P325)))))))</f>
        <v/>
      </c>
      <c r="V313" s="135"/>
      <c r="W313" s="212" t="str">
        <f>IF(W304="","",IF(OR(W305&lt;&gt;W304,W305&lt;&gt;W307),"",IF(AND(COUNTBLANK(I305:I308)=0,M305=M306,M306=M308),(SUM(L320:P320)+SUM(L328:P328))/(SUM(L329:P329)+SUM(L319:P319)),"")))</f>
        <v/>
      </c>
      <c r="X313" s="245" t="str">
        <f>IF(X305="","",IF(OR(X305&lt;&gt;X306,X305&lt;&gt;X307),"",IF(AND(COUNTBLANK(I305:I308)=0,M306=M307,M307=M308),(SUM(L326:P326)+SUM(L320:P320))/(SUM(L325:P325)+SUM(L319:P319)),"")))</f>
        <v/>
      </c>
      <c r="Y313" s="242"/>
      <c r="Z313" s="203"/>
      <c r="AA313" s="246">
        <v>3</v>
      </c>
      <c r="AB313" s="222" t="str">
        <f>IF(AND(COUNTBLANK(I305:I308)=0,Group_players=4,M305=M307,M307=M308),IF(COUNTIF(V304:V307,V306)=3,AB326,IF(AND(COUNTIF(V304:V307,V306)=1,V304&lt;&gt;V307),IF(M307=2,IF(SMALL(V304:V307,1)=V306,1,IF(SMALL(V304:V307,2)=V306,2,IF(SMALL(V304:V307,3)=V306,3))),IF(M307=1,IF(SMALL(V304:V307,1)=V306,2,IF(SMALL(V304:V307,2)=V306,3,IF(SMALL(V304:V307,3)=V306,4))),"")),IF(COUNTIF(V304:V307,V306)=1,IF(V306&lt;V304,IF(M307=2,1,2),IF(M307=2,3,4)),IF(COUNTIF(V304:V307,V306)=2,IF(V306=V304,IF(V306&lt;V307,IF(M307=2,IF(Q317=3,1,2),IF(M307=1,IF(Q317=3,2,3))),IF(V306&gt;V307,IF(M307=2,IF(Q317=3,2,3),IF(M307=1,IF(Q317=3,3,4))))),IF(V306=V307,IF(V306&lt;V304,IF(M307=2,IF(Q331=3,1,2),IF(M307=1,IF(Q331=3,2,3))),IF(V306&gt;V304,IF(M307=2,IF(Q331=3,2,3),IF(M307=1,IF(Q331=3,3,4))))))),"")))),"")</f>
        <v/>
      </c>
      <c r="AC313" s="192"/>
      <c r="AD313" s="192"/>
      <c r="AE313" s="192"/>
      <c r="AF313" s="203"/>
      <c r="AG313" s="203"/>
      <c r="AH313" s="203"/>
      <c r="AI313" s="203"/>
      <c r="AJ313" s="203"/>
      <c r="AK313" s="203"/>
      <c r="AL313" s="203"/>
      <c r="AM313" s="203"/>
      <c r="AN313" s="192"/>
      <c r="AO313" s="192"/>
      <c r="AP313" s="192"/>
      <c r="AQ313" s="192"/>
      <c r="AR313" s="192"/>
      <c r="AS313" s="192"/>
      <c r="AT313" s="192"/>
      <c r="AU313" s="192"/>
      <c r="AV313" s="192"/>
      <c r="AW313" s="192"/>
      <c r="AX313" s="192"/>
    </row>
    <row r="314" spans="2:50" ht="15" customHeight="1" thickTop="1" thickBot="1" x14ac:dyDescent="0.35">
      <c r="B314" s="192"/>
      <c r="C314" s="192"/>
      <c r="D314" s="192"/>
      <c r="E314" s="117"/>
      <c r="F314" s="117"/>
      <c r="G314" s="117"/>
      <c r="H314" s="192"/>
      <c r="I314" s="192"/>
      <c r="J314" s="192"/>
      <c r="K314" s="192"/>
      <c r="L314" s="192"/>
      <c r="M314" s="192"/>
      <c r="N314" s="192"/>
      <c r="O314" s="192"/>
      <c r="P314" s="192"/>
      <c r="Q314" s="192"/>
      <c r="R314" s="247"/>
      <c r="S314" s="395"/>
      <c r="T314" s="208">
        <v>3</v>
      </c>
      <c r="U314" s="209" t="str">
        <f>IF(U304="","",IF(OR(U306&lt;&gt;U304,U306&lt;&gt;U305),"",IF(COUNTIF(M305:M307,M307)=1,"",IF(COUNTBLANK(I305:I308)=1,(SUM(L316:P316)+SUM(L319:P319))/(SUM(L317:P317)+SUM(L320:P320)),IF(COUNTBLANK(I305:I308)=0,(SUM(L316:P316)+SUM(L325:P325))/(SUM(L317:P317)+SUM(L326:P326)))))))</f>
        <v/>
      </c>
      <c r="V314" s="125" t="str">
        <f>IF(V304="","",IF(OR(V306&lt;&gt;V304,V306&lt;&gt;V307),"",IF(AND(COUNTBLANK(I305:I308)=0,M305=M307,M307=M308),(SUM(L316:P316)+SUM(L332:P332))/(SUM(L317:P317)+SUM(L331:P331)),"")))</f>
        <v/>
      </c>
      <c r="W314" s="218"/>
      <c r="X314" s="245" t="str">
        <f>IF(X305="","",IF(OR(X306&lt;&gt;X305,X306&lt;&gt;X307),"",IF(AND(COUNTBLANK(I305:I308)=0,M306=M307,M307=M308),(SUM(L325:P325)+SUM(L332:P332))/(SUM(L326:P326)+SUM(L331:P331)),"")))</f>
        <v/>
      </c>
      <c r="Y314" s="208"/>
      <c r="Z314" s="203"/>
      <c r="AA314" s="240">
        <v>4</v>
      </c>
      <c r="AB314" s="222" t="str">
        <f>IF(AND(COUNTBLANK(I305:I308)=0,Group_players=4,M305=M307,M307=M308),IF(COUNTIF(V304:V307,V307)=3,AB327,IF(AND(COUNTIF(V304:V307,V307)=1,V306&lt;&gt;V304),IF(M308=2,IF(SMALL(V304:V307,1)=V307,1,IF(SMALL(V304:V307,2)=V307,2,IF(SMALL(V304:V307,3)=V307,3))),IF(M308=1,IF(SMALL(V304:V307,1)=V307,2,IF(SMALL(V304:V307,2)=V307,3,IF(SMALL(V304:V307,3)=V307,4))),"")),IF(COUNTIF(V304:V307,V307)=1,IF(V307&lt;V304,IF(M308=2,1,2),IF(M308=2,3,4)),IF(COUNTIF(V304:V307,V307)=2,IF(V307=V304,IF(V307&lt;V306,IF(M308=2,IF(Q323=3,1,2),IF(M308=1,IF(Q323=3,2,3))),IF(V307&gt;V306,IF(M308=2,IF(Q323=3,2,3),IF(M308=1,IF(Q323=3,3,4))))),IF(V307=V306,IF(V307&lt;V304,IF(M308=2,IF(Q332=3,1,2),IF(M308=1,IF(Q332=3,2,3))),IF(V307&gt;V304,IF(M308=2,IF(Q332=3,2,3),IF(M308=1,IF(Q332=3,3,4))))))),"")))),"")</f>
        <v/>
      </c>
      <c r="AC314" s="192"/>
      <c r="AD314" s="192"/>
      <c r="AE314" s="192"/>
      <c r="AF314" s="203"/>
      <c r="AG314" s="203"/>
      <c r="AH314" s="203"/>
      <c r="AI314" s="203"/>
      <c r="AJ314" s="203"/>
      <c r="AK314" s="203"/>
      <c r="AL314" s="203"/>
      <c r="AM314" s="203"/>
      <c r="AN314" s="192"/>
      <c r="AO314" s="192"/>
      <c r="AP314" s="192"/>
      <c r="AQ314" s="192"/>
      <c r="AR314" s="192"/>
      <c r="AS314" s="192"/>
      <c r="AT314" s="192"/>
      <c r="AU314" s="192"/>
      <c r="AV314" s="192"/>
      <c r="AW314" s="192"/>
      <c r="AX314" s="192"/>
    </row>
    <row r="315" spans="2:50" ht="15" customHeight="1" thickTop="1" thickBot="1" x14ac:dyDescent="0.35">
      <c r="B315" s="192"/>
      <c r="C315" s="192"/>
      <c r="D315" s="192"/>
      <c r="E315" s="168" t="s">
        <v>113</v>
      </c>
      <c r="F315" s="168" t="s">
        <v>114</v>
      </c>
      <c r="G315" s="117"/>
      <c r="H315" s="192"/>
      <c r="I315" s="249" t="s">
        <v>115</v>
      </c>
      <c r="J315" s="249"/>
      <c r="K315" s="249"/>
      <c r="L315" s="250" t="s">
        <v>115</v>
      </c>
      <c r="M315" s="250" t="s">
        <v>116</v>
      </c>
      <c r="N315" s="250" t="s">
        <v>117</v>
      </c>
      <c r="O315" s="250" t="s">
        <v>118</v>
      </c>
      <c r="P315" s="250" t="s">
        <v>119</v>
      </c>
      <c r="Q315" s="250" t="s">
        <v>120</v>
      </c>
      <c r="R315" s="250"/>
      <c r="S315" s="251"/>
      <c r="T315" s="208">
        <v>4</v>
      </c>
      <c r="U315" s="223"/>
      <c r="V315" s="140" t="str">
        <f>IF(V304="","",IF(OR(V307&lt;&gt;V304,V307&lt;&gt;V306),"",IF(AND(COUNTBLANK(I305:I308)=0,M305=M307,M307=M308),(SUM(L322:P322)+SUM(L331:P331))/(SUM(L323:P323)+SUM(L332:P332)),"")))</f>
        <v/>
      </c>
      <c r="W315" s="224" t="str">
        <f>IF(W304="","",IF(OR(W307&lt;&gt;W304,W307&lt;&gt;W305),"",IF(AND(COUNTBLANK(I305:I308)=0,M305=M306,M306=M308),(SUM(L322:P322)+SUM(L319:P319))/(SUM(L323:P323)+SUM(L320:P320)),"")))</f>
        <v/>
      </c>
      <c r="X315" s="252" t="str">
        <f>IF(X305="","",IF(OR(X307&lt;&gt;X305,X307&lt;&gt;X306),"",IF(AND(COUNTBLANK(I305:I308)=0,M306=M307,M307=M308),(SUM(L319:P319)+SUM(L331:P331))/(SUM(L320:P320)+SUM(L332:P332)),"")))</f>
        <v/>
      </c>
      <c r="Y315" s="192"/>
      <c r="Z315" s="203"/>
      <c r="AA315" s="243">
        <v>1</v>
      </c>
      <c r="AB315" s="151" t="str">
        <f>IF(AND(COUNTBLANK(I305:I308)=0,Group_players=4,M305=M306,M306=M308),IF(COUNTIF(W304:W307,W304)=3,AB328,IF(AND(COUNTIF(W304:W307,W304)=1,W305&lt;&gt;W307),IF(M305=2,IF(SMALL(W304:W307,1)=W304,1,IF(SMALL(W304:W307,2)=W304,2,IF(SMALL(W304:W307,3)=W304,3))),IF(M305=1,IF(SMALL(W304:W307,1)=W304,2,IF(SMALL(W304:W307,2)=W304,3,IF(SMALL(W304:W307,3)=W304,4))),"")),IF(COUNTIF(W304:W307,W304)=1,IF(W304&lt;W305,IF(M305=2,1,2),IF(M305=2,3,4)),IF(COUNTIF(W304:W307,W304)=2,IF(W304=W305,IF(W304&lt;W307,IF(M305=2,IF(Q328=3,1,2),IF(M305=1,IF(Q328=3,2,3))),IF(W304&gt;W307,IF(M305=2,IF(Q328=3,2,3),IF(M305=1,IF(Q328=3,3,4))))),IF(W304=W307,IF(W304&lt;W305,IF(M305=2,IF(Q322=3,1,2),IF(M305=1,IF(Q322=3,2,3))),IF(W304&gt;W305,IF(M305=2,IF(Q322=3,2,3),IF(M305=1,IF(Q322=3,3,4))))))),"")))),"")</f>
        <v/>
      </c>
      <c r="AC315" s="192"/>
      <c r="AD315" s="192"/>
      <c r="AE315" s="192"/>
      <c r="AF315" s="203"/>
      <c r="AG315" s="203"/>
      <c r="AH315" s="203"/>
      <c r="AI315" s="203"/>
      <c r="AJ315" s="203"/>
      <c r="AK315" s="203"/>
      <c r="AL315" s="203"/>
      <c r="AM315" s="203"/>
      <c r="AN315" s="192"/>
      <c r="AO315" s="192"/>
      <c r="AP315" s="192"/>
      <c r="AQ315" s="192"/>
      <c r="AR315" s="192"/>
      <c r="AS315" s="192"/>
      <c r="AT315" s="192"/>
      <c r="AU315" s="192"/>
      <c r="AV315" s="192"/>
      <c r="AW315" s="192"/>
      <c r="AX315" s="192"/>
    </row>
    <row r="316" spans="2:50" ht="15" customHeight="1" thickTop="1" x14ac:dyDescent="0.3">
      <c r="B316" s="192"/>
      <c r="C316" s="192"/>
      <c r="D316" s="192"/>
      <c r="E316" s="164" t="str">
        <f>IF(Q316="","",IF(Q316=3,1,0))</f>
        <v/>
      </c>
      <c r="F316" s="164" t="str">
        <f>IF(Q316="","",IF(Q316&lt;3,1,0))</f>
        <v/>
      </c>
      <c r="G316" s="192"/>
      <c r="H316" s="192" t="str">
        <f>IF(I305="","",1)</f>
        <v/>
      </c>
      <c r="I316" s="192" t="str">
        <f>IF(ISNUMBER(H316),VLOOKUP(H316,H305:I308,2,TRUE),"")</f>
        <v/>
      </c>
      <c r="J316" s="192"/>
      <c r="K316" s="192" t="str">
        <f>VLOOKUP(I316,I305:L308,3,FALSE)</f>
        <v/>
      </c>
      <c r="L316" s="253"/>
      <c r="M316" s="254"/>
      <c r="N316" s="254"/>
      <c r="O316" s="152"/>
      <c r="P316" s="153"/>
      <c r="Q316" s="255" t="str">
        <f>IF(L316="","",IF(AND(L316-L317&gt;1,L316&gt;10),1,0)+IF(AND(M316-M317&gt;1,M316&gt;10),1,0)+IF(AND(N316-N317&gt;1,N316&gt;10),1,0)+IF(AND(O316-O317&gt;1,O316&gt;10),1,0)+IF(AND(P316-P317&gt;1,P316&gt;10),1,0))</f>
        <v/>
      </c>
      <c r="R316" s="203" t="str">
        <f>IF(AND(I316="",I317=""),"",ABS(VLOOKUP(I316,I305:L308,4,FALSE)-VLOOKUP(I317,I305:L308,4,FALSE)))</f>
        <v/>
      </c>
      <c r="S316" s="256" t="str">
        <f>IF(R317="","",IF(Q316=3,+R317,-R317))</f>
        <v/>
      </c>
      <c r="T316" s="257"/>
      <c r="U316" s="258"/>
      <c r="V316" s="258"/>
      <c r="W316" s="258"/>
      <c r="X316" s="258"/>
      <c r="Y316" s="192"/>
      <c r="Z316" s="203"/>
      <c r="AA316" s="246">
        <v>2</v>
      </c>
      <c r="AB316" s="154" t="str">
        <f>IF(AND(COUNTBLANK(I305:I308)=0,Group_players=4,M305=M306,M306=M308),IF(COUNTIF(W304:W307,W305)=3,AB329,IF(AND(COUNTIF(W304:W307,W305)=1,W304&lt;&gt;W306),IF(M306=2,IF(SMALL(W304:W307,1)=W305,1,IF(SMALL(W304:W307,2)=W305,2,IF(SMALL(W304:W307,3)=W305,3))),IF(M306=1,IF(SMALL(W304:W307,1)=W305,2,IF(SMALL(W304:W307,2)=W305,3,IF(SMALL(W304:W307,3)=W305,4))),"")),IF(COUNTIF(W304:W307,W305)=1,IF(W305&lt;W304,IF(M306=2,1,2),IF(M306=2,3,4)),IF(COUNTIF(W304:W307,W305)=2,IF(W305=W304,IF(W305&lt;W307,IF(M306=2,IF(Q329=3,1,2),IF(M306=1,IF(Q329=3,2,3))),IF(W305&gt;W307,IF(M306=2,IF(Q329=3,2,3),IF(M306=1,IF(Q329=3,3,4))))),IF(W305=W307,IF(W305&lt;W304,IF(M306=2,IF(Q319=3,1,2),IF(M306=1,IF(Q319=3,2,3))),IF(W305&gt;W304,IF(M306=2,IF(Q319=3,2,3),IF(M306=1,IF(Q319=3,3,4))))))),"")))),"")</f>
        <v/>
      </c>
      <c r="AC316" s="192"/>
      <c r="AD316" s="192"/>
      <c r="AE316" s="192"/>
      <c r="AF316" s="203"/>
      <c r="AG316" s="203"/>
      <c r="AH316" s="203"/>
      <c r="AI316" s="203"/>
      <c r="AJ316" s="203"/>
      <c r="AK316" s="203"/>
      <c r="AL316" s="203"/>
      <c r="AM316" s="203"/>
      <c r="AN316" s="192"/>
      <c r="AO316" s="192"/>
      <c r="AP316" s="192"/>
      <c r="AQ316" s="192"/>
      <c r="AR316" s="192"/>
      <c r="AS316" s="192"/>
      <c r="AT316" s="192"/>
      <c r="AU316" s="192"/>
      <c r="AV316" s="192"/>
      <c r="AW316" s="192"/>
      <c r="AX316" s="192"/>
    </row>
    <row r="317" spans="2:50" ht="15" customHeight="1" thickBot="1" x14ac:dyDescent="0.35">
      <c r="B317" s="192"/>
      <c r="C317" s="192"/>
      <c r="D317" s="192"/>
      <c r="E317" s="164" t="str">
        <f>IF(Q317="","",IF(Q317=3,1,0))</f>
        <v/>
      </c>
      <c r="F317" s="164" t="str">
        <f>IF(Q317="","",IF(Q317&lt;3,1,0))</f>
        <v/>
      </c>
      <c r="G317" s="192"/>
      <c r="H317" s="192" t="str">
        <f>IF(I306="","",IF(I307="",2,3))</f>
        <v/>
      </c>
      <c r="I317" s="294" t="str">
        <f>IF(ISNUMBER(H317),VLOOKUP(H317,H305:I308,2,TRUE),"")</f>
        <v/>
      </c>
      <c r="J317" s="192"/>
      <c r="K317" s="192" t="str">
        <f>VLOOKUP(I317,I305:L308,3,FALSE)</f>
        <v/>
      </c>
      <c r="L317" s="155"/>
      <c r="M317" s="259"/>
      <c r="N317" s="259"/>
      <c r="O317" s="156"/>
      <c r="P317" s="157"/>
      <c r="Q317" s="260" t="str">
        <f>IF(L317="","",IF(AND(L317-L316&gt;1,L317&gt;10),1,0)+IF(AND(M317-M316&gt;1,M317&gt;10),1,0)+IF(AND(N317-N316&gt;1,N317&gt;10),1,0)+IF(AND(O317-O316&gt;1,O317&gt;10),1,0)+IF(AND(P317-P316&gt;1,P317&gt;10),1,0))</f>
        <v/>
      </c>
      <c r="R317" s="203" t="str">
        <f>IF(AND(Q316&lt;&gt;3,Q317&lt;&gt;3),"",IF(Q316=3,IF(VLOOKUP(I316,I305:L308,4,FALSE)&gt;VLOOKUP(I317,I305:L308,4,FALSE),VLOOKUP(R316,Point_dif,2,FALSE),VLOOKUP(R316,Point_dif,3,FALSE)),IF(Q317=3,IF(VLOOKUP(I317,I305:L308,4,FALSE)&gt;VLOOKUP(I316,I305:L308,4,FALSE),VLOOKUP(R316,Point_dif,2,FALSE),VLOOKUP(R316,Point_dif,3,FALSE)))))</f>
        <v/>
      </c>
      <c r="S317" s="256" t="str">
        <f>IF(R317="","",IF(Q317=3,+R317,-R317))</f>
        <v/>
      </c>
      <c r="T317" s="192"/>
      <c r="U317" s="235"/>
      <c r="V317" s="235"/>
      <c r="W317" s="235"/>
      <c r="X317" s="235"/>
      <c r="Y317" s="235"/>
      <c r="Z317" s="235"/>
      <c r="AA317" s="240">
        <v>4</v>
      </c>
      <c r="AB317" s="158" t="str">
        <f>IF(AND(COUNTBLANK(I305:I308)=0,Group_players=4,M305=M306,M306=M308),IF(COUNTIF(W304:W307,W307)=3,AB330,IF(AND(COUNTIF(W304:W307,W307)=1,W304&lt;&gt;W305),IF(M308=2,IF(SMALL(W304:W307,1)=W307,1,IF(SMALL(W304:W307,2)=W307,2,IF(SMALL(W304:W307,3)=W307,3))),IF(M308=1,IF(SMALL(W304:W307,1)=W307,2,IF(SMALL(W304:W307,2)=W307,3,IF(SMALL(W304:W307,3)=W307,4))),"")),IF(COUNTIF(W304:W307,W307)=1,IF(W307&lt;W304,IF(M308=2,1,2),IF(M308=2,3,4)),IF(COUNTIF(W304:W307,W307)=2,IF(W307=W304,IF(W307&lt;W305,IF(M308=2,IF(Q323=3,1,2),IF(M308=1,IF(Q323=3,2,3))),IF(W307&gt;W306,IF(M308=2,IF(Q323=3,2,3),IF(M308=1,IF(Q323=3,3,4))))),IF(W307=W305,IF(W307&lt;W304,IF(M308=2,IF(Q320=3,1,2),IF(M308=1,IF(Q320=3,2,3))),IF(W307&gt;W304,IF(M308=2,IF(Q320=3,2,3),IF(M308=1,IF(Q320=3,3,4))))))),"")))),"")</f>
        <v/>
      </c>
      <c r="AC317" s="192"/>
      <c r="AD317" s="192"/>
      <c r="AE317" s="192"/>
      <c r="AF317" s="203"/>
      <c r="AG317" s="203"/>
      <c r="AH317" s="203"/>
      <c r="AI317" s="203"/>
      <c r="AJ317" s="203"/>
      <c r="AK317" s="203"/>
      <c r="AL317" s="203"/>
      <c r="AM317" s="203"/>
      <c r="AN317" s="192"/>
      <c r="AO317" s="192"/>
      <c r="AP317" s="192"/>
      <c r="AQ317" s="192"/>
      <c r="AR317" s="192"/>
      <c r="AS317" s="192"/>
      <c r="AT317" s="192"/>
      <c r="AU317" s="192"/>
      <c r="AV317" s="192"/>
      <c r="AW317" s="192"/>
      <c r="AX317" s="192"/>
    </row>
    <row r="318" spans="2:50" ht="15" customHeight="1" thickTop="1" thickBot="1" x14ac:dyDescent="0.35">
      <c r="B318" s="192"/>
      <c r="C318" s="192"/>
      <c r="D318" s="192"/>
      <c r="E318" s="164"/>
      <c r="F318" s="164"/>
      <c r="G318" s="192"/>
      <c r="H318" s="192"/>
      <c r="I318" s="249" t="s">
        <v>116</v>
      </c>
      <c r="J318" s="249"/>
      <c r="K318" s="249"/>
      <c r="L318" s="250" t="s">
        <v>115</v>
      </c>
      <c r="M318" s="250" t="s">
        <v>116</v>
      </c>
      <c r="N318" s="250" t="s">
        <v>117</v>
      </c>
      <c r="O318" s="250" t="s">
        <v>118</v>
      </c>
      <c r="P318" s="250" t="s">
        <v>119</v>
      </c>
      <c r="Q318" s="250" t="s">
        <v>120</v>
      </c>
      <c r="R318" s="250"/>
      <c r="S318" s="251"/>
      <c r="T318" s="192"/>
      <c r="U318" s="235"/>
      <c r="V318" s="235"/>
      <c r="W318" s="235"/>
      <c r="X318" s="235"/>
      <c r="Y318" s="235"/>
      <c r="Z318" s="235"/>
      <c r="AA318" s="243">
        <v>2</v>
      </c>
      <c r="AB318" s="151" t="str">
        <f>IF(AND(COUNTBLANK(I305:I308)=0,Group_players=4,M306=M307,M307=M308),IF(COUNTIF(X304:X307,X305)=3,AB331,IF(AND(COUNTIF(X304:X307,X305)=1,X306&lt;&gt;X307),IF(M306=2,IF(SMALL(X304:X307,1)=X305,1,IF(SMALL(X304:X307,2)=X305,2,IF(SMALL(X304:X307,3)=X305,3))),IF(M306=1,IF(SMALL(X304:X307,1)=X305,2,IF(SMALL(X304:X307,2)=X305,3,IF(SMALL(X304:X307,3)=X305,4))),"")),IF(COUNTIF(X304:X307,X305)=1,IF(X305&lt;X307,IF(M306=2,1,2),IF(M306=1,3,3)),IF(COUNTIF(X304:X307,X305)=2,IF(X305=X306,IF(X305&lt;X307,IF(M306=2,IF(Q325=3,1,2),IF(M306=1,IF(Q325=3,2,3))),IF(X305&gt;X307,IF(M306=2,IF(Q325=3,2,3),IF(M306=1,IF(Q325=3,3,4))))),IF(X305=X307,IF(X305&lt;X306,IF(M306=2,IF(Q319=3,1,2),IF(M306=1,IF(Q319=3,2,3))),IF(X305&gt;X306,IF(M306=2,IF(Q319=3,2,3),IF(M306=1,IF(Q319=3,3,4))))))),"")))),"")</f>
        <v/>
      </c>
      <c r="AC318" s="192"/>
      <c r="AD318" s="192"/>
      <c r="AE318" s="192"/>
      <c r="AF318" s="203"/>
      <c r="AG318" s="203"/>
      <c r="AH318" s="203"/>
      <c r="AI318" s="203"/>
      <c r="AJ318" s="203"/>
      <c r="AK318" s="203"/>
      <c r="AL318" s="203"/>
      <c r="AM318" s="203"/>
      <c r="AN318" s="192"/>
      <c r="AO318" s="192"/>
      <c r="AP318" s="192"/>
      <c r="AQ318" s="192"/>
      <c r="AR318" s="192"/>
      <c r="AS318" s="192"/>
      <c r="AT318" s="192"/>
      <c r="AU318" s="192"/>
      <c r="AV318" s="192"/>
      <c r="AW318" s="192"/>
      <c r="AX318" s="192"/>
    </row>
    <row r="319" spans="2:50" ht="15" customHeight="1" thickTop="1" x14ac:dyDescent="0.3">
      <c r="B319" s="192"/>
      <c r="C319" s="192"/>
      <c r="D319" s="192"/>
      <c r="E319" s="164" t="str">
        <f>IF(Q319="","",IF(Q319=3,1,0))</f>
        <v/>
      </c>
      <c r="F319" s="164" t="str">
        <f>IF(Q319="","",IF(Q319&lt;3,1,0))</f>
        <v/>
      </c>
      <c r="G319" s="192"/>
      <c r="H319" s="192" t="str">
        <f>IF(I307="","",2)</f>
        <v/>
      </c>
      <c r="I319" s="192" t="str">
        <f>IF(ISNUMBER(H319),VLOOKUP(H319,H305:I308,2,TRUE),"")</f>
        <v/>
      </c>
      <c r="J319" s="192"/>
      <c r="K319" s="192" t="str">
        <f>VLOOKUP(I319,I305:L308,3,FALSE)</f>
        <v/>
      </c>
      <c r="L319" s="253"/>
      <c r="M319" s="254"/>
      <c r="N319" s="254"/>
      <c r="O319" s="152"/>
      <c r="P319" s="153"/>
      <c r="Q319" s="255" t="str">
        <f>IF(L319="","",IF(AND(L319-L320&gt;1,L319&gt;10),1,0)+IF(AND(M319-M320&gt;1,M319&gt;10),1,0)+IF(AND(N319-N320&gt;1,N319&gt;10),1,0)+IF(AND(O319-O320&gt;1,O319&gt;10),1,0)+IF(AND(P319-P320&gt;1,P319&gt;10),1,0))</f>
        <v/>
      </c>
      <c r="R319" s="203" t="str">
        <f>IF(AND(I319="",I320=""),"",ABS(VLOOKUP(I319,I305:L308,4,FALSE)-VLOOKUP(I320,I305:L308,4,FALSE)))</f>
        <v/>
      </c>
      <c r="S319" s="256" t="str">
        <f>IF(R320="","",IF(Q319=3,+R320,-R320))</f>
        <v/>
      </c>
      <c r="T319" s="192"/>
      <c r="U319" s="235"/>
      <c r="V319" s="235"/>
      <c r="W319" s="235"/>
      <c r="X319" s="235"/>
      <c r="Y319" s="235"/>
      <c r="Z319" s="235"/>
      <c r="AA319" s="246">
        <v>3</v>
      </c>
      <c r="AB319" s="154" t="str">
        <f>IF(AND(COUNTBLANK(I305:I308)=0,Group_players=4,M306=M307,M307=M308),IF(COUNTIF(X304:X307,X306)=3,AB332,IF(AND(COUNTIF(X304:X307,X306)=1,X305&lt;&gt;X307),IF(M307=2,IF(SMALL(X304:X307,1)=X306,1,IF(SMALL(X304:X307,2)=X306,2,IF(SMALL(X304:X307,3)=X306,3))),IF(M307=1,IF(SMALL(X304:X307,1)=X306,2,IF(SMALL(X304:X307,2)=X306,3,IF(SMALL(X304:X307,3)=X306,4))),"")),IF(COUNTIF(X304:X307,X306)=1,IF(X306&lt;X305,IF(M307=2,1,2),IF(M307=2,3,4)),IF(COUNTIF(X304:X307,X306)=2,IF(X306=X305,IF(X306&lt;X307,IF(M307=2,IF(Q326=3,1,2),IF(M307=1,IF(Q326=3,2,3))),IF(X306&gt;X307,IF(M307=2,IF(Q326=3,2,3),IF(M307=1,IF(Q326=3,3,4))))),IF(X306=X307,IF(X306&lt;X305,IF(M307=2,IF(Q331=3,1,2),IF(M307=1,IF(Q331=3,2,3))),IF(X306&gt;X305,IF(M307=2,IF(Q331=3,2,3),IF(M307=1,IF(Q331=3,3,4))))))),"")))),"")</f>
        <v/>
      </c>
      <c r="AC319" s="192"/>
      <c r="AD319" s="192"/>
      <c r="AE319" s="192"/>
      <c r="AF319" s="203"/>
      <c r="AG319" s="203"/>
      <c r="AH319" s="203"/>
      <c r="AI319" s="203"/>
      <c r="AJ319" s="203"/>
      <c r="AK319" s="203"/>
      <c r="AL319" s="203"/>
      <c r="AM319" s="203"/>
      <c r="AN319" s="192"/>
      <c r="AO319" s="192"/>
      <c r="AP319" s="192"/>
      <c r="AQ319" s="192"/>
      <c r="AR319" s="192"/>
      <c r="AS319" s="192"/>
      <c r="AT319" s="192"/>
      <c r="AU319" s="192"/>
      <c r="AV319" s="192"/>
      <c r="AW319" s="192"/>
      <c r="AX319" s="192"/>
    </row>
    <row r="320" spans="2:50" ht="15" customHeight="1" thickBot="1" x14ac:dyDescent="0.35">
      <c r="B320" s="192"/>
      <c r="C320" s="192"/>
      <c r="D320" s="192"/>
      <c r="E320" s="164" t="str">
        <f>IF(Q320="","",IF(Q320=3,1,0))</f>
        <v/>
      </c>
      <c r="F320" s="164" t="str">
        <f>IF(Q320="","",IF(Q320&lt;3,1,0))</f>
        <v/>
      </c>
      <c r="G320" s="192"/>
      <c r="H320" s="192" t="str">
        <f>IF(I307="","",IF(I308="",3,4))</f>
        <v/>
      </c>
      <c r="I320" s="294" t="str">
        <f>IF(ISNUMBER(H320),VLOOKUP(H320,H305:I308,2,TRUE),"")</f>
        <v/>
      </c>
      <c r="J320" s="192"/>
      <c r="K320" s="192" t="str">
        <f>VLOOKUP(I320,I305:L308,3,FALSE)</f>
        <v/>
      </c>
      <c r="L320" s="155"/>
      <c r="M320" s="259"/>
      <c r="N320" s="259"/>
      <c r="O320" s="156"/>
      <c r="P320" s="157"/>
      <c r="Q320" s="260" t="str">
        <f>IF(L320="","",IF(AND(L320-L319&gt;1,L320&gt;10),1,0)+IF(AND(M320-M319&gt;1,M320&gt;10),1,0)+IF(AND(N320-N319&gt;1,N320&gt;10),1,0)+IF(AND(O320-O319&gt;1,O320&gt;10),1,0)+IF(AND(P320-P319&gt;1,P320&gt;10),1,0))</f>
        <v/>
      </c>
      <c r="R320" s="203" t="str">
        <f>IF(AND(Q319&lt;&gt;3,Q320&lt;&gt;3),"",IF(Q319=3,IF(VLOOKUP(I319,I305:L308,4,FALSE)&gt;VLOOKUP(I320,I305:L308,4,FALSE),VLOOKUP(R319,Point_dif,2,FALSE),VLOOKUP(R319,Point_dif,3,FALSE)),IF(Q320=3,IF(VLOOKUP(I320,I305:L308,4,FALSE)&gt;VLOOKUP(I319,I305:L308,4,FALSE),VLOOKUP(R319,Point_dif,2,FALSE),VLOOKUP(R319,Point_dif,3,FALSE)))))</f>
        <v/>
      </c>
      <c r="S320" s="256" t="str">
        <f>IF(R320="","",IF(Q320=3,+R320,-R320))</f>
        <v/>
      </c>
      <c r="T320" s="192"/>
      <c r="U320" s="235"/>
      <c r="V320" s="235"/>
      <c r="W320" s="235"/>
      <c r="X320" s="235"/>
      <c r="Y320" s="235"/>
      <c r="Z320" s="235"/>
      <c r="AA320" s="261">
        <v>4</v>
      </c>
      <c r="AB320" s="158" t="str">
        <f>IF(AND(COUNTBLANK(I305:I308)=0,Group_players=4,M306=M307,M307=M308),IF(COUNTIF(X304:X307,X307)=3,AB333,IF(AND(COUNTIF(X304:X307,X307)=1,X306&lt;&gt;X305),IF(M308=2,IF(SMALL(X304:X307,1)=X307,1,IF(SMALL(X304:X307,2)=X307,2,IF(SMALL(X304:X307,3)=X307,3))),IF(M308=1,IF(SMALL(X304:X307,1)=X307,2,IF(SMALL(X304:X307,2)=X307,3,IF(SMALL(X304:X307,3)=X307,4))),"")),IF(COUNTIF(X304:X307,X307)=1,IF(X307&lt;X305,IF(M308=2,1,2),IF(M308=2,3,4)),IF(COUNTIF(X304:X307,X307)=2,IF(X307=X305,IF(X307&lt;X306,IF(M308=2,IF(Q320=3,1,2),IF(M308=1,IF(Q320=3,2,3))),IF(X307&gt;X306,IF(M308=2,IF(Q320=3,2,3),IF(M308=1,IF(Q320=3,3,4))))),IF(X307=X306,IF(X307&lt;X305,IF(M308=2,IF(Q332=3,1,2),IF(M308=1,IF(Q332=3,2,3))),IF(X307&gt;X305,IF(M308=2,IF(Q332=3,2,3),IF(M308=1,IF(Q332=3,3,4))))))),"")))),"")</f>
        <v/>
      </c>
      <c r="AC320" s="192"/>
      <c r="AD320" s="192"/>
      <c r="AE320" s="192"/>
      <c r="AF320" s="203"/>
      <c r="AG320" s="203"/>
      <c r="AH320" s="203"/>
      <c r="AI320" s="203"/>
      <c r="AJ320" s="203"/>
      <c r="AK320" s="203"/>
      <c r="AL320" s="203"/>
      <c r="AM320" s="203"/>
      <c r="AN320" s="192"/>
      <c r="AO320" s="192"/>
      <c r="AP320" s="192"/>
      <c r="AQ320" s="192"/>
      <c r="AR320" s="192"/>
      <c r="AS320" s="192"/>
      <c r="AT320" s="192"/>
      <c r="AU320" s="192"/>
      <c r="AV320" s="192"/>
      <c r="AW320" s="192"/>
      <c r="AX320" s="192"/>
    </row>
    <row r="321" spans="2:50" ht="15" customHeight="1" thickTop="1" thickBot="1" x14ac:dyDescent="0.35">
      <c r="B321" s="192"/>
      <c r="C321" s="192"/>
      <c r="D321" s="192"/>
      <c r="E321" s="164"/>
      <c r="F321" s="164"/>
      <c r="G321" s="192"/>
      <c r="H321" s="192"/>
      <c r="I321" s="249" t="s">
        <v>117</v>
      </c>
      <c r="J321" s="249"/>
      <c r="K321" s="249"/>
      <c r="L321" s="250" t="s">
        <v>115</v>
      </c>
      <c r="M321" s="250" t="s">
        <v>116</v>
      </c>
      <c r="N321" s="250" t="s">
        <v>117</v>
      </c>
      <c r="O321" s="250" t="s">
        <v>118</v>
      </c>
      <c r="P321" s="250" t="s">
        <v>119</v>
      </c>
      <c r="Q321" s="250" t="s">
        <v>120</v>
      </c>
      <c r="R321" s="250"/>
      <c r="S321" s="251"/>
      <c r="T321" s="263"/>
      <c r="U321" s="264"/>
      <c r="V321" s="242"/>
      <c r="W321" s="242"/>
      <c r="X321" s="264"/>
      <c r="Y321" s="192"/>
      <c r="Z321" s="203"/>
      <c r="AA321" s="126" t="s">
        <v>93</v>
      </c>
      <c r="AB321" s="265" t="s">
        <v>110</v>
      </c>
      <c r="AC321" s="192"/>
      <c r="AD321" s="192"/>
      <c r="AE321" s="192"/>
      <c r="AF321" s="203"/>
      <c r="AG321" s="203"/>
      <c r="AH321" s="203"/>
      <c r="AI321" s="203"/>
      <c r="AJ321" s="203"/>
      <c r="AK321" s="203"/>
      <c r="AL321" s="203"/>
      <c r="AM321" s="203"/>
      <c r="AN321" s="192"/>
      <c r="AO321" s="192"/>
      <c r="AP321" s="192"/>
      <c r="AQ321" s="192"/>
      <c r="AR321" s="192"/>
      <c r="AS321" s="192"/>
      <c r="AT321" s="192"/>
      <c r="AU321" s="192"/>
      <c r="AV321" s="192"/>
      <c r="AW321" s="192"/>
      <c r="AX321" s="192"/>
    </row>
    <row r="322" spans="2:50" ht="15" customHeight="1" thickTop="1" x14ac:dyDescent="0.3">
      <c r="B322" s="192"/>
      <c r="C322" s="192"/>
      <c r="D322" s="192"/>
      <c r="E322" s="164" t="str">
        <f>IF(Q322="","",IF(Q322=3,1,0))</f>
        <v/>
      </c>
      <c r="F322" s="164" t="str">
        <f>IF(Q322="","",IF(Q322&lt;3,1,0))</f>
        <v/>
      </c>
      <c r="G322" s="192"/>
      <c r="H322" s="192" t="str">
        <f>IF(I307&lt;&gt;"",1,"")</f>
        <v/>
      </c>
      <c r="I322" s="192" t="str">
        <f>IF(ISNUMBER(H322),VLOOKUP(H322,H305:I308,2,TRUE),"")</f>
        <v/>
      </c>
      <c r="J322" s="192"/>
      <c r="K322" s="192" t="str">
        <f>VLOOKUP(I322,I305:L308,3,FALSE)</f>
        <v/>
      </c>
      <c r="L322" s="253"/>
      <c r="M322" s="254"/>
      <c r="N322" s="254"/>
      <c r="O322" s="152"/>
      <c r="P322" s="153"/>
      <c r="Q322" s="255" t="str">
        <f>IF(L322="","",IF(AND(L322-L323&gt;1,L322&gt;10),1,0)+IF(AND(M322-M323&gt;1,M322&gt;10),1,0)+IF(AND(N322-N323&gt;1,N322&gt;10),1,0)+IF(AND(O322-O323&gt;1,O322&gt;10),1,0)+IF(AND(P322-P323&gt;1,P322&gt;10),1,0))</f>
        <v/>
      </c>
      <c r="R322" s="203" t="str">
        <f>IF(AND(I322="",I323=""),"",ABS(VLOOKUP(I322,I305:L308,4,FALSE)-VLOOKUP(I323,I305:L308,4,FALSE)))</f>
        <v/>
      </c>
      <c r="S322" s="256" t="str">
        <f>IF(R323="","",IF(Q322=3,+R323,-R323))</f>
        <v/>
      </c>
      <c r="T322" s="192"/>
      <c r="U322" s="235"/>
      <c r="V322" s="235"/>
      <c r="W322" s="235"/>
      <c r="X322" s="235"/>
      <c r="Y322" s="235"/>
      <c r="Z322" s="235"/>
      <c r="AA322" s="243">
        <v>1</v>
      </c>
      <c r="AB322" s="222" t="str">
        <f>IF(AND(COUNTBLANK(I305:I308)=0,Group_players=4,M305=M306,M306=M307),IF(U312="","",IF(COUNTIF(U312:U315,U312)=3,"Tied",IF(AND(COUNTIF(U312:U315,U312)=1,U313&lt;&gt;U314),IF(M305=2,IF(SMALL(U312:U315,1)=U312,1,IF(SMALL(U312:U315,2)=U312,2,IF(SMALL(U312:U315,3)=U312,3))),IF(M305=1,IF(SMALL(U312:U315,1)=U312,2,IF(SMALL(U312:U315,2)=U312,3,IF(SMALL(U312:U315,3)=U312,4))),"")),IF(COUNTIF(U312:U315,U312)=1,IF(U312&lt;U313,IF(M305=2,1,2),IF(M305=2,3,4)),IF(COUNTIF(U312:U315,U312)=2,IF(U312=U313,IF(U312&lt;U314,IF(M305=2,IF(Q328=3,1,2),IF(M305=1,IF(Q328=3,2,3))),IF(U312&gt;U314,IF(M305=2,IF(Q328=3,2,3),IF(M305=1,IF(Q328=3,3,4))))),IF(U312=U314,IF(U312&lt;U313,IF(M305=2,IF(Q316=3,1,2),IF(M305=1,IF(Q316=3,2,3))),IF(U312&gt;U313,IF(M305=2,IF(Q316=3,2,3),IF(M305=1,IF(Q316=3,3,4)))))))))))),"")</f>
        <v/>
      </c>
      <c r="AC322" s="192"/>
      <c r="AD322" s="192"/>
      <c r="AE322" s="192"/>
      <c r="AF322" s="203"/>
      <c r="AG322" s="203"/>
      <c r="AH322" s="203"/>
      <c r="AI322" s="203"/>
      <c r="AJ322" s="203"/>
      <c r="AK322" s="203"/>
      <c r="AL322" s="203"/>
      <c r="AM322" s="203"/>
      <c r="AN322" s="192"/>
      <c r="AO322" s="192"/>
      <c r="AP322" s="192"/>
      <c r="AQ322" s="192"/>
      <c r="AR322" s="192"/>
      <c r="AS322" s="192"/>
      <c r="AT322" s="192"/>
      <c r="AU322" s="192"/>
      <c r="AV322" s="192"/>
      <c r="AW322" s="192"/>
      <c r="AX322" s="192"/>
    </row>
    <row r="323" spans="2:50" ht="15" customHeight="1" thickBot="1" x14ac:dyDescent="0.35">
      <c r="B323" s="192"/>
      <c r="C323" s="192"/>
      <c r="D323" s="192"/>
      <c r="E323" s="164" t="str">
        <f>IF(Q323="","",IF(Q323=3,1,0))</f>
        <v/>
      </c>
      <c r="F323" s="164" t="str">
        <f>IF(Q323="","",IF(Q323&lt;3,1,0))</f>
        <v/>
      </c>
      <c r="G323" s="192"/>
      <c r="H323" s="192" t="str">
        <f>IF(I307="","",IF(I308&lt;&gt;"",4,2))</f>
        <v/>
      </c>
      <c r="I323" s="192" t="str">
        <f>IF(ISNUMBER(H323),VLOOKUP(H323,H305:I308,2,TRUE),"")</f>
        <v/>
      </c>
      <c r="J323" s="192"/>
      <c r="K323" s="192" t="str">
        <f>VLOOKUP(I323,I305:L308,3,FALSE)</f>
        <v/>
      </c>
      <c r="L323" s="155"/>
      <c r="M323" s="259"/>
      <c r="N323" s="259"/>
      <c r="O323" s="156"/>
      <c r="P323" s="157"/>
      <c r="Q323" s="260" t="str">
        <f>IF(L323="","",IF(AND(L323-L322&gt;1,L323&gt;10),1,0)+IF(AND(M323-M322&gt;1,M323&gt;10),1,0)+IF(AND(N323-N322&gt;1,N323&gt;10),1,0)+IF(AND(O323-O322&gt;1,O323&gt;10),1,0)+IF(AND(P323-P322&gt;1,P323&gt;10),1,0))</f>
        <v/>
      </c>
      <c r="R323" s="203" t="str">
        <f>IF(AND(Q322&lt;&gt;3,Q323&lt;&gt;3),"",IF(Q322=3,IF(VLOOKUP(I322,I305:L308,4,FALSE)&gt;VLOOKUP(I323,I305:L308,4,FALSE),VLOOKUP(R322,Point_dif,2,FALSE),VLOOKUP(R322,Point_dif,3,FALSE)),IF(Q323=3,IF(VLOOKUP(I323,I305:L308,4,FALSE)&gt;VLOOKUP(I322,I305:L308,4,FALSE),VLOOKUP(R322,Point_dif,2,FALSE),VLOOKUP(R322,Point_dif,3,FALSE)))))</f>
        <v/>
      </c>
      <c r="S323" s="256" t="str">
        <f>IF(R323="","",IF(Q323=3,+R323,-R323))</f>
        <v/>
      </c>
      <c r="T323" s="192"/>
      <c r="U323" s="235"/>
      <c r="V323" s="235"/>
      <c r="W323" s="235"/>
      <c r="X323" s="235"/>
      <c r="Y323" s="235"/>
      <c r="Z323" s="235"/>
      <c r="AA323" s="246">
        <v>2</v>
      </c>
      <c r="AB323" s="222" t="str">
        <f>IF(AND(COUNTBLANK(I305:I308)=0,Group_players=4,M305=M306,M306=M307),IF(U313="","",IF(COUNTIF(U312:U315,U313)=3,"Tied",IF(AND(COUNTIF(U312:U315,U313)=1,U312&lt;&gt;U314),IF(M306=2,IF(SMALL(U312:U315,1)=U313,1,IF(SMALL(U312:U315,2)=U313,2,IF(SMALL(U312:U315,3)=U313,3))),IF(M306=1,IF(SMALL(U312:U315,1)=U313,2,IF(SMALL(U312:U315,2)=U313,3,IF(SMALL(U312:U315,3)=U313,4))),"")),IF(COUNTIF(U312:U315,U313)=1,IF(U313&lt;U312,IF(M306=2,1,2),IF(M306=2,3,4)),IF(COUNTIF(U312:U315,U313)=2,IF(U313=U312,IF(U313&lt;U314,IF(M306=2,IF(Q329=3,1,2),IF(M306=1,IF(Q329=3,2,3))),IF(U313&gt;U314,IF(M306=2,IF(Q329=3,2,3),IF(M306=1,IF(Q329=3,3,4))))),IF(U313=U314,IF(U313&lt;U312,IF(M306=2,IF(Q325=3,1,2),IF(M306=1,IF(Q325=3,2,3))),IF(U313&gt;U312,IF(M306=2,IF(Q325=3,2,3),IF(M306=1,IF(Q325=3,3,4)))))))))))),"")</f>
        <v/>
      </c>
      <c r="AC323" s="192"/>
      <c r="AD323" s="192"/>
      <c r="AE323" s="192"/>
      <c r="AF323" s="203"/>
      <c r="AG323" s="203"/>
      <c r="AH323" s="203"/>
      <c r="AI323" s="203"/>
      <c r="AJ323" s="203"/>
      <c r="AK323" s="203"/>
      <c r="AL323" s="203"/>
      <c r="AM323" s="203"/>
      <c r="AN323" s="192"/>
      <c r="AO323" s="192"/>
      <c r="AP323" s="192"/>
      <c r="AQ323" s="192"/>
      <c r="AR323" s="192"/>
      <c r="AS323" s="192"/>
      <c r="AT323" s="192"/>
      <c r="AU323" s="192"/>
      <c r="AV323" s="192"/>
      <c r="AW323" s="192"/>
      <c r="AX323" s="192"/>
    </row>
    <row r="324" spans="2:50" ht="15" customHeight="1" thickTop="1" thickBot="1" x14ac:dyDescent="0.35">
      <c r="B324" s="192"/>
      <c r="C324" s="192"/>
      <c r="D324" s="192"/>
      <c r="E324" s="164"/>
      <c r="F324" s="164"/>
      <c r="G324" s="192"/>
      <c r="H324" s="192"/>
      <c r="I324" s="249" t="s">
        <v>118</v>
      </c>
      <c r="J324" s="249"/>
      <c r="K324" s="249"/>
      <c r="L324" s="250" t="s">
        <v>115</v>
      </c>
      <c r="M324" s="250" t="s">
        <v>116</v>
      </c>
      <c r="N324" s="250" t="s">
        <v>117</v>
      </c>
      <c r="O324" s="250" t="s">
        <v>118</v>
      </c>
      <c r="P324" s="250" t="s">
        <v>119</v>
      </c>
      <c r="Q324" s="250" t="s">
        <v>120</v>
      </c>
      <c r="R324" s="250"/>
      <c r="S324" s="251"/>
      <c r="T324" s="192"/>
      <c r="U324" s="235"/>
      <c r="V324" s="235"/>
      <c r="W324" s="235"/>
      <c r="X324" s="235"/>
      <c r="Y324" s="235"/>
      <c r="Z324" s="235"/>
      <c r="AA324" s="240">
        <v>3</v>
      </c>
      <c r="AB324" s="241" t="str">
        <f>IF(AND(COUNTBLANK(I305:I308)=0,Group_players=4,M305=M306,M306=M307),IF(U314="","",IF(COUNTIF(U312:U315,U314)=3,"Tied",IF(AND(COUNTIF(U312:U315,U314)=1,U312&lt;&gt;U313),IF(M305=2,IF(SMALL(U312:U315,1)=U314,1,IF(SMALL(U312:U315,2)=U314,2,IF(SMALL(U312:U315,3)=U314,3))),IF(M307=1,IF(SMALL(U312:U315,1)=U314,2,IF(SMALL(U312:U315,2)=U314,3,IF(SMALL(U312:U315,3)=U314,4))),"")),IF(COUNTIF(U312:U315,U314)=1,IF(U314&lt;U313,IF(M307=2,1,2),IF(M307=2,3,4)),IF(COUNTIF(U312:U315,U314)=2,IF(U314=U313,IF(U314&lt;U312,IF(M307=2,IF(Q326=3,1,2),IF(M307=1,IF(Q326=3,2,3))),IF(U314&gt;U312,IF(M307=2,IF(Q326=3,2,3),IF(M307=1,IF(Q326=3,3,4))))),IF(U314=U312,IF(U314&lt;U313,IF(M307=2,IF(Q317=3,1,2),IF(M307=1,IF(Q317=3,2,3))),IF(U314&gt;U313,IF(M307=2,IF(Q317=3,2,3),IF(M307=1,IF(Q317=3,3,4)))))))))))),"")</f>
        <v/>
      </c>
      <c r="AC324" s="192"/>
      <c r="AD324" s="192"/>
      <c r="AE324" s="192"/>
      <c r="AF324" s="203"/>
      <c r="AG324" s="203"/>
      <c r="AH324" s="203"/>
      <c r="AI324" s="203"/>
      <c r="AJ324" s="203"/>
      <c r="AK324" s="203"/>
      <c r="AL324" s="203"/>
      <c r="AM324" s="203"/>
      <c r="AN324" s="192"/>
      <c r="AO324" s="192"/>
      <c r="AP324" s="192"/>
      <c r="AQ324" s="192"/>
      <c r="AR324" s="192"/>
      <c r="AS324" s="192"/>
      <c r="AT324" s="192"/>
      <c r="AU324" s="192"/>
      <c r="AV324" s="192"/>
      <c r="AW324" s="192"/>
      <c r="AX324" s="192"/>
    </row>
    <row r="325" spans="2:50" ht="15" customHeight="1" thickTop="1" x14ac:dyDescent="0.3">
      <c r="B325" s="192"/>
      <c r="C325" s="192"/>
      <c r="D325" s="192"/>
      <c r="E325" s="164" t="str">
        <f>IF(Q325="","",IF(Q325=3,1,0))</f>
        <v/>
      </c>
      <c r="F325" s="164" t="str">
        <f>IF(Q325="","",IF(Q325&lt;3,1,0))</f>
        <v/>
      </c>
      <c r="G325" s="192"/>
      <c r="H325" s="192" t="str">
        <f>IF(I308&lt;&gt;"",2,"")</f>
        <v/>
      </c>
      <c r="I325" s="192" t="str">
        <f>IF(ISNUMBER(H325),VLOOKUP(H325,H305:I308,2,TRUE),"")</f>
        <v/>
      </c>
      <c r="J325" s="192"/>
      <c r="K325" s="192" t="str">
        <f>VLOOKUP(I325,I305:L308,3,FALSE)</f>
        <v/>
      </c>
      <c r="L325" s="253"/>
      <c r="M325" s="254"/>
      <c r="N325" s="254"/>
      <c r="O325" s="152"/>
      <c r="P325" s="153"/>
      <c r="Q325" s="255" t="str">
        <f>IF(L325="","",IF(AND(L325-L326&gt;1,L325&gt;10),1,0)+IF(AND(M325-M326&gt;1,M325&gt;10),1,0)+IF(AND(N325-N326&gt;1,N325&gt;10),1,0)+IF(AND(O325-O326&gt;1,O325&gt;10),1,0)+IF(AND(P325-P326&gt;1,P325&gt;10),1,0))</f>
        <v/>
      </c>
      <c r="R325" s="203" t="str">
        <f>IF(AND(I325="",I326=""),"",ABS(VLOOKUP(I325,I305:L308,4,FALSE)-VLOOKUP(I326,I305:L308,4,FALSE)))</f>
        <v/>
      </c>
      <c r="S325" s="256" t="str">
        <f>IF(R326="","",IF(Q325=3,+R326,-R326))</f>
        <v/>
      </c>
      <c r="T325" s="192"/>
      <c r="U325" s="235"/>
      <c r="V325" s="235"/>
      <c r="W325" s="235"/>
      <c r="X325" s="235"/>
      <c r="Y325" s="235"/>
      <c r="Z325" s="235"/>
      <c r="AA325" s="243">
        <v>1</v>
      </c>
      <c r="AB325" s="222" t="str">
        <f>IF(AND(COUNTBLANK(I305:I308)=0,Group_players=4,M305=M307,M307=M308),IF(V312="","",IF(COUNTIF(V312:V315,V312)=3,"Tied",IF(AND(COUNTIF(V312:V315,V312)=1,V314&lt;&gt;U315),IF(M305=2,IF(SMALL(V312:V315,1)=V312,1,IF(SMALL(V312:V315,2)=V312,2,IF(SMALL(V312:V315,3)=V312,3))),IF(M305=1,IF(SMALL(V312:V315,1)=V312,2,IF(SMALL(V312:V315,2)=V312,3,IF(SMALL(V312:V315,3)=V312,4))),"")),IF(COUNTIF(V312:V315,V312)=1,IF(V312&lt;V314,IF(M305=2,1,2),IF(M305=2,3,4)),IF(COUNTIF(V312:V315,V312)=2,IF(V312=V314,IF(V312&lt;V315,IF(M305=2,IF(Q316=3,1,2),IF(M305=1,IF(Q316=3,2,3))),IF(V312&gt;V315,IF(M305=2,IF(Q316=3,2,3),IF(M305=1,IF(Q316=3,3,4))))),IF(V312=V315,IF(V312&lt;V314,IF(M305=2,IF(Q322=3,1,2),IF(M305=1,IF(Q322=3,2,3))),IF(V312&gt;V313,IF(M305=2,IF(Q322=3,2,3),IF(M305=1,IF(Q322=3,3,4)))))))))))),"")</f>
        <v/>
      </c>
      <c r="AC325" s="192"/>
      <c r="AD325" s="192"/>
      <c r="AE325" s="192"/>
      <c r="AF325" s="203"/>
      <c r="AG325" s="203"/>
      <c r="AH325" s="203"/>
      <c r="AI325" s="203"/>
      <c r="AJ325" s="203"/>
      <c r="AK325" s="203"/>
      <c r="AL325" s="203"/>
      <c r="AM325" s="203"/>
      <c r="AN325" s="192"/>
      <c r="AO325" s="192"/>
      <c r="AP325" s="192"/>
      <c r="AQ325" s="192"/>
      <c r="AR325" s="192"/>
      <c r="AS325" s="192"/>
      <c r="AT325" s="192"/>
      <c r="AU325" s="192"/>
      <c r="AV325" s="192"/>
      <c r="AW325" s="192"/>
      <c r="AX325" s="192"/>
    </row>
    <row r="326" spans="2:50" ht="15" customHeight="1" thickBot="1" x14ac:dyDescent="0.35">
      <c r="B326" s="192"/>
      <c r="C326" s="192"/>
      <c r="D326" s="192"/>
      <c r="E326" s="164" t="str">
        <f>IF(Q326="","",IF(Q326=3,1,0))</f>
        <v/>
      </c>
      <c r="F326" s="164" t="str">
        <f>IF(Q326="","",IF(Q326&lt;3,1,0))</f>
        <v/>
      </c>
      <c r="G326" s="192"/>
      <c r="H326" s="192" t="str">
        <f>IF(I308&lt;&gt;"",3,"")</f>
        <v/>
      </c>
      <c r="I326" s="192" t="str">
        <f>IF(ISNUMBER(H326),VLOOKUP(H326,H305:I308,2,TRUE),"")</f>
        <v/>
      </c>
      <c r="J326" s="192"/>
      <c r="K326" s="192" t="str">
        <f>VLOOKUP(I326,I305:L308,3,FALSE)</f>
        <v/>
      </c>
      <c r="L326" s="155"/>
      <c r="M326" s="259"/>
      <c r="N326" s="259"/>
      <c r="O326" s="156"/>
      <c r="P326" s="157"/>
      <c r="Q326" s="260" t="str">
        <f>IF(L326="","",IF(AND(L326-L325&gt;1,L326&gt;10),1,0)+IF(AND(M326-M325&gt;1,M326&gt;10),1,0)+IF(AND(N326-N325&gt;1,N326&gt;10),1,0)+IF(AND(O326-O325&gt;1,O326&gt;10),1,0)+IF(AND(P326-P325&gt;1,P326&gt;10),1,0))</f>
        <v/>
      </c>
      <c r="R326" s="203" t="str">
        <f>IF(AND(Q325&lt;&gt;3,Q326&lt;&gt;3),"",IF(Q325=3,IF(VLOOKUP(I325,I305:L308,4,FALSE)&gt;VLOOKUP(I326,I305:L308,4,FALSE),VLOOKUP(R325,Point_dif,2,FALSE),VLOOKUP(R325,Point_dif,3,FALSE)),IF(Q326=3,IF(VLOOKUP(I326,I305:L308,4,FALSE)&gt;VLOOKUP(I325,I305:L308,4,FALSE),VLOOKUP(R325,Point_dif,2,FALSE),VLOOKUP(R325,Point_dif,3,FALSE)))))</f>
        <v/>
      </c>
      <c r="S326" s="256" t="str">
        <f>IF(R326="","",IF(Q326=3,+R326,-R326))</f>
        <v/>
      </c>
      <c r="T326" s="192"/>
      <c r="U326" s="159"/>
      <c r="V326" s="266"/>
      <c r="W326" s="266"/>
      <c r="X326" s="266"/>
      <c r="Y326" s="192"/>
      <c r="Z326" s="203"/>
      <c r="AA326" s="246">
        <v>3</v>
      </c>
      <c r="AB326" s="222" t="str">
        <f>IF(AND(COUNTBLANK(I305:I308)=0,Group_players=4,M305=M307,M307=M308),IF(V314="","",IF(COUNTIF(V312:V315,V314)=3,"Tied",IF(AND(COUNTIF(V312:V315,V314)=1,V312&lt;&gt;V315),IF(M307=2,IF(SMALL(V312:V315,1)=V314,1,IF(SMALL(V312:V315,2)=V314,2,IF(SMALL(V312:V315,3)=V314,3))),IF(M307=1,IF(SMALL(V312:V315,1)=V314,2,IF(SMALL(V312:V315,2)=V314,3,IF(SMALL(V312:V315,3)=V314,4))),"")),IF(COUNTIF(V312:V315,V314)=1,IF(V314&lt;V312,IF(M307=2,1,2),IF(M307=2,3,4)),IF(COUNTIF(V312:V315,V314)=2,IF(V314=V312,IF(V314&lt;V315,IF(M307=2,IF(Q317=3,1,2),IF(M307=1,IF(Q317=3,2,3))),IF(V314&gt;V315,IF(M307=2,IF(Q317=3,2,3),IF(M307=1,IF(Q317=3,3,4))))),IF(V314=V315,IF(V314&lt;V312,IF(M307=2,IF(Q331=3,1,2),IF(M307=1,IF(Q331=3,2,3))),IF(V314&gt;V312,IF(M307=2,IF(Q331=3,2,3),IF(M307=1,IF(Q331=3,3,4)))))))))))),"")</f>
        <v/>
      </c>
      <c r="AC326" s="192"/>
      <c r="AD326" s="192"/>
      <c r="AE326" s="192"/>
      <c r="AF326" s="203"/>
      <c r="AG326" s="203"/>
      <c r="AH326" s="203"/>
      <c r="AI326" s="203"/>
      <c r="AJ326" s="203"/>
      <c r="AK326" s="203"/>
      <c r="AL326" s="203"/>
      <c r="AM326" s="203"/>
      <c r="AN326" s="192"/>
      <c r="AO326" s="192"/>
      <c r="AP326" s="192"/>
      <c r="AQ326" s="192"/>
      <c r="AR326" s="192"/>
      <c r="AS326" s="192"/>
      <c r="AT326" s="192"/>
      <c r="AU326" s="192"/>
      <c r="AV326" s="192"/>
      <c r="AW326" s="192"/>
      <c r="AX326" s="192"/>
    </row>
    <row r="327" spans="2:50" ht="15" customHeight="1" thickTop="1" thickBot="1" x14ac:dyDescent="0.35">
      <c r="B327" s="192"/>
      <c r="C327" s="192"/>
      <c r="D327" s="192"/>
      <c r="E327" s="164"/>
      <c r="F327" s="164"/>
      <c r="G327" s="192"/>
      <c r="H327" s="192"/>
      <c r="I327" s="249" t="s">
        <v>119</v>
      </c>
      <c r="J327" s="249"/>
      <c r="K327" s="249"/>
      <c r="L327" s="250" t="s">
        <v>115</v>
      </c>
      <c r="M327" s="250" t="s">
        <v>116</v>
      </c>
      <c r="N327" s="250" t="s">
        <v>117</v>
      </c>
      <c r="O327" s="250" t="s">
        <v>118</v>
      </c>
      <c r="P327" s="250" t="s">
        <v>119</v>
      </c>
      <c r="Q327" s="250" t="s">
        <v>120</v>
      </c>
      <c r="R327" s="250"/>
      <c r="S327" s="251"/>
      <c r="T327" s="247"/>
      <c r="U327" s="235"/>
      <c r="V327" s="235"/>
      <c r="W327" s="235"/>
      <c r="X327" s="235"/>
      <c r="Y327" s="235"/>
      <c r="Z327" s="235"/>
      <c r="AA327" s="240">
        <v>4</v>
      </c>
      <c r="AB327" s="241" t="str">
        <f>IF(AND(COUNTBLANK(I305:I308)=0,Group_players=4,M305=M307,M307=M308),IF(V315="","",IF(COUNTIF(V312:V315,V315)=3,"Tied",IF(AND(COUNTIF(V312:V315,V315)=1,V314&lt;&gt;V312),IF(M308=2,IF(SMALL(V312:V315,1)=V315,1,IF(SMALL(V312:V315,2)=V315,2,IF(SMALL(V312:V315,3)=V315,3))),IF(M308=1,IF(SMALL(V312:V315,1)=V315,2,IF(SMALL(V312:V315,2)=V315,3,IF(SMALL(V312:V315,3)=V315,4))),"")),IF(COUNTIF(V312:V315,V315)=1,IF(V315&lt;V312,IF(M308=2,1,2),IF(M308=2,3,4)),IF(COUNTIF(V312:V315,V315)=2,IF(V315=V312,IF(V315&lt;V314,IF(M308=2,IF(Q323=3,1,2),IF(M308=1,IF(Q323=3,2,3))),IF(V315&gt;V314,IF(M308=2,IF(Q323=3,2,3),IF(M308=1,IF(Q323=3,3,4))))),IF(V315=V314,IF(V315&lt;V312,IF(M308=2,IF(Q332=3,1,2),IF(M308=1,IF(Q332=3,2,3))),IF(V315&gt;V312,IF(M308=2,IF(Q332=3,2,3),IF(M308=1,IF(Q332=3,3,4)))))))))))),"")</f>
        <v/>
      </c>
      <c r="AC327" s="192"/>
      <c r="AD327" s="192"/>
      <c r="AE327" s="192"/>
      <c r="AF327" s="203"/>
      <c r="AG327" s="203"/>
      <c r="AH327" s="203"/>
      <c r="AI327" s="203"/>
      <c r="AJ327" s="203"/>
      <c r="AK327" s="203"/>
      <c r="AL327" s="203"/>
      <c r="AM327" s="203"/>
      <c r="AN327" s="192"/>
      <c r="AO327" s="192"/>
      <c r="AP327" s="192"/>
      <c r="AQ327" s="192"/>
      <c r="AR327" s="192"/>
      <c r="AS327" s="192"/>
      <c r="AT327" s="192"/>
      <c r="AU327" s="192"/>
      <c r="AV327" s="192"/>
      <c r="AW327" s="192"/>
      <c r="AX327" s="192"/>
    </row>
    <row r="328" spans="2:50" ht="15" customHeight="1" thickTop="1" x14ac:dyDescent="0.3">
      <c r="B328" s="192"/>
      <c r="C328" s="192"/>
      <c r="D328" s="192"/>
      <c r="E328" s="164" t="str">
        <f>IF(Q328="","",IF(Q328=3,1,0))</f>
        <v/>
      </c>
      <c r="F328" s="164" t="str">
        <f>IF(Q328="","",IF(Q328&lt;3,1,0))</f>
        <v/>
      </c>
      <c r="G328" s="192"/>
      <c r="H328" s="192" t="str">
        <f>IF(I308&lt;&gt;"",1,"")</f>
        <v/>
      </c>
      <c r="I328" s="192" t="str">
        <f>IF(ISNUMBER(H328),VLOOKUP(H328,H305:I308,2,TRUE),"")</f>
        <v/>
      </c>
      <c r="J328" s="192"/>
      <c r="K328" s="192" t="str">
        <f>VLOOKUP(I328,I305:L308,3,FALSE)</f>
        <v/>
      </c>
      <c r="L328" s="253"/>
      <c r="M328" s="254"/>
      <c r="N328" s="254"/>
      <c r="O328" s="152"/>
      <c r="P328" s="153"/>
      <c r="Q328" s="255" t="str">
        <f>IF(L328="","",IF(AND(L328-L329&gt;1,L328&gt;10),1,0)+IF(AND(M328-M329&gt;1,M328&gt;10),1,0)+IF(AND(N328-N329&gt;1,N328&gt;10),1,0)+IF(AND(O328-O329&gt;1,O328&gt;10),1,0)+IF(AND(P328-P329&gt;1,P328&gt;10),1,0))</f>
        <v/>
      </c>
      <c r="R328" s="203" t="str">
        <f>IF(AND(I328="",I329=""),"",ABS(VLOOKUP(I328,I305:L308,4,FALSE)-VLOOKUP(I329,I305:L308,4,FALSE)))</f>
        <v/>
      </c>
      <c r="S328" s="256" t="str">
        <f>IF(R329="","",IF(Q328=3,+R329,-R329))</f>
        <v/>
      </c>
      <c r="T328" s="247"/>
      <c r="U328" s="235"/>
      <c r="V328" s="235"/>
      <c r="W328" s="235"/>
      <c r="X328" s="235"/>
      <c r="Y328" s="235"/>
      <c r="Z328" s="235"/>
      <c r="AA328" s="243">
        <v>1</v>
      </c>
      <c r="AB328" s="222" t="str">
        <f>IF(AND(COUNTBLANK(I305:I308)=0,Group_players=4,M305=M306,M306=M308),IF(W312="","",IF(COUNTIF(W312:W315,W312)=3,"Tied",IF(AND(COUNTIF(W312:W315,W312)=1,W313&lt;&gt;W314),IF(M305=2,IF(SMALL(W312:W315,1)=W312,1,IF(SMALL(W312:W315,2)=W312,2,IF(SMALL(W312:W315,3)=W312,3))),IF(M305=1,IF(SMALL(W312:W315,1)=W312,2,IF(SMALL(W312:W315,2)=W312,3,IF(SMALL(W312:W315,3)=W312,4))),"")),IF(COUNTIF(W312:W315,W312)=1,IF(W312&lt;W313,IF(M305=2,1,2),IF(M305=2,3,4)),IF(COUNTIF(W312:W315,W312)=2,IF(W312=W313,IF(W312&lt;W315,IF(M305=2,IF(Q328=3,1,2),IF(M305=1,IF(Q328=3,2,3))),IF(W312&gt;W315,IF(M305=2,IF(Q328=3,2,3),IF(M305=1,IF(Q328=3,3,4))))),IF(W312=W315,IF(W312&lt;W313,IF(M305=2,IF(Q322=3,1,2),IF(M305=1,IF(Q322=3,2,3))),IF(W312&gt;W313,IF(M305=2,IF(Q322=3,2,3),IF(M305=1,IF(Q322=3,3,4)))))))))))),"")</f>
        <v/>
      </c>
      <c r="AC328" s="192"/>
      <c r="AD328" s="192"/>
      <c r="AE328" s="192"/>
      <c r="AF328" s="203"/>
      <c r="AG328" s="203"/>
      <c r="AH328" s="203"/>
      <c r="AI328" s="203"/>
      <c r="AJ328" s="203"/>
      <c r="AK328" s="203"/>
      <c r="AL328" s="203"/>
      <c r="AM328" s="203"/>
      <c r="AN328" s="192"/>
      <c r="AO328" s="192"/>
      <c r="AP328" s="192"/>
      <c r="AQ328" s="192"/>
      <c r="AR328" s="192"/>
      <c r="AS328" s="192"/>
      <c r="AT328" s="192"/>
      <c r="AU328" s="192"/>
      <c r="AV328" s="192"/>
      <c r="AW328" s="192"/>
      <c r="AX328" s="192"/>
    </row>
    <row r="329" spans="2:50" ht="15" customHeight="1" thickBot="1" x14ac:dyDescent="0.35">
      <c r="B329" s="192"/>
      <c r="C329" s="192"/>
      <c r="D329" s="192"/>
      <c r="E329" s="164" t="str">
        <f>IF(Q329="","",IF(Q329=3,1,0))</f>
        <v/>
      </c>
      <c r="F329" s="164" t="str">
        <f>IF(Q329="","",IF(Q329&lt;3,1,0))</f>
        <v/>
      </c>
      <c r="G329" s="192"/>
      <c r="H329" s="192" t="str">
        <f>IF(I308&lt;&gt;"",2,"")</f>
        <v/>
      </c>
      <c r="I329" s="192" t="str">
        <f>IF(ISNUMBER(H329),VLOOKUP(H329,H305:I308,2,TRUE),"")</f>
        <v/>
      </c>
      <c r="J329" s="192"/>
      <c r="K329" s="192" t="str">
        <f>VLOOKUP(I329,I305:L308,3,FALSE)</f>
        <v/>
      </c>
      <c r="L329" s="155"/>
      <c r="M329" s="259"/>
      <c r="N329" s="259"/>
      <c r="O329" s="156"/>
      <c r="P329" s="157"/>
      <c r="Q329" s="260" t="str">
        <f>IF(L329="","",IF(AND(L329-L328&gt;1,L329&gt;10),1,0)+IF(AND(M329-M328&gt;1,M329&gt;10),1,0)+IF(AND(N329-N328&gt;1,N329&gt;10),1,0)+IF(AND(O329-O328&gt;1,O329&gt;10),1,0)+IF(AND(P329-P328&gt;1,P329&gt;10),1,0))</f>
        <v/>
      </c>
      <c r="R329" s="203" t="str">
        <f>IF(AND(Q328&lt;&gt;3,Q329&lt;&gt;3),"",IF(Q328=3,IF(VLOOKUP(I328,I305:L308,4,FALSE)&gt;VLOOKUP(I329,I305:L308,4,FALSE),VLOOKUP(R328,Point_dif,2,FALSE),VLOOKUP(R328,Point_dif,3,FALSE)),IF(Q329=3,IF(VLOOKUP(I329,I305:L308,4,FALSE)&gt;VLOOKUP(I329,I305:L308,4,FALSE),VLOOKUP(R328,Point_dif,2,FALSE),VLOOKUP(R328,Point_dif,3,FALSE)))))</f>
        <v/>
      </c>
      <c r="S329" s="256" t="str">
        <f>IF(R329="","",IF(Q329=3,+R329,-R329))</f>
        <v/>
      </c>
      <c r="T329" s="247"/>
      <c r="U329" s="235"/>
      <c r="V329" s="235"/>
      <c r="W329" s="235"/>
      <c r="X329" s="235"/>
      <c r="Y329" s="235"/>
      <c r="Z329" s="235"/>
      <c r="AA329" s="246">
        <v>2</v>
      </c>
      <c r="AB329" s="222" t="str">
        <f>IF(AND(COUNTBLANK(I305:I308)=0,Group_players=4,M305=M306,M306=M308),IF(W313="","",IF(COUNTIF(W312:W315,W313)=3,"Tied",IF(AND(COUNTIF(W312:W315,W313)=1,W312&lt;&gt;W314),IF(M306=2,IF(SMALL(W312:W315,1)=W313,1,IF(SMALL(W312:W315,2)=W313,2,IF(SMALL(W312:W315,3)=W313,3))),IF(M306=1,IF(SMALL(W312:W315,1)=W313,2,IF(SMALL(W312:W315,2)=W313,3,IF(SMALL(W312:W315,3)=W313,4))),"")),IF(COUNTIF(W312:W315,W313)=1,IF(W313&lt;W312,IF(M306=2,1,2),IF(M306=2,3,4)),IF(COUNTIF(W312:W315,W313)=2,IF(W313=W312,IF(W313&lt;W315,IF(M306=2,IF(Q329=3,1,2),IF(M306=1,IF(Q329=3,2,3))),IF(W313&gt;W315,IF(M306=2,IF(Q329=3,2,3),IF(M306=1,IF(Q329=3,3,4))))),IF(W313=W315,IF(W313&lt;W312,IF(M306=2,IF(Q319=3,1,2),IF(M306=1,IF(Q319=3,2,3))),IF(W313&gt;W312,IF(M306=2,IF(Q319=3,2,3),IF(M306=1,IF(Q319=3,3,4)))))))))))),"")</f>
        <v/>
      </c>
      <c r="AC329" s="192"/>
      <c r="AD329" s="192"/>
      <c r="AE329" s="192"/>
      <c r="AF329" s="203"/>
      <c r="AG329" s="203"/>
      <c r="AH329" s="203"/>
      <c r="AI329" s="203"/>
      <c r="AJ329" s="203"/>
      <c r="AK329" s="203"/>
      <c r="AL329" s="203"/>
      <c r="AM329" s="203"/>
      <c r="AN329" s="192"/>
      <c r="AO329" s="192"/>
      <c r="AP329" s="192"/>
      <c r="AQ329" s="192"/>
      <c r="AR329" s="192"/>
      <c r="AS329" s="192"/>
      <c r="AT329" s="192"/>
      <c r="AU329" s="192"/>
      <c r="AV329" s="192"/>
      <c r="AW329" s="192"/>
      <c r="AX329" s="192"/>
    </row>
    <row r="330" spans="2:50" ht="15" customHeight="1" thickTop="1" thickBot="1" x14ac:dyDescent="0.35">
      <c r="B330" s="192"/>
      <c r="C330" s="192"/>
      <c r="D330" s="192"/>
      <c r="E330" s="164"/>
      <c r="F330" s="164"/>
      <c r="G330" s="192"/>
      <c r="H330" s="192"/>
      <c r="I330" s="249" t="s">
        <v>121</v>
      </c>
      <c r="J330" s="249"/>
      <c r="K330" s="249"/>
      <c r="L330" s="250" t="s">
        <v>115</v>
      </c>
      <c r="M330" s="250" t="s">
        <v>116</v>
      </c>
      <c r="N330" s="250" t="s">
        <v>117</v>
      </c>
      <c r="O330" s="250" t="s">
        <v>118</v>
      </c>
      <c r="P330" s="250" t="s">
        <v>119</v>
      </c>
      <c r="Q330" s="250" t="s">
        <v>120</v>
      </c>
      <c r="R330" s="250"/>
      <c r="S330" s="251"/>
      <c r="T330" s="247"/>
      <c r="U330" s="235"/>
      <c r="V330" s="235"/>
      <c r="W330" s="235"/>
      <c r="X330" s="235"/>
      <c r="Y330" s="235"/>
      <c r="Z330" s="235"/>
      <c r="AA330" s="240">
        <v>4</v>
      </c>
      <c r="AB330" s="241" t="str">
        <f>IF(AND(COUNTBLANK(I305:I308)=0,Group_players=4,M305=M306,M306=M308),IF(W315="","",IF(COUNTIF(W312:W315,W315)=3,"Tied",IF(AND(COUNTIF(W312:W315,W315)=1,W312&lt;&gt;W313),IF(M308=2,IF(SMALL(W312:W315,1)=W315,1,IF(SMALL(W312:W315,2)=W315,2,IF(SMALL(W312:W315,3)=W315,3))),IF(M308=1,IF(SMALL(W312:W315,1)=W315,2,IF(SMALL(W312:W315,2)=W315,3,IF(SMALL(W312:W315,3)=W315,4))),"")),IF(COUNTIF(W312:W315,W315)=1,IF(W315&lt;W312,IF(M308=2,1,2),IF(M308=2,3,4)),IF(COUNTIF(W312:W315,W315)=2,IF(W315=W312,IF(W315&lt;W313,IF(M308=2,IF(Q323=3,1,2),IF(M308=1,IF(Q323=3,2,3))),IF(W315&gt;W314,IF(M308=2,IF(Q323=3,2,3),IF(M308=1,IF(Q323=3,3,4))))),IF(W315=W313,IF(W315&lt;W312,IF(M308=2,IF(Q320=3,1,2),IF(M308=1,IF(Q320=3,2,3))),IF(W315&gt;W312,IF(M308=2,IF(Q320=3,2,3),IF(M308=1,IF(Q320=3,3,4)))))))))))),"")</f>
        <v/>
      </c>
      <c r="AC330" s="192"/>
      <c r="AD330" s="192"/>
      <c r="AE330" s="192"/>
      <c r="AF330" s="203"/>
      <c r="AG330" s="203"/>
      <c r="AH330" s="203"/>
      <c r="AI330" s="203"/>
      <c r="AJ330" s="203"/>
      <c r="AK330" s="203"/>
      <c r="AL330" s="203"/>
      <c r="AM330" s="203"/>
      <c r="AN330" s="192"/>
      <c r="AO330" s="192"/>
      <c r="AP330" s="192"/>
      <c r="AQ330" s="192"/>
      <c r="AR330" s="192"/>
      <c r="AS330" s="192"/>
      <c r="AT330" s="192"/>
      <c r="AU330" s="192"/>
      <c r="AV330" s="192"/>
      <c r="AW330" s="192"/>
      <c r="AX330" s="192"/>
    </row>
    <row r="331" spans="2:50" ht="15" customHeight="1" thickTop="1" x14ac:dyDescent="0.3">
      <c r="B331" s="192"/>
      <c r="C331" s="192"/>
      <c r="D331" s="192"/>
      <c r="E331" s="164" t="str">
        <f>IF(Q331="","",IF(Q331=3,1,0))</f>
        <v/>
      </c>
      <c r="F331" s="164" t="str">
        <f>IF(Q331="","",IF(Q331&lt;3,1,0))</f>
        <v/>
      </c>
      <c r="G331" s="192"/>
      <c r="H331" s="192" t="str">
        <f>IF(I308&lt;&gt;"",3,"")</f>
        <v/>
      </c>
      <c r="I331" s="192" t="str">
        <f>IF(ISNUMBER(H331),VLOOKUP(H331,H305:I308,2,TRUE),"")</f>
        <v/>
      </c>
      <c r="J331" s="192"/>
      <c r="K331" s="192" t="str">
        <f>VLOOKUP(I331,I305:L308,3,FALSE)</f>
        <v/>
      </c>
      <c r="L331" s="253"/>
      <c r="M331" s="254"/>
      <c r="N331" s="254"/>
      <c r="O331" s="152"/>
      <c r="P331" s="153"/>
      <c r="Q331" s="255" t="str">
        <f>IF(L331="","",IF(AND(L331-L332&gt;1,L331&gt;10),1,0)+IF(AND(M331-M332&gt;1,M331&gt;10),1,0)+IF(AND(N331-N332&gt;1,N331&gt;10),1,0)+IF(AND(O331-O332&gt;1,O331&gt;10),1,0)+IF(AND(P331-P332&gt;1,P331&gt;10),1,0))</f>
        <v/>
      </c>
      <c r="R331" s="203" t="str">
        <f>IF(AND(I331="",I332=""),"",ABS(VLOOKUP(I331,I305:L308,4,FALSE)-VLOOKUP(I332,I305:L308,4,FALSE)))</f>
        <v/>
      </c>
      <c r="S331" s="256" t="str">
        <f>IF(R332="","",IF(Q331=3,+R332,-R332))</f>
        <v/>
      </c>
      <c r="T331" s="247"/>
      <c r="U331" s="264"/>
      <c r="V331" s="242"/>
      <c r="W331" s="192"/>
      <c r="X331" s="264"/>
      <c r="Y331" s="192"/>
      <c r="Z331" s="192"/>
      <c r="AA331" s="243">
        <v>2</v>
      </c>
      <c r="AB331" s="222" t="str">
        <f>IF(AND(COUNTBLANK(I305:I308)=0,Group_players=4,M306=M307,M307=M308),IF(X313="","",IF(COUNTIF(X312:X315,X313)=3,"Tied",IF(AND(COUNTIF(X312:X315,X313)=1,X314&lt;&gt;X315),IF(M306=2,IF(SMALL(X312:X315,1)=X313,1,IF(SMALL(X312:X315,2)=X313,2,IF(SMALL(X312:X315,3)=X313,3))),IF(M306=1,IF(SMALL(X312:X315,1)=X313,2,IF(SMALL(X312:X315,2)=X313,3,IF(SMALL(X312:X315,3)=X313,4))),"")),IF(COUNTIF(X312:X315,X313)=1,IF(X313&lt;X315,IF(M306=2,1,2),IF(M306=1,4)),IF(COUNTIF(X312:X315,X313)=2,IF(X313=X314,IF(X313&lt;X315,IF(M306=2,IF(Q325=3,1,2),IF(M306=1,IF(Q325=3,2,3))),IF(X313&gt;X315,IF(M306=2,IF(Q325=3,2,3),IF(M306=1,IF(Q325=3,3,4))))),IF(X313=X315,IF(X313&lt;X314,IF(M306=2,IF(Q319=3,1,2),IF(M306=1,IF(Q319=3,2,3))),IF(X313&gt;X314,IF(M306=2,IF(Q319=3,2,3),IF(M306=1,IF(Q319=3,3,4)))))))))))),"")</f>
        <v/>
      </c>
      <c r="AC331" s="192"/>
      <c r="AD331" s="192"/>
      <c r="AE331" s="192"/>
      <c r="AF331" s="203"/>
      <c r="AG331" s="203"/>
      <c r="AH331" s="203"/>
      <c r="AI331" s="203"/>
      <c r="AJ331" s="203"/>
      <c r="AK331" s="203"/>
      <c r="AL331" s="203"/>
      <c r="AM331" s="203"/>
      <c r="AN331" s="192"/>
      <c r="AO331" s="192"/>
      <c r="AP331" s="192"/>
      <c r="AQ331" s="192"/>
      <c r="AR331" s="192"/>
      <c r="AS331" s="192"/>
      <c r="AT331" s="192"/>
      <c r="AU331" s="192"/>
      <c r="AV331" s="192"/>
      <c r="AW331" s="192"/>
      <c r="AX331" s="192"/>
    </row>
    <row r="332" spans="2:50" ht="15" customHeight="1" thickBot="1" x14ac:dyDescent="0.35">
      <c r="B332" s="192"/>
      <c r="C332" s="192"/>
      <c r="D332" s="192"/>
      <c r="E332" s="164" t="str">
        <f>IF(Q332="","",IF(Q332=3,1,0))</f>
        <v/>
      </c>
      <c r="F332" s="164" t="str">
        <f>IF(Q332="","",IF(Q332&lt;3,1,0))</f>
        <v/>
      </c>
      <c r="G332" s="192"/>
      <c r="H332" s="192" t="str">
        <f>IF(I308&lt;&gt;"",4,"")</f>
        <v/>
      </c>
      <c r="I332" s="192" t="str">
        <f>IF(ISNUMBER(H332),VLOOKUP(H332,H305:I308,2,TRUE),"")</f>
        <v/>
      </c>
      <c r="J332" s="192"/>
      <c r="K332" s="192" t="str">
        <f>VLOOKUP(I332,I305:L308,3,FALSE)</f>
        <v/>
      </c>
      <c r="L332" s="155"/>
      <c r="M332" s="259"/>
      <c r="N332" s="259"/>
      <c r="O332" s="156"/>
      <c r="P332" s="157"/>
      <c r="Q332" s="260" t="str">
        <f>IF(L332="","",IF(AND(L332-L331&gt;1,L332&gt;10),1,0)+IF(AND(M332-M331&gt;1,M332&gt;10),1,0)+IF(AND(N332-N331&gt;1,N332&gt;10),1,0)+IF(AND(O332-O331&gt;1,O332&gt;10),1,0)+IF(AND(P332-P331&gt;1,P332&gt;10),1,0))</f>
        <v/>
      </c>
      <c r="R332" s="203" t="str">
        <f>IF(AND(Q331&lt;&gt;3,Q332&lt;&gt;3),"",IF(Q331=3,IF(VLOOKUP(I331,I305:L308,4,FALSE)&gt;VLOOKUP(I332,I305:L308,4,FALSE),VLOOKUP(R331,Point_dif,2,FALSE),VLOOKUP(R331,Point_dif,3,FALSE)),IF(Q332=3,IF(VLOOKUP(I332,I305:L308,4,FALSE)&gt;VLOOKUP(I331,I305:L308,4,FALSE),VLOOKUP(R331,Point_dif,2,FALSE),VLOOKUP(R331,Point_dif,3,FALSE)))))</f>
        <v/>
      </c>
      <c r="S332" s="260" t="str">
        <f>IF(R332="","",IF(Q332=3,+R332,-R332))</f>
        <v/>
      </c>
      <c r="T332" s="247"/>
      <c r="U332" s="235"/>
      <c r="V332" s="235"/>
      <c r="W332" s="235"/>
      <c r="X332" s="235"/>
      <c r="Y332" s="235"/>
      <c r="Z332" s="235"/>
      <c r="AA332" s="246">
        <v>3</v>
      </c>
      <c r="AB332" s="222" t="str">
        <f>IF(AND(COUNTBLANK(I305:I308)=0,Group_players=4,Group_players=4,M306=M307,M307=M308),IF(X314="","",IF(COUNTIF(X312:X315,X314)=3,"Tied",IF(AND(COUNTIF(X312:X315,X314)=1,X313&lt;&gt;X315),IF(M307=2,IF(SMALL(X312:X315,1)=X314,1,IF(SMALL(X312:X315,2)=X314,2,IF(SMALL(X312:X315,3)=X314,3))),IF(M307=1,IF(SMALL(X312:X315,1)=X314,2,IF(SMALL(X312:X315,2)=X314,3,IF(SMALL(X312:X315,3)=X314,4))),"")),IF(COUNTIF(X312:X315,X314)=1,IF(X314&lt;X313,IF(M307=2,1,2),IF(M307=2,3,4)),IF(COUNTIF(X312:X315,X314)=2,IF(X314=X313,IF(X314&lt;X315,IF(M307=2,IF(Q326=3,1,2),IF(M307=1,IF(Q326=3,2,3))),IF(X314&gt;X315,IF(M307=2,IF(Q326=3,2,3),IF(M307=1,IF(Q326=3,3,4))))),IF(X314=X315,IF(X314&lt;X313,IF(M307=2,IF(Q331=3,1,2),IF(M307=1,IF(Q331=3,2,3))),IF(X314&gt;X313,IF(M307=2,IF(Q331=3,2,3),IF(M307=1,IF(Q331=3,3,4)))))))))))),"")</f>
        <v/>
      </c>
      <c r="AC332" s="192"/>
      <c r="AD332" s="192"/>
      <c r="AE332" s="192"/>
      <c r="AF332" s="203"/>
      <c r="AG332" s="203"/>
      <c r="AH332" s="203"/>
      <c r="AI332" s="203"/>
      <c r="AJ332" s="203"/>
      <c r="AK332" s="203"/>
      <c r="AL332" s="203"/>
      <c r="AM332" s="203"/>
      <c r="AN332" s="192"/>
      <c r="AO332" s="192"/>
      <c r="AP332" s="192"/>
      <c r="AQ332" s="192"/>
      <c r="AR332" s="192"/>
      <c r="AS332" s="192"/>
      <c r="AT332" s="192"/>
      <c r="AU332" s="192"/>
      <c r="AV332" s="192"/>
      <c r="AW332" s="192"/>
      <c r="AX332" s="192"/>
    </row>
    <row r="333" spans="2:50" ht="15" customHeight="1" thickTop="1" thickBot="1" x14ac:dyDescent="0.35">
      <c r="B333" s="192"/>
      <c r="C333" s="192"/>
      <c r="D333" s="192"/>
      <c r="E333" s="192"/>
      <c r="F333" s="192"/>
      <c r="G333" s="192"/>
      <c r="H333" s="192"/>
      <c r="I333" s="192"/>
      <c r="J333" s="192"/>
      <c r="K333" s="192"/>
      <c r="L333" s="192"/>
      <c r="M333" s="192"/>
      <c r="N333" s="192"/>
      <c r="O333" s="268"/>
      <c r="P333" s="192"/>
      <c r="Q333" s="192"/>
      <c r="R333" s="247"/>
      <c r="S333" s="247"/>
      <c r="T333" s="247"/>
      <c r="U333" s="235"/>
      <c r="V333" s="235"/>
      <c r="W333" s="235"/>
      <c r="X333" s="235"/>
      <c r="Y333" s="235"/>
      <c r="Z333" s="235"/>
      <c r="AA333" s="261">
        <v>4</v>
      </c>
      <c r="AB333" s="233" t="str">
        <f>IF(AND(COUNTBLANK(I305:I308)=0,Group_players=4,M306=M307,M307=M308),IF(X315="","",IF(COUNTIF(X312:X315,X315)=3,"Tied",IF(AND(COUNTIF(X312:X315,X315)=1,X314&lt;&gt;X313),IF(M308=2,IF(SMALL(X312:X315,1)=X315,1,IF(SMALL(X312:X315,2)=X315,2,IF(SMALL(X312:X315,3)=X315,3))),IF(M308=1,IF(SMALL(X312:X315,1)=X315,2,IF(SMALL(X312:X315,2)=X315,3,IF(SMALL(X312:X315,3)=X315,4))),"")),IF(COUNTIF(X312:X315,X315)=1,IF(X315&lt;X313,IF(M308=2,1,2),IF(M308=2,3,4)),IF(COUNTIF(X312:X315,X315)=2,IF(X315=X313,IF(X315&lt;X314,IF(M308=2,IF(Q320=3,1,2),IF(M308=1,IF(Q320=3,2,3))),IF(X315&gt;X314,IF(M308=2,IF(Q320=3,2,3),IF(M308=1,IF(Q320=3,3,4))))),IF(X315=X314,IF(X315&lt;X313,IF(M308=2,IF(Q332=3,1,2),IF(M308=1,IF(Q332=3,2,3))),IF(X315&gt;X313,IF(M308=2,IF(Q332=3,2,3),IF(M308=1,IF(Q332=3,3,4)))))))))))),"")</f>
        <v/>
      </c>
      <c r="AC333" s="192"/>
      <c r="AD333" s="192"/>
      <c r="AE333" s="192"/>
      <c r="AF333" s="203"/>
      <c r="AG333" s="203"/>
      <c r="AH333" s="203"/>
      <c r="AI333" s="203"/>
      <c r="AJ333" s="203"/>
      <c r="AK333" s="203"/>
      <c r="AL333" s="203"/>
      <c r="AM333" s="203"/>
      <c r="AN333" s="192"/>
      <c r="AO333" s="192"/>
      <c r="AP333" s="192"/>
      <c r="AQ333" s="192"/>
      <c r="AR333" s="192"/>
      <c r="AS333" s="192"/>
      <c r="AT333" s="192"/>
      <c r="AU333" s="192"/>
      <c r="AV333" s="192"/>
      <c r="AW333" s="192"/>
      <c r="AX333" s="192"/>
    </row>
    <row r="334" spans="2:50" ht="15" customHeight="1" thickTop="1" x14ac:dyDescent="0.3">
      <c r="B334" s="192"/>
      <c r="C334" s="192"/>
      <c r="D334" s="192"/>
      <c r="E334" s="192"/>
      <c r="F334" s="192"/>
      <c r="G334" s="192"/>
      <c r="H334" s="192"/>
      <c r="I334" s="192"/>
      <c r="J334" s="192"/>
      <c r="K334" s="192"/>
      <c r="L334" s="192"/>
      <c r="M334" s="192"/>
      <c r="N334" s="192"/>
      <c r="O334" s="192"/>
      <c r="P334" s="192"/>
      <c r="Q334" s="192"/>
      <c r="R334" s="192"/>
      <c r="S334" s="192"/>
      <c r="T334" s="203"/>
      <c r="U334" s="192"/>
      <c r="V334" s="192"/>
      <c r="W334" s="192"/>
      <c r="X334" s="192"/>
      <c r="Y334" s="192"/>
      <c r="Z334" s="192"/>
      <c r="AA334" s="192"/>
      <c r="AB334" s="192"/>
      <c r="AC334" s="192"/>
      <c r="AD334" s="192"/>
      <c r="AE334" s="192"/>
      <c r="AF334" s="203"/>
      <c r="AG334" s="203"/>
      <c r="AH334" s="203"/>
      <c r="AI334" s="203"/>
      <c r="AJ334" s="203"/>
      <c r="AK334" s="203"/>
      <c r="AL334" s="203"/>
      <c r="AM334" s="203"/>
      <c r="AN334" s="192"/>
      <c r="AO334" s="192"/>
      <c r="AP334" s="192"/>
      <c r="AQ334" s="192"/>
      <c r="AR334" s="192"/>
      <c r="AS334" s="192"/>
      <c r="AT334" s="192"/>
      <c r="AU334" s="192"/>
      <c r="AV334" s="192"/>
      <c r="AW334" s="192"/>
      <c r="AX334" s="192"/>
    </row>
    <row r="335" spans="2:50" ht="15" customHeight="1" x14ac:dyDescent="0.3">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c r="AA335" s="192"/>
      <c r="AB335" s="192"/>
      <c r="AC335" s="192"/>
      <c r="AD335" s="192"/>
      <c r="AE335" s="192"/>
      <c r="AF335" s="203"/>
      <c r="AG335" s="203"/>
      <c r="AH335" s="203"/>
      <c r="AI335" s="203"/>
      <c r="AJ335" s="203"/>
      <c r="AK335" s="203"/>
      <c r="AL335" s="203"/>
      <c r="AM335" s="203"/>
      <c r="AN335" s="192"/>
      <c r="AO335" s="192"/>
      <c r="AP335" s="192"/>
      <c r="AQ335" s="192"/>
      <c r="AR335" s="192"/>
      <c r="AS335" s="192"/>
      <c r="AT335" s="192"/>
      <c r="AU335" s="192"/>
      <c r="AV335" s="192"/>
      <c r="AW335" s="192"/>
      <c r="AX335" s="192"/>
    </row>
    <row r="336" spans="2:50" ht="15" customHeight="1" x14ac:dyDescent="0.3">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269"/>
      <c r="AA336" s="192"/>
      <c r="AB336" s="192"/>
      <c r="AC336" s="192"/>
      <c r="AD336" s="192"/>
      <c r="AE336" s="192"/>
      <c r="AF336" s="203"/>
      <c r="AG336" s="203"/>
      <c r="AH336" s="203"/>
      <c r="AI336" s="203"/>
      <c r="AJ336" s="203"/>
      <c r="AK336" s="203"/>
      <c r="AL336" s="203"/>
      <c r="AM336" s="203"/>
      <c r="AN336" s="192"/>
      <c r="AO336" s="192"/>
      <c r="AP336" s="192"/>
      <c r="AQ336" s="192"/>
      <c r="AR336" s="192"/>
      <c r="AS336" s="192"/>
      <c r="AT336" s="192"/>
      <c r="AU336" s="192"/>
      <c r="AV336" s="192"/>
      <c r="AW336" s="192"/>
      <c r="AX336" s="192"/>
    </row>
    <row r="337" spans="2:50" ht="15" customHeight="1" x14ac:dyDescent="0.3">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c r="AA337" s="192"/>
      <c r="AB337" s="192"/>
      <c r="AC337" s="192"/>
      <c r="AD337" s="192"/>
      <c r="AE337" s="192"/>
      <c r="AF337" s="203"/>
      <c r="AG337" s="203"/>
      <c r="AH337" s="203"/>
      <c r="AI337" s="203"/>
      <c r="AJ337" s="203"/>
      <c r="AK337" s="203"/>
      <c r="AL337" s="203"/>
      <c r="AM337" s="203"/>
      <c r="AN337" s="192"/>
      <c r="AO337" s="192"/>
      <c r="AP337" s="192"/>
      <c r="AQ337" s="192"/>
      <c r="AR337" s="192"/>
      <c r="AS337" s="192"/>
      <c r="AT337" s="192"/>
      <c r="AU337" s="192"/>
      <c r="AV337" s="192"/>
      <c r="AW337" s="192"/>
      <c r="AX337" s="192"/>
    </row>
    <row r="338" spans="2:50" ht="15" customHeight="1" x14ac:dyDescent="0.3">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c r="AA338" s="192"/>
      <c r="AB338" s="192"/>
      <c r="AC338" s="192"/>
      <c r="AD338" s="192"/>
      <c r="AE338" s="192"/>
      <c r="AF338" s="203"/>
      <c r="AG338" s="203"/>
      <c r="AH338" s="203"/>
      <c r="AI338" s="203"/>
      <c r="AJ338" s="203"/>
      <c r="AK338" s="203"/>
      <c r="AL338" s="203"/>
      <c r="AM338" s="203"/>
      <c r="AN338" s="192"/>
      <c r="AO338" s="192"/>
      <c r="AP338" s="192"/>
      <c r="AQ338" s="192"/>
      <c r="AR338" s="192"/>
      <c r="AS338" s="192"/>
      <c r="AT338" s="192"/>
      <c r="AU338" s="192"/>
      <c r="AV338" s="192"/>
      <c r="AW338" s="192"/>
      <c r="AX338" s="192"/>
    </row>
    <row r="339" spans="2:50" ht="15" customHeight="1" thickBot="1" x14ac:dyDescent="0.4">
      <c r="B339" s="192"/>
      <c r="C339" s="192"/>
      <c r="D339" s="192"/>
      <c r="E339" s="192"/>
      <c r="F339" s="192"/>
      <c r="G339" s="192"/>
      <c r="H339" s="192"/>
      <c r="I339" s="383" t="s">
        <v>132</v>
      </c>
      <c r="J339" s="383"/>
      <c r="K339" s="383"/>
      <c r="L339" s="383"/>
      <c r="M339" s="383"/>
      <c r="N339" s="383"/>
      <c r="O339" s="383"/>
      <c r="P339" s="383"/>
      <c r="Q339" s="383"/>
      <c r="R339" s="383"/>
      <c r="S339" s="192"/>
      <c r="T339" s="192"/>
      <c r="U339" s="370" t="s">
        <v>92</v>
      </c>
      <c r="V339" s="371"/>
      <c r="W339" s="371"/>
      <c r="X339" s="372"/>
      <c r="Y339" s="192"/>
      <c r="Z339" s="192"/>
      <c r="AA339" s="192"/>
      <c r="AB339" s="192"/>
      <c r="AC339" s="192"/>
      <c r="AD339" s="192"/>
      <c r="AE339" s="192"/>
      <c r="AF339" s="203"/>
      <c r="AG339" s="203"/>
      <c r="AH339" s="203"/>
      <c r="AI339" s="203"/>
      <c r="AJ339" s="203"/>
      <c r="AK339" s="203"/>
      <c r="AL339" s="203"/>
      <c r="AM339" s="203"/>
      <c r="AN339" s="192"/>
      <c r="AO339" s="192"/>
      <c r="AP339" s="192"/>
      <c r="AQ339" s="192"/>
      <c r="AR339" s="192"/>
      <c r="AS339" s="192"/>
      <c r="AT339" s="192"/>
      <c r="AU339" s="192"/>
      <c r="AV339" s="192"/>
      <c r="AW339" s="192"/>
      <c r="AX339" s="192"/>
    </row>
    <row r="340" spans="2:50" ht="15" customHeight="1" thickTop="1" thickBot="1" x14ac:dyDescent="0.35">
      <c r="B340" s="192"/>
      <c r="C340" s="192"/>
      <c r="D340" s="192"/>
      <c r="E340" s="192"/>
      <c r="F340" s="192"/>
      <c r="G340" s="192"/>
      <c r="H340" s="192"/>
      <c r="I340" s="400" t="s">
        <v>93</v>
      </c>
      <c r="J340" s="160"/>
      <c r="K340" s="396" t="s">
        <v>94</v>
      </c>
      <c r="L340" s="398" t="s">
        <v>95</v>
      </c>
      <c r="M340" s="390" t="s">
        <v>96</v>
      </c>
      <c r="N340" s="390" t="s">
        <v>97</v>
      </c>
      <c r="O340" s="373" t="s">
        <v>98</v>
      </c>
      <c r="P340" s="373" t="str">
        <f>IF(COUNT(U341:X352)=3,"LM/WM Ratio",IF(COUNT(U341:X352)=6,"LP/WP Ratio",""))</f>
        <v/>
      </c>
      <c r="Q340" s="390" t="s">
        <v>99</v>
      </c>
      <c r="R340" s="392" t="s">
        <v>100</v>
      </c>
      <c r="S340" s="192"/>
      <c r="T340" s="120"/>
      <c r="U340" s="121" t="s">
        <v>101</v>
      </c>
      <c r="V340" s="122" t="s">
        <v>102</v>
      </c>
      <c r="W340" s="122" t="s">
        <v>103</v>
      </c>
      <c r="X340" s="123" t="s">
        <v>104</v>
      </c>
      <c r="Y340" s="380" t="s">
        <v>105</v>
      </c>
      <c r="Z340" s="379"/>
      <c r="AA340" s="378" t="s">
        <v>106</v>
      </c>
      <c r="AB340" s="379"/>
      <c r="AC340" s="192"/>
      <c r="AD340" s="192"/>
      <c r="AE340" s="203"/>
      <c r="AF340" s="203"/>
      <c r="AG340" s="203"/>
      <c r="AH340" s="203"/>
      <c r="AI340" s="203"/>
      <c r="AJ340" s="203"/>
      <c r="AK340" s="203"/>
      <c r="AL340" s="203"/>
      <c r="AM340" s="203"/>
      <c r="AN340" s="192"/>
      <c r="AO340" s="192"/>
      <c r="AP340" s="192"/>
      <c r="AQ340" s="192"/>
      <c r="AR340" s="192"/>
      <c r="AS340" s="192"/>
      <c r="AT340" s="192"/>
      <c r="AU340" s="192"/>
      <c r="AV340" s="192"/>
      <c r="AW340" s="192"/>
      <c r="AX340" s="192"/>
    </row>
    <row r="341" spans="2:50" ht="15" customHeight="1" thickTop="1" thickBot="1" x14ac:dyDescent="0.35">
      <c r="B341" s="192"/>
      <c r="C341" s="192"/>
      <c r="D341" s="192"/>
      <c r="E341" s="192"/>
      <c r="F341" s="192"/>
      <c r="G341" s="192"/>
      <c r="H341" s="192"/>
      <c r="I341" s="401"/>
      <c r="J341" s="161"/>
      <c r="K341" s="397"/>
      <c r="L341" s="399"/>
      <c r="M341" s="391"/>
      <c r="N341" s="391"/>
      <c r="O341" s="374"/>
      <c r="P341" s="374"/>
      <c r="Q341" s="391"/>
      <c r="R341" s="393"/>
      <c r="S341" s="192"/>
      <c r="T341" s="208">
        <v>1</v>
      </c>
      <c r="U341" s="209" t="str">
        <f>IF(M342="","",IF(COUNTIF(M342:M344,M342)=3,IF(COUNTBLANK(I342:I345)=1,(Q354+Q360)/(Q353+Q359),IF(COUNTBLANK(I342:I345)=0,(Q366+Q354)/(Q365+Q353),"")),""))</f>
        <v/>
      </c>
      <c r="V341" s="125" t="str">
        <f>IF(AND(COUNTBLANK(I342:I345)=0,M342=M344,M344=M345),(Q354+Q360)/(Q353+Q359),"")</f>
        <v/>
      </c>
      <c r="W341" s="210" t="str">
        <f>IF(AND(COUNTBLANK(I342:I345)=0,M342=M343,M343=M345),(Q366+Q360)/(Q365+Q359),"")</f>
        <v/>
      </c>
      <c r="X341" s="211"/>
      <c r="Y341" s="169" t="s">
        <v>93</v>
      </c>
      <c r="Z341" s="170" t="s">
        <v>107</v>
      </c>
      <c r="AA341" s="169" t="s">
        <v>93</v>
      </c>
      <c r="AB341" s="170" t="s">
        <v>107</v>
      </c>
      <c r="AC341" s="192"/>
      <c r="AD341" s="192"/>
      <c r="AE341" s="192"/>
      <c r="AF341" s="203"/>
      <c r="AG341" s="203"/>
      <c r="AH341" s="203"/>
      <c r="AI341" s="203"/>
      <c r="AJ341" s="203"/>
      <c r="AK341" s="203"/>
      <c r="AL341" s="203"/>
      <c r="AM341" s="203"/>
      <c r="AN341" s="192"/>
      <c r="AO341" s="192"/>
      <c r="AP341" s="192"/>
      <c r="AQ341" s="192"/>
      <c r="AR341" s="192"/>
      <c r="AS341" s="192"/>
      <c r="AT341" s="192"/>
      <c r="AU341" s="192"/>
      <c r="AV341" s="192"/>
      <c r="AW341" s="192"/>
      <c r="AX341" s="192"/>
    </row>
    <row r="342" spans="2:50" ht="15" customHeight="1" thickTop="1" thickBot="1" x14ac:dyDescent="0.35">
      <c r="B342" s="192"/>
      <c r="C342" s="192"/>
      <c r="D342" s="192"/>
      <c r="E342" s="192"/>
      <c r="F342" s="192" t="str">
        <f>IF(I342="","",VLOOKUP(I342,Siembra,2,FALSE))</f>
        <v/>
      </c>
      <c r="G342" s="192" t="str">
        <f>O342</f>
        <v/>
      </c>
      <c r="H342" s="192">
        <v>1</v>
      </c>
      <c r="I342" s="128" t="str">
        <f>IF(K342="","",IF(ISNUMBER(Sorteo!$A$17),VLOOKUP(K342,Draw,2,FALSE),""))</f>
        <v/>
      </c>
      <c r="J342" s="129" t="str">
        <f>O342</f>
        <v/>
      </c>
      <c r="K342" s="130" t="str">
        <f>IF($K$9="","",IF(Group_players=4,IF(Tablas!BQ$3="","",Tablas!BQ$3),IF(Group_players=3,IF(Tablas!BQ$11="","",Tablas!BQ$11),"")))</f>
        <v/>
      </c>
      <c r="L342" s="131" t="str">
        <f>IF(K342="","",VLOOKUP(I342,Siembra,3,FALSE))</f>
        <v/>
      </c>
      <c r="M342" s="132" t="str">
        <f>IF(AND(Q353="",Q354=""),"",IF(I342="","",SUMIFS(E353:E369,I353:I369,I342)))</f>
        <v/>
      </c>
      <c r="N342" s="132" t="str">
        <f>IF(M342="","",IF(I342="","",SUMIFS(F353:F369,I353:I369,I342)))</f>
        <v/>
      </c>
      <c r="O342" s="132" t="str">
        <f>IF(M342="","",IF(COUNTBLANK(I342:I345)=1,IF(M342=2,1,IF(M342=0,3,IF(AND(M342=1,M343&lt;&gt;1),2,IF(COUNTIF(M342:M344,1)&gt;1,Z342)))),IF(COUNTBLANK(I342:I345)=0,IF(COUNTIF(M342:M345,M342)=1,IF(M342=3,1,IF(M342=2,2,IF(M342=1,3,IF(M342=0,4)))),IF(Group_players=3,Z342,IF(COUNTIF(M342:M345,M342)=2,AB342,IF(AND(M342=M343,M343=M344),AB346,IF(AND(M342=M344,M344=M345),AB349,IF(AND(M342=M343,M343=M345),AB352,"")))))),99)))</f>
        <v/>
      </c>
      <c r="P342" s="133" t="str">
        <f>IF(COUNT(U341:X352)=3,IF(ISNUMBER(U341),U341,IF(ISNUMBER(V341),V341,IF(ISNUMBER(W341),W341,IF(X341="","")))),IF(COUNT(U341:X352)=6,IF(ISNUMBER(U349),U349,IF(ISNUMBER(V349),V349,IF(ISNUMBER(W349),W349,IF(ISBLANK(X341),"")))),""))</f>
        <v/>
      </c>
      <c r="Q342" s="132" t="str">
        <f>IF(M342="","",SUMIF(I353:S369,I342,S353:S369))</f>
        <v/>
      </c>
      <c r="R342" s="134" t="str">
        <f>IF(M342="","",L342+Q342)</f>
        <v/>
      </c>
      <c r="S342" s="203"/>
      <c r="T342" s="208">
        <v>2</v>
      </c>
      <c r="U342" s="209" t="str">
        <f>IF(M343="","",IF(COUNTIF(M342:M344,M343)=3,IF(COUNTBLANK(I342:I345)=1,(Q357+Q359)/(Q356+Q360),IF(COUNTBLANK(I342:I345)=0,(Q363+Q365)/(Q362+Q366),"")),""))</f>
        <v/>
      </c>
      <c r="V342" s="135"/>
      <c r="W342" s="212" t="str">
        <f>IF(AND(COUNTBLANK(I342:I345)=0,M343=M342,M342=M345),(Q365+Q357)/(Q366+Q356),"")</f>
        <v/>
      </c>
      <c r="X342" s="213" t="str">
        <f>IF(AND(COUNTBLANK(I342:I345)=0,M343=M344,M344=M345),(Q363+Q357)/(Q362+Q356),"")</f>
        <v/>
      </c>
      <c r="Y342" s="214">
        <v>1</v>
      </c>
      <c r="Z342" s="215" t="str">
        <f>IF(U341="","",IF(OR(Group_players=3,AND(Group_players=4,COUNTBLANK(I342:I345)=1)),IF(COUNTIF(M342:M344,M342)=1,"",IF(AND(U341=U342,U342=U343),Z346,IF(AND(U341&lt;&gt;U342,U341&lt;&gt;U343,U342&lt;&gt;U343),(IF(SMALL(U341:U343,1)=U341,1,IF(SMALL(U341:U343,2)=U341,2,IF(SMALL(U341:U343,3)=U341,3)))),IF(AND(U341&lt;U342,U342=U343),1,IF(AND(U341&gt;U342,U342=U343),3,IF(AND(U341=U342,U341&lt;U343),(IF(Q359=3,1,2)),IF(AND(U341=U342,U341&gt;U343),(IF(Q359=3,2,3)),IF(AND(U341=U343,U341&lt;U342),(IF(Q353=3,1,2)),IF(AND(U341=U343,U341&gt;U342),(IF(Q353=3,2,3)),99))))))))),""))</f>
        <v/>
      </c>
      <c r="AA342" s="216">
        <v>1</v>
      </c>
      <c r="AB342" s="217" t="str">
        <f>IF(COUNTIF(M342:M345,M342)&lt;&gt;2,"",IF(COUNTIF(M342:M345,M342)=1,"",IF(AND(COUNTIF(M342:M345,M342)=2,M342=2),IF(M342=M343,IF(Q365=3,1,2),IF(M342=M344,IF(Q353=3,1,2),IF(M342=M345,IF(Q359=3,1,2)))),IF(AND(COUNTIF(M342:M345,M342)=2,M342=1),IF(M342=M343,IF(Q365=3,3,4),IF(M342=M344,IF(Q353=3,3,4),IF(M342=M345,IF(Q359=3,3,4)))),IF(COUNTIF(M342:M345,M342)=3,AB346)))))</f>
        <v/>
      </c>
      <c r="AC342" s="192"/>
      <c r="AD342" s="192"/>
      <c r="AE342" s="192"/>
      <c r="AF342" s="203"/>
      <c r="AG342" s="203"/>
      <c r="AH342" s="203"/>
      <c r="AI342" s="203"/>
      <c r="AJ342" s="203"/>
      <c r="AK342" s="203"/>
      <c r="AL342" s="203"/>
      <c r="AM342" s="203"/>
      <c r="AN342" s="192"/>
      <c r="AO342" s="192"/>
      <c r="AP342" s="192"/>
      <c r="AQ342" s="192"/>
      <c r="AR342" s="192"/>
      <c r="AS342" s="192"/>
      <c r="AT342" s="192"/>
      <c r="AU342" s="192"/>
      <c r="AV342" s="192"/>
      <c r="AW342" s="192"/>
      <c r="AX342" s="192"/>
    </row>
    <row r="343" spans="2:50" ht="15" customHeight="1" thickTop="1" thickBot="1" x14ac:dyDescent="0.35">
      <c r="B343" s="192"/>
      <c r="C343" s="192"/>
      <c r="D343" s="192"/>
      <c r="E343" s="192"/>
      <c r="F343" s="192" t="str">
        <f>IF(I343="","",VLOOKUP(I343,Siembra,2,FALSE))</f>
        <v/>
      </c>
      <c r="G343" s="192" t="str">
        <f>O343</f>
        <v/>
      </c>
      <c r="H343" s="192">
        <v>2</v>
      </c>
      <c r="I343" s="128" t="str">
        <f>IF(K343="","",IF(ISNUMBER(Sorteo!$A$17),VLOOKUP(K343,Draw,2,FALSE),""))</f>
        <v/>
      </c>
      <c r="J343" s="129" t="str">
        <f>O343</f>
        <v/>
      </c>
      <c r="K343" s="136" t="str">
        <f>IF($K$9="","",IF(Group_players=4,IF(Tablas!BQ$4="","",Tablas!BQ$4),IF(Group_players=3,IF(Tablas!BQ$12="","",Tablas!BQ$12),"")))</f>
        <v/>
      </c>
      <c r="L343" s="137" t="str">
        <f>IF(K343="","",VLOOKUP(I343,Siembra,3,FALSE))</f>
        <v/>
      </c>
      <c r="M343" s="132" t="str">
        <f>IF(AND(L353="",L354=""),"",IF(I343="","",SUMIFS(E353:E370,I353:I370,I343)))</f>
        <v/>
      </c>
      <c r="N343" s="138" t="str">
        <f>IF(M343="","",IF(I343="","",SUMIFS(F353:F369,I353:I369,I343)))</f>
        <v/>
      </c>
      <c r="O343" s="132" t="str">
        <f>IF(M343="","",IF(COUNTBLANK(I342:I345)=1,IF(M343=2,1,IF(M343=0,3,IF(AND(M343=1,M344&lt;&gt;1),2,IF(COUNTIF(M342:M345,1)&gt;1,Z343)))),IF(COUNTBLANK(I342:I345)=0,IF(COUNTIF(M342:M345,M343)=1,IF(M343=3,1,IF(M343=2,2,IF(M343=1,3,IF(M343=0,4)))),IF(Group_players=3,Z343,IF(COUNTIF(M342:M345,M343)=2,AB343,IF(AND(M343=M342,M342=M344),AB347,IF(AND(M343=M342,M342=M345),AB353,IF(AND(M343=M344,M344=M345),AB355,"")))))))))</f>
        <v/>
      </c>
      <c r="P343" s="133" t="str">
        <f>IF(COUNT(U341:X352)=3,IF(ISNUMBER(U342),U342,IF(ISNUMBER(W342),W342,IF(ISNUMBER(X342),X342,IF(X342="","")))),IF(COUNT(U341:X352)=6,IF(ISNUMBER(U350),U350,IF(ISNUMBER(W350),W350,IF(ISNUMBER(X350),X350,IF(ISBLANK(X349),"")))),""))</f>
        <v/>
      </c>
      <c r="Q343" s="138" t="str">
        <f>IF(M343="","",SUMIF(I353:S369,I343,S353:$S369))</f>
        <v/>
      </c>
      <c r="R343" s="139" t="str">
        <f>IF(M343="","",L343+Q343)</f>
        <v/>
      </c>
      <c r="S343" s="203"/>
      <c r="T343" s="208">
        <v>3</v>
      </c>
      <c r="U343" s="209" t="str">
        <f>IF(M344="","",IF(COUNTIF(M342:M344,M344)=3,IF(COUNTBLANK(I342:I345)=1,(Q353+Q356)/(Q354+Q357),IF(COUNTBLANK(I342:I345)=0,(Q353+Q362)/(Q354+Q363),"")),""))</f>
        <v/>
      </c>
      <c r="V343" s="125" t="str">
        <f>IF(AND(COUNTBLANK(I342:I345)=0,M344=M345,M345=M342),(Q353+Q369)/(Q354+Q368),"")</f>
        <v/>
      </c>
      <c r="W343" s="218"/>
      <c r="X343" s="213" t="str">
        <f>IF(AND(COUNTBLANK(I342:I345)=0,M344=M345,M345=M343),(Q362+Q369)/(Q363+Q368),"")</f>
        <v/>
      </c>
      <c r="Y343" s="219">
        <v>2</v>
      </c>
      <c r="Z343" s="220" t="str">
        <f>IF(U342="","",IF(OR(Group_players=3,AND(Group_players=4,COUNTBLANK(I342:I345)=1)),IF(COUNTIF(M342:M344,M343)=1,"",IF(AND(U342=U341,U342=U343),Z347,IF(AND(U342&lt;&gt;U341,U342&lt;&gt;U343,U341&lt;&gt;U343),(IF(SMALL(U341:U343,1)=U342,1,IF(SMALL(U341:U343,2)=U342,2,IF(SMALL(U341:U343,3)=U342,3)))),IF(AND(U342&lt;U341,U341=U343),1,IF(AND(U342&gt;U341,U341=U343),3,IF(AND(U342=U341,U342&lt;U343),(IF(Q360=3,1,2)),IF(AND(U342=U341,U342&gt;U343),(IF(Q360=3,2,3)),IF(AND(U342=U343,U342&lt;U341),(IF(Q356=3,1,2)),IF(AND(U342=U343,U342&gt;U341),(IF(Q356=3,2,3)),99))))))))),""))</f>
        <v/>
      </c>
      <c r="AA343" s="221">
        <v>2</v>
      </c>
      <c r="AB343" s="222" t="str">
        <f>IF(COUNTIF(M342:M345,M343)&lt;&gt;2,"",IF(COUNTIF(M342:M345,M343)=1,"",IF(AND(COUNTIF(M342:M345,M343)=2,M343=2),IF(M343=M342,IF(Q366=3,1,2),IF(M343=M344,IF(Q362=3,1,2),IF(M343=M345,IF(Q356=3,1,2)))),IF(AND(COUNTIF(M342:M345,M343)=2,M343=1),IF(M343=M342,IF(Q366=3,3,4),IF(M343=M344,IF(Q362=3,3,4),IF(M343=M345,IF(Q356=3,3,4)))),AB348))))</f>
        <v/>
      </c>
      <c r="AC343" s="192"/>
      <c r="AD343" s="192"/>
      <c r="AE343" s="192"/>
      <c r="AF343" s="203"/>
      <c r="AG343" s="203"/>
      <c r="AH343" s="203"/>
      <c r="AI343" s="203"/>
      <c r="AJ343" s="203"/>
      <c r="AK343" s="203"/>
      <c r="AL343" s="203"/>
      <c r="AM343" s="203"/>
      <c r="AN343" s="192"/>
      <c r="AO343" s="192"/>
      <c r="AP343" s="192"/>
      <c r="AQ343" s="192"/>
      <c r="AR343" s="192"/>
      <c r="AS343" s="192"/>
      <c r="AT343" s="192"/>
      <c r="AU343" s="192"/>
      <c r="AV343" s="192"/>
      <c r="AW343" s="192"/>
      <c r="AX343" s="192"/>
    </row>
    <row r="344" spans="2:50" ht="15" customHeight="1" thickBot="1" x14ac:dyDescent="0.35">
      <c r="B344" s="192"/>
      <c r="C344" s="192"/>
      <c r="D344" s="192"/>
      <c r="E344" s="192"/>
      <c r="F344" s="192" t="str">
        <f>IF(I344="","",VLOOKUP(I344,Siembra,2,FALSE))</f>
        <v/>
      </c>
      <c r="G344" s="192" t="str">
        <f>O344</f>
        <v/>
      </c>
      <c r="H344" s="192">
        <v>3</v>
      </c>
      <c r="I344" s="128" t="str">
        <f>IF(K344="","",IF(ISNUMBER(Sorteo!$A$17),VLOOKUP(K344,Draw,2,FALSE),""))</f>
        <v/>
      </c>
      <c r="J344" s="129" t="str">
        <f>O344</f>
        <v/>
      </c>
      <c r="K344" s="136" t="str">
        <f>IF($K$9="","",IF(Group_players=4,IF(Tablas!BQ$5="","",Tablas!BQ$5),IF(Group_players=3,IF(Tablas!BQ$13="","",Tablas!BQ$13),"")))</f>
        <v/>
      </c>
      <c r="L344" s="137" t="str">
        <f>IF(K344="","",VLOOKUP(I344,Siembra,3,FALSE))</f>
        <v/>
      </c>
      <c r="M344" s="132" t="str">
        <f>IF(AND(L354="",L353=""),"",IF(I344="","",SUMIFS(E353:E371,I353:I371,I344)))</f>
        <v/>
      </c>
      <c r="N344" s="138" t="str">
        <f>IF(M344="","",IF(I344="","",SUMIFS(F353:F369,I353:I369,I344)))</f>
        <v/>
      </c>
      <c r="O344" s="132" t="str">
        <f>IF(M344="","",IF(COUNTBLANK(I342:I345)=1,IF(M344=2,1,IF(M344=0,3,IF(AND(M344=1,M344&lt;&gt;M342),2,IF(COUNTIF(M342:M345,1)&gt;1,Z344)))),IF(COUNTBLANK(I342:I345)=0,IF(COUNTIF(M342:M345,M344)=1,IF(M344=3,1,IF(M344=2,2,IF(M344=1,3,IF(M344=0,4)))),IF(Group_players=3,Z344,IF(COUNTIF(M342:M345,M344)=2,AB344,IF(AND(M344=M342,M342=M343),AB348,IF(AND(M344=M342,M342=M345),AB350,IF(AND(M344=M343,M343=M345),AB356,"")))))))))</f>
        <v/>
      </c>
      <c r="P344" s="133" t="str">
        <f>IF(COUNT(U341:X352)=3,IF(ISNUMBER(U343),U343,IF(ISNUMBER(V343),V343,IF(ISNUMBER(X343),X343,IF(W343="","")))),IF(COUNT(U341:X352)=6,IF(ISNUMBER(U351),U351,IF(ISNUMBER(V351),V351,IF(ISNUMBER(X351),X351,""))),""))</f>
        <v/>
      </c>
      <c r="Q344" s="138" t="str">
        <f>IF(M344="","",SUMIF(I353:S369,I344,S353:S369))</f>
        <v/>
      </c>
      <c r="R344" s="139" t="str">
        <f>IF(M344="","",L344+Q344)</f>
        <v/>
      </c>
      <c r="S344" s="203"/>
      <c r="T344" s="208">
        <v>4</v>
      </c>
      <c r="U344" s="223"/>
      <c r="V344" s="140" t="str">
        <f>IF(AND(COUNTBLANK(I342:I345)=0,M345=M342,M342=M344),(Q359+Q368)/(Q360+Q369),"")</f>
        <v/>
      </c>
      <c r="W344" s="224" t="str">
        <f>IF(AND(COUNTBLANK(I342:I345)=0,M345=M342,M342=M343),(Q359+Q356)/(Q360+Q357),"")</f>
        <v/>
      </c>
      <c r="X344" s="225" t="str">
        <f>IF(AND(COUNTBLANK(I342:I345)=0,M345=M343,M343=M344),(Q356+Q368)/(Q357+Q369),"")</f>
        <v/>
      </c>
      <c r="Y344" s="226">
        <v>3</v>
      </c>
      <c r="Z344" s="227" t="str">
        <f>IF(U343="","",IF(OR(Group_players=3,AND(Group_players=4,COUNTBLANK(I342:I345)=1)),IF(COUNTIF(M342:M344,M344)=1,"",IF(AND(U343=U341,U343=U342),Z348,IF(AND(U343&lt;&gt;U342,U342&lt;&gt;U341,U343&lt;&gt;U341),(IF(SMALL(U341:U343,1)=U343,1,IF(SMALL(U341:U343,2)=U343,2,IF(SMALL(U341:U343,3)=U343,3)))),IF(AND(U343&lt;U342,U342=U341),1,IF(AND(U343&gt;U342,U342=U341),3,IF(AND(U343=U342,U343&lt;U341),(IF(Q357=3,1,2)),IF(AND(U343=U342,U343&gt;U341),(IF(Q357=3,2,3)),IF(AND(U343=U341,U343&lt;U342),(IF(Q354=3,1,2)),IF(AND(U343=U341,U343&gt;U342),(IF(Q354=3,2,3)),99))))))))),""))</f>
        <v/>
      </c>
      <c r="AA344" s="221">
        <v>3</v>
      </c>
      <c r="AB344" s="222" t="str">
        <f>IF(COUNTIF(M342:M345,M344)&lt;&gt;2,"",IF(COUNTIF(M342:M345,M344)=1,"",IF(AND(COUNTIF(M342:M345,M344)=2,M344=2),IF(M344=M342,IF(Q354=3,1,2),IF(M344=M343,IF(Q363=3,1,2),IF(M344=M345,IF(Q368=3,1,2)))),IF(AND(COUNTIF(M342:M345,M344)=2,M344=1),IF(M344=M342,IF(Q354=3,3,4),IF(M344=M343,IF(Q363=3,3,4),IF(M344=M345,IF(Q368=3,3,4)))),AB348))))</f>
        <v/>
      </c>
      <c r="AC344" s="192"/>
      <c r="AD344" s="192"/>
      <c r="AE344" s="192"/>
      <c r="AF344" s="203"/>
      <c r="AG344" s="203"/>
      <c r="AH344" s="203"/>
      <c r="AI344" s="203"/>
      <c r="AJ344" s="203"/>
      <c r="AK344" s="203"/>
      <c r="AL344" s="203"/>
      <c r="AM344" s="203"/>
      <c r="AN344" s="192"/>
      <c r="AO344" s="192"/>
      <c r="AP344" s="192"/>
      <c r="AQ344" s="192"/>
      <c r="AR344" s="192"/>
      <c r="AS344" s="192"/>
      <c r="AT344" s="192"/>
      <c r="AU344" s="192"/>
      <c r="AV344" s="192"/>
      <c r="AW344" s="192"/>
      <c r="AX344" s="192"/>
    </row>
    <row r="345" spans="2:50" ht="15" customHeight="1" thickTop="1" thickBot="1" x14ac:dyDescent="0.35">
      <c r="B345" s="192"/>
      <c r="C345" s="192"/>
      <c r="D345" s="192"/>
      <c r="E345" s="192"/>
      <c r="F345" s="192" t="str">
        <f>IF(I345="","",VLOOKUP(I345,Siembra,2,FALSE))</f>
        <v/>
      </c>
      <c r="G345" s="192" t="str">
        <f>O345</f>
        <v/>
      </c>
      <c r="H345" s="192">
        <v>4</v>
      </c>
      <c r="I345" s="141" t="str">
        <f>IF(K345="","",IF(ISNUMBER(Sorteo!$A$17),VLOOKUP(K345,Draw,2,FALSE),""))</f>
        <v/>
      </c>
      <c r="J345" s="142" t="str">
        <f>O345</f>
        <v/>
      </c>
      <c r="K345" s="143" t="str">
        <f>IF($K$9="","",IF(Group_players=4,IF(Tablas!BQ6="","",Tablas!BQ6),""))</f>
        <v/>
      </c>
      <c r="L345" s="144" t="str">
        <f>IF(K345="","",VLOOKUP(I345,Siembra,3,FALSE))</f>
        <v/>
      </c>
      <c r="M345" s="145" t="str">
        <f>IF(AND(Q356="",Q357=""),"",IF(I345="","",SUMIFS(E353:E372,I353:I372,I345)))</f>
        <v/>
      </c>
      <c r="N345" s="145" t="str">
        <f>IF(M345="","",IF(I345="","",SUMIFS(F353:F369,I353:I369,I345)))</f>
        <v/>
      </c>
      <c r="O345" s="145" t="str">
        <f>IF(M345="","",IF(COUNTIF(M342:M345,M345)=1,IF(M345=3,1,IF(M345=2,2,IF(M345=1,3,IF(M345=0,4)))),IF(COUNTIF(M342:M345,M345)=2,AB345,IF(AND(M345=M342,M342=M344),AB351,IF(AND(M345=M342,M342=M343),AB354,IF(AND(M345=M343,M343=M344),AB357,""))))))</f>
        <v/>
      </c>
      <c r="P345" s="146" t="str">
        <f>IF(COUNT(U341:X352)=3,IF(ISNUMBER(V344),V344,IF(ISNUMBER(W344),W344,IF(ISNUMBER(X344),X344,IF(X344="","")))),IF(COUNT(U341:X352)=6,IF(ISNUMBER(V352),V352,IF(ISNUMBER(W352),W352,IF(ISNUMBER(X352),X352,""))),""))</f>
        <v/>
      </c>
      <c r="Q345" s="145" t="str">
        <f>IF(M345="","",SUMIF(I353:S369,I345,S353:$S369))</f>
        <v/>
      </c>
      <c r="R345" s="147" t="str">
        <f>IF(M345="","",L345+Q345)</f>
        <v/>
      </c>
      <c r="S345" s="203"/>
      <c r="T345" s="192"/>
      <c r="U345" s="192"/>
      <c r="V345" s="192"/>
      <c r="W345" s="192"/>
      <c r="X345" s="192"/>
      <c r="Y345" s="230" t="s">
        <v>93</v>
      </c>
      <c r="Z345" s="231" t="s">
        <v>110</v>
      </c>
      <c r="AA345" s="232">
        <v>4</v>
      </c>
      <c r="AB345" s="233" t="str">
        <f>IF(COUNTIF(M342:M345,M345)&lt;&gt;2,"",IF(COUNTIF(M342:M345,M345)=1,"",IF(AND(COUNTIF(M342:M345,M345)=2,M345=2),IF(M345=M342,IF(Q360=3,1,2),IF(M345=M343,IF(Q357=3,1,2),IF(M345=M344,IF(Q369=3,1,2)))),IF(AND(COUNTIF(M342:M345,M345)=2,M345=1),IF(M345=M342,IF(Q360=3,3,4),IF(M345=M343,IF(Q357=3,3,4),IF(M345=M344,IF(Q369=3,3,4)))),AB351))))</f>
        <v/>
      </c>
      <c r="AC345" s="192"/>
      <c r="AD345" s="192"/>
      <c r="AE345" s="192"/>
      <c r="AF345" s="203"/>
      <c r="AG345" s="203"/>
      <c r="AH345" s="203"/>
      <c r="AI345" s="203"/>
      <c r="AJ345" s="203"/>
      <c r="AK345" s="203"/>
      <c r="AL345" s="203"/>
      <c r="AM345" s="203"/>
      <c r="AN345" s="192"/>
      <c r="AO345" s="192"/>
      <c r="AP345" s="192"/>
      <c r="AQ345" s="192"/>
      <c r="AR345" s="192"/>
      <c r="AS345" s="192"/>
      <c r="AT345" s="192"/>
      <c r="AU345" s="192"/>
      <c r="AV345" s="192"/>
      <c r="AW345" s="192"/>
      <c r="AX345" s="192"/>
    </row>
    <row r="346" spans="2:50" ht="15" customHeight="1" thickTop="1" x14ac:dyDescent="0.3">
      <c r="B346" s="192"/>
      <c r="C346" s="192"/>
      <c r="D346" s="192"/>
      <c r="E346" s="192"/>
      <c r="F346" s="192"/>
      <c r="G346" s="192"/>
      <c r="H346" s="192"/>
      <c r="I346" s="192"/>
      <c r="J346" s="192"/>
      <c r="K346" s="192"/>
      <c r="L346" s="192"/>
      <c r="M346" s="192"/>
      <c r="N346" s="192"/>
      <c r="O346" s="192"/>
      <c r="P346" s="192"/>
      <c r="Q346" s="192"/>
      <c r="R346" s="192"/>
      <c r="S346" s="192"/>
      <c r="T346" s="208"/>
      <c r="U346" s="192"/>
      <c r="V346" s="148"/>
      <c r="W346" s="148"/>
      <c r="X346" s="234"/>
      <c r="Y346" s="214">
        <v>1</v>
      </c>
      <c r="Z346" s="215" t="str">
        <f>IF(U349="","",IF(OR(Group_players=3,AND(Group_players=4,COUNTBLANK(I342:I345)=1)),IF(COUNTIF(M342:M344,M342)=1,"",IF(COUNTIF(U341:U343,U341)=3,IF(AND(U349=U350,U350=U351),"Tied",IF(AND(U349&lt;&gt;U350,U349&lt;&gt;U351,U350&lt;&gt;U351),(IF(SMALL(U349:U351,1)=U349,1,IF(SMALL(U349:U351,2)=U349,2,IF(SMALL(U349:U351,3)=U349,3)))),IF(AND(U349&lt;U350,U350=U351),1,IF(AND(U349&gt;U350,U350=U351),3,IF(AND(U349=U350,U349&lt;U351),(IF(Q359=3,1,2)),IF(AND(U349=U350,U349&gt;U351),(IF(Q359=3,2,3)),IF(AND(U349=U351,U349&lt;U350),(IF(Q353=3,1,2)),IF(AND(U349=U351,U349&gt;U350),(IF(Q353=3,2,3)),99)))))))),"")),""))</f>
        <v/>
      </c>
      <c r="AA346" s="208">
        <v>1</v>
      </c>
      <c r="AB346" s="222" t="str">
        <f>IF(AND(COUNTBLANK(I342:I345)=0,Group_players=4,M342=M343,M343=M344),IF(COUNTIF(U341:U344,U341)=3,AB359,IF(AND(COUNTIF(U341:U344,U341)=1,U342&lt;&gt;U343),IF(M342=2,IF(SMALL(U341:U344,1)=U341,1,IF(SMALL(U341:U344,2)=U341,2,IF(SMALL(U341:U344,3)=U341,3))),IF(M342=1,IF(SMALL(U341:U344,1)=U341,2,IF(SMALL(U341:U344,2)=U341,3,IF(SMALL(U341:U344,3)=U341,4))),"")),IF(COUNTIF(U341:U344,U341)=1,IF(U341&lt;U342,IF(M342=2,1,2),IF(M342=2,3,4)),IF(COUNTIF(U341:U344,U341)=2,IF(U341=U342,IF(U341&lt;U343,IF(M342=2,IF(Q365=3,1,2),IF(M342=1,IF(Q365=3,2,3))),IF(U341&gt;U343,IF(M342=2,IF(Q365=3,2,3),IF(M342=1,IF(Q365=3,3,4))))),IF(U341=U343,IF(U341&lt;U342,IF(M342=2,IF(Q353=3,1,2),IF(M342=1,IF(Q353=3,2,3))),IF(U341&gt;U342,IF(M342=2,IF(Q353=3,2,3),IF(M342=1,IF(Q353=3,3,4))))))),"")))),"")</f>
        <v/>
      </c>
      <c r="AC346" s="192"/>
      <c r="AD346" s="192"/>
      <c r="AE346" s="269"/>
      <c r="AF346" s="203"/>
      <c r="AG346" s="203"/>
      <c r="AH346" s="203"/>
      <c r="AI346" s="203"/>
      <c r="AJ346" s="203"/>
      <c r="AK346" s="203"/>
      <c r="AL346" s="203"/>
      <c r="AM346" s="203"/>
      <c r="AN346" s="192"/>
      <c r="AO346" s="192"/>
      <c r="AP346" s="192"/>
      <c r="AQ346" s="192"/>
      <c r="AR346" s="192"/>
      <c r="AS346" s="192"/>
      <c r="AT346" s="192"/>
      <c r="AU346" s="192"/>
      <c r="AV346" s="192"/>
      <c r="AW346" s="192"/>
      <c r="AX346" s="192"/>
    </row>
    <row r="347" spans="2:50" ht="15" customHeight="1" thickBot="1" x14ac:dyDescent="0.35">
      <c r="B347" s="192"/>
      <c r="C347" s="192"/>
      <c r="D347" s="192"/>
      <c r="E347" s="192"/>
      <c r="F347" s="192"/>
      <c r="G347" s="192"/>
      <c r="H347" s="192"/>
      <c r="I347" s="269"/>
      <c r="J347" s="269"/>
      <c r="K347" s="192"/>
      <c r="L347" s="192"/>
      <c r="M347" s="192"/>
      <c r="N347" s="192"/>
      <c r="O347" s="192"/>
      <c r="P347" s="192"/>
      <c r="Q347" s="192"/>
      <c r="R347" s="192"/>
      <c r="S347" s="192"/>
      <c r="T347" s="208"/>
      <c r="U347" s="368" t="s">
        <v>111</v>
      </c>
      <c r="V347" s="369"/>
      <c r="W347" s="369"/>
      <c r="X347" s="369"/>
      <c r="Y347" s="236">
        <v>2</v>
      </c>
      <c r="Z347" s="220" t="str">
        <f>IF(U342="","",IF(OR(Group_players=3,AND(Group_players=4,COUNTBLANK(I342:I345)=1)),IF(COUNTIF(M342:M344,M343)=1,"",IF(COUNTIF(U341:U343,U342)=3,IF(AND(U350=U349,U350=U351),"Tied",IF(AND(U350&lt;&gt;U349,U350&lt;&gt;U351,U349&lt;&gt;U351),(IF(SMALL(U349:U351,1)=U350,1,IF(SMALL(U349:U351,2)=U350,2,IF(SMALL(U349:U351,3)=U350,3)))),IF(AND(U350&lt;U349,U349=U351),1,IF(AND(U350&gt;U349,U349=U351),3,IF(AND(U350=U349,U350&lt;U351),(IF(Q360=3,1,2)),IF(AND(U350=U349,U350&gt;U351),(IF(Q360=3,2,3)),IF(AND(U350=U351,U350&lt;U349),(IF(Q356=3,1,2)),IF(AND(U350=U351,U350&gt;U349),(IF(Q356=3,2,3)),99)))))))),"")),""))</f>
        <v/>
      </c>
      <c r="AA347" s="208">
        <v>2</v>
      </c>
      <c r="AB347" s="222" t="str">
        <f>IF(AND(COUNTBLANK(I342:I345)=0,Group_players=4,M342=M343,M343=M344),IF(COUNTIF(U341:U344,U342)=3,AB360,IF(AND(COUNTIF(U341:U344,U342)=1,U341&lt;&gt;U343),IF(M343=2,IF(SMALL(U341:U344,1)=U342,1,IF(SMALL(U341:U344,2)=U342,2,IF(SMALL(U341:U344,3)=U342,3))),IF(M343=1,IF(SMALL(U341:U344,1)=U342,2,IF(SMALL(U341:U344,2)=U342,3,IF(SMALL(U341:U344,3)=U342,4))),"")),IF(COUNTIF(U341:U343,U342)=1,IF(U342&lt;U341,IF(M343=2,1,2),IF(M343=2,3,99)),IF(COUNTIF(U341:U344,U342)=2,IF(U342=U341,IF(U342&lt;U343,IF(M343=2,IF(Q366=3,1,2),IF(M343=1,IF(Q366=3,2,3))),IF(U342&gt;U343,IF(M343=2,IF(Q366=3,2,3),IF(M343=1,IF(Q366=3,3,4))))),IF(U342=U343,IF(U342&lt;U341,IF(M343=2,IF(Q362=3,1,2),IF(M343=1,IF(Q362=3,2,3))),IF(U342&gt;U341,IF(M343=2,IF(Q362=3,2,3),IF(M343=1,IF(Q362=3,3,4))))))),"")))),"")</f>
        <v/>
      </c>
      <c r="AC347" s="192"/>
      <c r="AD347" s="192"/>
      <c r="AE347" s="192"/>
      <c r="AF347" s="203"/>
      <c r="AG347" s="203"/>
      <c r="AH347" s="203"/>
      <c r="AI347" s="203"/>
      <c r="AJ347" s="203"/>
      <c r="AK347" s="203"/>
      <c r="AL347" s="203"/>
      <c r="AM347" s="203"/>
      <c r="AN347" s="192"/>
      <c r="AO347" s="192"/>
      <c r="AP347" s="192"/>
      <c r="AQ347" s="192"/>
      <c r="AR347" s="192"/>
      <c r="AS347" s="192"/>
      <c r="AT347" s="192"/>
      <c r="AU347" s="192"/>
      <c r="AV347" s="192"/>
      <c r="AW347" s="192"/>
      <c r="AX347" s="192"/>
    </row>
    <row r="348" spans="2:50" ht="15" customHeight="1" thickTop="1" thickBot="1" x14ac:dyDescent="0.35">
      <c r="B348" s="192"/>
      <c r="C348" s="192"/>
      <c r="D348" s="192"/>
      <c r="E348" s="192"/>
      <c r="F348" s="192"/>
      <c r="G348" s="192"/>
      <c r="H348" s="192"/>
      <c r="I348" s="192"/>
      <c r="J348" s="192"/>
      <c r="K348" s="192"/>
      <c r="L348" s="192"/>
      <c r="M348" s="192"/>
      <c r="N348" s="192"/>
      <c r="O348" s="192"/>
      <c r="P348" s="192"/>
      <c r="Q348" s="192"/>
      <c r="R348" s="192"/>
      <c r="S348" s="192"/>
      <c r="T348" s="120"/>
      <c r="U348" s="121" t="s">
        <v>101</v>
      </c>
      <c r="V348" s="122" t="s">
        <v>102</v>
      </c>
      <c r="W348" s="122" t="s">
        <v>103</v>
      </c>
      <c r="X348" s="123" t="s">
        <v>104</v>
      </c>
      <c r="Y348" s="238">
        <v>3</v>
      </c>
      <c r="Z348" s="239" t="str">
        <f>IF(U343="","",IF(OR(Group_players=3,AND(Group_players=4,COUNTBLANK(I342:I345)=1)),IF(COUNTIF(M342:M344,M344)=1,"",IF(COUNTIF(U341:U343,U343)=3,IF(AND(U351=U349,U351=U350),"Tied",IF(AND(U351&lt;&gt;U350,U350&lt;&gt;U349,U351&lt;&gt;U349),(IF(SMALL(U349:U351,1)=U351,1,IF(SMALL(U349:U351,2)=U351,2,IF(SMALL(U349:U351,3)=U351,3)))),IF(AND(U351&lt;U350,U350=U349),1,IF(AND(U351&gt;U350,U350=U349),3,IF(AND(U351=U350,U351&lt;U349),(IF(Q357=3,1,2)),IF(AND(U351=U350,U351&gt;U349),(IF(Q357=3,2,3)),IF(AND(U351=U349,U351&lt;U350),(IF(Q354=3,1,2)),IF(AND(U351=U349,U351&gt;U350),(IF(Q354=3,2,3)),99)))))))),"")),""))</f>
        <v/>
      </c>
      <c r="AA348" s="240">
        <v>3</v>
      </c>
      <c r="AB348" s="241" t="str">
        <f>IF(AND(COUNTBLANK(I342:I345)=0,Group_players=4,M342=M343,M343=M344),IF(COUNTIF(U341:U344,U343)=3,AB361,IF(AND(COUNTIF(U341:U344,U343)=1,U341&lt;&gt;U342),IF(M342=2,IF(SMALL(U341:U344,1)=U343,1,IF(SMALL(U341:U344,2)=U343,2,IF(SMALL(U341:U344,3)=U343,3))),IF(M344=1,IF(SMALL(U341:U344,1)=U343,2,IF(SMALL(U341:U344,2)=U343,3,IF(SMALL(U341:U344,3)=U343,4))),"")),IF(COUNTIF(U341:U344,U343)=1,IF(U343&lt;U342,IF(M344=2,1,2),IF(M344=2,3,4)),IF(COUNTIF(U341:U344,U343)=2,IF(U343=U342,IF(U343&lt;U341,IF(M344=2,IF(Q363=3,1,2),IF(M344=1,IF(Q363=3,2,3))),IF(U343&gt;U341,IF(M344=2,IF(Q363=3,2,3),IF(M344=1,IF(Q363=3,3,4))))),IF(U343=U341,IF(U343&lt;U342,IF(M344=2,IF(Q354=3,1,2),IF(M344=1,IF(Q354=3,2,3))),IF(U343&gt;U342,IF(M344=2,IF(Q354=3,2,3),IF(M344=1,IF(Q354=3,3,4))))))),"")))),"")</f>
        <v/>
      </c>
      <c r="AC348" s="192"/>
      <c r="AD348" s="192"/>
      <c r="AE348" s="192"/>
      <c r="AF348" s="203"/>
      <c r="AG348" s="203"/>
      <c r="AH348" s="203"/>
      <c r="AI348" s="203"/>
      <c r="AJ348" s="203"/>
      <c r="AK348" s="203"/>
      <c r="AL348" s="203"/>
      <c r="AM348" s="203"/>
      <c r="AN348" s="192"/>
      <c r="AO348" s="192"/>
      <c r="AP348" s="192"/>
      <c r="AQ348" s="192"/>
      <c r="AR348" s="192"/>
      <c r="AS348" s="192"/>
      <c r="AT348" s="192"/>
      <c r="AU348" s="192"/>
      <c r="AV348" s="192"/>
      <c r="AW348" s="192"/>
      <c r="AX348" s="192"/>
    </row>
    <row r="349" spans="2:50" ht="15" customHeight="1" thickTop="1" thickBot="1" x14ac:dyDescent="0.35">
      <c r="B349" s="192"/>
      <c r="C349" s="192"/>
      <c r="D349" s="192"/>
      <c r="E349" s="192"/>
      <c r="F349" s="192"/>
      <c r="G349" s="192"/>
      <c r="H349" s="192"/>
      <c r="I349" s="192"/>
      <c r="J349" s="192"/>
      <c r="K349" s="192"/>
      <c r="L349" s="192"/>
      <c r="M349" s="192"/>
      <c r="N349" s="192"/>
      <c r="O349" s="192"/>
      <c r="P349" s="192"/>
      <c r="Q349" s="192"/>
      <c r="R349" s="192"/>
      <c r="S349" s="192"/>
      <c r="T349" s="208">
        <v>1</v>
      </c>
      <c r="U349" s="209" t="str">
        <f>IF(U341="","",IF(OR(U341&lt;&gt;U342,U341&lt;&gt;U343),"",IF(COUNTIF(M342:M344,M342)=1,"",IF(COUNTBLANK(I342:I345)=1,(SUM(L354:P354)+SUM(L360:P360))/(SUM(L353:P353)+SUM(L359:P359)),IF(COUNTBLANK(I342:I345)=0,(SUM(L366:P366)+SUM(L354:P354))/(SUM(L365:P365)+SUM(L353:P353)),"")))))</f>
        <v/>
      </c>
      <c r="V349" s="125" t="str">
        <f>IF(V341="","",IF(OR(V341&lt;&gt;V343,V341&lt;&gt;V344),"",IF(AND(COUNTBLANK(I342:I345)=0,M342=M344,M344=M345),(SUM(L354:P354)+SUM(L360:P360))/(SUM(L353:P353)+SUM(L359:P359)),"")))</f>
        <v/>
      </c>
      <c r="W349" s="210" t="str">
        <f>IF(W341="","",IF(OR(W341&lt;&gt;W342,W341&lt;&gt;W344),"",IF(AND(COUNTBLANK(I342:I345)=0,M342=M343,M343=M345),(SUM(L366:P366)+SUM(L360:P360))/(SUM(L365:P365)+SUM(L359:P359)),"")))</f>
        <v/>
      </c>
      <c r="X349" s="211"/>
      <c r="Y349" s="242"/>
      <c r="Z349" s="242"/>
      <c r="AA349" s="243">
        <v>1</v>
      </c>
      <c r="AB349" s="244" t="str">
        <f>IF(AND(COUNTBLANK(I342:I345)=0,Group_players=4,M342=M344,M344=M345),IF(COUNTIF(V341:V344,V341)=3,AB362,IF(AND(COUNTIF(V341:V344,V341)=1,V343&lt;&gt;U352),IF(M342=2,IF(SMALL(V341:V344,1)=V341,1,IF(SMALL(V341:V344,2)=V341,2,IF(SMALL(V341:V344,3)=V341,3))),IF(M342=1,IF(SMALL(V341:V344,1)=V341,2,IF(SMALL(V341:V344,2)=V341,3,IF(SMALL(V341:V344,3)=V341,4))),"")),IF(COUNTIF(V341:V344,V341)=1,IF(V341&lt;V343,IF(M342=2,1,2),IF(M342=2,3,4)),IF(COUNTIF(V341:V344,V341)=2,IF(V341=V343,IF(V341&lt;V344,IF(M342=2,IF(Q353=3,1,2),IF(M342=1,IF(Q353=3,2,3))),IF(V341&gt;V344,IF(M342=2,IF(Q353=3,2,3),IF(M342=1,IF(Q353=3,3,4))))),IF(V341=V344,IF(V341&lt;V343,IF(M342=2,IF(Q359=3,1,2),IF(M342=1,IF(Q359=3,2,3))),IF(V341&gt;V342,IF(M342=2,IF(Q359=3,2,3),IF(M342=1,IF(Q359=3,3,4))))))),"")))),"")</f>
        <v/>
      </c>
      <c r="AC349" s="192"/>
      <c r="AD349" s="192"/>
      <c r="AE349" s="192"/>
      <c r="AF349" s="203"/>
      <c r="AG349" s="203"/>
      <c r="AH349" s="203"/>
      <c r="AI349" s="203"/>
      <c r="AJ349" s="203"/>
      <c r="AK349" s="203"/>
      <c r="AL349" s="203"/>
      <c r="AM349" s="203"/>
      <c r="AN349" s="192"/>
      <c r="AO349" s="192"/>
      <c r="AP349" s="192"/>
      <c r="AQ349" s="192"/>
      <c r="AR349" s="192"/>
      <c r="AS349" s="192"/>
      <c r="AT349" s="192"/>
      <c r="AU349" s="192"/>
      <c r="AV349" s="192"/>
      <c r="AW349" s="192"/>
      <c r="AX349" s="192"/>
    </row>
    <row r="350" spans="2:50" ht="15" customHeight="1" thickTop="1" thickBot="1" x14ac:dyDescent="0.35">
      <c r="B350" s="192"/>
      <c r="C350" s="192"/>
      <c r="D350" s="192"/>
      <c r="E350" s="117"/>
      <c r="F350" s="117"/>
      <c r="G350" s="117"/>
      <c r="H350" s="192"/>
      <c r="I350" s="192"/>
      <c r="J350" s="192"/>
      <c r="K350" s="192"/>
      <c r="L350" s="192"/>
      <c r="M350" s="192"/>
      <c r="N350" s="192"/>
      <c r="O350" s="192"/>
      <c r="P350" s="192"/>
      <c r="Q350" s="192"/>
      <c r="R350" s="192"/>
      <c r="S350" s="394" t="s">
        <v>112</v>
      </c>
      <c r="T350" s="208">
        <v>2</v>
      </c>
      <c r="U350" s="209" t="str">
        <f>IF(U341="","",IF(OR(U342&lt;&gt;U341,U342&lt;&gt;U343),"",IF(COUNTIF(M342:M344,M343)=1,"",IF(COUNTBLANK(I342:I345)=1,(SUM(L357:P357)+SUM(L359:P359))/(SUM(L356:P356)+SUM(L360:P360)),IF(COUNTBLANK(I342:I345)=0,(SUM(L365:P365)+SUM(L363:P363))/(SUM(L366:P366)+SUM(L362:P362)))))))</f>
        <v/>
      </c>
      <c r="V350" s="135"/>
      <c r="W350" s="212" t="str">
        <f>IF(W341="","",IF(OR(W342&lt;&gt;W341,W342&lt;&gt;W344),"",IF(AND(COUNTBLANK(I342:I345)=0,M342=M343,M343=M345),(SUM(L357:P357)+SUM(L365:P365))/(SUM(L366:P366)+SUM(L356:P356)),"")))</f>
        <v/>
      </c>
      <c r="X350" s="245" t="str">
        <f>IF(X342="","",IF(OR(X342&lt;&gt;X343,X342&lt;&gt;X344),"",IF(AND(COUNTBLANK(I342:I345)=0,M343=M344,M344=M345),(SUM(L363:P363)+SUM(L357:P357))/(SUM(L362:P362)+SUM(L356:P356)),"")))</f>
        <v/>
      </c>
      <c r="Y350" s="242"/>
      <c r="Z350" s="203"/>
      <c r="AA350" s="246">
        <v>3</v>
      </c>
      <c r="AB350" s="222" t="str">
        <f>IF(AND(COUNTBLANK(I342:I345)=0,Group_players=4,M342=M344,M344=M345),IF(COUNTIF(V341:V344,V343)=3,AB363,IF(AND(COUNTIF(V341:V344,V343)=1,V341&lt;&gt;V344),IF(M344=2,IF(SMALL(V341:V344,1)=V343,1,IF(SMALL(V341:V344,2)=V343,2,IF(SMALL(V341:V344,3)=V343,3))),IF(M344=1,IF(SMALL(V341:V344,1)=V343,2,IF(SMALL(V341:V344,2)=V343,3,IF(SMALL(V341:V344,3)=V343,4))),"")),IF(COUNTIF(V341:V344,V343)=1,IF(V343&lt;V341,IF(M344=2,1,2),IF(M344=2,3,4)),IF(COUNTIF(V341:V344,V343)=2,IF(V343=V341,IF(V343&lt;V344,IF(M344=2,IF(Q354=3,1,2),IF(M344=1,IF(Q354=3,2,3))),IF(V343&gt;V344,IF(M344=2,IF(Q354=3,2,3),IF(M344=1,IF(Q354=3,3,4))))),IF(V343=V344,IF(V343&lt;V341,IF(M344=2,IF(Q368=3,1,2),IF(M344=1,IF(Q368=3,2,3))),IF(V343&gt;V341,IF(M344=2,IF(Q368=3,2,3),IF(M344=1,IF(Q368=3,3,4))))))),"")))),"")</f>
        <v/>
      </c>
      <c r="AC350" s="192"/>
      <c r="AD350" s="192"/>
      <c r="AE350" s="192"/>
      <c r="AF350" s="203"/>
      <c r="AG350" s="203"/>
      <c r="AH350" s="203"/>
      <c r="AI350" s="203"/>
      <c r="AJ350" s="203"/>
      <c r="AK350" s="203"/>
      <c r="AL350" s="203"/>
      <c r="AM350" s="203"/>
      <c r="AN350" s="192"/>
      <c r="AO350" s="192"/>
      <c r="AP350" s="192"/>
      <c r="AQ350" s="192"/>
      <c r="AR350" s="192"/>
      <c r="AS350" s="192"/>
      <c r="AT350" s="192"/>
      <c r="AU350" s="192"/>
      <c r="AV350" s="192"/>
      <c r="AW350" s="192"/>
      <c r="AX350" s="192"/>
    </row>
    <row r="351" spans="2:50" ht="15" customHeight="1" thickTop="1" thickBot="1" x14ac:dyDescent="0.35">
      <c r="B351" s="192"/>
      <c r="C351" s="192"/>
      <c r="D351" s="192"/>
      <c r="E351" s="117"/>
      <c r="F351" s="117"/>
      <c r="G351" s="117"/>
      <c r="H351" s="192"/>
      <c r="I351" s="192"/>
      <c r="J351" s="192"/>
      <c r="K351" s="192"/>
      <c r="L351" s="192"/>
      <c r="M351" s="192"/>
      <c r="N351" s="192"/>
      <c r="O351" s="192"/>
      <c r="P351" s="192"/>
      <c r="Q351" s="192"/>
      <c r="R351" s="247"/>
      <c r="S351" s="395"/>
      <c r="T351" s="208">
        <v>3</v>
      </c>
      <c r="U351" s="209" t="str">
        <f>IF(U341="","",IF(OR(U343&lt;&gt;U341,U343&lt;&gt;U342),"",IF(COUNTIF(M342:M344,M344)=1,"",IF(COUNTBLANK(I342:I345)=1,(SUM(L353:P353)+SUM(L356:P356))/(SUM(L354:P354)+SUM(L357:P357)),IF(COUNTBLANK(I342:I345)=0,(SUM(L353:P353)+SUM(L362:P362))/(SUM(L354:P354)+SUM(L363:P363)))))))</f>
        <v/>
      </c>
      <c r="V351" s="125" t="str">
        <f>IF(V341="","",IF(OR(V343&lt;&gt;V341,V343&lt;&gt;V344),"",IF(AND(COUNTBLANK(I342:I345)=0,M342=M344,M344=M345),(SUM(L353:P353)+SUM(L369:P369))/(SUM(L354:P354)+SUM(L368:P368)),"")))</f>
        <v/>
      </c>
      <c r="W351" s="218"/>
      <c r="X351" s="245" t="str">
        <f>IF(X342="","",IF(OR(X343&lt;&gt;X342,X343&lt;&gt;X344),"",IF(AND(COUNTBLANK(I342:I345)=0,M343=M344,M344=M345),(SUM(L362:P362)+SUM(L369:P369))/(SUM(L363:P363)+SUM(L368:P368)),"")))</f>
        <v/>
      </c>
      <c r="Y351" s="208"/>
      <c r="Z351" s="203"/>
      <c r="AA351" s="240">
        <v>4</v>
      </c>
      <c r="AB351" s="222" t="str">
        <f>IF(AND(COUNTBLANK(I342:I345)=0,Group_players=4,M342=M344,M344=M345),IF(COUNTIF(V341:V344,V344)=3,AB364,IF(AND(COUNTIF(V341:V344,V344)=1,V343&lt;&gt;V341),IF(M345=2,IF(SMALL(V341:V344,1)=V344,1,IF(SMALL(V341:V344,2)=V344,2,IF(SMALL(V341:V344,3)=V344,3))),IF(M345=1,IF(SMALL(V341:V344,1)=V344,2,IF(SMALL(V341:V344,2)=V344,3,IF(SMALL(V341:V344,3)=V344,4))),"")),IF(COUNTIF(V341:V344,V344)=1,IF(V344&lt;V341,IF(M345=2,1,2),IF(M345=2,3,4)),IF(COUNTIF(V341:V344,V344)=2,IF(V344=V341,IF(V344&lt;V343,IF(M345=2,IF(Q360=3,1,2),IF(M345=1,IF(Q360=3,2,3))),IF(V344&gt;V343,IF(M345=2,IF(Q360=3,2,3),IF(M345=1,IF(Q360=3,3,4))))),IF(V344=V343,IF(V344&lt;V341,IF(M345=2,IF(Q369=3,1,2),IF(M345=1,IF(Q369=3,2,3))),IF(V344&gt;V341,IF(M345=2,IF(Q369=3,2,3),IF(M345=1,IF(Q369=3,3,4))))))),"")))),"")</f>
        <v/>
      </c>
      <c r="AC351" s="192"/>
      <c r="AD351" s="192"/>
      <c r="AE351" s="192"/>
      <c r="AF351" s="203"/>
      <c r="AG351" s="203"/>
      <c r="AH351" s="203"/>
      <c r="AI351" s="203"/>
      <c r="AJ351" s="203"/>
      <c r="AK351" s="203"/>
      <c r="AL351" s="203"/>
      <c r="AM351" s="203"/>
      <c r="AN351" s="192"/>
      <c r="AO351" s="192"/>
      <c r="AP351" s="192"/>
      <c r="AQ351" s="192"/>
      <c r="AR351" s="192"/>
      <c r="AS351" s="192"/>
      <c r="AT351" s="192"/>
      <c r="AU351" s="192"/>
      <c r="AV351" s="192"/>
      <c r="AW351" s="192"/>
      <c r="AX351" s="192"/>
    </row>
    <row r="352" spans="2:50" ht="15" customHeight="1" thickTop="1" thickBot="1" x14ac:dyDescent="0.35">
      <c r="B352" s="192"/>
      <c r="C352" s="192"/>
      <c r="D352" s="192"/>
      <c r="E352" s="168" t="s">
        <v>113</v>
      </c>
      <c r="F352" s="168" t="s">
        <v>114</v>
      </c>
      <c r="G352" s="117"/>
      <c r="H352" s="192"/>
      <c r="I352" s="249" t="s">
        <v>115</v>
      </c>
      <c r="J352" s="249"/>
      <c r="K352" s="249"/>
      <c r="L352" s="250" t="s">
        <v>115</v>
      </c>
      <c r="M352" s="250" t="s">
        <v>116</v>
      </c>
      <c r="N352" s="250" t="s">
        <v>117</v>
      </c>
      <c r="O352" s="250" t="s">
        <v>118</v>
      </c>
      <c r="P352" s="250" t="s">
        <v>119</v>
      </c>
      <c r="Q352" s="250" t="s">
        <v>120</v>
      </c>
      <c r="R352" s="250"/>
      <c r="S352" s="251"/>
      <c r="T352" s="208">
        <v>4</v>
      </c>
      <c r="U352" s="223"/>
      <c r="V352" s="140" t="str">
        <f>IF(V341="","",IF(OR(V344&lt;&gt;V341,V344&lt;&gt;V343),"",IF(AND(COUNTBLANK(I342:I345)=0,M342=M344,M344=M345),(SUM(L359:P359)+SUM(L368:P368))/(SUM(L360:P360)+SUM(L369:P369)),"")))</f>
        <v/>
      </c>
      <c r="W352" s="224" t="str">
        <f>IF(W341="","",IF(OR(W344&lt;&gt;W341,W344&lt;&gt;W342),"",IF(AND(COUNTBLANK(I342:I345)=0,M342=M343,M343=M345),(SUM(L359:P359)+SUM(L356:P356))/(SUM(L360:P360)+SUM(L357:P357)),"")))</f>
        <v/>
      </c>
      <c r="X352" s="252" t="str">
        <f>IF(X342="","",IF(OR(X344&lt;&gt;X342,X344&lt;&gt;X343),"",IF(AND(COUNTBLANK(I342:I345)=0,M343=M344,M344=M345),(SUM(L356:P356)+SUM(L368:P368))/(SUM(L357:P357)+SUM(L369:P369)),"")))</f>
        <v/>
      </c>
      <c r="Y352" s="192"/>
      <c r="Z352" s="203"/>
      <c r="AA352" s="243">
        <v>1</v>
      </c>
      <c r="AB352" s="151" t="str">
        <f>IF(AND(COUNTBLANK(I342:I345)=0,Group_players=4,M342=M343,M343=M345),IF(COUNTIF(W341:W344,W341)=3,AB365,IF(AND(COUNTIF(W341:W344,W341)=1,W342&lt;&gt;W344),IF(M342=2,IF(SMALL(W341:W344,1)=W341,1,IF(SMALL(W341:W344,2)=W341,2,IF(SMALL(W341:W344,3)=W341,3))),IF(M342=1,IF(SMALL(W341:W344,1)=W341,2,IF(SMALL(W341:W344,2)=W341,3,IF(SMALL(W341:W344,3)=W341,4))),"")),IF(COUNTIF(W341:W344,W341)=1,IF(W341&lt;W342,IF(M342=2,1,2),IF(M342=2,3,4)),IF(COUNTIF(W341:W344,W341)=2,IF(W341=W342,IF(W341&lt;W344,IF(M342=2,IF(Q365=3,1,2),IF(M342=1,IF(Q365=3,2,3))),IF(W341&gt;W344,IF(M342=2,IF(Q365=3,2,3),IF(M342=1,IF(Q365=3,3,4))))),IF(W341=W344,IF(W341&lt;W342,IF(M342=2,IF(Q359=3,1,2),IF(M342=1,IF(Q359=3,2,3))),IF(W341&gt;W342,IF(M342=2,IF(Q359=3,2,3),IF(M342=1,IF(Q359=3,3,4))))))),"")))),"")</f>
        <v/>
      </c>
      <c r="AC352" s="192"/>
      <c r="AD352" s="192"/>
      <c r="AE352" s="192"/>
      <c r="AF352" s="203"/>
      <c r="AG352" s="203"/>
      <c r="AH352" s="203"/>
      <c r="AI352" s="203"/>
      <c r="AJ352" s="203"/>
      <c r="AK352" s="203"/>
      <c r="AL352" s="203"/>
      <c r="AM352" s="203"/>
      <c r="AN352" s="192"/>
      <c r="AO352" s="192"/>
      <c r="AP352" s="192"/>
      <c r="AQ352" s="192"/>
      <c r="AR352" s="192"/>
      <c r="AS352" s="192"/>
      <c r="AT352" s="192"/>
      <c r="AU352" s="192"/>
      <c r="AV352" s="192"/>
      <c r="AW352" s="192"/>
      <c r="AX352" s="192"/>
    </row>
    <row r="353" spans="2:50" ht="15" customHeight="1" thickTop="1" x14ac:dyDescent="0.3">
      <c r="B353" s="192"/>
      <c r="C353" s="192"/>
      <c r="D353" s="192"/>
      <c r="E353" s="164" t="str">
        <f>IF(Q353="","",IF(Q353=3,1,0))</f>
        <v/>
      </c>
      <c r="F353" s="164" t="str">
        <f>IF(Q353="","",IF(Q353&lt;3,1,0))</f>
        <v/>
      </c>
      <c r="G353" s="192"/>
      <c r="H353" s="192" t="str">
        <f>IF(I342="","",1)</f>
        <v/>
      </c>
      <c r="I353" s="192" t="str">
        <f>IF(ISNUMBER(H353),VLOOKUP(H353,H342:I345,2,TRUE),"")</f>
        <v/>
      </c>
      <c r="J353" s="192"/>
      <c r="K353" s="192" t="str">
        <f>VLOOKUP(I353,I342:L345,3,FALSE)</f>
        <v/>
      </c>
      <c r="L353" s="253"/>
      <c r="M353" s="254"/>
      <c r="N353" s="254"/>
      <c r="O353" s="152"/>
      <c r="P353" s="153"/>
      <c r="Q353" s="255" t="str">
        <f>IF(L353="","",IF(AND(L353-L354&gt;1,L353&gt;10),1,0)+IF(AND(M353-M354&gt;1,M353&gt;10),1,0)+IF(AND(N353-N354&gt;1,N353&gt;10),1,0)+IF(AND(O353-O354&gt;1,O353&gt;10),1,0)+IF(AND(P353-P354&gt;1,P353&gt;10),1,0))</f>
        <v/>
      </c>
      <c r="R353" s="203" t="str">
        <f>IF(AND(I353="",I354=""),"",ABS(VLOOKUP(I353,I342:L345,4,FALSE)-VLOOKUP(I354,I342:L345,4,FALSE)))</f>
        <v/>
      </c>
      <c r="S353" s="256" t="str">
        <f>IF(R354="","",IF(Q353=3,+R354,-R354))</f>
        <v/>
      </c>
      <c r="T353" s="257"/>
      <c r="U353" s="258"/>
      <c r="V353" s="258"/>
      <c r="W353" s="258"/>
      <c r="X353" s="258"/>
      <c r="Y353" s="192"/>
      <c r="Z353" s="203"/>
      <c r="AA353" s="246">
        <v>2</v>
      </c>
      <c r="AB353" s="154" t="str">
        <f>IF(AND(COUNTBLANK(I342:I345)=0,Group_players=4,M342=M343,M343=M345),IF(COUNTIF(W341:W344,W342)=3,AB366,IF(AND(COUNTIF(W341:W344,W342)=1,W341&lt;&gt;W343),IF(M343=2,IF(SMALL(W341:W344,1)=W342,1,IF(SMALL(W341:W344,2)=W342,2,IF(SMALL(W341:W344,3)=W342,3))),IF(M343=1,IF(SMALL(W341:W344,1)=W342,2,IF(SMALL(W341:W344,2)=W342,3,IF(SMALL(W341:W344,3)=W342,4))),"")),IF(COUNTIF(W341:W344,W342)=1,IF(W342&lt;W341,IF(M343=2,1,2),IF(M343=2,3,4)),IF(COUNTIF(W341:W344,W342)=2,IF(W342=W341,IF(W342&lt;W344,IF(M343=2,IF(Q366=3,1,2),IF(M343=1,IF(Q366=3,2,3))),IF(W342&gt;W344,IF(M343=2,IF(Q366=3,2,3),IF(M343=1,IF(Q366=3,3,4))))),IF(W342=W344,IF(W342&lt;W341,IF(M343=2,IF(Q356=3,1,2),IF(M343=1,IF(Q356=3,2,3))),IF(W342&gt;W341,IF(M343=2,IF(Q356=3,2,3),IF(M343=1,IF(Q356=3,3,4))))))),"")))),"")</f>
        <v/>
      </c>
      <c r="AC353" s="192"/>
      <c r="AD353" s="192"/>
      <c r="AE353" s="192"/>
      <c r="AF353" s="203"/>
      <c r="AG353" s="203"/>
      <c r="AH353" s="203"/>
      <c r="AI353" s="203"/>
      <c r="AJ353" s="203"/>
      <c r="AK353" s="203"/>
      <c r="AL353" s="203"/>
      <c r="AM353" s="203"/>
      <c r="AN353" s="192"/>
      <c r="AO353" s="192"/>
      <c r="AP353" s="192"/>
      <c r="AQ353" s="192"/>
      <c r="AR353" s="192"/>
      <c r="AS353" s="192"/>
      <c r="AT353" s="192"/>
      <c r="AU353" s="192"/>
      <c r="AV353" s="192"/>
      <c r="AW353" s="192"/>
      <c r="AX353" s="192"/>
    </row>
    <row r="354" spans="2:50" ht="15" customHeight="1" thickBot="1" x14ac:dyDescent="0.35">
      <c r="B354" s="192"/>
      <c r="C354" s="192"/>
      <c r="D354" s="192"/>
      <c r="E354" s="164" t="str">
        <f>IF(Q354="","",IF(Q354=3,1,0))</f>
        <v/>
      </c>
      <c r="F354" s="164" t="str">
        <f>IF(Q354="","",IF(Q354&lt;3,1,0))</f>
        <v/>
      </c>
      <c r="G354" s="192"/>
      <c r="H354" s="192" t="str">
        <f>IF(I343="","",IF(I344="",2,3))</f>
        <v/>
      </c>
      <c r="I354" s="192" t="str">
        <f>IF(ISNUMBER(H354),VLOOKUP(H354,H342:I345,2,TRUE),"")</f>
        <v/>
      </c>
      <c r="J354" s="192"/>
      <c r="K354" s="192" t="str">
        <f>VLOOKUP(I354,I342:L345,3,FALSE)</f>
        <v/>
      </c>
      <c r="L354" s="155"/>
      <c r="M354" s="259"/>
      <c r="N354" s="259"/>
      <c r="O354" s="156"/>
      <c r="P354" s="157"/>
      <c r="Q354" s="260" t="str">
        <f>IF(L354="","",IF(AND(L354-L353&gt;1,L354&gt;10),1,0)+IF(AND(M354-M353&gt;1,M354&gt;10),1,0)+IF(AND(N354-N353&gt;1,N354&gt;10),1,0)+IF(AND(O354-O353&gt;1,O354&gt;10),1,0)+IF(AND(P354-P353&gt;1,P354&gt;10),1,0))</f>
        <v/>
      </c>
      <c r="R354" s="203" t="str">
        <f>IF(AND(Q353&lt;&gt;3,Q354&lt;&gt;3),"",IF(Q353=3,IF(VLOOKUP(I353,I342:L345,4,FALSE)&gt;VLOOKUP(I354,I342:L345,4,FALSE),VLOOKUP(R353,Point_dif,2,FALSE),VLOOKUP(R353,Point_dif,3,FALSE)),IF(Q354=3,IF(VLOOKUP(I354,I342:L345,4,FALSE)&gt;VLOOKUP(I353,I342:L345,4,FALSE),VLOOKUP(R353,Point_dif,2,FALSE),VLOOKUP(R353,Point_dif,3,FALSE)))))</f>
        <v/>
      </c>
      <c r="S354" s="256" t="str">
        <f>IF(R354="","",IF(Q354=3,+R354,-R354))</f>
        <v/>
      </c>
      <c r="T354" s="192"/>
      <c r="U354" s="235"/>
      <c r="V354" s="235"/>
      <c r="W354" s="235"/>
      <c r="X354" s="235"/>
      <c r="Y354" s="235"/>
      <c r="Z354" s="235"/>
      <c r="AA354" s="240">
        <v>4</v>
      </c>
      <c r="AB354" s="158" t="str">
        <f>IF(AND(COUNTBLANK(I342:I345)=0,Group_players=4,M342=M343,M343=M345),IF(COUNTIF(W341:W344,W344)=3,AB367,IF(AND(COUNTIF(W341:W344,W344)=1,W341&lt;&gt;W342),IF(M345=2,IF(SMALL(W341:W344,1)=W344,1,IF(SMALL(W341:W344,2)=W344,2,IF(SMALL(W341:W344,3)=W344,3))),IF(M345=1,IF(SMALL(W341:W344,1)=W344,2,IF(SMALL(W341:W344,2)=W344,3,IF(SMALL(W341:W344,3)=W344,4))),"")),IF(COUNTIF(W341:W344,W344)=1,IF(W344&lt;W341,IF(M345=2,1,2),IF(M345=2,3,4)),IF(COUNTIF(W341:W344,W344)=2,IF(W344=W341,IF(W344&lt;W342,IF(M345=2,IF(Q360=3,1,2),IF(M345=1,IF(Q360=3,2,3))),IF(W344&gt;W343,IF(M345=2,IF(Q360=3,2,3),IF(M345=1,IF(Q360=3,3,4))))),IF(W344=W342,IF(W344&lt;W341,IF(M345=2,IF(Q357=3,1,2),IF(M345=1,IF(Q357=3,2,3))),IF(W344&gt;W341,IF(M345=2,IF(Q357=3,2,3),IF(M345=1,IF(Q357=3,3,4))))))),"")))),"")</f>
        <v/>
      </c>
      <c r="AC354" s="192"/>
      <c r="AD354" s="192"/>
      <c r="AE354" s="192"/>
      <c r="AF354" s="203"/>
      <c r="AG354" s="203"/>
      <c r="AH354" s="203"/>
      <c r="AI354" s="203"/>
      <c r="AJ354" s="203"/>
      <c r="AK354" s="203"/>
      <c r="AL354" s="203"/>
      <c r="AM354" s="203"/>
      <c r="AN354" s="192"/>
      <c r="AO354" s="192"/>
      <c r="AP354" s="192"/>
      <c r="AQ354" s="192"/>
      <c r="AR354" s="192"/>
      <c r="AS354" s="192"/>
      <c r="AT354" s="192"/>
      <c r="AU354" s="192"/>
      <c r="AV354" s="192"/>
      <c r="AW354" s="192"/>
      <c r="AX354" s="192"/>
    </row>
    <row r="355" spans="2:50" ht="15" customHeight="1" thickTop="1" thickBot="1" x14ac:dyDescent="0.35">
      <c r="B355" s="192"/>
      <c r="C355" s="192"/>
      <c r="D355" s="192"/>
      <c r="E355" s="164"/>
      <c r="F355" s="164"/>
      <c r="G355" s="192"/>
      <c r="H355" s="192"/>
      <c r="I355" s="249" t="s">
        <v>116</v>
      </c>
      <c r="J355" s="249"/>
      <c r="K355" s="249"/>
      <c r="L355" s="250" t="s">
        <v>115</v>
      </c>
      <c r="M355" s="250" t="s">
        <v>116</v>
      </c>
      <c r="N355" s="250" t="s">
        <v>117</v>
      </c>
      <c r="O355" s="250" t="s">
        <v>118</v>
      </c>
      <c r="P355" s="250" t="s">
        <v>119</v>
      </c>
      <c r="Q355" s="250" t="s">
        <v>120</v>
      </c>
      <c r="R355" s="250"/>
      <c r="S355" s="251"/>
      <c r="T355" s="192"/>
      <c r="U355" s="235"/>
      <c r="V355" s="235"/>
      <c r="W355" s="235"/>
      <c r="X355" s="235"/>
      <c r="Y355" s="235"/>
      <c r="Z355" s="235"/>
      <c r="AA355" s="243">
        <v>2</v>
      </c>
      <c r="AB355" s="151" t="str">
        <f>IF(AND(COUNTBLANK(I342:I345)=0,Group_players=4,M343=M344,M344=M345),IF(COUNTIF(X341:X344,X342)=3,AB368,IF(AND(COUNTIF(X341:X344,X342)=1,X343&lt;&gt;X344),IF(M343=2,IF(SMALL(X341:X344,1)=X342,1,IF(SMALL(X341:X344,2)=X342,2,IF(SMALL(X341:X344,3)=X342,3))),IF(M343=1,IF(SMALL(X341:X344,1)=X342,2,IF(SMALL(X341:X344,2)=X342,3,IF(SMALL(X341:X344,3)=X342,4))),"")),IF(COUNTIF(X341:X344,X342)=1,IF(X342&lt;X344,IF(M343=2,1,2),IF(M343=1,3,3)),IF(COUNTIF(X341:X344,X342)=2,IF(X342=X343,IF(X342&lt;X344,IF(M343=2,IF(Q362=3,1,2),IF(M343=1,IF(Q362=3,2,3))),IF(X342&gt;X344,IF(M343=2,IF(Q362=3,2,3),IF(M343=1,IF(Q362=3,3,4))))),IF(X342=X344,IF(X342&lt;X343,IF(M343=2,IF(Q356=3,1,2),IF(M343=1,IF(Q356=3,2,3))),IF(X342&gt;X343,IF(M343=2,IF(Q356=3,2,3),IF(M343=1,IF(Q356=3,3,4))))))),"")))),"")</f>
        <v/>
      </c>
      <c r="AC355" s="192"/>
      <c r="AD355" s="192"/>
      <c r="AE355" s="192"/>
      <c r="AF355" s="203"/>
      <c r="AG355" s="203"/>
      <c r="AH355" s="203"/>
      <c r="AI355" s="203"/>
      <c r="AJ355" s="203"/>
      <c r="AK355" s="203"/>
      <c r="AL355" s="203"/>
      <c r="AM355" s="203"/>
      <c r="AN355" s="192"/>
      <c r="AO355" s="192"/>
      <c r="AP355" s="192"/>
      <c r="AQ355" s="192"/>
      <c r="AR355" s="192"/>
      <c r="AS355" s="192"/>
      <c r="AT355" s="192"/>
      <c r="AU355" s="192"/>
      <c r="AV355" s="192"/>
      <c r="AW355" s="192"/>
      <c r="AX355" s="192"/>
    </row>
    <row r="356" spans="2:50" ht="15" customHeight="1" thickTop="1" x14ac:dyDescent="0.3">
      <c r="B356" s="192"/>
      <c r="C356" s="192"/>
      <c r="D356" s="192"/>
      <c r="E356" s="164" t="str">
        <f>IF(Q356="","",IF(Q356=3,1,0))</f>
        <v/>
      </c>
      <c r="F356" s="164" t="str">
        <f>IF(Q356="","",IF(Q356&lt;3,1,0))</f>
        <v/>
      </c>
      <c r="G356" s="192"/>
      <c r="H356" s="192" t="str">
        <f>IF(I344="","",2)</f>
        <v/>
      </c>
      <c r="I356" s="192" t="str">
        <f>IF(ISNUMBER(H356),VLOOKUP(H356,H342:I345,2,TRUE),"")</f>
        <v/>
      </c>
      <c r="J356" s="192"/>
      <c r="K356" s="192" t="str">
        <f>VLOOKUP(I356,I342:L345,3,FALSE)</f>
        <v/>
      </c>
      <c r="L356" s="253"/>
      <c r="M356" s="254"/>
      <c r="N356" s="254"/>
      <c r="O356" s="152"/>
      <c r="P356" s="153"/>
      <c r="Q356" s="255" t="str">
        <f>IF(L356="","",IF(AND(L356-L357&gt;1,L356&gt;10),1,0)+IF(AND(M356-M357&gt;1,M356&gt;10),1,0)+IF(AND(N356-N357&gt;1,N356&gt;10),1,0)+IF(AND(O356-O357&gt;1,O356&gt;10),1,0)+IF(AND(P356-P357&gt;1,P356&gt;10),1,0))</f>
        <v/>
      </c>
      <c r="R356" s="203" t="str">
        <f>IF(AND(I356="",I357=""),"",ABS(VLOOKUP(I356,I342:L345,4,FALSE)-VLOOKUP(I357,I342:L345,4,FALSE)))</f>
        <v/>
      </c>
      <c r="S356" s="256" t="str">
        <f>IF(R357="","",IF(Q356=3,+R357,-R357))</f>
        <v/>
      </c>
      <c r="T356" s="192"/>
      <c r="U356" s="235"/>
      <c r="V356" s="235"/>
      <c r="W356" s="235"/>
      <c r="X356" s="235"/>
      <c r="Y356" s="235"/>
      <c r="Z356" s="235"/>
      <c r="AA356" s="246">
        <v>3</v>
      </c>
      <c r="AB356" s="154" t="str">
        <f>IF(AND(COUNTBLANK(I342:I345)=0,Group_players=4,M343=M344,M344=M345),IF(COUNTIF(X341:X344,X343)=3,AB369,IF(AND(COUNTIF(X341:X344,X343)=1,X342&lt;&gt;X344),IF(M344=2,IF(SMALL(X341:X344,1)=X343,1,IF(SMALL(X341:X344,2)=X343,2,IF(SMALL(X341:X344,3)=X343,3))),IF(M344=1,IF(SMALL(X341:X344,1)=X343,2,IF(SMALL(X341:X344,2)=X343,3,IF(SMALL(X341:X344,3)=X343,4))),"")),IF(COUNTIF(X341:X344,X343)=1,IF(X343&lt;X342,IF(M344=2,1,2),IF(M344=2,3,4)),IF(COUNTIF(X341:X344,X343)=2,IF(X343=X342,IF(X343&lt;X344,IF(M344=2,IF(Q363=3,1,2),IF(M344=1,IF(Q363=3,2,3))),IF(X343&gt;X344,IF(M344=2,IF(Q363=3,2,3),IF(M344=1,IF(Q363=3,3,4))))),IF(X343=X344,IF(X343&lt;X342,IF(M344=2,IF(Q368=3,1,2),IF(M344=1,IF(Q368=3,2,3))),IF(X343&gt;X342,IF(M344=2,IF(Q368=3,2,3),IF(M344=1,IF(Q368=3,3,4))))))),"")))),"")</f>
        <v/>
      </c>
      <c r="AC356" s="192"/>
      <c r="AD356" s="192"/>
      <c r="AE356" s="192"/>
      <c r="AF356" s="203"/>
      <c r="AG356" s="203"/>
      <c r="AH356" s="203"/>
      <c r="AI356" s="203"/>
      <c r="AJ356" s="203"/>
      <c r="AK356" s="203"/>
      <c r="AL356" s="203"/>
      <c r="AM356" s="203"/>
      <c r="AN356" s="192"/>
      <c r="AO356" s="192"/>
      <c r="AP356" s="192"/>
      <c r="AQ356" s="192"/>
      <c r="AR356" s="192"/>
      <c r="AS356" s="192"/>
      <c r="AT356" s="192"/>
      <c r="AU356" s="192"/>
      <c r="AV356" s="192"/>
      <c r="AW356" s="192"/>
      <c r="AX356" s="192"/>
    </row>
    <row r="357" spans="2:50" ht="15" customHeight="1" thickBot="1" x14ac:dyDescent="0.35">
      <c r="B357" s="192"/>
      <c r="C357" s="192"/>
      <c r="D357" s="192"/>
      <c r="E357" s="164" t="str">
        <f>IF(Q357="","",IF(Q357=3,1,0))</f>
        <v/>
      </c>
      <c r="F357" s="164" t="str">
        <f>IF(Q357="","",IF(Q357&lt;3,1,0))</f>
        <v/>
      </c>
      <c r="G357" s="192"/>
      <c r="H357" s="192" t="str">
        <f>IF(I344="","",IF(I345="",3,4))</f>
        <v/>
      </c>
      <c r="I357" s="192" t="str">
        <f>IF(ISNUMBER(H357),VLOOKUP(H357,H342:I345,2,TRUE),"")</f>
        <v/>
      </c>
      <c r="J357" s="192"/>
      <c r="K357" s="192" t="str">
        <f>VLOOKUP(I357,I342:L345,3,FALSE)</f>
        <v/>
      </c>
      <c r="L357" s="155"/>
      <c r="M357" s="259"/>
      <c r="N357" s="259"/>
      <c r="O357" s="156"/>
      <c r="P357" s="157"/>
      <c r="Q357" s="260" t="str">
        <f>IF(L357="","",IF(AND(L357-L356&gt;1,L357&gt;10),1,0)+IF(AND(M357-M356&gt;1,M357&gt;10),1,0)+IF(AND(N357-N356&gt;1,N357&gt;10),1,0)+IF(AND(O357-O356&gt;1,O357&gt;10),1,0)+IF(AND(P357-P356&gt;1,P357&gt;10),1,0))</f>
        <v/>
      </c>
      <c r="R357" s="203" t="str">
        <f>IF(AND(Q356&lt;&gt;3,Q357&lt;&gt;3),"",IF(Q356=3,IF(VLOOKUP(I356,I342:L345,4,FALSE)&gt;VLOOKUP(I357,I342:L345,4,FALSE),VLOOKUP(R356,Point_dif,2,FALSE),VLOOKUP(R356,Point_dif,3,FALSE)),IF(Q357=3,IF(VLOOKUP(I357,I342:L345,4,FALSE)&gt;VLOOKUP(I356,I342:L345,4,FALSE),VLOOKUP(R356,Point_dif,2,FALSE),VLOOKUP(R356,Point_dif,3,FALSE)))))</f>
        <v/>
      </c>
      <c r="S357" s="256" t="str">
        <f>IF(R357="","",IF(Q357=3,+R357,-R357))</f>
        <v/>
      </c>
      <c r="T357" s="192"/>
      <c r="U357" s="235"/>
      <c r="V357" s="235"/>
      <c r="W357" s="235"/>
      <c r="X357" s="235"/>
      <c r="Y357" s="235"/>
      <c r="Z357" s="235"/>
      <c r="AA357" s="261">
        <v>4</v>
      </c>
      <c r="AB357" s="158" t="str">
        <f>IF(AND(COUNTBLANK(I342:I345)=0,Group_players=4,M343=M344,M344=M345),IF(COUNTIF(X341:X344,X344)=3,AB370,IF(AND(COUNTIF(X341:X344,X344)=1,X343&lt;&gt;X342),IF(M345=2,IF(SMALL(X341:X344,1)=X344,1,IF(SMALL(X341:X344,2)=X344,2,IF(SMALL(X341:X344,3)=X344,3))),IF(M345=1,IF(SMALL(X341:X344,1)=X344,2,IF(SMALL(X341:X344,2)=X344,3,IF(SMALL(X341:X344,3)=X344,4))),"")),IF(COUNTIF(X341:X344,X344)=1,IF(X344&lt;X342,IF(M345=2,1,2),IF(M345=2,3,4)),IF(COUNTIF(X341:X344,X344)=2,IF(X344=X342,IF(X344&lt;X343,IF(M345=2,IF(Q357=3,1,2),IF(M345=1,IF(Q357=3,2,3))),IF(X344&gt;X343,IF(M345=2,IF(Q357=3,2,3),IF(M345=1,IF(Q357=3,3,4))))),IF(X344=X343,IF(X344&lt;X342,IF(M345=2,IF(Q369=3,1,2),IF(M345=1,IF(Q369=3,2,3))),IF(X344&gt;X342,IF(M345=2,IF(Q369=3,2,3),IF(M345=1,IF(Q369=3,3,4))))))),"")))),"")</f>
        <v/>
      </c>
      <c r="AC357" s="192"/>
      <c r="AD357" s="192"/>
      <c r="AE357" s="192"/>
      <c r="AF357" s="203"/>
      <c r="AG357" s="203"/>
      <c r="AH357" s="203"/>
      <c r="AI357" s="203"/>
      <c r="AJ357" s="203"/>
      <c r="AK357" s="203"/>
      <c r="AL357" s="203"/>
      <c r="AM357" s="203"/>
      <c r="AN357" s="192"/>
      <c r="AO357" s="192"/>
      <c r="AP357" s="192"/>
      <c r="AQ357" s="192"/>
      <c r="AR357" s="192"/>
      <c r="AS357" s="192"/>
      <c r="AT357" s="192"/>
      <c r="AU357" s="192"/>
      <c r="AV357" s="192"/>
      <c r="AW357" s="192"/>
      <c r="AX357" s="192"/>
    </row>
    <row r="358" spans="2:50" ht="15" customHeight="1" thickTop="1" thickBot="1" x14ac:dyDescent="0.35">
      <c r="B358" s="192"/>
      <c r="C358" s="192"/>
      <c r="D358" s="192"/>
      <c r="E358" s="164"/>
      <c r="F358" s="164"/>
      <c r="G358" s="192"/>
      <c r="H358" s="192"/>
      <c r="I358" s="249" t="s">
        <v>117</v>
      </c>
      <c r="J358" s="249"/>
      <c r="K358" s="249"/>
      <c r="L358" s="250" t="s">
        <v>115</v>
      </c>
      <c r="M358" s="250" t="s">
        <v>116</v>
      </c>
      <c r="N358" s="250" t="s">
        <v>117</v>
      </c>
      <c r="O358" s="250" t="s">
        <v>118</v>
      </c>
      <c r="P358" s="250" t="s">
        <v>119</v>
      </c>
      <c r="Q358" s="250" t="s">
        <v>120</v>
      </c>
      <c r="R358" s="250"/>
      <c r="S358" s="251"/>
      <c r="T358" s="263"/>
      <c r="U358" s="264"/>
      <c r="V358" s="242"/>
      <c r="W358" s="242"/>
      <c r="X358" s="264"/>
      <c r="Y358" s="192"/>
      <c r="Z358" s="203"/>
      <c r="AA358" s="126" t="s">
        <v>93</v>
      </c>
      <c r="AB358" s="265" t="s">
        <v>110</v>
      </c>
      <c r="AC358" s="192"/>
      <c r="AD358" s="192"/>
      <c r="AE358" s="192"/>
      <c r="AF358" s="203"/>
      <c r="AG358" s="203"/>
      <c r="AH358" s="203"/>
      <c r="AI358" s="203"/>
      <c r="AJ358" s="203"/>
      <c r="AK358" s="203"/>
      <c r="AL358" s="203"/>
      <c r="AM358" s="203"/>
      <c r="AN358" s="192"/>
      <c r="AO358" s="192"/>
      <c r="AP358" s="192"/>
      <c r="AQ358" s="192"/>
      <c r="AR358" s="192"/>
      <c r="AS358" s="192"/>
      <c r="AT358" s="192"/>
      <c r="AU358" s="192"/>
      <c r="AV358" s="192"/>
      <c r="AW358" s="192"/>
      <c r="AX358" s="192"/>
    </row>
    <row r="359" spans="2:50" ht="15" customHeight="1" thickTop="1" x14ac:dyDescent="0.3">
      <c r="B359" s="192"/>
      <c r="C359" s="192"/>
      <c r="D359" s="192"/>
      <c r="E359" s="164" t="str">
        <f>IF(Q359="","",IF(Q359=3,1,0))</f>
        <v/>
      </c>
      <c r="F359" s="164" t="str">
        <f>IF(Q359="","",IF(Q359&lt;3,1,0))</f>
        <v/>
      </c>
      <c r="G359" s="192"/>
      <c r="H359" s="192" t="str">
        <f>IF(I344&lt;&gt;"",1,"")</f>
        <v/>
      </c>
      <c r="I359" s="192" t="str">
        <f>IF(ISNUMBER(H359),VLOOKUP(H359,H342:I345,2,TRUE),"")</f>
        <v/>
      </c>
      <c r="J359" s="192"/>
      <c r="K359" s="192" t="str">
        <f>VLOOKUP(I359,I342:L345,3,FALSE)</f>
        <v/>
      </c>
      <c r="L359" s="253"/>
      <c r="M359" s="254"/>
      <c r="N359" s="254"/>
      <c r="O359" s="152"/>
      <c r="P359" s="153"/>
      <c r="Q359" s="255" t="str">
        <f>IF(L359="","",IF(AND(L359-L360&gt;1,L359&gt;10),1,0)+IF(AND(M359-M360&gt;1,M359&gt;10),1,0)+IF(AND(N359-N360&gt;1,N359&gt;10),1,0)+IF(AND(O359-O360&gt;1,O359&gt;10),1,0)+IF(AND(P359-P360&gt;1,P359&gt;10),1,0))</f>
        <v/>
      </c>
      <c r="R359" s="203" t="str">
        <f>IF(AND(I359="",I360=""),"",ABS(VLOOKUP(I359,I342:L345,4,FALSE)-VLOOKUP(I360,I342:L345,4,FALSE)))</f>
        <v/>
      </c>
      <c r="S359" s="256" t="str">
        <f>IF(R360="","",IF(Q359=3,+R360,-R360))</f>
        <v/>
      </c>
      <c r="T359" s="192"/>
      <c r="U359" s="235"/>
      <c r="V359" s="235"/>
      <c r="W359" s="235"/>
      <c r="X359" s="235"/>
      <c r="Y359" s="235"/>
      <c r="Z359" s="235"/>
      <c r="AA359" s="243">
        <v>1</v>
      </c>
      <c r="AB359" s="222" t="str">
        <f>IF(AND(COUNTBLANK(I342:I345)=0,Group_players=4,M342=M343,M343=M344),IF(U349="","",IF(COUNTIF(U349:U352,U349)=3,"Tied",IF(AND(COUNTIF(U349:U352,U349)=1,U350&lt;&gt;U351),IF(M342=2,IF(SMALL(U349:U352,1)=U349,1,IF(SMALL(U349:U352,2)=U349,2,IF(SMALL(U349:U352,3)=U349,3))),IF(M342=1,IF(SMALL(U349:U352,1)=U349,2,IF(SMALL(U349:U352,2)=U349,3,IF(SMALL(U349:U352,3)=U349,4))),"")),IF(COUNTIF(U349:U352,U349)=1,IF(U349&lt;U350,IF(M342=2,1,2),IF(M342=2,3,4)),IF(COUNTIF(U349:U352,U349)=2,IF(U349=U350,IF(U349&lt;U351,IF(M342=2,IF(Q365=3,1,2),IF(M342=1,IF(Q365=3,2,3))),IF(U349&gt;U351,IF(M342=2,IF(Q365=3,2,3),IF(M342=1,IF(Q365=3,3,4))))),IF(U349=U351,IF(U349&lt;U350,IF(M342=2,IF(Q353=3,1,2),IF(M342=1,IF(Q353=3,2,3))),IF(U349&gt;U350,IF(M342=2,IF(Q353=3,2,3),IF(M342=1,IF(Q353=3,3,4)))))))))))),"")</f>
        <v/>
      </c>
      <c r="AC359" s="192"/>
      <c r="AD359" s="192"/>
      <c r="AE359" s="192"/>
      <c r="AF359" s="203"/>
      <c r="AG359" s="203"/>
      <c r="AH359" s="203"/>
      <c r="AI359" s="203"/>
      <c r="AJ359" s="203"/>
      <c r="AK359" s="203"/>
      <c r="AL359" s="203"/>
      <c r="AM359" s="203"/>
      <c r="AN359" s="192"/>
      <c r="AO359" s="192"/>
      <c r="AP359" s="192"/>
      <c r="AQ359" s="192"/>
      <c r="AR359" s="192"/>
      <c r="AS359" s="192"/>
      <c r="AT359" s="192"/>
      <c r="AU359" s="192"/>
      <c r="AV359" s="192"/>
      <c r="AW359" s="192"/>
      <c r="AX359" s="192"/>
    </row>
    <row r="360" spans="2:50" ht="15" customHeight="1" thickBot="1" x14ac:dyDescent="0.35">
      <c r="B360" s="192"/>
      <c r="C360" s="192"/>
      <c r="D360" s="192"/>
      <c r="E360" s="164" t="str">
        <f>IF(Q360="","",IF(Q360=3,1,0))</f>
        <v/>
      </c>
      <c r="F360" s="164" t="str">
        <f>IF(Q360="","",IF(Q360&lt;3,1,0))</f>
        <v/>
      </c>
      <c r="G360" s="192"/>
      <c r="H360" s="192" t="str">
        <f>IF(I344="","",IF(I345&lt;&gt;"",4,2))</f>
        <v/>
      </c>
      <c r="I360" s="192" t="str">
        <f>IF(ISNUMBER(H360),VLOOKUP(H360,H342:I345,2,TRUE),"")</f>
        <v/>
      </c>
      <c r="J360" s="192"/>
      <c r="K360" s="192" t="str">
        <f>VLOOKUP(I360,I342:L345,3,FALSE)</f>
        <v/>
      </c>
      <c r="L360" s="155"/>
      <c r="M360" s="259"/>
      <c r="N360" s="259"/>
      <c r="O360" s="156"/>
      <c r="P360" s="157"/>
      <c r="Q360" s="260" t="str">
        <f>IF(L360="","",IF(AND(L360-L359&gt;1,L360&gt;10),1,0)+IF(AND(M360-M359&gt;1,M360&gt;10),1,0)+IF(AND(N360-N359&gt;1,N360&gt;10),1,0)+IF(AND(O360-O359&gt;1,O360&gt;10),1,0)+IF(AND(P360-P359&gt;1,P360&gt;10),1,0))</f>
        <v/>
      </c>
      <c r="R360" s="203" t="str">
        <f>IF(AND(Q359&lt;&gt;3,Q360&lt;&gt;3),"",IF(Q359=3,IF(VLOOKUP(I359,I342:L345,4,FALSE)&gt;VLOOKUP(I360,I342:L345,4,FALSE),VLOOKUP(R359,Point_dif,2,FALSE),VLOOKUP(R359,Point_dif,3,FALSE)),IF(Q360=3,IF(VLOOKUP(I360,I342:L345,4,FALSE)&gt;VLOOKUP(I359,I342:L345,4,FALSE),VLOOKUP(R359,Point_dif,2,FALSE),VLOOKUP(R359,Point_dif,3,FALSE)))))</f>
        <v/>
      </c>
      <c r="S360" s="256" t="str">
        <f>IF(R360="","",IF(Q360=3,+R360,-R360))</f>
        <v/>
      </c>
      <c r="T360" s="192"/>
      <c r="U360" s="235"/>
      <c r="V360" s="235"/>
      <c r="W360" s="235"/>
      <c r="X360" s="235"/>
      <c r="Y360" s="235"/>
      <c r="Z360" s="235"/>
      <c r="AA360" s="246">
        <v>2</v>
      </c>
      <c r="AB360" s="222" t="str">
        <f>IF(AND(COUNTBLANK(I342:I345)=0,Group_players=4,M342=M343,M343=M344),IF(U350="","",IF(COUNTIF(U349:U352,U350)=3,"Tied",IF(AND(COUNTIF(U349:U352,U350)=1,U349&lt;&gt;U351),IF(M343=2,IF(SMALL(U349:U352,1)=U350,1,IF(SMALL(U349:U352,2)=U350,2,IF(SMALL(U349:U352,3)=U350,3))),IF(M343=1,IF(SMALL(U349:U352,1)=U350,2,IF(SMALL(U349:U352,2)=U350,3,IF(SMALL(U349:U352,3)=U350,4))),"")),IF(COUNTIF(U349:U352,U350)=1,IF(U350&lt;U349,IF(M343=2,1,2),IF(M343=2,3,4)),IF(COUNTIF(U349:U352,U350)=2,IF(U350=U349,IF(U350&lt;U351,IF(M343=2,IF(Q366=3,1,2),IF(M343=1,IF(Q366=3,2,3))),IF(U350&gt;U351,IF(M343=2,IF(Q366=3,2,3),IF(M343=1,IF(Q366=3,3,4))))),IF(U350=U351,IF(U350&lt;U349,IF(M343=2,IF(Q362=3,1,2),IF(M343=1,IF(Q362=3,2,3))),IF(U350&gt;U349,IF(M343=2,IF(Q362=3,2,3),IF(M343=1,IF(Q362=3,3,4)))))))))))),"")</f>
        <v/>
      </c>
      <c r="AC360" s="192"/>
      <c r="AD360" s="192"/>
      <c r="AE360" s="192"/>
      <c r="AF360" s="203"/>
      <c r="AG360" s="203"/>
      <c r="AH360" s="203"/>
      <c r="AI360" s="203"/>
      <c r="AJ360" s="203"/>
      <c r="AK360" s="203"/>
      <c r="AL360" s="203"/>
      <c r="AM360" s="203"/>
      <c r="AN360" s="192"/>
      <c r="AO360" s="192"/>
      <c r="AP360" s="192"/>
      <c r="AQ360" s="192"/>
      <c r="AR360" s="192"/>
      <c r="AS360" s="192"/>
      <c r="AT360" s="192"/>
      <c r="AU360" s="192"/>
      <c r="AV360" s="192"/>
      <c r="AW360" s="192"/>
      <c r="AX360" s="192"/>
    </row>
    <row r="361" spans="2:50" ht="15" customHeight="1" thickTop="1" thickBot="1" x14ac:dyDescent="0.35">
      <c r="B361" s="192"/>
      <c r="C361" s="192"/>
      <c r="D361" s="192"/>
      <c r="E361" s="164"/>
      <c r="F361" s="164"/>
      <c r="G361" s="192"/>
      <c r="H361" s="192"/>
      <c r="I361" s="249" t="s">
        <v>118</v>
      </c>
      <c r="J361" s="249"/>
      <c r="K361" s="249"/>
      <c r="L361" s="250" t="s">
        <v>115</v>
      </c>
      <c r="M361" s="250" t="s">
        <v>116</v>
      </c>
      <c r="N361" s="250" t="s">
        <v>117</v>
      </c>
      <c r="O361" s="250" t="s">
        <v>118</v>
      </c>
      <c r="P361" s="250" t="s">
        <v>119</v>
      </c>
      <c r="Q361" s="250" t="s">
        <v>120</v>
      </c>
      <c r="R361" s="250"/>
      <c r="S361" s="251"/>
      <c r="T361" s="192"/>
      <c r="U361" s="235"/>
      <c r="V361" s="235"/>
      <c r="W361" s="235"/>
      <c r="X361" s="235"/>
      <c r="Y361" s="235"/>
      <c r="Z361" s="235"/>
      <c r="AA361" s="240">
        <v>3</v>
      </c>
      <c r="AB361" s="241" t="str">
        <f>IF(AND(COUNTBLANK(I342:I345)=0,Group_players=4,M342=M343,M343=M344),IF(U351="","",IF(COUNTIF(U349:U352,U351)=3,"Tied",IF(AND(COUNTIF(U349:U352,U351)=1,U349&lt;&gt;U350),IF(M342=2,IF(SMALL(U349:U352,1)=U351,1,IF(SMALL(U349:U352,2)=U351,2,IF(SMALL(U349:U352,3)=U351,3))),IF(M344=1,IF(SMALL(U349:U352,1)=U351,2,IF(SMALL(U349:U352,2)=U351,3,IF(SMALL(U349:U352,3)=U351,4))),"")),IF(COUNTIF(U349:U352,U351)=1,IF(U351&lt;U350,IF(M344=2,1,2),IF(M344=2,3,4)),IF(COUNTIF(U349:U352,U351)=2,IF(U351=U350,IF(U351&lt;U349,IF(M344=2,IF(Q363=3,1,2),IF(M344=1,IF(Q363=3,2,3))),IF(U351&gt;U349,IF(M344=2,IF(Q363=3,2,3),IF(M344=1,IF(Q363=3,3,4))))),IF(U351=U349,IF(U351&lt;U350,IF(M344=2,IF(Q354=3,1,2),IF(M344=1,IF(Q354=3,2,3))),IF(U351&gt;U350,IF(M344=2,IF(Q354=3,2,3),IF(M344=1,IF(Q354=3,3,4)))))))))))),"")</f>
        <v/>
      </c>
      <c r="AC361" s="192"/>
      <c r="AD361" s="192"/>
      <c r="AE361" s="192"/>
      <c r="AF361" s="203"/>
      <c r="AG361" s="203"/>
      <c r="AH361" s="203"/>
      <c r="AI361" s="203"/>
      <c r="AJ361" s="203"/>
      <c r="AK361" s="203"/>
      <c r="AL361" s="203"/>
      <c r="AM361" s="203"/>
      <c r="AN361" s="192"/>
      <c r="AO361" s="192"/>
      <c r="AP361" s="192"/>
      <c r="AQ361" s="192"/>
      <c r="AR361" s="192"/>
      <c r="AS361" s="192"/>
      <c r="AT361" s="192"/>
      <c r="AU361" s="192"/>
      <c r="AV361" s="192"/>
      <c r="AW361" s="192"/>
      <c r="AX361" s="192"/>
    </row>
    <row r="362" spans="2:50" ht="15" customHeight="1" thickTop="1" x14ac:dyDescent="0.3">
      <c r="B362" s="192"/>
      <c r="C362" s="192"/>
      <c r="D362" s="192"/>
      <c r="E362" s="164" t="str">
        <f>IF(Q362="","",IF(Q362=3,1,0))</f>
        <v/>
      </c>
      <c r="F362" s="164" t="str">
        <f>IF(Q362="","",IF(Q362&lt;3,1,0))</f>
        <v/>
      </c>
      <c r="G362" s="192"/>
      <c r="H362" s="192" t="str">
        <f>IF(I345&lt;&gt;"",2,"")</f>
        <v/>
      </c>
      <c r="I362" s="192" t="str">
        <f>IF(ISNUMBER(H362),VLOOKUP(H362,H342:I345,2,TRUE),"")</f>
        <v/>
      </c>
      <c r="J362" s="192"/>
      <c r="K362" s="192" t="str">
        <f>VLOOKUP(I362,I342:L345,3,FALSE)</f>
        <v/>
      </c>
      <c r="L362" s="253"/>
      <c r="M362" s="254"/>
      <c r="N362" s="254"/>
      <c r="O362" s="152"/>
      <c r="P362" s="153"/>
      <c r="Q362" s="255" t="str">
        <f>IF(L362="","",IF(AND(L362-L363&gt;1,L362&gt;10),1,0)+IF(AND(M362-M363&gt;1,M362&gt;10),1,0)+IF(AND(N362-N363&gt;1,N362&gt;10),1,0)+IF(AND(O362-O363&gt;1,O362&gt;10),1,0)+IF(AND(P362-P363&gt;1,P362&gt;10),1,0))</f>
        <v/>
      </c>
      <c r="R362" s="203" t="str">
        <f>IF(AND(I362="",I363=""),"",ABS(VLOOKUP(I362,I342:L345,4,FALSE)-VLOOKUP(I363,I342:L345,4,FALSE)))</f>
        <v/>
      </c>
      <c r="S362" s="256" t="str">
        <f>IF(R363="","",IF(Q362=3,+R363,-R363))</f>
        <v/>
      </c>
      <c r="T362" s="192"/>
      <c r="U362" s="235"/>
      <c r="V362" s="235"/>
      <c r="W362" s="235"/>
      <c r="X362" s="235"/>
      <c r="Y362" s="235"/>
      <c r="Z362" s="235"/>
      <c r="AA362" s="243">
        <v>1</v>
      </c>
      <c r="AB362" s="222" t="str">
        <f>IF(AND(COUNTBLANK(I342:I345)=0,Group_players=4,M342=M344,M344=M345),IF(V349="","",IF(COUNTIF(V349:V352,V349)=3,"Tied",IF(AND(COUNTIF(V349:V352,V349)=1,V351&lt;&gt;U352),IF(M342=2,IF(SMALL(V349:V352,1)=V349,1,IF(SMALL(V349:V352,2)=V349,2,IF(SMALL(V349:V352,3)=V349,3))),IF(M342=1,IF(SMALL(V349:V352,1)=V349,2,IF(SMALL(V349:V352,2)=V349,3,IF(SMALL(V349:V352,3)=V349,4))),"")),IF(COUNTIF(V349:V352,V349)=1,IF(V349&lt;V351,IF(M342=2,1,2),IF(M342=2,3,4)),IF(COUNTIF(V349:V352,V349)=2,IF(V349=V351,IF(V349&lt;V352,IF(M342=2,IF(Q353=3,1,2),IF(M342=1,IF(Q353=3,2,3))),IF(V349&gt;V352,IF(M342=2,IF(Q353=3,2,3),IF(M342=1,IF(Q353=3,3,4))))),IF(V349=V352,IF(V349&lt;V351,IF(M342=2,IF(Q359=3,1,2),IF(M342=1,IF(Q359=3,2,3))),IF(V349&gt;V350,IF(M342=2,IF(Q359=3,2,3),IF(M342=1,IF(Q359=3,3,4)))))))))))),"")</f>
        <v/>
      </c>
      <c r="AC362" s="192"/>
      <c r="AD362" s="192"/>
      <c r="AE362" s="192"/>
      <c r="AF362" s="203"/>
      <c r="AG362" s="203"/>
      <c r="AH362" s="203"/>
      <c r="AI362" s="203"/>
      <c r="AJ362" s="203"/>
      <c r="AK362" s="203"/>
      <c r="AL362" s="203"/>
      <c r="AM362" s="203"/>
      <c r="AN362" s="192"/>
      <c r="AO362" s="192"/>
      <c r="AP362" s="192"/>
      <c r="AQ362" s="192"/>
      <c r="AR362" s="192"/>
      <c r="AS362" s="192"/>
      <c r="AT362" s="192"/>
      <c r="AU362" s="192"/>
      <c r="AV362" s="192"/>
      <c r="AW362" s="192"/>
      <c r="AX362" s="192"/>
    </row>
    <row r="363" spans="2:50" ht="15" customHeight="1" thickBot="1" x14ac:dyDescent="0.35">
      <c r="B363" s="192"/>
      <c r="C363" s="192"/>
      <c r="D363" s="192"/>
      <c r="E363" s="164" t="str">
        <f>IF(Q363="","",IF(Q363=3,1,0))</f>
        <v/>
      </c>
      <c r="F363" s="164" t="str">
        <f>IF(Q363="","",IF(Q363&lt;3,1,0))</f>
        <v/>
      </c>
      <c r="G363" s="192"/>
      <c r="H363" s="192" t="str">
        <f>IF(I345&lt;&gt;"",3,"")</f>
        <v/>
      </c>
      <c r="I363" s="192" t="str">
        <f>IF(ISNUMBER(H363),VLOOKUP(H363,H342:I345,2,TRUE),"")</f>
        <v/>
      </c>
      <c r="J363" s="192"/>
      <c r="K363" s="192" t="str">
        <f>VLOOKUP(I363,I342:L345,3,FALSE)</f>
        <v/>
      </c>
      <c r="L363" s="155"/>
      <c r="M363" s="259"/>
      <c r="N363" s="259"/>
      <c r="O363" s="156"/>
      <c r="P363" s="157"/>
      <c r="Q363" s="260" t="str">
        <f>IF(L363="","",IF(AND(L363-L362&gt;1,L363&gt;10),1,0)+IF(AND(M363-M362&gt;1,M363&gt;10),1,0)+IF(AND(N363-N362&gt;1,N363&gt;10),1,0)+IF(AND(O363-O362&gt;1,O363&gt;10),1,0)+IF(AND(P363-P362&gt;1,P363&gt;10),1,0))</f>
        <v/>
      </c>
      <c r="R363" s="203" t="str">
        <f>IF(AND(Q362&lt;&gt;3,Q363&lt;&gt;3),"",IF(Q362=3,IF(VLOOKUP(I362,I342:L345,4,FALSE)&gt;VLOOKUP(I363,I342:L345,4,FALSE),VLOOKUP(R362,Point_dif,2,FALSE),VLOOKUP(R362,Point_dif,3,FALSE)),IF(Q363=3,IF(VLOOKUP(I363,I342:L345,4,FALSE)&gt;VLOOKUP(I362,I342:L345,4,FALSE),VLOOKUP(R362,Point_dif,2,FALSE),VLOOKUP(R362,Point_dif,3,FALSE)))))</f>
        <v/>
      </c>
      <c r="S363" s="256" t="str">
        <f>IF(R363="","",IF(Q363=3,+R363,-R363))</f>
        <v/>
      </c>
      <c r="T363" s="192"/>
      <c r="U363" s="159"/>
      <c r="V363" s="266"/>
      <c r="W363" s="266"/>
      <c r="X363" s="266"/>
      <c r="Y363" s="192"/>
      <c r="Z363" s="203"/>
      <c r="AA363" s="246">
        <v>3</v>
      </c>
      <c r="AB363" s="222" t="str">
        <f>IF(AND(COUNTBLANK(I342:I345)=0,Group_players=4,M342=M344,M344=M345),IF(V351="","",IF(COUNTIF(V349:V352,V351)=3,"Tied",IF(AND(COUNTIF(V349:V352,V351)=1,V349&lt;&gt;V352),IF(M344=2,IF(SMALL(V349:V352,1)=V351,1,IF(SMALL(V349:V352,2)=V351,2,IF(SMALL(V349:V352,3)=V351,3))),IF(M344=1,IF(SMALL(V349:V352,1)=V351,2,IF(SMALL(V349:V352,2)=V351,3,IF(SMALL(V349:V352,3)=V351,4))),"")),IF(COUNTIF(V349:V352,V351)=1,IF(V351&lt;V349,IF(M344=2,1,2),IF(M344=2,3,4)),IF(COUNTIF(V349:V352,V351)=2,IF(V351=V349,IF(V351&lt;V352,IF(M344=2,IF(Q354=3,1,2),IF(M344=1,IF(Q354=3,2,3))),IF(V351&gt;V352,IF(M344=2,IF(Q354=3,2,3),IF(M344=1,IF(Q354=3,3,4))))),IF(V351=V352,IF(V351&lt;V349,IF(M344=2,IF(Q368=3,1,2),IF(M344=1,IF(Q368=3,2,3))),IF(V351&gt;V349,IF(M344=2,IF(Q368=3,2,3),IF(M344=1,IF(Q368=3,3,4)))))))))))),"")</f>
        <v/>
      </c>
      <c r="AC363" s="192"/>
      <c r="AD363" s="192"/>
      <c r="AE363" s="192"/>
      <c r="AF363" s="203"/>
      <c r="AG363" s="203"/>
      <c r="AH363" s="203"/>
      <c r="AI363" s="203"/>
      <c r="AJ363" s="203"/>
      <c r="AK363" s="203"/>
      <c r="AL363" s="203"/>
      <c r="AM363" s="203"/>
      <c r="AN363" s="192"/>
      <c r="AO363" s="192"/>
      <c r="AP363" s="192"/>
      <c r="AQ363" s="192"/>
      <c r="AR363" s="192"/>
      <c r="AS363" s="192"/>
      <c r="AT363" s="192"/>
      <c r="AU363" s="192"/>
      <c r="AV363" s="192"/>
      <c r="AW363" s="192"/>
      <c r="AX363" s="192"/>
    </row>
    <row r="364" spans="2:50" ht="15" customHeight="1" thickTop="1" thickBot="1" x14ac:dyDescent="0.35">
      <c r="B364" s="192"/>
      <c r="C364" s="192"/>
      <c r="D364" s="192"/>
      <c r="E364" s="164"/>
      <c r="F364" s="164"/>
      <c r="G364" s="192"/>
      <c r="H364" s="192"/>
      <c r="I364" s="249" t="s">
        <v>119</v>
      </c>
      <c r="J364" s="249"/>
      <c r="K364" s="249"/>
      <c r="L364" s="250" t="s">
        <v>115</v>
      </c>
      <c r="M364" s="250" t="s">
        <v>116</v>
      </c>
      <c r="N364" s="250" t="s">
        <v>117</v>
      </c>
      <c r="O364" s="250" t="s">
        <v>118</v>
      </c>
      <c r="P364" s="250" t="s">
        <v>119</v>
      </c>
      <c r="Q364" s="250" t="s">
        <v>120</v>
      </c>
      <c r="R364" s="250"/>
      <c r="S364" s="251"/>
      <c r="T364" s="247"/>
      <c r="U364" s="235"/>
      <c r="V364" s="235"/>
      <c r="W364" s="235"/>
      <c r="X364" s="235"/>
      <c r="Y364" s="235"/>
      <c r="Z364" s="235"/>
      <c r="AA364" s="240">
        <v>4</v>
      </c>
      <c r="AB364" s="241" t="str">
        <f>IF(AND(COUNTBLANK(I342:I345)=0,Group_players=4,M342=M344,M344=M345),IF(V352="","",IF(COUNTIF(V349:V352,V352)=3,"Tied",IF(AND(COUNTIF(V349:V352,V352)=1,V351&lt;&gt;V349),IF(M345=2,IF(SMALL(V349:V352,1)=V352,1,IF(SMALL(V349:V352,2)=V352,2,IF(SMALL(V349:V352,3)=V352,3))),IF(M345=1,IF(SMALL(V349:V352,1)=V352,2,IF(SMALL(V349:V352,2)=V352,3,IF(SMALL(V349:V352,3)=V352,4))),"")),IF(COUNTIF(V349:V352,V352)=1,IF(V352&lt;V349,IF(M345=2,1,2),IF(M345=2,3,4)),IF(COUNTIF(V349:V352,V352)=2,IF(V352=V349,IF(V352&lt;V351,IF(M345=2,IF(Q360=3,1,2),IF(M345=1,IF(Q360=3,2,3))),IF(V352&gt;V351,IF(M345=2,IF(Q360=3,2,3),IF(M345=1,IF(Q360=3,3,4))))),IF(V352=V351,IF(V352&lt;V349,IF(M345=2,IF(Q369=3,1,2),IF(M345=1,IF(Q369=3,2,3))),IF(V352&gt;V349,IF(M345=2,IF(Q369=3,2,3),IF(M345=1,IF(Q369=3,3,4)))))))))))),"")</f>
        <v/>
      </c>
      <c r="AC364" s="192"/>
      <c r="AD364" s="192"/>
      <c r="AE364" s="192"/>
      <c r="AF364" s="203"/>
      <c r="AG364" s="203"/>
      <c r="AH364" s="203"/>
      <c r="AI364" s="203"/>
      <c r="AJ364" s="203"/>
      <c r="AK364" s="203"/>
      <c r="AL364" s="203"/>
      <c r="AM364" s="203"/>
      <c r="AN364" s="192"/>
      <c r="AO364" s="192"/>
      <c r="AP364" s="192"/>
      <c r="AQ364" s="192"/>
      <c r="AR364" s="192"/>
      <c r="AS364" s="192"/>
      <c r="AT364" s="192"/>
      <c r="AU364" s="192"/>
      <c r="AV364" s="192"/>
      <c r="AW364" s="192"/>
      <c r="AX364" s="192"/>
    </row>
    <row r="365" spans="2:50" ht="15" customHeight="1" thickTop="1" x14ac:dyDescent="0.3">
      <c r="B365" s="192"/>
      <c r="C365" s="192"/>
      <c r="D365" s="192"/>
      <c r="E365" s="164" t="str">
        <f>IF(Q365="","",IF(Q365=3,1,0))</f>
        <v/>
      </c>
      <c r="F365" s="164" t="str">
        <f>IF(Q365="","",IF(Q365&lt;3,1,0))</f>
        <v/>
      </c>
      <c r="G365" s="192"/>
      <c r="H365" s="192" t="str">
        <f>IF(I345&lt;&gt;"",1,"")</f>
        <v/>
      </c>
      <c r="I365" s="192" t="str">
        <f>IF(ISNUMBER(H365),VLOOKUP(H365,H342:I345,2,TRUE),"")</f>
        <v/>
      </c>
      <c r="J365" s="192"/>
      <c r="K365" s="192" t="str">
        <f>VLOOKUP(I365,I342:L345,3,FALSE)</f>
        <v/>
      </c>
      <c r="L365" s="253"/>
      <c r="M365" s="254"/>
      <c r="N365" s="254"/>
      <c r="O365" s="152"/>
      <c r="P365" s="153"/>
      <c r="Q365" s="255" t="str">
        <f>IF(L365="","",IF(AND(L365-L366&gt;1,L365&gt;10),1,0)+IF(AND(M365-M366&gt;1,M365&gt;10),1,0)+IF(AND(N365-N366&gt;1,N365&gt;10),1,0)+IF(AND(O365-O366&gt;1,O365&gt;10),1,0)+IF(AND(P365-P366&gt;1,P365&gt;10),1,0))</f>
        <v/>
      </c>
      <c r="R365" s="203" t="str">
        <f>IF(AND(I365="",I366=""),"",ABS(VLOOKUP(I365,I342:L345,4,FALSE)-VLOOKUP(I366,I342:L345,4,FALSE)))</f>
        <v/>
      </c>
      <c r="S365" s="256" t="str">
        <f>IF(R366="","",IF(Q365=3,+R366,-R366))</f>
        <v/>
      </c>
      <c r="T365" s="247"/>
      <c r="U365" s="235"/>
      <c r="V365" s="235"/>
      <c r="W365" s="235"/>
      <c r="X365" s="235"/>
      <c r="Y365" s="235"/>
      <c r="Z365" s="235"/>
      <c r="AA365" s="243">
        <v>1</v>
      </c>
      <c r="AB365" s="222" t="str">
        <f>IF(AND(COUNTBLANK(I342:I345)=0,Group_players=4,M342=M343,M343=M345),IF(W349="","",IF(COUNTIF(W349:W352,W349)=3,"Tied",IF(AND(COUNTIF(W349:W352,W349)=1,W350&lt;&gt;W351),IF(M342=2,IF(SMALL(W349:W352,1)=W349,1,IF(SMALL(W349:W352,2)=W349,2,IF(SMALL(W349:W352,3)=W349,3))),IF(M342=1,IF(SMALL(W349:W352,1)=W349,2,IF(SMALL(W349:W352,2)=W349,3,IF(SMALL(W349:W352,3)=W349,4))),"")),IF(COUNTIF(W349:W352,W349)=1,IF(W349&lt;W350,IF(M342=2,1,2),IF(M342=2,3,4)),IF(COUNTIF(W349:W352,W349)=2,IF(W349=W350,IF(W349&lt;W352,IF(M342=2,IF(Q365=3,1,2),IF(M342=1,IF(Q365=3,2,3))),IF(W349&gt;W352,IF(M342=2,IF(Q365=3,2,3),IF(M342=1,IF(Q365=3,3,4))))),IF(W349=W352,IF(W349&lt;W350,IF(M342=2,IF(Q359=3,1,2),IF(M342=1,IF(Q359=3,2,3))),IF(W349&gt;W350,IF(M342=2,IF(Q359=3,2,3),IF(M342=1,IF(Q359=3,3,4)))))))))))),"")</f>
        <v/>
      </c>
      <c r="AC365" s="192"/>
      <c r="AD365" s="192"/>
      <c r="AE365" s="192"/>
      <c r="AF365" s="203"/>
      <c r="AG365" s="203"/>
      <c r="AH365" s="203"/>
      <c r="AI365" s="203"/>
      <c r="AJ365" s="203"/>
      <c r="AK365" s="203"/>
      <c r="AL365" s="203"/>
      <c r="AM365" s="203"/>
      <c r="AN365" s="192"/>
      <c r="AO365" s="192"/>
      <c r="AP365" s="192"/>
      <c r="AQ365" s="192"/>
      <c r="AR365" s="192"/>
      <c r="AS365" s="192"/>
      <c r="AT365" s="192"/>
      <c r="AU365" s="192"/>
      <c r="AV365" s="192"/>
      <c r="AW365" s="192"/>
      <c r="AX365" s="192"/>
    </row>
    <row r="366" spans="2:50" ht="15" customHeight="1" thickBot="1" x14ac:dyDescent="0.35">
      <c r="B366" s="192"/>
      <c r="C366" s="192"/>
      <c r="D366" s="192"/>
      <c r="E366" s="164" t="str">
        <f>IF(Q366="","",IF(Q366=3,1,0))</f>
        <v/>
      </c>
      <c r="F366" s="164" t="str">
        <f>IF(Q366="","",IF(Q366&lt;3,1,0))</f>
        <v/>
      </c>
      <c r="G366" s="192"/>
      <c r="H366" s="192" t="str">
        <f>IF(I345&lt;&gt;"",2,"")</f>
        <v/>
      </c>
      <c r="I366" s="192" t="str">
        <f>IF(ISNUMBER(H366),VLOOKUP(H366,H342:I345,2,TRUE),"")</f>
        <v/>
      </c>
      <c r="J366" s="192"/>
      <c r="K366" s="192" t="str">
        <f>VLOOKUP(I366,I342:L345,3,FALSE)</f>
        <v/>
      </c>
      <c r="L366" s="155"/>
      <c r="M366" s="259"/>
      <c r="N366" s="259"/>
      <c r="O366" s="156"/>
      <c r="P366" s="157"/>
      <c r="Q366" s="260" t="str">
        <f>IF(L366="","",IF(AND(L366-L365&gt;1,L366&gt;10),1,0)+IF(AND(M366-M365&gt;1,M366&gt;10),1,0)+IF(AND(N366-N365&gt;1,N366&gt;10),1,0)+IF(AND(O366-O365&gt;1,O366&gt;10),1,0)+IF(AND(P366-P365&gt;1,P366&gt;10),1,0))</f>
        <v/>
      </c>
      <c r="R366" s="203" t="str">
        <f>IF(AND(Q365&lt;&gt;3,Q366&lt;&gt;3),"",IF(Q365=3,IF(VLOOKUP(I365,I342:L345,4,FALSE)&gt;VLOOKUP(I366,I342:L345,4,FALSE),VLOOKUP(R365,Point_dif,2,FALSE),VLOOKUP(R365,Point_dif,3,FALSE)),IF(Q366=3,IF(VLOOKUP(I366,I342:L345,4,FALSE)&gt;VLOOKUP(I366,I342:L345,4,FALSE),VLOOKUP(R365,Point_dif,2,FALSE),VLOOKUP(R365,Point_dif,3,FALSE)))))</f>
        <v/>
      </c>
      <c r="S366" s="256" t="str">
        <f>IF(R366="","",IF(Q366=3,+R366,-R366))</f>
        <v/>
      </c>
      <c r="T366" s="247"/>
      <c r="U366" s="235"/>
      <c r="V366" s="235"/>
      <c r="W366" s="235"/>
      <c r="X366" s="235"/>
      <c r="Y366" s="235"/>
      <c r="Z366" s="235"/>
      <c r="AA366" s="246">
        <v>2</v>
      </c>
      <c r="AB366" s="222" t="str">
        <f>IF(AND(COUNTBLANK(I342:I345)=0,Group_players=4,M342=M343,M343=M345),IF(W350="","",IF(COUNTIF(W349:W352,W350)=3,"Tied",IF(AND(COUNTIF(W349:W352,W350)=1,W349&lt;&gt;W351),IF(M343=2,IF(SMALL(W349:W352,1)=W350,1,IF(SMALL(W349:W352,2)=W350,2,IF(SMALL(W349:W352,3)=W350,3))),IF(M343=1,IF(SMALL(W349:W352,1)=W350,2,IF(SMALL(W349:W352,2)=W350,3,IF(SMALL(W349:W352,3)=W350,4))),"")),IF(COUNTIF(W349:W352,W350)=1,IF(W350&lt;W349,IF(M343=2,1,2),IF(M343=2,3,4)),IF(COUNTIF(W349:W352,W350)=2,IF(W350=W349,IF(W350&lt;W352,IF(M343=2,IF(Q366=3,1,2),IF(M343=1,IF(Q366=3,2,3))),IF(W350&gt;W352,IF(M343=2,IF(Q366=3,2,3),IF(M343=1,IF(Q366=3,3,4))))),IF(W350=W352,IF(W350&lt;W349,IF(M343=2,IF(Q356=3,1,2),IF(M343=1,IF(Q356=3,2,3))),IF(W350&gt;W349,IF(M343=2,IF(Q356=3,2,3),IF(M343=1,IF(Q356=3,3,4)))))))))))),"")</f>
        <v/>
      </c>
      <c r="AC366" s="192"/>
      <c r="AD366" s="192"/>
      <c r="AE366" s="192"/>
      <c r="AF366" s="203"/>
      <c r="AG366" s="203"/>
      <c r="AH366" s="203"/>
      <c r="AI366" s="203"/>
      <c r="AJ366" s="203"/>
      <c r="AK366" s="203"/>
      <c r="AL366" s="203"/>
      <c r="AM366" s="203"/>
      <c r="AN366" s="192"/>
      <c r="AO366" s="192"/>
      <c r="AP366" s="192"/>
      <c r="AQ366" s="192"/>
      <c r="AR366" s="192"/>
      <c r="AS366" s="192"/>
      <c r="AT366" s="192"/>
      <c r="AU366" s="192"/>
      <c r="AV366" s="192"/>
      <c r="AW366" s="192"/>
      <c r="AX366" s="192"/>
    </row>
    <row r="367" spans="2:50" ht="15" customHeight="1" thickTop="1" thickBot="1" x14ac:dyDescent="0.35">
      <c r="B367" s="192"/>
      <c r="C367" s="192"/>
      <c r="D367" s="192"/>
      <c r="E367" s="164"/>
      <c r="F367" s="164"/>
      <c r="G367" s="192"/>
      <c r="H367" s="192"/>
      <c r="I367" s="249" t="s">
        <v>121</v>
      </c>
      <c r="J367" s="249"/>
      <c r="K367" s="249"/>
      <c r="L367" s="250" t="s">
        <v>115</v>
      </c>
      <c r="M367" s="250" t="s">
        <v>116</v>
      </c>
      <c r="N367" s="250" t="s">
        <v>117</v>
      </c>
      <c r="O367" s="250" t="s">
        <v>118</v>
      </c>
      <c r="P367" s="250" t="s">
        <v>119</v>
      </c>
      <c r="Q367" s="250" t="s">
        <v>120</v>
      </c>
      <c r="R367" s="250"/>
      <c r="S367" s="251"/>
      <c r="T367" s="247"/>
      <c r="U367" s="235"/>
      <c r="V367" s="235"/>
      <c r="W367" s="235"/>
      <c r="X367" s="235"/>
      <c r="Y367" s="235"/>
      <c r="Z367" s="235"/>
      <c r="AA367" s="240">
        <v>4</v>
      </c>
      <c r="AB367" s="241" t="str">
        <f>IF(AND(COUNTBLANK(I342:I345)=0,Group_players=4,M342=M343,M343=M345),IF(W352="","",IF(COUNTIF(W349:W352,W352)=3,"Tied",IF(AND(COUNTIF(W349:W352,W352)=1,W349&lt;&gt;W350),IF(M345=2,IF(SMALL(W349:W352,1)=W352,1,IF(SMALL(W349:W352,2)=W352,2,IF(SMALL(W349:W352,3)=W352,3))),IF(M345=1,IF(SMALL(W349:W352,1)=W352,2,IF(SMALL(W349:W352,2)=W352,3,IF(SMALL(W349:W352,3)=W352,4))),"")),IF(COUNTIF(W349:W352,W352)=1,IF(W352&lt;W349,IF(M345=2,1,2),IF(M345=2,3,4)),IF(COUNTIF(W349:W352,W352)=2,IF(W352=W349,IF(W352&lt;W350,IF(M345=2,IF(Q360=3,1,2),IF(M345=1,IF(Q360=3,2,3))),IF(W352&gt;W351,IF(M345=2,IF(Q360=3,2,3),IF(M345=1,IF(Q360=3,3,4))))),IF(W352=W350,IF(W352&lt;W349,IF(M345=2,IF(Q357=3,1,2),IF(M345=1,IF(Q357=3,2,3))),IF(W352&gt;W349,IF(M345=2,IF(Q357=3,2,3),IF(M345=1,IF(Q357=3,3,4)))))))))))),"")</f>
        <v/>
      </c>
      <c r="AC367" s="192"/>
      <c r="AD367" s="192"/>
      <c r="AE367" s="192"/>
      <c r="AF367" s="203"/>
      <c r="AG367" s="203"/>
      <c r="AH367" s="203"/>
      <c r="AI367" s="203"/>
      <c r="AJ367" s="203"/>
      <c r="AK367" s="203"/>
      <c r="AL367" s="203"/>
      <c r="AM367" s="203"/>
      <c r="AN367" s="192"/>
      <c r="AO367" s="192"/>
      <c r="AP367" s="192"/>
      <c r="AQ367" s="192"/>
      <c r="AR367" s="192"/>
      <c r="AS367" s="192"/>
      <c r="AT367" s="192"/>
      <c r="AU367" s="192"/>
      <c r="AV367" s="192"/>
      <c r="AW367" s="192"/>
      <c r="AX367" s="192"/>
    </row>
    <row r="368" spans="2:50" ht="15" customHeight="1" thickTop="1" x14ac:dyDescent="0.3">
      <c r="B368" s="192"/>
      <c r="C368" s="192"/>
      <c r="D368" s="192"/>
      <c r="E368" s="164" t="str">
        <f>IF(Q368="","",IF(Q368=3,1,0))</f>
        <v/>
      </c>
      <c r="F368" s="164" t="str">
        <f>IF(Q368="","",IF(Q368&lt;3,1,0))</f>
        <v/>
      </c>
      <c r="G368" s="192"/>
      <c r="H368" s="192" t="str">
        <f>IF(I345&lt;&gt;"",3,"")</f>
        <v/>
      </c>
      <c r="I368" s="192" t="str">
        <f>IF(ISNUMBER(H368),VLOOKUP(H368,H342:I345,2,TRUE),"")</f>
        <v/>
      </c>
      <c r="J368" s="192"/>
      <c r="K368" s="192" t="str">
        <f>VLOOKUP(I368,I342:L345,3,FALSE)</f>
        <v/>
      </c>
      <c r="L368" s="253"/>
      <c r="M368" s="254"/>
      <c r="N368" s="254"/>
      <c r="O368" s="152"/>
      <c r="P368" s="153"/>
      <c r="Q368" s="255" t="str">
        <f>IF(L368="","",IF(AND(L368-L369&gt;1,L368&gt;10),1,0)+IF(AND(M368-M369&gt;1,M368&gt;10),1,0)+IF(AND(N368-N369&gt;1,N368&gt;10),1,0)+IF(AND(O368-O369&gt;1,O368&gt;10),1,0)+IF(AND(P368-P369&gt;1,P368&gt;10),1,0))</f>
        <v/>
      </c>
      <c r="R368" s="203" t="str">
        <f>IF(AND(I368="",I369=""),"",ABS(VLOOKUP(I368,I342:L345,4,FALSE)-VLOOKUP(I369,I342:L345,4,FALSE)))</f>
        <v/>
      </c>
      <c r="S368" s="256" t="str">
        <f>IF(R369="","",IF(Q368=3,+R369,-R369))</f>
        <v/>
      </c>
      <c r="T368" s="247"/>
      <c r="U368" s="264"/>
      <c r="V368" s="242"/>
      <c r="W368" s="192"/>
      <c r="X368" s="264"/>
      <c r="Y368" s="192"/>
      <c r="Z368" s="192"/>
      <c r="AA368" s="243">
        <v>2</v>
      </c>
      <c r="AB368" s="222" t="str">
        <f>IF(AND(COUNTBLANK(I342:I345)=0,Group_players=4,M343=M344,M344=M345),IF(X350="","",IF(COUNTIF(X349:X352,X350)=3,"Tied",IF(AND(COUNTIF(X349:X352,X350)=1,X351&lt;&gt;X352),IF(M343=2,IF(SMALL(X349:X352,1)=X350,1,IF(SMALL(X349:X352,2)=X350,2,IF(SMALL(X349:X352,3)=X350,3))),IF(M343=1,IF(SMALL(X349:X352,1)=X350,2,IF(SMALL(X349:X352,2)=X350,3,IF(SMALL(X349:X352,3)=X350,4))),"")),IF(COUNTIF(X349:X352,X350)=1,IF(X350&lt;X352,IF(M343=2,1,2),IF(M343=1,4)),IF(COUNTIF(X349:X352,X350)=2,IF(X350=X351,IF(X350&lt;X352,IF(M343=2,IF(Q362=3,1,2),IF(M343=1,IF(Q362=3,2,3))),IF(X350&gt;X352,IF(M343=2,IF(Q362=3,2,3),IF(M343=1,IF(Q362=3,3,4))))),IF(X350=X352,IF(X350&lt;X351,IF(M343=2,IF(Q356=3,1,2),IF(M343=1,IF(Q356=3,2,3))),IF(X350&gt;X351,IF(M343=2,IF(Q356=3,2,3),IF(M343=1,IF(Q356=3,3,4)))))))))))),"")</f>
        <v/>
      </c>
      <c r="AC368" s="192"/>
      <c r="AD368" s="192"/>
      <c r="AE368" s="192"/>
      <c r="AF368" s="203"/>
      <c r="AG368" s="203"/>
      <c r="AH368" s="203"/>
      <c r="AI368" s="203"/>
      <c r="AJ368" s="203"/>
      <c r="AK368" s="203"/>
      <c r="AL368" s="203"/>
      <c r="AM368" s="203"/>
      <c r="AN368" s="192"/>
      <c r="AO368" s="192"/>
      <c r="AP368" s="192"/>
      <c r="AQ368" s="192"/>
      <c r="AR368" s="192"/>
      <c r="AS368" s="192"/>
      <c r="AT368" s="192"/>
      <c r="AU368" s="192"/>
      <c r="AV368" s="192"/>
      <c r="AW368" s="192"/>
      <c r="AX368" s="192"/>
    </row>
    <row r="369" spans="2:50" ht="15" customHeight="1" thickBot="1" x14ac:dyDescent="0.35">
      <c r="B369" s="192"/>
      <c r="C369" s="192"/>
      <c r="D369" s="192"/>
      <c r="E369" s="164" t="str">
        <f>IF(Q369="","",IF(Q369=3,1,0))</f>
        <v/>
      </c>
      <c r="F369" s="164" t="str">
        <f>IF(Q369="","",IF(Q369&lt;3,1,0))</f>
        <v/>
      </c>
      <c r="G369" s="192"/>
      <c r="H369" s="192" t="str">
        <f>IF(I345&lt;&gt;"",4,"")</f>
        <v/>
      </c>
      <c r="I369" s="192" t="str">
        <f>IF(ISNUMBER(H369),VLOOKUP(H369,H342:I345,2,TRUE),"")</f>
        <v/>
      </c>
      <c r="J369" s="192"/>
      <c r="K369" s="192" t="str">
        <f>VLOOKUP(I369,I342:L345,3,FALSE)</f>
        <v/>
      </c>
      <c r="L369" s="155"/>
      <c r="M369" s="259"/>
      <c r="N369" s="259"/>
      <c r="O369" s="156"/>
      <c r="P369" s="157"/>
      <c r="Q369" s="260" t="str">
        <f>IF(L369="","",IF(AND(L369-L368&gt;1,L369&gt;10),1,0)+IF(AND(M369-M368&gt;1,M369&gt;10),1,0)+IF(AND(N369-N368&gt;1,N369&gt;10),1,0)+IF(AND(O369-O368&gt;1,O369&gt;10),1,0)+IF(AND(P369-P368&gt;1,P369&gt;10),1,0))</f>
        <v/>
      </c>
      <c r="R369" s="203" t="str">
        <f>IF(AND(Q368&lt;&gt;3,Q369&lt;&gt;3),"",IF(Q368=3,IF(VLOOKUP(I368,I342:L345,4,FALSE)&gt;VLOOKUP(I369,I342:L345,4,FALSE),VLOOKUP(R368,Point_dif,2,FALSE),VLOOKUP(R368,Point_dif,3,FALSE)),IF(Q369=3,IF(VLOOKUP(I369,I342:L345,4,FALSE)&gt;VLOOKUP(I368,I342:L345,4,FALSE),VLOOKUP(R368,Point_dif,2,FALSE),VLOOKUP(R368,Point_dif,3,FALSE)))))</f>
        <v/>
      </c>
      <c r="S369" s="260" t="str">
        <f>IF(R369="","",IF(Q369=3,+R369,-R369))</f>
        <v/>
      </c>
      <c r="T369" s="247"/>
      <c r="U369" s="235"/>
      <c r="V369" s="235"/>
      <c r="W369" s="235"/>
      <c r="X369" s="235"/>
      <c r="Y369" s="235"/>
      <c r="Z369" s="235"/>
      <c r="AA369" s="246">
        <v>3</v>
      </c>
      <c r="AB369" s="222" t="str">
        <f>IF(AND(COUNTBLANK(I342:I345)=0,Group_players=4,Group_players=4,M343=M344,M344=M345),IF(X351="","",IF(COUNTIF(X349:X352,X351)=3,"Tied",IF(AND(COUNTIF(X349:X352,X351)=1,X350&lt;&gt;X352),IF(M344=2,IF(SMALL(X349:X352,1)=X351,1,IF(SMALL(X349:X352,2)=X351,2,IF(SMALL(X349:X352,3)=X351,3))),IF(M344=1,IF(SMALL(X349:X352,1)=X351,2,IF(SMALL(X349:X352,2)=X351,3,IF(SMALL(X349:X352,3)=X351,4))),"")),IF(COUNTIF(X349:X352,X351)=1,IF(X351&lt;X350,IF(M344=2,1,2),IF(M344=2,3,4)),IF(COUNTIF(X349:X352,X351)=2,IF(X351=X350,IF(X351&lt;X352,IF(M344=2,IF(Q363=3,1,2),IF(M344=1,IF(Q363=3,2,3))),IF(X351&gt;X352,IF(M344=2,IF(Q363=3,2,3),IF(M344=1,IF(Q363=3,3,4))))),IF(X351=X352,IF(X351&lt;X350,IF(M344=2,IF(Q368=3,1,2),IF(M344=1,IF(Q368=3,2,3))),IF(X351&gt;X350,IF(M344=2,IF(Q368=3,2,3),IF(M344=1,IF(Q368=3,3,4)))))))))))),"")</f>
        <v/>
      </c>
      <c r="AC369" s="192"/>
      <c r="AD369" s="192"/>
      <c r="AE369" s="192"/>
      <c r="AF369" s="203"/>
      <c r="AG369" s="203"/>
      <c r="AH369" s="203"/>
      <c r="AI369" s="203"/>
      <c r="AJ369" s="203"/>
      <c r="AK369" s="203"/>
      <c r="AL369" s="203"/>
      <c r="AM369" s="203"/>
      <c r="AN369" s="192"/>
      <c r="AO369" s="192"/>
      <c r="AP369" s="192"/>
      <c r="AQ369" s="192"/>
      <c r="AR369" s="192"/>
      <c r="AS369" s="192"/>
      <c r="AT369" s="192"/>
      <c r="AU369" s="192"/>
      <c r="AV369" s="192"/>
      <c r="AW369" s="192"/>
      <c r="AX369" s="192"/>
    </row>
    <row r="370" spans="2:50" ht="15" customHeight="1" thickTop="1" thickBot="1" x14ac:dyDescent="0.35">
      <c r="B370" s="192"/>
      <c r="C370" s="192"/>
      <c r="D370" s="192"/>
      <c r="E370" s="192"/>
      <c r="F370" s="192"/>
      <c r="G370" s="192"/>
      <c r="H370" s="192"/>
      <c r="I370" s="192"/>
      <c r="J370" s="192"/>
      <c r="K370" s="192"/>
      <c r="L370" s="192"/>
      <c r="M370" s="192"/>
      <c r="N370" s="192"/>
      <c r="O370" s="268"/>
      <c r="P370" s="192"/>
      <c r="Q370" s="192"/>
      <c r="R370" s="247"/>
      <c r="S370" s="247"/>
      <c r="T370" s="247"/>
      <c r="U370" s="235"/>
      <c r="V370" s="235"/>
      <c r="W370" s="235"/>
      <c r="X370" s="235"/>
      <c r="Y370" s="235"/>
      <c r="Z370" s="235"/>
      <c r="AA370" s="261">
        <v>4</v>
      </c>
      <c r="AB370" s="233" t="str">
        <f>IF(AND(COUNTBLANK(I342:I345)=0,Group_players=4,M343=M344,M344=M345),IF(X352="","",IF(COUNTIF(X349:X352,X352)=3,"Tied",IF(AND(COUNTIF(X349:X352,X352)=1,X351&lt;&gt;X350),IF(M345=2,IF(SMALL(X349:X352,1)=X352,1,IF(SMALL(X349:X352,2)=X352,2,IF(SMALL(X349:X352,3)=X352,3))),IF(M345=1,IF(SMALL(X349:X352,1)=X352,2,IF(SMALL(X349:X352,2)=X352,3,IF(SMALL(X349:X352,3)=X352,4))),"")),IF(COUNTIF(X349:X352,X352)=1,IF(X352&lt;X350,IF(M345=2,1,2),IF(M345=2,3,4)),IF(COUNTIF(X349:X352,X352)=2,IF(X352=X350,IF(X352&lt;X351,IF(M345=2,IF(Q357=3,1,2),IF(M345=1,IF(Q357=3,2,3))),IF(X352&gt;X351,IF(M345=2,IF(Q357=3,2,3),IF(M345=1,IF(Q357=3,3,4))))),IF(X352=X351,IF(X352&lt;X350,IF(M345=2,IF(Q369=3,1,2),IF(M345=1,IF(Q369=3,2,3))),IF(X352&gt;X350,IF(M345=2,IF(Q369=3,2,3),IF(M345=1,IF(Q369=3,3,4)))))))))))),"")</f>
        <v/>
      </c>
      <c r="AC370" s="192"/>
      <c r="AD370" s="192"/>
      <c r="AE370" s="192"/>
      <c r="AF370" s="203"/>
      <c r="AG370" s="203"/>
      <c r="AH370" s="203"/>
      <c r="AI370" s="203"/>
      <c r="AJ370" s="203"/>
      <c r="AK370" s="203"/>
      <c r="AL370" s="203"/>
      <c r="AM370" s="203"/>
      <c r="AN370" s="192"/>
      <c r="AO370" s="192"/>
      <c r="AP370" s="192"/>
      <c r="AQ370" s="192"/>
      <c r="AR370" s="192"/>
      <c r="AS370" s="192"/>
      <c r="AT370" s="192"/>
      <c r="AU370" s="192"/>
      <c r="AV370" s="192"/>
      <c r="AW370" s="192"/>
      <c r="AX370" s="192"/>
    </row>
    <row r="371" spans="2:50" ht="15" customHeight="1" thickTop="1" x14ac:dyDescent="0.3">
      <c r="B371" s="192"/>
      <c r="C371" s="192"/>
      <c r="D371" s="192"/>
      <c r="E371" s="192"/>
      <c r="F371" s="192"/>
      <c r="G371" s="192"/>
      <c r="H371" s="192"/>
      <c r="I371" s="192"/>
      <c r="J371" s="192"/>
      <c r="K371" s="192"/>
      <c r="L371" s="192"/>
      <c r="M371" s="192"/>
      <c r="N371" s="192"/>
      <c r="O371" s="192"/>
      <c r="P371" s="192"/>
      <c r="Q371" s="192"/>
      <c r="R371" s="192"/>
      <c r="S371" s="192"/>
      <c r="T371" s="203"/>
      <c r="U371" s="192"/>
      <c r="V371" s="192"/>
      <c r="W371" s="192"/>
      <c r="X371" s="192"/>
      <c r="Y371" s="192"/>
      <c r="Z371" s="192"/>
      <c r="AA371" s="192"/>
      <c r="AB371" s="192"/>
      <c r="AC371" s="192"/>
      <c r="AD371" s="192"/>
      <c r="AE371" s="192"/>
      <c r="AF371" s="203"/>
      <c r="AG371" s="203"/>
      <c r="AH371" s="203"/>
      <c r="AI371" s="203"/>
      <c r="AJ371" s="203"/>
      <c r="AK371" s="203"/>
      <c r="AL371" s="203"/>
      <c r="AM371" s="203"/>
      <c r="AN371" s="192"/>
      <c r="AO371" s="192"/>
      <c r="AP371" s="192"/>
      <c r="AQ371" s="192"/>
      <c r="AR371" s="192"/>
      <c r="AS371" s="192"/>
      <c r="AT371" s="192"/>
      <c r="AU371" s="192"/>
      <c r="AV371" s="192"/>
      <c r="AW371" s="192"/>
      <c r="AX371" s="192"/>
    </row>
    <row r="372" spans="2:50" ht="15" customHeight="1" x14ac:dyDescent="0.3">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c r="AA372" s="192"/>
      <c r="AB372" s="192"/>
      <c r="AC372" s="192"/>
      <c r="AD372" s="192"/>
      <c r="AE372" s="192"/>
      <c r="AF372" s="203"/>
      <c r="AG372" s="203"/>
      <c r="AH372" s="203"/>
      <c r="AI372" s="203"/>
      <c r="AJ372" s="203"/>
      <c r="AK372" s="203"/>
      <c r="AL372" s="203"/>
      <c r="AM372" s="203"/>
      <c r="AN372" s="192"/>
      <c r="AO372" s="192"/>
      <c r="AP372" s="192"/>
      <c r="AQ372" s="192"/>
      <c r="AR372" s="192"/>
      <c r="AS372" s="192"/>
      <c r="AT372" s="192"/>
      <c r="AU372" s="192"/>
      <c r="AV372" s="192"/>
      <c r="AW372" s="192"/>
      <c r="AX372" s="192"/>
    </row>
    <row r="373" spans="2:50" ht="15" customHeight="1" x14ac:dyDescent="0.3">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269"/>
      <c r="AA373" s="192"/>
      <c r="AB373" s="192"/>
      <c r="AC373" s="192"/>
      <c r="AD373" s="192"/>
      <c r="AE373" s="192"/>
      <c r="AF373" s="203"/>
      <c r="AG373" s="203"/>
      <c r="AH373" s="203"/>
      <c r="AI373" s="203"/>
      <c r="AJ373" s="203"/>
      <c r="AK373" s="203"/>
      <c r="AL373" s="203"/>
      <c r="AM373" s="203"/>
      <c r="AN373" s="192"/>
      <c r="AO373" s="192"/>
      <c r="AP373" s="192"/>
      <c r="AQ373" s="192"/>
      <c r="AR373" s="192"/>
      <c r="AS373" s="192"/>
      <c r="AT373" s="192"/>
      <c r="AU373" s="192"/>
      <c r="AV373" s="192"/>
      <c r="AW373" s="192"/>
      <c r="AX373" s="192"/>
    </row>
    <row r="374" spans="2:50" ht="15" customHeight="1" x14ac:dyDescent="0.3">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c r="AA374" s="192"/>
      <c r="AB374" s="192"/>
      <c r="AC374" s="192"/>
      <c r="AD374" s="192"/>
      <c r="AE374" s="192"/>
      <c r="AF374" s="203"/>
      <c r="AG374" s="203"/>
      <c r="AH374" s="203"/>
      <c r="AI374" s="203"/>
      <c r="AJ374" s="203"/>
      <c r="AK374" s="203"/>
      <c r="AL374" s="203"/>
      <c r="AM374" s="203"/>
      <c r="AN374" s="192"/>
      <c r="AO374" s="192"/>
      <c r="AP374" s="192"/>
      <c r="AQ374" s="192"/>
      <c r="AR374" s="192"/>
      <c r="AS374" s="192"/>
      <c r="AT374" s="192"/>
      <c r="AU374" s="192"/>
      <c r="AV374" s="192"/>
      <c r="AW374" s="192"/>
      <c r="AX374" s="192"/>
    </row>
    <row r="375" spans="2:50" ht="15" customHeight="1" x14ac:dyDescent="0.3">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c r="AA375" s="192"/>
      <c r="AB375" s="192"/>
      <c r="AC375" s="192"/>
      <c r="AD375" s="192"/>
      <c r="AE375" s="192"/>
      <c r="AF375" s="203"/>
      <c r="AG375" s="203"/>
      <c r="AH375" s="203"/>
      <c r="AI375" s="203"/>
      <c r="AJ375" s="203"/>
      <c r="AK375" s="203"/>
      <c r="AL375" s="203"/>
      <c r="AM375" s="203"/>
      <c r="AN375" s="192"/>
      <c r="AO375" s="192"/>
      <c r="AP375" s="192"/>
      <c r="AQ375" s="192"/>
      <c r="AR375" s="192"/>
      <c r="AS375" s="192"/>
      <c r="AT375" s="192"/>
      <c r="AU375" s="192"/>
      <c r="AV375" s="192"/>
      <c r="AW375" s="192"/>
      <c r="AX375" s="192"/>
    </row>
    <row r="376" spans="2:50" ht="15" customHeight="1" thickBot="1" x14ac:dyDescent="0.4">
      <c r="B376" s="192"/>
      <c r="C376" s="192"/>
      <c r="D376" s="192"/>
      <c r="E376" s="192"/>
      <c r="F376" s="192"/>
      <c r="G376" s="192"/>
      <c r="H376" s="192"/>
      <c r="I376" s="383" t="s">
        <v>133</v>
      </c>
      <c r="J376" s="383"/>
      <c r="K376" s="383"/>
      <c r="L376" s="383"/>
      <c r="M376" s="383"/>
      <c r="N376" s="383"/>
      <c r="O376" s="383"/>
      <c r="P376" s="383"/>
      <c r="Q376" s="383"/>
      <c r="R376" s="383"/>
      <c r="S376" s="192"/>
      <c r="T376" s="192"/>
      <c r="U376" s="370" t="s">
        <v>92</v>
      </c>
      <c r="V376" s="371"/>
      <c r="W376" s="371"/>
      <c r="X376" s="372"/>
      <c r="Y376" s="192"/>
      <c r="Z376" s="192"/>
      <c r="AA376" s="192"/>
      <c r="AB376" s="192"/>
      <c r="AC376" s="192"/>
      <c r="AD376" s="192"/>
      <c r="AE376" s="192"/>
      <c r="AF376" s="203"/>
      <c r="AG376" s="203"/>
      <c r="AH376" s="203"/>
      <c r="AI376" s="203"/>
      <c r="AJ376" s="203"/>
      <c r="AK376" s="203"/>
      <c r="AL376" s="203"/>
      <c r="AM376" s="203"/>
      <c r="AN376" s="192"/>
      <c r="AO376" s="192"/>
      <c r="AP376" s="192"/>
      <c r="AQ376" s="192"/>
      <c r="AR376" s="192"/>
      <c r="AS376" s="192"/>
      <c r="AT376" s="192"/>
      <c r="AU376" s="192"/>
      <c r="AV376" s="192"/>
      <c r="AW376" s="192"/>
      <c r="AX376" s="192"/>
    </row>
    <row r="377" spans="2:50" ht="15" customHeight="1" thickTop="1" thickBot="1" x14ac:dyDescent="0.35">
      <c r="B377" s="192"/>
      <c r="C377" s="192"/>
      <c r="D377" s="192"/>
      <c r="E377" s="192"/>
      <c r="F377" s="192"/>
      <c r="G377" s="192"/>
      <c r="H377" s="192"/>
      <c r="I377" s="400" t="s">
        <v>93</v>
      </c>
      <c r="J377" s="160"/>
      <c r="K377" s="396" t="s">
        <v>94</v>
      </c>
      <c r="L377" s="398" t="s">
        <v>95</v>
      </c>
      <c r="M377" s="390" t="s">
        <v>96</v>
      </c>
      <c r="N377" s="390" t="s">
        <v>97</v>
      </c>
      <c r="O377" s="373" t="s">
        <v>98</v>
      </c>
      <c r="P377" s="373" t="str">
        <f>IF(COUNT(U378:X389)=3,"LM/WM Ratio",IF(COUNT(U378:X389)=6,"LP/WP Ratio",""))</f>
        <v/>
      </c>
      <c r="Q377" s="390" t="s">
        <v>99</v>
      </c>
      <c r="R377" s="392" t="s">
        <v>100</v>
      </c>
      <c r="S377" s="192"/>
      <c r="T377" s="120"/>
      <c r="U377" s="121" t="s">
        <v>101</v>
      </c>
      <c r="V377" s="122" t="s">
        <v>102</v>
      </c>
      <c r="W377" s="122" t="s">
        <v>103</v>
      </c>
      <c r="X377" s="123" t="s">
        <v>104</v>
      </c>
      <c r="Y377" s="380" t="s">
        <v>105</v>
      </c>
      <c r="Z377" s="379"/>
      <c r="AA377" s="378" t="s">
        <v>106</v>
      </c>
      <c r="AB377" s="379"/>
      <c r="AC377" s="192"/>
      <c r="AD377" s="192"/>
      <c r="AE377" s="203"/>
      <c r="AF377" s="203"/>
      <c r="AG377" s="203"/>
      <c r="AH377" s="203"/>
      <c r="AI377" s="203"/>
      <c r="AJ377" s="203"/>
      <c r="AK377" s="203"/>
      <c r="AL377" s="203"/>
      <c r="AM377" s="203"/>
      <c r="AN377" s="192"/>
      <c r="AO377" s="192"/>
      <c r="AP377" s="192"/>
      <c r="AQ377" s="192"/>
      <c r="AR377" s="192"/>
      <c r="AS377" s="192"/>
      <c r="AT377" s="192"/>
      <c r="AU377" s="192"/>
      <c r="AV377" s="192"/>
      <c r="AW377" s="192"/>
      <c r="AX377" s="192"/>
    </row>
    <row r="378" spans="2:50" ht="15" customHeight="1" thickTop="1" thickBot="1" x14ac:dyDescent="0.35">
      <c r="B378" s="192"/>
      <c r="C378" s="192"/>
      <c r="D378" s="192"/>
      <c r="E378" s="192"/>
      <c r="F378" s="192"/>
      <c r="G378" s="192"/>
      <c r="H378" s="192"/>
      <c r="I378" s="401"/>
      <c r="J378" s="161"/>
      <c r="K378" s="397"/>
      <c r="L378" s="399"/>
      <c r="M378" s="391"/>
      <c r="N378" s="391"/>
      <c r="O378" s="374"/>
      <c r="P378" s="374"/>
      <c r="Q378" s="391"/>
      <c r="R378" s="393"/>
      <c r="S378" s="192"/>
      <c r="T378" s="208">
        <v>1</v>
      </c>
      <c r="U378" s="209" t="str">
        <f>IF(M379="","",IF(COUNTIF(M379:M381,M379)=3,IF(COUNTBLANK(I379:I382)=1,(Q391+Q397)/(Q390+Q396),IF(COUNTBLANK(I379:I382)=0,(Q403+Q391)/(Q402+Q390),"")),""))</f>
        <v/>
      </c>
      <c r="V378" s="125" t="str">
        <f>IF(AND(COUNTBLANK(I379:I382)=0,M379=M381,M381=M382),(Q391+Q397)/(Q390+Q396),"")</f>
        <v/>
      </c>
      <c r="W378" s="210" t="str">
        <f>IF(AND(COUNTBLANK(I379:I382)=0,M379=M380,M380=M382),(Q403+Q397)/(Q402+Q396),"")</f>
        <v/>
      </c>
      <c r="X378" s="211"/>
      <c r="Y378" s="169" t="s">
        <v>93</v>
      </c>
      <c r="Z378" s="170" t="s">
        <v>107</v>
      </c>
      <c r="AA378" s="169" t="s">
        <v>93</v>
      </c>
      <c r="AB378" s="170" t="s">
        <v>107</v>
      </c>
      <c r="AC378" s="192"/>
      <c r="AD378" s="192"/>
      <c r="AE378" s="192"/>
      <c r="AF378" s="203"/>
      <c r="AG378" s="203"/>
      <c r="AH378" s="203"/>
      <c r="AI378" s="203"/>
      <c r="AJ378" s="203"/>
      <c r="AK378" s="203"/>
      <c r="AL378" s="203"/>
      <c r="AM378" s="203"/>
      <c r="AN378" s="192"/>
      <c r="AO378" s="192"/>
      <c r="AP378" s="192"/>
      <c r="AQ378" s="192"/>
      <c r="AR378" s="192"/>
      <c r="AS378" s="192"/>
      <c r="AT378" s="192"/>
      <c r="AU378" s="192"/>
      <c r="AV378" s="192"/>
      <c r="AW378" s="192"/>
      <c r="AX378" s="192"/>
    </row>
    <row r="379" spans="2:50" ht="15" customHeight="1" thickTop="1" thickBot="1" x14ac:dyDescent="0.35">
      <c r="B379" s="192"/>
      <c r="C379" s="192"/>
      <c r="D379" s="192"/>
      <c r="E379" s="192"/>
      <c r="F379" s="192" t="str">
        <f>IF(I379="","",VLOOKUP(I379,Siembra,2,FALSE))</f>
        <v/>
      </c>
      <c r="G379" s="192" t="str">
        <f>O379</f>
        <v/>
      </c>
      <c r="H379" s="192">
        <v>1</v>
      </c>
      <c r="I379" s="128" t="str">
        <f>IF(K379="","",IF(ISNUMBER(Sorteo!$A$17),VLOOKUP(K379,Draw,2,FALSE),""))</f>
        <v/>
      </c>
      <c r="J379" s="129" t="str">
        <f>O379</f>
        <v/>
      </c>
      <c r="K379" s="130" t="str">
        <f>IF($K$9="","",IF(Group_players=4,IF(Tablas!BR$3="","",Tablas!BR$3),IF(Group_players=3,IF(Tablas!BR$11="","",Tablas!BR$11),"")))</f>
        <v/>
      </c>
      <c r="L379" s="131" t="str">
        <f>IF(K379="","",VLOOKUP(I379,Siembra,3,FALSE))</f>
        <v/>
      </c>
      <c r="M379" s="132" t="str">
        <f>IF(AND(Q390="",Q391=""),"",IF(I379="","",SUMIFS(E390:E406,I390:I406,I379)))</f>
        <v/>
      </c>
      <c r="N379" s="132" t="str">
        <f>IF(M379="","",IF(I379="","",SUMIFS(F390:F406,I390:I406,I379)))</f>
        <v/>
      </c>
      <c r="O379" s="132" t="str">
        <f>IF(M379="","",IF(COUNTBLANK(I379:I382)=1,IF(M379=2,1,IF(M379=0,3,IF(AND(M379=1,M380&lt;&gt;1),2,IF(COUNTIF(M379:M381,1)&gt;1,Z379)))),IF(COUNTBLANK(I379:I382)=0,IF(COUNTIF(M379:M382,M379)=1,IF(M379=3,1,IF(M379=2,2,IF(M379=1,3,IF(M379=0,4)))),IF(Group_players=3,Z379,IF(COUNTIF(M379:M382,M379)=2,AB379,IF(AND(M379=M380,M380=M381),AB383,IF(AND(M379=M381,M381=M382),AB386,IF(AND(M379=M380,M380=M382),AB389,"")))))),99)))</f>
        <v/>
      </c>
      <c r="P379" s="133" t="str">
        <f>IF(COUNT(U378:X389)=3,IF(ISNUMBER(U378),U378,IF(ISNUMBER(V378),V378,IF(ISNUMBER(W378),W378,IF(X378="","")))),IF(COUNT(U378:X389)=6,IF(ISNUMBER(U386),U386,IF(ISNUMBER(V386),V386,IF(ISNUMBER(W386),W386,IF(ISBLANK(X378),"")))),""))</f>
        <v/>
      </c>
      <c r="Q379" s="132" t="str">
        <f>IF(M379="","",SUMIF(I390:S406,I379,S390:S406))</f>
        <v/>
      </c>
      <c r="R379" s="134" t="str">
        <f>IF(M379="","",L379+Q379)</f>
        <v/>
      </c>
      <c r="S379" s="203"/>
      <c r="T379" s="208">
        <v>2</v>
      </c>
      <c r="U379" s="209" t="str">
        <f>IF(M380="","",IF(COUNTIF(M379:M381,M380)=3,IF(COUNTBLANK(I379:I382)=1,(Q394+Q396)/(Q393+Q397),IF(COUNTBLANK(I379:I382)=0,(Q400+Q402)/(Q399+Q403),"")),""))</f>
        <v/>
      </c>
      <c r="V379" s="135"/>
      <c r="W379" s="212" t="str">
        <f>IF(AND(COUNTBLANK(I379:I382)=0,M380=M379,M379=M382),(Q402+Q394)/(Q403+Q393),"")</f>
        <v/>
      </c>
      <c r="X379" s="213" t="str">
        <f>IF(AND(COUNTBLANK(I379:I382)=0,M380=M381,M381=M382),(Q400+Q394)/(Q399+Q393),"")</f>
        <v/>
      </c>
      <c r="Y379" s="214">
        <v>1</v>
      </c>
      <c r="Z379" s="215" t="str">
        <f>IF(U378="","",IF(OR(Group_players=3,AND(Group_players=4,COUNTBLANK(I379:I382)=1)),IF(COUNTIF(M379:M381,M379)=1,"",IF(AND(U378=U379,U379=U380),Z383,IF(AND(U378&lt;&gt;U379,U378&lt;&gt;U380,U379&lt;&gt;U380),(IF(SMALL(U378:U380,1)=U378,1,IF(SMALL(U378:U380,2)=U378,2,IF(SMALL(U378:U380,3)=U378,3)))),IF(AND(U378&lt;U379,U379=U380),1,IF(AND(U378&gt;U379,U379=U380),3,IF(AND(U378=U379,U378&lt;U380),(IF(Q396=3,1,2)),IF(AND(U378=U379,U378&gt;U380),(IF(Q396=3,2,3)),IF(AND(U378=U380,U378&lt;U379),(IF(Q390=3,1,2)),IF(AND(U378=U380,U378&gt;U379),(IF(Q390=3,2,3)),99))))))))),""))</f>
        <v/>
      </c>
      <c r="AA379" s="216">
        <v>1</v>
      </c>
      <c r="AB379" s="217" t="str">
        <f>IF(COUNTIF(M379:M382,M379)&lt;&gt;2,"",IF(COUNTIF(M379:M382,M379)=1,"",IF(AND(COUNTIF(M379:M382,M379)=2,M379=2),IF(M379=M380,IF(Q402=3,1,2),IF(M379=M381,IF(Q390=3,1,2),IF(M379=M382,IF(Q396=3,1,2)))),IF(AND(COUNTIF(M379:M382,M379)=2,M379=1),IF(M379=M380,IF(Q402=3,3,4),IF(M379=M381,IF(Q390=3,3,4),IF(M379=M382,IF(Q396=3,3,4)))),IF(COUNTIF(M379:M382,M379)=3,AB383)))))</f>
        <v/>
      </c>
      <c r="AC379" s="192"/>
      <c r="AD379" s="192"/>
      <c r="AE379" s="192"/>
      <c r="AF379" s="203"/>
      <c r="AG379" s="203"/>
      <c r="AH379" s="203"/>
      <c r="AI379" s="203"/>
      <c r="AJ379" s="203"/>
      <c r="AK379" s="203"/>
      <c r="AL379" s="203"/>
      <c r="AM379" s="203"/>
      <c r="AN379" s="192"/>
      <c r="AO379" s="192"/>
      <c r="AP379" s="192"/>
      <c r="AQ379" s="192"/>
      <c r="AR379" s="192"/>
      <c r="AS379" s="192"/>
      <c r="AT379" s="192"/>
      <c r="AU379" s="192"/>
      <c r="AV379" s="192"/>
      <c r="AW379" s="192"/>
      <c r="AX379" s="192"/>
    </row>
    <row r="380" spans="2:50" ht="15" customHeight="1" thickTop="1" thickBot="1" x14ac:dyDescent="0.35">
      <c r="B380" s="192"/>
      <c r="C380" s="192"/>
      <c r="D380" s="192"/>
      <c r="E380" s="192"/>
      <c r="F380" s="192" t="str">
        <f>IF(I380="","",VLOOKUP(I380,Siembra,2,FALSE))</f>
        <v/>
      </c>
      <c r="G380" s="192" t="str">
        <f>O380</f>
        <v/>
      </c>
      <c r="H380" s="192">
        <v>2</v>
      </c>
      <c r="I380" s="128" t="str">
        <f>IF(K380="","",IF(ISNUMBER(Sorteo!$A$17),VLOOKUP(K380,Draw,2,FALSE),""))</f>
        <v/>
      </c>
      <c r="J380" s="129" t="str">
        <f>O380</f>
        <v/>
      </c>
      <c r="K380" s="136" t="str">
        <f>IF($K$9="","",IF(Group_players=4,IF(Tablas!BR$4="","",Tablas!BR$4),IF(Group_players=3,IF(Tablas!BR$12="","",Tablas!BR$12),"")))</f>
        <v/>
      </c>
      <c r="L380" s="137" t="str">
        <f>IF(K380="","",VLOOKUP(I380,Siembra,3,FALSE))</f>
        <v/>
      </c>
      <c r="M380" s="132" t="str">
        <f>IF(AND(L390="",L391=""),"",IF(I380="","",SUMIFS(E390:E407,I390:I407,I380)))</f>
        <v/>
      </c>
      <c r="N380" s="138" t="str">
        <f>IF(M380="","",IF(I380="","",SUMIFS(F390:F406,I390:I406,I380)))</f>
        <v/>
      </c>
      <c r="O380" s="132" t="str">
        <f>IF(M380="","",IF(COUNTBLANK(I379:I382)=1,IF(M380=2,1,IF(M380=0,3,IF(AND(M380=1,M381&lt;&gt;1),2,IF(COUNTIF(M379:M382,1)&gt;1,Z380)))),IF(COUNTBLANK(I379:I382)=0,IF(COUNTIF(M379:M382,M380)=1,IF(M380=3,1,IF(M380=2,2,IF(M380=1,3,IF(M380=0,4)))),IF(Group_players=3,Z380,IF(COUNTIF(M379:M382,M380)=2,AB380,IF(AND(M380=M379,M379=M381),AB384,IF(AND(M380=M379,M379=M382),AB390,IF(AND(M380=M381,M381=M382),AB392,"")))))))))</f>
        <v/>
      </c>
      <c r="P380" s="133" t="str">
        <f>IF(COUNT(U378:X389)=3,IF(ISNUMBER(U379),U379,IF(ISNUMBER(W379),W379,IF(ISNUMBER(X379),X379,IF(X379="","")))),IF(COUNT(U378:X389)=6,IF(ISNUMBER(U387),U387,IF(ISNUMBER(W387),W387,IF(ISNUMBER(X387),X387,IF(ISBLANK(X386),"")))),""))</f>
        <v/>
      </c>
      <c r="Q380" s="138" t="str">
        <f>IF(M380="","",SUMIF(I390:S406,I380,S390:$S406))</f>
        <v/>
      </c>
      <c r="R380" s="139" t="str">
        <f>IF(M380="","",L380+Q380)</f>
        <v/>
      </c>
      <c r="S380" s="203"/>
      <c r="T380" s="208">
        <v>3</v>
      </c>
      <c r="U380" s="209" t="str">
        <f>IF(M381="","",IF(COUNTIF(M379:M381,M381)=3,IF(COUNTBLANK(I379:I382)=1,(Q390+Q393)/(Q391+Q394),IF(COUNTBLANK(I379:I382)=0,(Q390+Q399)/(Q391+Q400),"")),""))</f>
        <v/>
      </c>
      <c r="V380" s="125" t="str">
        <f>IF(AND(COUNTBLANK(I379:I382)=0,M381=M382,M382=M379),(Q390+Q406)/(Q391+Q405),"")</f>
        <v/>
      </c>
      <c r="W380" s="218"/>
      <c r="X380" s="213" t="str">
        <f>IF(AND(COUNTBLANK(I379:I382)=0,M381=M382,M382=M380),(Q399+Q406)/(Q400+Q405),"")</f>
        <v/>
      </c>
      <c r="Y380" s="219">
        <v>2</v>
      </c>
      <c r="Z380" s="220" t="str">
        <f>IF(U379="","",IF(OR(Group_players=3,AND(Group_players=4,COUNTBLANK(I379:I382)=1)),IF(COUNTIF(M379:M381,M380)=1,"",IF(AND(U379=U378,U379=U380),Z384,IF(AND(U379&lt;&gt;U378,U379&lt;&gt;U380,U378&lt;&gt;U380),(IF(SMALL(U378:U380,1)=U379,1,IF(SMALL(U378:U380,2)=U379,2,IF(SMALL(U378:U380,3)=U379,3)))),IF(AND(U379&lt;U378,U378=U380),1,IF(AND(U379&gt;U378,U378=U380),3,IF(AND(U379=U378,U379&lt;U380),(IF(Q397=3,1,2)),IF(AND(U379=U378,U379&gt;U380),(IF(Q397=3,2,3)),IF(AND(U379=U380,U379&lt;U378),(IF(Q393=3,1,2)),IF(AND(U379=U380,U379&gt;U378),(IF(Q393=3,2,3)),99))))))))),""))</f>
        <v/>
      </c>
      <c r="AA380" s="221">
        <v>2</v>
      </c>
      <c r="AB380" s="222" t="str">
        <f>IF(COUNTIF(M379:M382,M380)&lt;&gt;2,"",IF(COUNTIF(M379:M382,M380)=1,"",IF(AND(COUNTIF(M379:M382,M380)=2,M380=2),IF(M380=M379,IF(Q403=3,1,2),IF(M380=M381,IF(Q399=3,1,2),IF(M380=M382,IF(Q393=3,1,2)))),IF(AND(COUNTIF(M379:M382,M380)=2,M380=1),IF(M380=M379,IF(Q403=3,3,4),IF(M380=M381,IF(Q399=3,3,4),IF(M380=M382,IF(Q393=3,3,4)))),AB385))))</f>
        <v/>
      </c>
      <c r="AC380" s="192"/>
      <c r="AD380" s="192"/>
      <c r="AE380" s="192"/>
      <c r="AF380" s="203"/>
      <c r="AG380" s="203"/>
      <c r="AH380" s="203"/>
      <c r="AI380" s="203"/>
      <c r="AJ380" s="203"/>
      <c r="AK380" s="203"/>
      <c r="AL380" s="203"/>
      <c r="AM380" s="203"/>
      <c r="AN380" s="192"/>
      <c r="AO380" s="192"/>
      <c r="AP380" s="192"/>
      <c r="AQ380" s="192"/>
      <c r="AR380" s="192"/>
      <c r="AS380" s="192"/>
      <c r="AT380" s="192"/>
      <c r="AU380" s="192"/>
      <c r="AV380" s="192"/>
      <c r="AW380" s="192"/>
      <c r="AX380" s="192"/>
    </row>
    <row r="381" spans="2:50" ht="15" customHeight="1" thickBot="1" x14ac:dyDescent="0.35">
      <c r="B381" s="192"/>
      <c r="C381" s="192"/>
      <c r="D381" s="192"/>
      <c r="E381" s="192"/>
      <c r="F381" s="192" t="str">
        <f>IF(I381="","",VLOOKUP(I381,Siembra,2,FALSE))</f>
        <v/>
      </c>
      <c r="G381" s="192" t="str">
        <f>O381</f>
        <v/>
      </c>
      <c r="H381" s="192">
        <v>3</v>
      </c>
      <c r="I381" s="128" t="str">
        <f>IF(K381="","",IF(ISNUMBER(Sorteo!$A$17),VLOOKUP(K381,Draw,2,FALSE),""))</f>
        <v/>
      </c>
      <c r="J381" s="129" t="str">
        <f>O381</f>
        <v/>
      </c>
      <c r="K381" s="136" t="str">
        <f>IF($K$9="","",IF(Group_players=4,IF(Tablas!BR$5="","",Tablas!BR$5),IF(Group_players=3,IF(Tablas!BR$13="","",Tablas!BR$13),"")))</f>
        <v/>
      </c>
      <c r="L381" s="137" t="str">
        <f>IF(K381="","",VLOOKUP(I381,Siembra,3,FALSE))</f>
        <v/>
      </c>
      <c r="M381" s="132" t="str">
        <f>IF(AND(L391="",L390=""),"",IF(I381="","",SUMIFS(E390:E408,I390:I408,I381)))</f>
        <v/>
      </c>
      <c r="N381" s="138" t="str">
        <f>IF(M381="","",IF(I381="","",SUMIFS(F390:F406,I390:I406,I381)))</f>
        <v/>
      </c>
      <c r="O381" s="132" t="str">
        <f>IF(M381="","",IF(COUNTBLANK(I379:I382)=1,IF(M381=2,1,IF(M381=0,3,IF(AND(M381=1,M381&lt;&gt;M379),2,IF(COUNTIF(M379:M382,1)&gt;1,Z381)))),IF(COUNTBLANK(I379:I382)=0,IF(COUNTIF(M379:M382,M381)=1,IF(M381=3,1,IF(M381=2,2,IF(M381=1,3,IF(M381=0,4)))),IF(Group_players=3,Z381,IF(COUNTIF(M379:M382,M381)=2,AB381,IF(AND(M381=M379,M379=M380),AB385,IF(AND(M381=M379,M379=M382),AB387,IF(AND(M381=M380,M380=M382),AB393,"")))))))))</f>
        <v/>
      </c>
      <c r="P381" s="133" t="str">
        <f>IF(COUNT(U378:X389)=3,IF(ISNUMBER(U380),U380,IF(ISNUMBER(V380),V380,IF(ISNUMBER(X380),X380,IF(W380="","")))),IF(COUNT(U378:X389)=6,IF(ISNUMBER(U388),U388,IF(ISNUMBER(V388),V388,IF(ISNUMBER(X388),X388,""))),""))</f>
        <v/>
      </c>
      <c r="Q381" s="138" t="str">
        <f>IF(M381="","",SUMIF(I390:S406,I381,S390:S406))</f>
        <v/>
      </c>
      <c r="R381" s="139" t="str">
        <f>IF(M381="","",L381+Q381)</f>
        <v/>
      </c>
      <c r="S381" s="203"/>
      <c r="T381" s="208">
        <v>4</v>
      </c>
      <c r="U381" s="223"/>
      <c r="V381" s="140" t="str">
        <f>IF(AND(COUNTBLANK(I379:I382)=0,M382=M379,M379=M381),(Q396+Q405)/(Q397+Q406),"")</f>
        <v/>
      </c>
      <c r="W381" s="224" t="str">
        <f>IF(AND(COUNTBLANK(I379:I382)=0,M382=M379,M379=M380),(Q396+Q393)/(Q397+Q394),"")</f>
        <v/>
      </c>
      <c r="X381" s="225" t="str">
        <f>IF(AND(COUNTBLANK(I379:I382)=0,M382=M380,M380=M381),(Q393+Q405)/(Q394+Q406),"")</f>
        <v/>
      </c>
      <c r="Y381" s="226">
        <v>3</v>
      </c>
      <c r="Z381" s="227" t="str">
        <f>IF(U380="","",IF(OR(Group_players=3,AND(Group_players=4,COUNTBLANK(I379:I382)=1)),IF(COUNTIF(M379:M381,M381)=1,"",IF(AND(U380=U378,U380=U379),Z385,IF(AND(U380&lt;&gt;U379,U379&lt;&gt;U378,U380&lt;&gt;U378),(IF(SMALL(U378:U380,1)=U380,1,IF(SMALL(U378:U380,2)=U380,2,IF(SMALL(U378:U380,3)=U380,3)))),IF(AND(U380&lt;U379,U379=U378),1,IF(AND(U380&gt;U379,U379=U378),3,IF(AND(U380=U379,U380&lt;U378),(IF(Q394=3,1,2)),IF(AND(U380=U379,U380&gt;U378),(IF(Q394=3,2,3)),IF(AND(U380=U378,U380&lt;U379),(IF(Q391=3,1,2)),IF(AND(U380=U378,U380&gt;U379),(IF(Q391=3,2,3)),99))))))))),""))</f>
        <v/>
      </c>
      <c r="AA381" s="221">
        <v>3</v>
      </c>
      <c r="AB381" s="222" t="str">
        <f>IF(COUNTIF(M379:M382,M381)&lt;&gt;2,"",IF(COUNTIF(M379:M382,M381)=1,"",IF(AND(COUNTIF(M379:M382,M381)=2,M381=2),IF(M381=M379,IF(Q391=3,1,2),IF(M381=M380,IF(Q400=3,1,2),IF(M381=M382,IF(Q405=3,1,2)))),IF(AND(COUNTIF(M379:M382,M381)=2,M381=1),IF(M381=M379,IF(Q391=3,3,4),IF(M381=M380,IF(Q400=3,3,4),IF(M381=M382,IF(Q405=3,3,4)))),AB385))))</f>
        <v/>
      </c>
      <c r="AC381" s="192"/>
      <c r="AD381" s="192"/>
      <c r="AE381" s="192"/>
      <c r="AF381" s="203"/>
      <c r="AG381" s="203"/>
      <c r="AH381" s="203"/>
      <c r="AI381" s="203"/>
      <c r="AJ381" s="203"/>
      <c r="AK381" s="203"/>
      <c r="AL381" s="203"/>
      <c r="AM381" s="203"/>
      <c r="AN381" s="192"/>
      <c r="AO381" s="192"/>
      <c r="AP381" s="192"/>
      <c r="AQ381" s="192"/>
      <c r="AR381" s="192"/>
      <c r="AS381" s="192"/>
      <c r="AT381" s="192"/>
      <c r="AU381" s="192"/>
      <c r="AV381" s="192"/>
      <c r="AW381" s="192"/>
      <c r="AX381" s="192"/>
    </row>
    <row r="382" spans="2:50" ht="15" customHeight="1" thickTop="1" thickBot="1" x14ac:dyDescent="0.35">
      <c r="B382" s="192"/>
      <c r="C382" s="192"/>
      <c r="D382" s="192"/>
      <c r="E382" s="192"/>
      <c r="F382" s="192" t="str">
        <f>IF(I382="","",VLOOKUP(I382,Siembra,2,FALSE))</f>
        <v/>
      </c>
      <c r="G382" s="192" t="str">
        <f>O382</f>
        <v/>
      </c>
      <c r="H382" s="192">
        <v>4</v>
      </c>
      <c r="I382" s="141" t="str">
        <f>IF(K382="","",IF(ISNUMBER(Sorteo!$A$17),VLOOKUP(K382,Draw,2,FALSE),""))</f>
        <v/>
      </c>
      <c r="J382" s="142" t="str">
        <f>O382</f>
        <v/>
      </c>
      <c r="K382" s="143" t="str">
        <f>IF($K$9="","",IF(Group_players=4,IF(Tablas!BR6="","",Tablas!BR6),""))</f>
        <v/>
      </c>
      <c r="L382" s="144" t="str">
        <f>IF(K382="","",VLOOKUP(I382,Siembra,3,FALSE))</f>
        <v/>
      </c>
      <c r="M382" s="145" t="str">
        <f>IF(AND(Q393="",Q394=""),"",IF(I382="","",SUMIFS(E390:E409,I390:I409,I382)))</f>
        <v/>
      </c>
      <c r="N382" s="145" t="str">
        <f>IF(M382="","",IF(I382="","",SUMIFS(F390:F406,I390:I406,I382)))</f>
        <v/>
      </c>
      <c r="O382" s="145" t="str">
        <f>IF(M382="","",IF(COUNTIF(M379:M382,M382)=1,IF(M382=3,1,IF(M382=2,2,IF(M382=1,3,IF(M382=0,4)))),IF(COUNTIF(M379:M382,M382)=2,AB382,IF(AND(M382=M379,M379=M381),AB388,IF(AND(M382=M379,M379=M380),AB391,IF(AND(M382=M380,M380=M381),AB394,""))))))</f>
        <v/>
      </c>
      <c r="P382" s="146" t="str">
        <f>IF(COUNT(U378:X389)=3,IF(ISNUMBER(V381),V381,IF(ISNUMBER(W381),W381,IF(ISNUMBER(X381),X381,IF(X381="","")))),IF(COUNT(U378:X389)=6,IF(ISNUMBER(V389),V389,IF(ISNUMBER(W389),W389,IF(ISNUMBER(X389),X389,""))),""))</f>
        <v/>
      </c>
      <c r="Q382" s="145" t="str">
        <f>IF(M382="","",SUMIF(I390:S406,I382,S390:$S406))</f>
        <v/>
      </c>
      <c r="R382" s="147" t="str">
        <f>IF(M382="","",L382+Q382)</f>
        <v/>
      </c>
      <c r="S382" s="203"/>
      <c r="T382" s="192"/>
      <c r="U382" s="192"/>
      <c r="V382" s="192"/>
      <c r="W382" s="192"/>
      <c r="X382" s="192"/>
      <c r="Y382" s="230" t="s">
        <v>93</v>
      </c>
      <c r="Z382" s="231" t="s">
        <v>110</v>
      </c>
      <c r="AA382" s="232">
        <v>4</v>
      </c>
      <c r="AB382" s="233" t="str">
        <f>IF(COUNTIF(M379:M382,M382)&lt;&gt;2,"",IF(COUNTIF(M379:M382,M382)=1,"",IF(AND(COUNTIF(M379:M382,M382)=2,M382=2),IF(M382=M379,IF(Q397=3,1,2),IF(M382=M380,IF(Q394=3,1,2),IF(M382=M381,IF(Q406=3,1,2)))),IF(AND(COUNTIF(M379:M382,M382)=2,M382=1),IF(M382=M379,IF(Q397=3,3,4),IF(M382=M380,IF(Q394=3,3,4),IF(M382=M381,IF(Q406=3,3,4)))),AB388))))</f>
        <v/>
      </c>
      <c r="AC382" s="192"/>
      <c r="AD382" s="192"/>
      <c r="AE382" s="192"/>
      <c r="AF382" s="203"/>
      <c r="AG382" s="203"/>
      <c r="AH382" s="203"/>
      <c r="AI382" s="203"/>
      <c r="AJ382" s="203"/>
      <c r="AK382" s="203"/>
      <c r="AL382" s="203"/>
      <c r="AM382" s="203"/>
      <c r="AN382" s="192"/>
      <c r="AO382" s="192"/>
      <c r="AP382" s="192"/>
      <c r="AQ382" s="192"/>
      <c r="AR382" s="192"/>
      <c r="AS382" s="192"/>
      <c r="AT382" s="192"/>
      <c r="AU382" s="192"/>
      <c r="AV382" s="192"/>
      <c r="AW382" s="192"/>
      <c r="AX382" s="192"/>
    </row>
    <row r="383" spans="2:50" ht="15" customHeight="1" thickTop="1" x14ac:dyDescent="0.3">
      <c r="B383" s="192"/>
      <c r="C383" s="192"/>
      <c r="D383" s="192"/>
      <c r="E383" s="192"/>
      <c r="F383" s="192"/>
      <c r="G383" s="192"/>
      <c r="H383" s="192"/>
      <c r="I383" s="192"/>
      <c r="J383" s="192"/>
      <c r="K383" s="192"/>
      <c r="L383" s="192"/>
      <c r="M383" s="192"/>
      <c r="N383" s="192"/>
      <c r="O383" s="192"/>
      <c r="P383" s="192"/>
      <c r="Q383" s="192"/>
      <c r="R383" s="192"/>
      <c r="S383" s="192"/>
      <c r="T383" s="208"/>
      <c r="U383" s="192"/>
      <c r="V383" s="148"/>
      <c r="W383" s="148"/>
      <c r="X383" s="234"/>
      <c r="Y383" s="214">
        <v>1</v>
      </c>
      <c r="Z383" s="215" t="str">
        <f>IF(U386="","",IF(OR(Group_players=3,AND(Group_players=4,COUNTBLANK(I379:I382)=1)),IF(COUNTIF(M379:M381,M379)=1,"",IF(COUNTIF(U378:U380,U378)=3,IF(AND(U386=U387,U387=U388),"Tied",IF(AND(U386&lt;&gt;U387,U386&lt;&gt;U388,U387&lt;&gt;U388),(IF(SMALL(U386:U388,1)=U386,1,IF(SMALL(U386:U388,2)=U386,2,IF(SMALL(U386:U388,3)=U386,3)))),IF(AND(U386&lt;U387,U387=U388),1,IF(AND(U386&gt;U387,U387=U388),3,IF(AND(U386=U387,U386&lt;U388),(IF(Q396=3,1,2)),IF(AND(U386=U387,U386&gt;U388),(IF(Q396=3,2,3)),IF(AND(U386=U388,U386&lt;U387),(IF(Q390=3,1,2)),IF(AND(U386=U388,U386&gt;U387),(IF(Q390=3,2,3)),99)))))))),"")),""))</f>
        <v/>
      </c>
      <c r="AA383" s="208">
        <v>1</v>
      </c>
      <c r="AB383" s="222" t="str">
        <f>IF(AND(COUNTBLANK(I379:I382)=0,Group_players=4,M379=M380,M380=M381),IF(COUNTIF(U378:U381,U378)=3,AB396,IF(AND(COUNTIF(U378:U381,U378)=1,U379&lt;&gt;U380),IF(M379=2,IF(SMALL(U378:U381,1)=U378,1,IF(SMALL(U378:U381,2)=U378,2,IF(SMALL(U378:U381,3)=U378,3))),IF(M379=1,IF(SMALL(U378:U381,1)=U378,2,IF(SMALL(U378:U381,2)=U378,3,IF(SMALL(U378:U381,3)=U378,4))),"")),IF(COUNTIF(U378:U381,U378)=1,IF(U378&lt;U379,IF(M379=2,1,2),IF(M379=2,3,4)),IF(COUNTIF(U378:U381,U378)=2,IF(U378=U379,IF(U378&lt;U380,IF(M379=2,IF(Q402=3,1,2),IF(M379=1,IF(Q402=3,2,3))),IF(U378&gt;U380,IF(M379=2,IF(Q402=3,2,3),IF(M379=1,IF(Q402=3,3,4))))),IF(U378=U380,IF(U378&lt;U379,IF(M379=2,IF(Q390=3,1,2),IF(M379=1,IF(Q390=3,2,3))),IF(U378&gt;U379,IF(M379=2,IF(Q390=3,2,3),IF(M379=1,IF(Q390=3,3,4))))))),"")))),"")</f>
        <v/>
      </c>
      <c r="AC383" s="192"/>
      <c r="AD383" s="192"/>
      <c r="AE383" s="269"/>
      <c r="AF383" s="203"/>
      <c r="AG383" s="203"/>
      <c r="AH383" s="203"/>
      <c r="AI383" s="203"/>
      <c r="AJ383" s="203"/>
      <c r="AK383" s="203"/>
      <c r="AL383" s="203"/>
      <c r="AM383" s="203"/>
      <c r="AN383" s="192"/>
      <c r="AO383" s="192"/>
      <c r="AP383" s="192"/>
      <c r="AQ383" s="192"/>
      <c r="AR383" s="192"/>
      <c r="AS383" s="192"/>
      <c r="AT383" s="192"/>
      <c r="AU383" s="192"/>
      <c r="AV383" s="192"/>
      <c r="AW383" s="192"/>
      <c r="AX383" s="192"/>
    </row>
    <row r="384" spans="2:50" ht="15" customHeight="1" thickBot="1" x14ac:dyDescent="0.35">
      <c r="B384" s="192"/>
      <c r="C384" s="192"/>
      <c r="D384" s="192"/>
      <c r="E384" s="192"/>
      <c r="F384" s="192"/>
      <c r="G384" s="192"/>
      <c r="H384" s="192"/>
      <c r="I384" s="269"/>
      <c r="J384" s="269"/>
      <c r="K384" s="192"/>
      <c r="L384" s="192"/>
      <c r="M384" s="192"/>
      <c r="N384" s="192"/>
      <c r="O384" s="192"/>
      <c r="P384" s="192"/>
      <c r="Q384" s="192"/>
      <c r="R384" s="192"/>
      <c r="S384" s="192"/>
      <c r="T384" s="208"/>
      <c r="U384" s="368" t="s">
        <v>111</v>
      </c>
      <c r="V384" s="369"/>
      <c r="W384" s="369"/>
      <c r="X384" s="369"/>
      <c r="Y384" s="236">
        <v>2</v>
      </c>
      <c r="Z384" s="220" t="str">
        <f>IF(U379="","",IF(OR(Group_players=3,AND(Group_players=4,COUNTBLANK(I379:I382)=1)),IF(COUNTIF(M379:M381,M380)=1,"",IF(COUNTIF(U378:U380,U379)=3,IF(AND(U387=U386,U387=U388),"Tied",IF(AND(U387&lt;&gt;U386,U387&lt;&gt;U388,U386&lt;&gt;U388),(IF(SMALL(U386:U388,1)=U387,1,IF(SMALL(U386:U388,2)=U387,2,IF(SMALL(U386:U388,3)=U387,3)))),IF(AND(U387&lt;U386,U386=U388),1,IF(AND(U387&gt;U386,U386=U388),3,IF(AND(U387=U386,U387&lt;U388),(IF(Q397=3,1,2)),IF(AND(U387=U386,U387&gt;U388),(IF(Q397=3,2,3)),IF(AND(U387=U388,U387&lt;U386),(IF(Q393=3,1,2)),IF(AND(U387=U388,U387&gt;U386),(IF(Q393=3,2,3)),99)))))))),"")),""))</f>
        <v/>
      </c>
      <c r="AA384" s="208">
        <v>2</v>
      </c>
      <c r="AB384" s="222" t="str">
        <f>IF(AND(COUNTBLANK(I379:I382)=0,Group_players=4,M379=M380,M380=M381),IF(COUNTIF(U378:U381,U379)=3,AB397,IF(AND(COUNTIF(U378:U381,U379)=1,U378&lt;&gt;U380),IF(M380=2,IF(SMALL(U378:U381,1)=U379,1,IF(SMALL(U378:U381,2)=U379,2,IF(SMALL(U378:U381,3)=U379,3))),IF(M380=1,IF(SMALL(U378:U381,1)=U379,2,IF(SMALL(U378:U381,2)=U379,3,IF(SMALL(U378:U381,3)=U379,4))),"")),IF(COUNTIF(U378:U380,U379)=1,IF(U379&lt;U378,IF(M380=2,1,2),IF(M380=2,3,99)),IF(COUNTIF(U378:U381,U379)=2,IF(U379=U378,IF(U379&lt;U380,IF(M380=2,IF(Q403=3,1,2),IF(M380=1,IF(Q403=3,2,3))),IF(U379&gt;U380,IF(M380=2,IF(Q403=3,2,3),IF(M380=1,IF(Q403=3,3,4))))),IF(U379=U380,IF(U379&lt;U378,IF(M380=2,IF(Q399=3,1,2),IF(M380=1,IF(Q399=3,2,3))),IF(U379&gt;U378,IF(M380=2,IF(Q399=3,2,3),IF(M380=1,IF(Q399=3,3,4))))))),"")))),"")</f>
        <v/>
      </c>
      <c r="AC384" s="192"/>
      <c r="AD384" s="192"/>
      <c r="AE384" s="192"/>
      <c r="AF384" s="203"/>
      <c r="AG384" s="203"/>
      <c r="AH384" s="203"/>
      <c r="AI384" s="203"/>
      <c r="AJ384" s="203"/>
      <c r="AK384" s="203"/>
      <c r="AL384" s="203"/>
      <c r="AM384" s="203"/>
      <c r="AN384" s="192"/>
      <c r="AO384" s="192"/>
      <c r="AP384" s="192"/>
      <c r="AQ384" s="192"/>
      <c r="AR384" s="192"/>
      <c r="AS384" s="192"/>
      <c r="AT384" s="192"/>
      <c r="AU384" s="192"/>
      <c r="AV384" s="192"/>
      <c r="AW384" s="192"/>
      <c r="AX384" s="192"/>
    </row>
    <row r="385" spans="2:50" ht="15" customHeight="1" thickTop="1" thickBot="1" x14ac:dyDescent="0.35">
      <c r="B385" s="192"/>
      <c r="C385" s="192"/>
      <c r="D385" s="192"/>
      <c r="E385" s="192"/>
      <c r="F385" s="192"/>
      <c r="G385" s="192"/>
      <c r="H385" s="192"/>
      <c r="I385" s="192"/>
      <c r="J385" s="192"/>
      <c r="K385" s="192"/>
      <c r="L385" s="192"/>
      <c r="M385" s="192"/>
      <c r="N385" s="192"/>
      <c r="O385" s="192"/>
      <c r="P385" s="192"/>
      <c r="Q385" s="192"/>
      <c r="R385" s="192"/>
      <c r="S385" s="192"/>
      <c r="T385" s="120"/>
      <c r="U385" s="121" t="s">
        <v>101</v>
      </c>
      <c r="V385" s="122" t="s">
        <v>102</v>
      </c>
      <c r="W385" s="122" t="s">
        <v>103</v>
      </c>
      <c r="X385" s="123" t="s">
        <v>104</v>
      </c>
      <c r="Y385" s="238">
        <v>3</v>
      </c>
      <c r="Z385" s="239" t="str">
        <f>IF(U380="","",IF(OR(Group_players=3,AND(Group_players=4,COUNTBLANK(I379:I382)=1)),IF(COUNTIF(M379:M381,M381)=1,"",IF(COUNTIF(U378:U380,U380)=3,IF(AND(U388=U386,U388=U387),"Tied",IF(AND(U388&lt;&gt;U387,U387&lt;&gt;U386,U388&lt;&gt;U386),(IF(SMALL(U386:U388,1)=U388,1,IF(SMALL(U386:U388,2)=U388,2,IF(SMALL(U386:U388,3)=U388,3)))),IF(AND(U388&lt;U387,U387=U386),1,IF(AND(U388&gt;U387,U387=U386),3,IF(AND(U388=U387,U388&lt;U386),(IF(Q394=3,1,2)),IF(AND(U388=U387,U388&gt;U386),(IF(Q394=3,2,3)),IF(AND(U388=U386,U388&lt;U387),(IF(Q391=3,1,2)),IF(AND(U388=U386,U388&gt;U387),(IF(Q391=3,2,3)),99)))))))),"")),""))</f>
        <v/>
      </c>
      <c r="AA385" s="240">
        <v>3</v>
      </c>
      <c r="AB385" s="241" t="str">
        <f>IF(AND(COUNTBLANK(I379:I382)=0,Group_players=4,M379=M380,M380=M381),IF(COUNTIF(U378:U381,U380)=3,AB398,IF(AND(COUNTIF(U378:U381,U380)=1,U378&lt;&gt;U379),IF(M379=2,IF(SMALL(U378:U381,1)=U380,1,IF(SMALL(U378:U381,2)=U380,2,IF(SMALL(U378:U381,3)=U380,3))),IF(M381=1,IF(SMALL(U378:U381,1)=U380,2,IF(SMALL(U378:U381,2)=U380,3,IF(SMALL(U378:U381,3)=U380,4))),"")),IF(COUNTIF(U378:U381,U380)=1,IF(U380&lt;U379,IF(M381=2,1,2),IF(M381=2,3,4)),IF(COUNTIF(U378:U381,U380)=2,IF(U380=U379,IF(U380&lt;U378,IF(M381=2,IF(Q400=3,1,2),IF(M381=1,IF(Q400=3,2,3))),IF(U380&gt;U378,IF(M381=2,IF(Q400=3,2,3),IF(M381=1,IF(Q400=3,3,4))))),IF(U380=U378,IF(U380&lt;U379,IF(M381=2,IF(Q391=3,1,2),IF(M381=1,IF(Q391=3,2,3))),IF(U380&gt;U379,IF(M381=2,IF(Q391=3,2,3),IF(M381=1,IF(Q391=3,3,4))))))),"")))),"")</f>
        <v/>
      </c>
      <c r="AC385" s="192"/>
      <c r="AD385" s="192"/>
      <c r="AE385" s="192"/>
      <c r="AF385" s="203"/>
      <c r="AG385" s="203"/>
      <c r="AH385" s="203"/>
      <c r="AI385" s="203"/>
      <c r="AJ385" s="203"/>
      <c r="AK385" s="203"/>
      <c r="AL385" s="203"/>
      <c r="AM385" s="203"/>
      <c r="AN385" s="192"/>
      <c r="AO385" s="192"/>
      <c r="AP385" s="192"/>
      <c r="AQ385" s="192"/>
      <c r="AR385" s="192"/>
      <c r="AS385" s="192"/>
      <c r="AT385" s="192"/>
      <c r="AU385" s="192"/>
      <c r="AV385" s="192"/>
      <c r="AW385" s="192"/>
      <c r="AX385" s="192"/>
    </row>
    <row r="386" spans="2:50" ht="15" customHeight="1" thickTop="1" thickBot="1" x14ac:dyDescent="0.35">
      <c r="B386" s="192"/>
      <c r="C386" s="192"/>
      <c r="D386" s="192"/>
      <c r="E386" s="192"/>
      <c r="F386" s="192"/>
      <c r="G386" s="192"/>
      <c r="H386" s="192"/>
      <c r="I386" s="192"/>
      <c r="J386" s="192"/>
      <c r="K386" s="192"/>
      <c r="L386" s="192"/>
      <c r="M386" s="192"/>
      <c r="N386" s="192"/>
      <c r="O386" s="192"/>
      <c r="P386" s="192"/>
      <c r="Q386" s="192"/>
      <c r="R386" s="192"/>
      <c r="S386" s="192"/>
      <c r="T386" s="208">
        <v>1</v>
      </c>
      <c r="U386" s="209" t="str">
        <f>IF(U378="","",IF(OR(U378&lt;&gt;U379,U378&lt;&gt;U380),"",IF(COUNTIF(M379:M381,M379)=1,"",IF(COUNTBLANK(I379:I382)=1,(SUM(L391:P391)+SUM(L397:P397))/(SUM(L390:P390)+SUM(L396:P396)),IF(COUNTBLANK(I379:I382)=0,(SUM(L403:P403)+SUM(L391:P391))/(SUM(L402:P402)+SUM(L390:P390)),"")))))</f>
        <v/>
      </c>
      <c r="V386" s="125" t="str">
        <f>IF(V378="","",IF(OR(V378&lt;&gt;V380,V378&lt;&gt;V381),"",IF(AND(COUNTBLANK(I379:I382)=0,M379=M381,M381=M382),(SUM(L391:P391)+SUM(L397:P397))/(SUM(L390:P390)+SUM(L396:P396)),"")))</f>
        <v/>
      </c>
      <c r="W386" s="210" t="str">
        <f>IF(W378="","",IF(OR(W378&lt;&gt;W379,W378&lt;&gt;W381),"",IF(AND(COUNTBLANK(I379:I382)=0,M379=M380,M380=M382),(SUM(L403:P403)+SUM(L397:P397))/(SUM(L402:P402)+SUM(L396:P396)),"")))</f>
        <v/>
      </c>
      <c r="X386" s="211"/>
      <c r="Y386" s="242"/>
      <c r="Z386" s="242"/>
      <c r="AA386" s="243">
        <v>1</v>
      </c>
      <c r="AB386" s="244" t="str">
        <f>IF(AND(COUNTBLANK(I379:I382)=0,Group_players=4,M379=M381,M381=M382),IF(COUNTIF(V378:V381,V378)=3,AB399,IF(AND(COUNTIF(V378:V381,V378)=1,V380&lt;&gt;U389),IF(M379=2,IF(SMALL(V378:V381,1)=V378,1,IF(SMALL(V378:V381,2)=V378,2,IF(SMALL(V378:V381,3)=V378,3))),IF(M379=1,IF(SMALL(V378:V381,1)=V378,2,IF(SMALL(V378:V381,2)=V378,3,IF(SMALL(V378:V381,3)=V378,4))),"")),IF(COUNTIF(V378:V381,V378)=1,IF(V378&lt;V380,IF(M379=2,1,2),IF(M379=2,3,4)),IF(COUNTIF(V378:V381,V378)=2,IF(V378=V380,IF(V378&lt;V381,IF(M379=2,IF(Q390=3,1,2),IF(M379=1,IF(Q390=3,2,3))),IF(V378&gt;V381,IF(M379=2,IF(Q390=3,2,3),IF(M379=1,IF(Q390=3,3,4))))),IF(V378=V381,IF(V378&lt;V380,IF(M379=2,IF(Q396=3,1,2),IF(M379=1,IF(Q396=3,2,3))),IF(V378&gt;V379,IF(M379=2,IF(Q396=3,2,3),IF(M379=1,IF(Q396=3,3,4))))))),"")))),"")</f>
        <v/>
      </c>
      <c r="AC386" s="192"/>
      <c r="AD386" s="192"/>
      <c r="AE386" s="192"/>
      <c r="AF386" s="203"/>
      <c r="AG386" s="203"/>
      <c r="AH386" s="203"/>
      <c r="AI386" s="203"/>
      <c r="AJ386" s="203"/>
      <c r="AK386" s="203"/>
      <c r="AL386" s="203"/>
      <c r="AM386" s="203"/>
      <c r="AN386" s="192"/>
      <c r="AO386" s="192"/>
      <c r="AP386" s="192"/>
      <c r="AQ386" s="192"/>
      <c r="AR386" s="192"/>
      <c r="AS386" s="192"/>
      <c r="AT386" s="192"/>
      <c r="AU386" s="192"/>
      <c r="AV386" s="192"/>
      <c r="AW386" s="192"/>
      <c r="AX386" s="192"/>
    </row>
    <row r="387" spans="2:50" ht="15" customHeight="1" thickTop="1" thickBot="1" x14ac:dyDescent="0.35">
      <c r="B387" s="192"/>
      <c r="C387" s="192"/>
      <c r="D387" s="192"/>
      <c r="E387" s="117"/>
      <c r="F387" s="117"/>
      <c r="G387" s="117"/>
      <c r="H387" s="192"/>
      <c r="I387" s="192"/>
      <c r="J387" s="192"/>
      <c r="K387" s="192"/>
      <c r="L387" s="192"/>
      <c r="M387" s="192"/>
      <c r="N387" s="192"/>
      <c r="O387" s="192"/>
      <c r="P387" s="192"/>
      <c r="Q387" s="192"/>
      <c r="R387" s="192"/>
      <c r="S387" s="394" t="s">
        <v>112</v>
      </c>
      <c r="T387" s="208">
        <v>2</v>
      </c>
      <c r="U387" s="209" t="str">
        <f>IF(U378="","",IF(OR(U379&lt;&gt;U378,U379&lt;&gt;U380),"",IF(COUNTIF(M379:M381,M380)=1,"",IF(COUNTBLANK(I379:I382)=1,(SUM(L394:P394)+SUM(L396:P396))/(SUM(L393:P393)+SUM(L397:P397)),IF(COUNTBLANK(I379:I382)=0,(SUM(L402:P402)+SUM(L400:P400))/(SUM(L403:P403)+SUM(L399:P399)))))))</f>
        <v/>
      </c>
      <c r="V387" s="135"/>
      <c r="W387" s="212" t="str">
        <f>IF(W378="","",IF(OR(W379&lt;&gt;W378,W379&lt;&gt;W381),"",IF(AND(COUNTBLANK(I379:I382)=0,M379=M380,M380=M382),(SUM(L394:P394)+SUM(L402:P402))/(SUM(L403:P403)+SUM(L393:P393)),"")))</f>
        <v/>
      </c>
      <c r="X387" s="245" t="str">
        <f>IF(X379="","",IF(OR(X379&lt;&gt;X380,X379&lt;&gt;X381),"",IF(AND(COUNTBLANK(I379:I382)=0,M380=M381,M381=M382),(SUM(L400:P400)+SUM(L394:P394))/(SUM(L399:P399)+SUM(L393:P393)),"")))</f>
        <v/>
      </c>
      <c r="Y387" s="242"/>
      <c r="Z387" s="203"/>
      <c r="AA387" s="246">
        <v>3</v>
      </c>
      <c r="AB387" s="222" t="str">
        <f>IF(AND(COUNTBLANK(I379:I382)=0,Group_players=4,M379=M381,M381=M382),IF(COUNTIF(V378:V381,V380)=3,AB400,IF(AND(COUNTIF(V378:V381,V380)=1,V378&lt;&gt;V381),IF(M381=2,IF(SMALL(V378:V381,1)=V380,1,IF(SMALL(V378:V381,2)=V380,2,IF(SMALL(V378:V381,3)=V380,3))),IF(M381=1,IF(SMALL(V378:V381,1)=V380,2,IF(SMALL(V378:V381,2)=V380,3,IF(SMALL(V378:V381,3)=V380,4))),"")),IF(COUNTIF(V378:V381,V380)=1,IF(V380&lt;V378,IF(M381=2,1,2),IF(M381=2,3,4)),IF(COUNTIF(V378:V381,V380)=2,IF(V380=V378,IF(V380&lt;V381,IF(M381=2,IF(Q391=3,1,2),IF(M381=1,IF(Q391=3,2,3))),IF(V380&gt;V381,IF(M381=2,IF(Q391=3,2,3),IF(M381=1,IF(Q391=3,3,4))))),IF(V380=V381,IF(V380&lt;V378,IF(M381=2,IF(Q405=3,1,2),IF(M381=1,IF(Q405=3,2,3))),IF(V380&gt;V378,IF(M381=2,IF(Q405=3,2,3),IF(M381=1,IF(Q405=3,3,4))))))),"")))),"")</f>
        <v/>
      </c>
      <c r="AC387" s="192"/>
      <c r="AD387" s="192"/>
      <c r="AE387" s="192"/>
      <c r="AF387" s="203"/>
      <c r="AG387" s="203"/>
      <c r="AH387" s="203"/>
      <c r="AI387" s="203"/>
      <c r="AJ387" s="203"/>
      <c r="AK387" s="203"/>
      <c r="AL387" s="203"/>
      <c r="AM387" s="203"/>
      <c r="AN387" s="192"/>
      <c r="AO387" s="192"/>
      <c r="AP387" s="192"/>
      <c r="AQ387" s="192"/>
      <c r="AR387" s="192"/>
      <c r="AS387" s="192"/>
      <c r="AT387" s="192"/>
      <c r="AU387" s="192"/>
      <c r="AV387" s="192"/>
      <c r="AW387" s="192"/>
      <c r="AX387" s="192"/>
    </row>
    <row r="388" spans="2:50" ht="15" customHeight="1" thickTop="1" thickBot="1" x14ac:dyDescent="0.35">
      <c r="B388" s="192"/>
      <c r="C388" s="192"/>
      <c r="D388" s="192"/>
      <c r="E388" s="117"/>
      <c r="F388" s="117"/>
      <c r="G388" s="117"/>
      <c r="H388" s="192"/>
      <c r="I388" s="192"/>
      <c r="J388" s="192"/>
      <c r="K388" s="192"/>
      <c r="L388" s="192"/>
      <c r="M388" s="192"/>
      <c r="N388" s="192"/>
      <c r="O388" s="192"/>
      <c r="P388" s="192"/>
      <c r="Q388" s="192"/>
      <c r="R388" s="247"/>
      <c r="S388" s="395"/>
      <c r="T388" s="208">
        <v>3</v>
      </c>
      <c r="U388" s="209" t="str">
        <f>IF(U378="","",IF(OR(U380&lt;&gt;U378,U380&lt;&gt;U379),"",IF(COUNTIF(M379:M381,M381)=1,"",IF(COUNTBLANK(I379:I382)=1,(SUM(L390:P390)+SUM(L393:P393))/(SUM(L391:P391)+SUM(L394:P394)),IF(COUNTBLANK(I379:I382)=0,(SUM(L390:P390)+SUM(L399:P399))/(SUM(L391:P391)+SUM(L400:P400)))))))</f>
        <v/>
      </c>
      <c r="V388" s="125" t="str">
        <f>IF(V378="","",IF(OR(V380&lt;&gt;V378,V380&lt;&gt;V381),"",IF(AND(COUNTBLANK(I379:I382)=0,M379=M381,M381=M382),(SUM(L390:P390)+SUM(L406:P406))/(SUM(L391:P391)+SUM(L405:P405)),"")))</f>
        <v/>
      </c>
      <c r="W388" s="218"/>
      <c r="X388" s="245" t="str">
        <f>IF(X379="","",IF(OR(X380&lt;&gt;X379,X380&lt;&gt;X381),"",IF(AND(COUNTBLANK(I379:I382)=0,M380=M381,M381=M382),(SUM(L399:P399)+SUM(L406:P406))/(SUM(L400:P400)+SUM(L405:P405)),"")))</f>
        <v/>
      </c>
      <c r="Y388" s="208"/>
      <c r="Z388" s="203"/>
      <c r="AA388" s="240">
        <v>4</v>
      </c>
      <c r="AB388" s="222" t="str">
        <f>IF(AND(COUNTBLANK(I379:I382)=0,Group_players=4,M379=M381,M381=M382),IF(COUNTIF(V378:V381,V381)=3,AB401,IF(AND(COUNTIF(V378:V381,V381)=1,V380&lt;&gt;V378),IF(M382=2,IF(SMALL(V378:V381,1)=V381,1,IF(SMALL(V378:V381,2)=V381,2,IF(SMALL(V378:V381,3)=V381,3))),IF(M382=1,IF(SMALL(V378:V381,1)=V381,2,IF(SMALL(V378:V381,2)=V381,3,IF(SMALL(V378:V381,3)=V381,4))),"")),IF(COUNTIF(V378:V381,V381)=1,IF(V381&lt;V378,IF(M382=2,1,2),IF(M382=2,3,4)),IF(COUNTIF(V378:V381,V381)=2,IF(V381=V378,IF(V381&lt;V380,IF(M382=2,IF(Q397=3,1,2),IF(M382=1,IF(Q397=3,2,3))),IF(V381&gt;V380,IF(M382=2,IF(Q397=3,2,3),IF(M382=1,IF(Q397=3,3,4))))),IF(V381=V380,IF(V381&lt;V378,IF(M382=2,IF(Q406=3,1,2),IF(M382=1,IF(Q406=3,2,3))),IF(V381&gt;V378,IF(M382=2,IF(Q406=3,2,3),IF(M382=1,IF(Q406=3,3,4))))))),"")))),"")</f>
        <v/>
      </c>
      <c r="AC388" s="192"/>
      <c r="AD388" s="192"/>
      <c r="AE388" s="192"/>
      <c r="AF388" s="203"/>
      <c r="AG388" s="203"/>
      <c r="AH388" s="203"/>
      <c r="AI388" s="203"/>
      <c r="AJ388" s="203"/>
      <c r="AK388" s="203"/>
      <c r="AL388" s="203"/>
      <c r="AM388" s="203"/>
      <c r="AN388" s="192"/>
      <c r="AO388" s="192"/>
      <c r="AP388" s="192"/>
      <c r="AQ388" s="192"/>
      <c r="AR388" s="192"/>
      <c r="AS388" s="192"/>
      <c r="AT388" s="192"/>
      <c r="AU388" s="192"/>
      <c r="AV388" s="192"/>
      <c r="AW388" s="192"/>
      <c r="AX388" s="192"/>
    </row>
    <row r="389" spans="2:50" ht="15" customHeight="1" thickTop="1" thickBot="1" x14ac:dyDescent="0.35">
      <c r="B389" s="192"/>
      <c r="C389" s="192"/>
      <c r="D389" s="192"/>
      <c r="E389" s="168" t="s">
        <v>113</v>
      </c>
      <c r="F389" s="168" t="s">
        <v>114</v>
      </c>
      <c r="G389" s="117"/>
      <c r="H389" s="192"/>
      <c r="I389" s="249" t="s">
        <v>115</v>
      </c>
      <c r="J389" s="249"/>
      <c r="K389" s="249"/>
      <c r="L389" s="250" t="s">
        <v>115</v>
      </c>
      <c r="M389" s="250" t="s">
        <v>116</v>
      </c>
      <c r="N389" s="250" t="s">
        <v>117</v>
      </c>
      <c r="O389" s="250" t="s">
        <v>118</v>
      </c>
      <c r="P389" s="250" t="s">
        <v>119</v>
      </c>
      <c r="Q389" s="250" t="s">
        <v>120</v>
      </c>
      <c r="R389" s="250"/>
      <c r="S389" s="251"/>
      <c r="T389" s="208">
        <v>4</v>
      </c>
      <c r="U389" s="223"/>
      <c r="V389" s="140" t="str">
        <f>IF(V378="","",IF(OR(V381&lt;&gt;V378,V381&lt;&gt;V380),"",IF(AND(COUNTBLANK(I379:I382)=0,M379=M381,M381=M382),(SUM(L396:P396)+SUM(L405:P405))/(SUM(L397:P397)+SUM(L406:P406)),"")))</f>
        <v/>
      </c>
      <c r="W389" s="224" t="str">
        <f>IF(W378="","",IF(OR(W381&lt;&gt;W378,W381&lt;&gt;W379),"",IF(AND(COUNTBLANK(I379:I382)=0,M379=M380,M380=M382),(SUM(L396:P396)+SUM(L393:P393))/(SUM(L397:P397)+SUM(L394:P394)),"")))</f>
        <v/>
      </c>
      <c r="X389" s="252" t="str">
        <f>IF(X379="","",IF(OR(X381&lt;&gt;X379,X381&lt;&gt;X380),"",IF(AND(COUNTBLANK(I379:I382)=0,M380=M381,M381=M382),(SUM(L393:P393)+SUM(L405:P405))/(SUM(L394:P394)+SUM(L406:P406)),"")))</f>
        <v/>
      </c>
      <c r="Y389" s="192"/>
      <c r="Z389" s="203"/>
      <c r="AA389" s="243">
        <v>1</v>
      </c>
      <c r="AB389" s="151" t="str">
        <f>IF(AND(COUNTBLANK(I379:I382)=0,Group_players=4,M379=M380,M380=M382),IF(COUNTIF(W378:W381,W378)=3,AB402,IF(AND(COUNTIF(W378:W381,W378)=1,W379&lt;&gt;W381),IF(M379=2,IF(SMALL(W378:W381,1)=W378,1,IF(SMALL(W378:W381,2)=W378,2,IF(SMALL(W378:W381,3)=W378,3))),IF(M379=1,IF(SMALL(W378:W381,1)=W378,2,IF(SMALL(W378:W381,2)=W378,3,IF(SMALL(W378:W381,3)=W378,4))),"")),IF(COUNTIF(W378:W381,W378)=1,IF(W378&lt;W379,IF(M379=2,1,2),IF(M379=2,3,4)),IF(COUNTIF(W378:W381,W378)=2,IF(W378=W379,IF(W378&lt;W381,IF(M379=2,IF(Q402=3,1,2),IF(M379=1,IF(Q402=3,2,3))),IF(W378&gt;W381,IF(M379=2,IF(Q402=3,2,3),IF(M379=1,IF(Q402=3,3,4))))),IF(W378=W381,IF(W378&lt;W379,IF(M379=2,IF(Q396=3,1,2),IF(M379=1,IF(Q396=3,2,3))),IF(W378&gt;W379,IF(M379=2,IF(Q396=3,2,3),IF(M379=1,IF(Q396=3,3,4))))))),"")))),"")</f>
        <v/>
      </c>
      <c r="AC389" s="192"/>
      <c r="AD389" s="192"/>
      <c r="AE389" s="192"/>
      <c r="AF389" s="203"/>
      <c r="AG389" s="203"/>
      <c r="AH389" s="203"/>
      <c r="AI389" s="203"/>
      <c r="AJ389" s="203"/>
      <c r="AK389" s="203"/>
      <c r="AL389" s="203"/>
      <c r="AM389" s="203"/>
      <c r="AN389" s="192"/>
      <c r="AO389" s="192"/>
      <c r="AP389" s="192"/>
      <c r="AQ389" s="192"/>
      <c r="AR389" s="192"/>
      <c r="AS389" s="192"/>
      <c r="AT389" s="192"/>
      <c r="AU389" s="192"/>
      <c r="AV389" s="192"/>
      <c r="AW389" s="192"/>
      <c r="AX389" s="192"/>
    </row>
    <row r="390" spans="2:50" ht="15" customHeight="1" thickTop="1" x14ac:dyDescent="0.3">
      <c r="B390" s="192"/>
      <c r="C390" s="192"/>
      <c r="D390" s="192"/>
      <c r="E390" s="164" t="str">
        <f>IF(Q390="","",IF(Q390=3,1,0))</f>
        <v/>
      </c>
      <c r="F390" s="164" t="str">
        <f>IF(Q390="","",IF(Q390&lt;3,1,0))</f>
        <v/>
      </c>
      <c r="G390" s="192"/>
      <c r="H390" s="192" t="str">
        <f>IF(I379="","",1)</f>
        <v/>
      </c>
      <c r="I390" s="192" t="str">
        <f>IF(ISNUMBER(H390),VLOOKUP(H390,H379:I382,2,TRUE),"")</f>
        <v/>
      </c>
      <c r="J390" s="192"/>
      <c r="K390" s="192" t="str">
        <f>VLOOKUP(I390,I379:L382,3,FALSE)</f>
        <v/>
      </c>
      <c r="L390" s="253"/>
      <c r="M390" s="254"/>
      <c r="N390" s="254"/>
      <c r="O390" s="152"/>
      <c r="P390" s="153"/>
      <c r="Q390" s="255" t="str">
        <f>IF(L390="","",IF(AND(L390-L391&gt;1,L390&gt;10),1,0)+IF(AND(M390-M391&gt;1,M390&gt;10),1,0)+IF(AND(N390-N391&gt;1,N390&gt;10),1,0)+IF(AND(O390-O391&gt;1,O390&gt;10),1,0)+IF(AND(P390-P391&gt;1,P390&gt;10),1,0))</f>
        <v/>
      </c>
      <c r="R390" s="203" t="str">
        <f>IF(AND(I390="",I391=""),"",ABS(VLOOKUP(I390,I379:L382,4,FALSE)-VLOOKUP(I391,I379:L382,4,FALSE)))</f>
        <v/>
      </c>
      <c r="S390" s="256" t="str">
        <f>IF(R391="","",IF(Q390=3,+R391,-R391))</f>
        <v/>
      </c>
      <c r="T390" s="257"/>
      <c r="U390" s="258"/>
      <c r="V390" s="258"/>
      <c r="W390" s="258"/>
      <c r="X390" s="258"/>
      <c r="Y390" s="192"/>
      <c r="Z390" s="203"/>
      <c r="AA390" s="246">
        <v>2</v>
      </c>
      <c r="AB390" s="154" t="str">
        <f>IF(AND(COUNTBLANK(I379:I382)=0,Group_players=4,M379=M380,M380=M382),IF(COUNTIF(W378:W381,W379)=3,AB403,IF(AND(COUNTIF(W378:W381,W379)=1,W378&lt;&gt;W380),IF(M380=2,IF(SMALL(W378:W381,1)=W379,1,IF(SMALL(W378:W381,2)=W379,2,IF(SMALL(W378:W381,3)=W379,3))),IF(M380=1,IF(SMALL(W378:W381,1)=W379,2,IF(SMALL(W378:W381,2)=W379,3,IF(SMALL(W378:W381,3)=W379,4))),"")),IF(COUNTIF(W378:W381,W379)=1,IF(W379&lt;W378,IF(M380=2,1,2),IF(M380=2,3,4)),IF(COUNTIF(W378:W381,W379)=2,IF(W379=W378,IF(W379&lt;W381,IF(M380=2,IF(Q403=3,1,2),IF(M380=1,IF(Q403=3,2,3))),IF(W379&gt;W381,IF(M380=2,IF(Q403=3,2,3),IF(M380=1,IF(Q403=3,3,4))))),IF(W379=W381,IF(W379&lt;W378,IF(M380=2,IF(Q393=3,1,2),IF(M380=1,IF(Q393=3,2,3))),IF(W379&gt;W378,IF(M380=2,IF(Q393=3,2,3),IF(M380=1,IF(Q393=3,3,4))))))),"")))),"")</f>
        <v/>
      </c>
      <c r="AC390" s="192"/>
      <c r="AD390" s="192"/>
      <c r="AE390" s="192"/>
      <c r="AF390" s="203"/>
      <c r="AG390" s="203"/>
      <c r="AH390" s="203"/>
      <c r="AI390" s="203"/>
      <c r="AJ390" s="203"/>
      <c r="AK390" s="203"/>
      <c r="AL390" s="203"/>
      <c r="AM390" s="203"/>
      <c r="AN390" s="192"/>
      <c r="AO390" s="192"/>
      <c r="AP390" s="192"/>
      <c r="AQ390" s="192"/>
      <c r="AR390" s="192"/>
      <c r="AS390" s="192"/>
      <c r="AT390" s="192"/>
      <c r="AU390" s="192"/>
      <c r="AV390" s="192"/>
      <c r="AW390" s="192"/>
      <c r="AX390" s="192"/>
    </row>
    <row r="391" spans="2:50" ht="15" customHeight="1" thickBot="1" x14ac:dyDescent="0.35">
      <c r="B391" s="192"/>
      <c r="C391" s="192"/>
      <c r="D391" s="192"/>
      <c r="E391" s="164" t="str">
        <f>IF(Q391="","",IF(Q391=3,1,0))</f>
        <v/>
      </c>
      <c r="F391" s="164" t="str">
        <f>IF(Q391="","",IF(Q391&lt;3,1,0))</f>
        <v/>
      </c>
      <c r="G391" s="192"/>
      <c r="H391" s="192" t="str">
        <f>IF(I380="","",IF(I381="",2,3))</f>
        <v/>
      </c>
      <c r="I391" s="192" t="str">
        <f>IF(ISNUMBER(H391),VLOOKUP(H391,H379:I382,2,TRUE),"")</f>
        <v/>
      </c>
      <c r="J391" s="192"/>
      <c r="K391" s="192" t="str">
        <f>VLOOKUP(I391,I379:L382,3,FALSE)</f>
        <v/>
      </c>
      <c r="L391" s="155"/>
      <c r="M391" s="259"/>
      <c r="N391" s="259"/>
      <c r="O391" s="156"/>
      <c r="P391" s="157"/>
      <c r="Q391" s="260" t="str">
        <f>IF(L391="","",IF(AND(L391-L390&gt;1,L391&gt;10),1,0)+IF(AND(M391-M390&gt;1,M391&gt;10),1,0)+IF(AND(N391-N390&gt;1,N391&gt;10),1,0)+IF(AND(O391-O390&gt;1,O391&gt;10),1,0)+IF(AND(P391-P390&gt;1,P391&gt;10),1,0))</f>
        <v/>
      </c>
      <c r="R391" s="203" t="str">
        <f>IF(AND(Q390&lt;&gt;3,Q391&lt;&gt;3),"",IF(Q390=3,IF(VLOOKUP(I390,I379:L382,4,FALSE)&gt;VLOOKUP(I391,I379:L382,4,FALSE),VLOOKUP(R390,Point_dif,2,FALSE),VLOOKUP(R390,Point_dif,3,FALSE)),IF(Q391=3,IF(VLOOKUP(I391,I379:L382,4,FALSE)&gt;VLOOKUP(I390,I379:L382,4,FALSE),VLOOKUP(R390,Point_dif,2,FALSE),VLOOKUP(R390,Point_dif,3,FALSE)))))</f>
        <v/>
      </c>
      <c r="S391" s="256" t="str">
        <f>IF(R391="","",IF(Q391=3,+R391,-R391))</f>
        <v/>
      </c>
      <c r="T391" s="192"/>
      <c r="U391" s="235"/>
      <c r="V391" s="235"/>
      <c r="W391" s="235"/>
      <c r="X391" s="235"/>
      <c r="Y391" s="235"/>
      <c r="Z391" s="235"/>
      <c r="AA391" s="240">
        <v>4</v>
      </c>
      <c r="AB391" s="158" t="str">
        <f>IF(AND(COUNTBLANK(I379:I382)=0,Group_players=4,M379=M380,M380=M382),IF(COUNTIF(W378:W381,W381)=3,AB404,IF(AND(COUNTIF(W378:W381,W381)=1,W378&lt;&gt;W379),IF(M382=2,IF(SMALL(W378:W381,1)=W381,1,IF(SMALL(W378:W381,2)=W381,2,IF(SMALL(W378:W381,3)=W381,3))),IF(M382=1,IF(SMALL(W378:W381,1)=W381,2,IF(SMALL(W378:W381,2)=W381,3,IF(SMALL(W378:W381,3)=W381,4))),"")),IF(COUNTIF(W378:W381,W381)=1,IF(W381&lt;W378,IF(M382=2,1,2),IF(M382=2,3,4)),IF(COUNTIF(W378:W381,W381)=2,IF(W381=W378,IF(W381&lt;W379,IF(M382=2,IF(Q397=3,1,2),IF(M382=1,IF(Q397=3,2,3))),IF(W381&gt;W380,IF(M382=2,IF(Q397=3,2,3),IF(M382=1,IF(Q397=3,3,4))))),IF(W381=W379,IF(W381&lt;W378,IF(M382=2,IF(Q394=3,1,2),IF(M382=1,IF(Q394=3,2,3))),IF(W381&gt;W378,IF(M382=2,IF(Q394=3,2,3),IF(M382=1,IF(Q394=3,3,4))))))),"")))),"")</f>
        <v/>
      </c>
      <c r="AC391" s="192"/>
      <c r="AD391" s="192"/>
      <c r="AE391" s="192"/>
      <c r="AF391" s="203"/>
      <c r="AG391" s="203"/>
      <c r="AH391" s="203"/>
      <c r="AI391" s="203"/>
      <c r="AJ391" s="203"/>
      <c r="AK391" s="203"/>
      <c r="AL391" s="203"/>
      <c r="AM391" s="203"/>
      <c r="AN391" s="192"/>
      <c r="AO391" s="192"/>
      <c r="AP391" s="192"/>
      <c r="AQ391" s="192"/>
      <c r="AR391" s="192"/>
      <c r="AS391" s="192"/>
      <c r="AT391" s="192"/>
      <c r="AU391" s="192"/>
      <c r="AV391" s="192"/>
      <c r="AW391" s="192"/>
      <c r="AX391" s="192"/>
    </row>
    <row r="392" spans="2:50" ht="15" customHeight="1" thickTop="1" thickBot="1" x14ac:dyDescent="0.35">
      <c r="B392" s="192"/>
      <c r="C392" s="192"/>
      <c r="D392" s="192"/>
      <c r="E392" s="164"/>
      <c r="F392" s="164"/>
      <c r="G392" s="192"/>
      <c r="H392" s="192"/>
      <c r="I392" s="249" t="s">
        <v>116</v>
      </c>
      <c r="J392" s="249"/>
      <c r="K392" s="249"/>
      <c r="L392" s="250" t="s">
        <v>115</v>
      </c>
      <c r="M392" s="250" t="s">
        <v>116</v>
      </c>
      <c r="N392" s="250" t="s">
        <v>117</v>
      </c>
      <c r="O392" s="250" t="s">
        <v>118</v>
      </c>
      <c r="P392" s="250" t="s">
        <v>119</v>
      </c>
      <c r="Q392" s="250" t="s">
        <v>120</v>
      </c>
      <c r="R392" s="250"/>
      <c r="S392" s="251"/>
      <c r="T392" s="192"/>
      <c r="U392" s="235"/>
      <c r="V392" s="235"/>
      <c r="W392" s="235"/>
      <c r="X392" s="235"/>
      <c r="Y392" s="235"/>
      <c r="Z392" s="235"/>
      <c r="AA392" s="243">
        <v>2</v>
      </c>
      <c r="AB392" s="151" t="str">
        <f>IF(AND(COUNTBLANK(I379:I382)=0,Group_players=4,M380=M381,M381=M382),IF(COUNTIF(X378:X381,X379)=3,AB405,IF(AND(COUNTIF(X378:X381,X379)=1,X380&lt;&gt;X381),IF(M380=2,IF(SMALL(X378:X381,1)=X379,1,IF(SMALL(X378:X381,2)=X379,2,IF(SMALL(X378:X381,3)=X379,3))),IF(M380=1,IF(SMALL(X378:X381,1)=X379,2,IF(SMALL(X378:X381,2)=X379,3,IF(SMALL(X378:X381,3)=X379,4))),"")),IF(COUNTIF(X378:X381,X379)=1,IF(X379&lt;X381,IF(M380=2,1,2),IF(M380=1,3,3)),IF(COUNTIF(X378:X381,X379)=2,IF(X379=X380,IF(X379&lt;X381,IF(M380=2,IF(Q399=3,1,2),IF(M380=1,IF(Q399=3,2,3))),IF(X379&gt;X381,IF(M380=2,IF(Q399=3,2,3),IF(M380=1,IF(Q399=3,3,4))))),IF(X379=X381,IF(X379&lt;X380,IF(M380=2,IF(Q393=3,1,2),IF(M380=1,IF(Q393=3,2,3))),IF(X379&gt;X380,IF(M380=2,IF(Q393=3,2,3),IF(M380=1,IF(Q393=3,3,4))))))),"")))),"")</f>
        <v/>
      </c>
      <c r="AC392" s="192"/>
      <c r="AD392" s="192"/>
      <c r="AE392" s="192"/>
      <c r="AF392" s="203"/>
      <c r="AG392" s="203"/>
      <c r="AH392" s="203"/>
      <c r="AI392" s="203"/>
      <c r="AJ392" s="203"/>
      <c r="AK392" s="203"/>
      <c r="AL392" s="203"/>
      <c r="AM392" s="203"/>
      <c r="AN392" s="192"/>
      <c r="AO392" s="192"/>
      <c r="AP392" s="192"/>
      <c r="AQ392" s="192"/>
      <c r="AR392" s="192"/>
      <c r="AS392" s="192"/>
      <c r="AT392" s="192"/>
      <c r="AU392" s="192"/>
      <c r="AV392" s="192"/>
      <c r="AW392" s="192"/>
      <c r="AX392" s="192"/>
    </row>
    <row r="393" spans="2:50" ht="15" customHeight="1" thickTop="1" x14ac:dyDescent="0.3">
      <c r="B393" s="192"/>
      <c r="C393" s="192"/>
      <c r="D393" s="192"/>
      <c r="E393" s="164" t="str">
        <f>IF(Q393="","",IF(Q393=3,1,0))</f>
        <v/>
      </c>
      <c r="F393" s="164" t="str">
        <f>IF(Q393="","",IF(Q393&lt;3,1,0))</f>
        <v/>
      </c>
      <c r="G393" s="192"/>
      <c r="H393" s="192" t="str">
        <f>IF(I381="","",2)</f>
        <v/>
      </c>
      <c r="I393" s="192" t="str">
        <f>IF(ISNUMBER(H393),VLOOKUP(H393,H379:I382,2,TRUE),"")</f>
        <v/>
      </c>
      <c r="J393" s="192"/>
      <c r="K393" s="192" t="str">
        <f>VLOOKUP(I393,I379:L382,3,FALSE)</f>
        <v/>
      </c>
      <c r="L393" s="253"/>
      <c r="M393" s="254"/>
      <c r="N393" s="254"/>
      <c r="O393" s="152"/>
      <c r="P393" s="153"/>
      <c r="Q393" s="255" t="str">
        <f>IF(L393="","",IF(AND(L393-L394&gt;1,L393&gt;10),1,0)+IF(AND(M393-M394&gt;1,M393&gt;10),1,0)+IF(AND(N393-N394&gt;1,N393&gt;10),1,0)+IF(AND(O393-O394&gt;1,O393&gt;10),1,0)+IF(AND(P393-P394&gt;1,P393&gt;10),1,0))</f>
        <v/>
      </c>
      <c r="R393" s="203" t="str">
        <f>IF(AND(I393="",I394=""),"",ABS(VLOOKUP(I393,I379:L382,4,FALSE)-VLOOKUP(I394,I379:L382,4,FALSE)))</f>
        <v/>
      </c>
      <c r="S393" s="256" t="str">
        <f>IF(R394="","",IF(Q393=3,+R394,-R394))</f>
        <v/>
      </c>
      <c r="T393" s="192"/>
      <c r="U393" s="235"/>
      <c r="V393" s="235"/>
      <c r="W393" s="235"/>
      <c r="X393" s="235"/>
      <c r="Y393" s="235"/>
      <c r="Z393" s="235"/>
      <c r="AA393" s="246">
        <v>3</v>
      </c>
      <c r="AB393" s="154" t="str">
        <f>IF(AND(COUNTBLANK(I379:I382)=0,Group_players=4,M380=M381,M381=M382),IF(COUNTIF(X378:X381,X380)=3,AB406,IF(AND(COUNTIF(X378:X381,X380)=1,X379&lt;&gt;X381),IF(M381=2,IF(SMALL(X378:X381,1)=X380,1,IF(SMALL(X378:X381,2)=X380,2,IF(SMALL(X378:X381,3)=X380,3))),IF(M381=1,IF(SMALL(X378:X381,1)=X380,2,IF(SMALL(X378:X381,2)=X380,3,IF(SMALL(X378:X381,3)=X380,4))),"")),IF(COUNTIF(X378:X381,X380)=1,IF(X380&lt;X379,IF(M381=2,1,2),IF(M381=2,3,4)),IF(COUNTIF(X378:X381,X380)=2,IF(X380=X379,IF(X380&lt;X381,IF(M381=2,IF(Q400=3,1,2),IF(M381=1,IF(Q400=3,2,3))),IF(X380&gt;X381,IF(M381=2,IF(Q400=3,2,3),IF(M381=1,IF(Q400=3,3,4))))),IF(X380=X381,IF(X380&lt;X379,IF(M381=2,IF(Q405=3,1,2),IF(M381=1,IF(Q405=3,2,3))),IF(X380&gt;X379,IF(M381=2,IF(Q405=3,2,3),IF(M381=1,IF(Q405=3,3,4))))))),"")))),"")</f>
        <v/>
      </c>
      <c r="AC393" s="192"/>
      <c r="AD393" s="192"/>
      <c r="AE393" s="192"/>
      <c r="AF393" s="203"/>
      <c r="AG393" s="203"/>
      <c r="AH393" s="203"/>
      <c r="AI393" s="203"/>
      <c r="AJ393" s="203"/>
      <c r="AK393" s="203"/>
      <c r="AL393" s="203"/>
      <c r="AM393" s="203"/>
      <c r="AN393" s="192"/>
      <c r="AO393" s="192"/>
      <c r="AP393" s="192"/>
      <c r="AQ393" s="192"/>
      <c r="AR393" s="192"/>
      <c r="AS393" s="192"/>
      <c r="AT393" s="192"/>
      <c r="AU393" s="192"/>
      <c r="AV393" s="192"/>
      <c r="AW393" s="192"/>
      <c r="AX393" s="192"/>
    </row>
    <row r="394" spans="2:50" ht="15" customHeight="1" thickBot="1" x14ac:dyDescent="0.35">
      <c r="B394" s="192"/>
      <c r="C394" s="192"/>
      <c r="D394" s="192"/>
      <c r="E394" s="164" t="str">
        <f>IF(Q394="","",IF(Q394=3,1,0))</f>
        <v/>
      </c>
      <c r="F394" s="164" t="str">
        <f>IF(Q394="","",IF(Q394&lt;3,1,0))</f>
        <v/>
      </c>
      <c r="G394" s="192"/>
      <c r="H394" s="192" t="str">
        <f>IF(I381="","",IF(I382="",3,4))</f>
        <v/>
      </c>
      <c r="I394" s="192" t="str">
        <f>IF(ISNUMBER(H394),VLOOKUP(H394,H379:I382,2,TRUE),"")</f>
        <v/>
      </c>
      <c r="J394" s="192"/>
      <c r="K394" s="192" t="str">
        <f>VLOOKUP(I394,I379:L382,3,FALSE)</f>
        <v/>
      </c>
      <c r="L394" s="155"/>
      <c r="M394" s="259"/>
      <c r="N394" s="259"/>
      <c r="O394" s="156"/>
      <c r="P394" s="157"/>
      <c r="Q394" s="260" t="str">
        <f>IF(L394="","",IF(AND(L394-L393&gt;1,L394&gt;10),1,0)+IF(AND(M394-M393&gt;1,M394&gt;10),1,0)+IF(AND(N394-N393&gt;1,N394&gt;10),1,0)+IF(AND(O394-O393&gt;1,O394&gt;10),1,0)+IF(AND(P394-P393&gt;1,P394&gt;10),1,0))</f>
        <v/>
      </c>
      <c r="R394" s="203" t="str">
        <f>IF(AND(Q393&lt;&gt;3,Q394&lt;&gt;3),"",IF(Q393=3,IF(VLOOKUP(I393,I379:L382,4,FALSE)&gt;VLOOKUP(I394,I379:L382,4,FALSE),VLOOKUP(R393,Point_dif,2,FALSE),VLOOKUP(R393,Point_dif,3,FALSE)),IF(Q394=3,IF(VLOOKUP(I394,I379:L382,4,FALSE)&gt;VLOOKUP(I393,I379:L382,4,FALSE),VLOOKUP(R393,Point_dif,2,FALSE),VLOOKUP(R393,Point_dif,3,FALSE)))))</f>
        <v/>
      </c>
      <c r="S394" s="256" t="str">
        <f>IF(R394="","",IF(Q394=3,+R394,-R394))</f>
        <v/>
      </c>
      <c r="T394" s="192"/>
      <c r="U394" s="235"/>
      <c r="V394" s="235"/>
      <c r="W394" s="235"/>
      <c r="X394" s="235"/>
      <c r="Y394" s="235"/>
      <c r="Z394" s="235"/>
      <c r="AA394" s="261">
        <v>4</v>
      </c>
      <c r="AB394" s="158" t="str">
        <f>IF(AND(COUNTBLANK(I379:I382)=0,Group_players=4,M380=M381,M381=M382),IF(COUNTIF(X378:X381,X381)=3,AB407,IF(AND(COUNTIF(X378:X381,X381)=1,X380&lt;&gt;X379),IF(M382=2,IF(SMALL(X378:X381,1)=X381,1,IF(SMALL(X378:X381,2)=X381,2,IF(SMALL(X378:X381,3)=X381,3))),IF(M382=1,IF(SMALL(X378:X381,1)=X381,2,IF(SMALL(X378:X381,2)=X381,3,IF(SMALL(X378:X381,3)=X381,4))),"")),IF(COUNTIF(X378:X381,X381)=1,IF(X381&lt;X379,IF(M382=2,1,2),IF(M382=2,3,4)),IF(COUNTIF(X378:X381,X381)=2,IF(X381=X379,IF(X381&lt;X380,IF(M382=2,IF(Q394=3,1,2),IF(M382=1,IF(Q394=3,2,3))),IF(X381&gt;X380,IF(M382=2,IF(Q394=3,2,3),IF(M382=1,IF(Q394=3,3,4))))),IF(X381=X380,IF(X381&lt;X379,IF(M382=2,IF(Q406=3,1,2),IF(M382=1,IF(Q406=3,2,3))),IF(X381&gt;X379,IF(M382=2,IF(Q406=3,2,3),IF(M382=1,IF(Q406=3,3,4))))))),"")))),"")</f>
        <v/>
      </c>
      <c r="AC394" s="192"/>
      <c r="AD394" s="192"/>
      <c r="AE394" s="192"/>
      <c r="AF394" s="203"/>
      <c r="AG394" s="203"/>
      <c r="AH394" s="203"/>
      <c r="AI394" s="203"/>
      <c r="AJ394" s="203"/>
      <c r="AK394" s="203"/>
      <c r="AL394" s="203"/>
      <c r="AM394" s="203"/>
      <c r="AN394" s="192"/>
      <c r="AO394" s="192"/>
      <c r="AP394" s="192"/>
      <c r="AQ394" s="192"/>
      <c r="AR394" s="192"/>
      <c r="AS394" s="192"/>
      <c r="AT394" s="192"/>
      <c r="AU394" s="192"/>
      <c r="AV394" s="192"/>
      <c r="AW394" s="192"/>
      <c r="AX394" s="192"/>
    </row>
    <row r="395" spans="2:50" ht="15" customHeight="1" thickTop="1" thickBot="1" x14ac:dyDescent="0.35">
      <c r="B395" s="192"/>
      <c r="C395" s="192"/>
      <c r="D395" s="192"/>
      <c r="E395" s="164"/>
      <c r="F395" s="164"/>
      <c r="G395" s="192"/>
      <c r="H395" s="192"/>
      <c r="I395" s="249" t="s">
        <v>117</v>
      </c>
      <c r="J395" s="249"/>
      <c r="K395" s="249"/>
      <c r="L395" s="250" t="s">
        <v>115</v>
      </c>
      <c r="M395" s="250" t="s">
        <v>116</v>
      </c>
      <c r="N395" s="250" t="s">
        <v>117</v>
      </c>
      <c r="O395" s="250" t="s">
        <v>118</v>
      </c>
      <c r="P395" s="250" t="s">
        <v>119</v>
      </c>
      <c r="Q395" s="250" t="s">
        <v>120</v>
      </c>
      <c r="R395" s="250"/>
      <c r="S395" s="251"/>
      <c r="T395" s="263"/>
      <c r="U395" s="264"/>
      <c r="V395" s="242"/>
      <c r="W395" s="242"/>
      <c r="X395" s="264"/>
      <c r="Y395" s="192"/>
      <c r="Z395" s="203"/>
      <c r="AA395" s="126" t="s">
        <v>93</v>
      </c>
      <c r="AB395" s="265" t="s">
        <v>110</v>
      </c>
      <c r="AC395" s="192"/>
      <c r="AD395" s="192"/>
      <c r="AE395" s="192"/>
      <c r="AF395" s="203"/>
      <c r="AG395" s="203"/>
      <c r="AH395" s="203"/>
      <c r="AI395" s="203"/>
      <c r="AJ395" s="203"/>
      <c r="AK395" s="203"/>
      <c r="AL395" s="203"/>
      <c r="AM395" s="203"/>
      <c r="AN395" s="192"/>
      <c r="AO395" s="192"/>
      <c r="AP395" s="192"/>
      <c r="AQ395" s="192"/>
      <c r="AR395" s="192"/>
      <c r="AS395" s="192"/>
      <c r="AT395" s="192"/>
      <c r="AU395" s="192"/>
      <c r="AV395" s="192"/>
      <c r="AW395" s="192"/>
      <c r="AX395" s="192"/>
    </row>
    <row r="396" spans="2:50" ht="15" customHeight="1" thickTop="1" x14ac:dyDescent="0.3">
      <c r="B396" s="192"/>
      <c r="C396" s="192"/>
      <c r="D396" s="192"/>
      <c r="E396" s="164" t="str">
        <f>IF(Q396="","",IF(Q396=3,1,0))</f>
        <v/>
      </c>
      <c r="F396" s="164" t="str">
        <f>IF(Q396="","",IF(Q396&lt;3,1,0))</f>
        <v/>
      </c>
      <c r="G396" s="192"/>
      <c r="H396" s="192" t="str">
        <f>IF(I381&lt;&gt;"",1,"")</f>
        <v/>
      </c>
      <c r="I396" s="192" t="str">
        <f>IF(ISNUMBER(H396),VLOOKUP(H396,H379:I382,2,TRUE),"")</f>
        <v/>
      </c>
      <c r="J396" s="192"/>
      <c r="K396" s="192" t="str">
        <f>VLOOKUP(I396,I379:L382,3,FALSE)</f>
        <v/>
      </c>
      <c r="L396" s="253"/>
      <c r="M396" s="254"/>
      <c r="N396" s="254"/>
      <c r="O396" s="152"/>
      <c r="P396" s="153"/>
      <c r="Q396" s="255" t="str">
        <f>IF(L396="","",IF(AND(L396-L397&gt;1,L396&gt;10),1,0)+IF(AND(M396-M397&gt;1,M396&gt;10),1,0)+IF(AND(N396-N397&gt;1,N396&gt;10),1,0)+IF(AND(O396-O397&gt;1,O396&gt;10),1,0)+IF(AND(P396-P397&gt;1,P396&gt;10),1,0))</f>
        <v/>
      </c>
      <c r="R396" s="203" t="str">
        <f>IF(AND(I396="",I397=""),"",ABS(VLOOKUP(I396,I379:L382,4,FALSE)-VLOOKUP(I397,I379:L382,4,FALSE)))</f>
        <v/>
      </c>
      <c r="S396" s="256" t="str">
        <f>IF(R397="","",IF(Q396=3,+R397,-R397))</f>
        <v/>
      </c>
      <c r="T396" s="192"/>
      <c r="U396" s="235"/>
      <c r="V396" s="235"/>
      <c r="W396" s="235"/>
      <c r="X396" s="235"/>
      <c r="Y396" s="235"/>
      <c r="Z396" s="235"/>
      <c r="AA396" s="243">
        <v>1</v>
      </c>
      <c r="AB396" s="222" t="str">
        <f>IF(AND(COUNTBLANK(I379:I382)=0,Group_players=4,M379=M380,M380=M381),IF(U386="","",IF(COUNTIF(U386:U389,U386)=3,"Tied",IF(AND(COUNTIF(U386:U389,U386)=1,U387&lt;&gt;U388),IF(M379=2,IF(SMALL(U386:U389,1)=U386,1,IF(SMALL(U386:U389,2)=U386,2,IF(SMALL(U386:U389,3)=U386,3))),IF(M379=1,IF(SMALL(U386:U389,1)=U386,2,IF(SMALL(U386:U389,2)=U386,3,IF(SMALL(U386:U389,3)=U386,4))),"")),IF(COUNTIF(U386:U389,U386)=1,IF(U386&lt;U387,IF(M379=2,1,2),IF(M379=2,3,4)),IF(COUNTIF(U386:U389,U386)=2,IF(U386=U387,IF(U386&lt;U388,IF(M379=2,IF(Q402=3,1,2),IF(M379=1,IF(Q402=3,2,3))),IF(U386&gt;U388,IF(M379=2,IF(Q402=3,2,3),IF(M379=1,IF(Q402=3,3,4))))),IF(U386=U388,IF(U386&lt;U387,IF(M379=2,IF(Q390=3,1,2),IF(M379=1,IF(Q390=3,2,3))),IF(U386&gt;U387,IF(M379=2,IF(Q390=3,2,3),IF(M379=1,IF(Q390=3,3,4)))))))))))),"")</f>
        <v/>
      </c>
      <c r="AC396" s="192"/>
      <c r="AD396" s="192"/>
      <c r="AE396" s="192"/>
      <c r="AF396" s="203"/>
      <c r="AG396" s="203"/>
      <c r="AH396" s="203"/>
      <c r="AI396" s="203"/>
      <c r="AJ396" s="203"/>
      <c r="AK396" s="203"/>
      <c r="AL396" s="203"/>
      <c r="AM396" s="203"/>
      <c r="AN396" s="192"/>
      <c r="AO396" s="192"/>
      <c r="AP396" s="192"/>
      <c r="AQ396" s="192"/>
      <c r="AR396" s="192"/>
      <c r="AS396" s="192"/>
      <c r="AT396" s="192"/>
      <c r="AU396" s="192"/>
      <c r="AV396" s="192"/>
      <c r="AW396" s="192"/>
      <c r="AX396" s="192"/>
    </row>
    <row r="397" spans="2:50" ht="15" customHeight="1" thickBot="1" x14ac:dyDescent="0.35">
      <c r="B397" s="192"/>
      <c r="C397" s="192"/>
      <c r="D397" s="192"/>
      <c r="E397" s="164" t="str">
        <f>IF(Q397="","",IF(Q397=3,1,0))</f>
        <v/>
      </c>
      <c r="F397" s="164" t="str">
        <f>IF(Q397="","",IF(Q397&lt;3,1,0))</f>
        <v/>
      </c>
      <c r="G397" s="192"/>
      <c r="H397" s="192" t="str">
        <f>IF(I381="","",IF(I382&lt;&gt;"",4,2))</f>
        <v/>
      </c>
      <c r="I397" s="192" t="str">
        <f>IF(ISNUMBER(H397),VLOOKUP(H397,H379:I382,2,TRUE),"")</f>
        <v/>
      </c>
      <c r="J397" s="192"/>
      <c r="K397" s="192" t="str">
        <f>VLOOKUP(I397,I379:L382,3,FALSE)</f>
        <v/>
      </c>
      <c r="L397" s="155"/>
      <c r="M397" s="259"/>
      <c r="N397" s="259"/>
      <c r="O397" s="156"/>
      <c r="P397" s="157"/>
      <c r="Q397" s="260" t="str">
        <f>IF(L397="","",IF(AND(L397-L396&gt;1,L397&gt;10),1,0)+IF(AND(M397-M396&gt;1,M397&gt;10),1,0)+IF(AND(N397-N396&gt;1,N397&gt;10),1,0)+IF(AND(O397-O396&gt;1,O397&gt;10),1,0)+IF(AND(P397-P396&gt;1,P397&gt;10),1,0))</f>
        <v/>
      </c>
      <c r="R397" s="203" t="str">
        <f>IF(AND(Q396&lt;&gt;3,Q397&lt;&gt;3),"",IF(Q396=3,IF(VLOOKUP(I396,I379:L382,4,FALSE)&gt;VLOOKUP(I397,I379:L382,4,FALSE),VLOOKUP(R396,Point_dif,2,FALSE),VLOOKUP(R396,Point_dif,3,FALSE)),IF(Q397=3,IF(VLOOKUP(I397,I379:L382,4,FALSE)&gt;VLOOKUP(I396,I379:L382,4,FALSE),VLOOKUP(R396,Point_dif,2,FALSE),VLOOKUP(R396,Point_dif,3,FALSE)))))</f>
        <v/>
      </c>
      <c r="S397" s="256" t="str">
        <f>IF(R397="","",IF(Q397=3,+R397,-R397))</f>
        <v/>
      </c>
      <c r="T397" s="192"/>
      <c r="U397" s="235"/>
      <c r="V397" s="235"/>
      <c r="W397" s="235"/>
      <c r="X397" s="235"/>
      <c r="Y397" s="235"/>
      <c r="Z397" s="235"/>
      <c r="AA397" s="246">
        <v>2</v>
      </c>
      <c r="AB397" s="222" t="str">
        <f>IF(AND(COUNTBLANK(I379:I382)=0,Group_players=4,M379=M380,M380=M381),IF(U387="","",IF(COUNTIF(U386:U389,U387)=3,"Tied",IF(AND(COUNTIF(U386:U389,U387)=1,U386&lt;&gt;U388),IF(M380=2,IF(SMALL(U386:U389,1)=U387,1,IF(SMALL(U386:U389,2)=U387,2,IF(SMALL(U386:U389,3)=U387,3))),IF(M380=1,IF(SMALL(U386:U389,1)=U387,2,IF(SMALL(U386:U389,2)=U387,3,IF(SMALL(U386:U389,3)=U387,4))),"")),IF(COUNTIF(U386:U389,U387)=1,IF(U387&lt;U386,IF(M380=2,1,2),IF(M380=2,3,4)),IF(COUNTIF(U386:U389,U387)=2,IF(U387=U386,IF(U387&lt;U388,IF(M380=2,IF(Q403=3,1,2),IF(M380=1,IF(Q403=3,2,3))),IF(U387&gt;U388,IF(M380=2,IF(Q403=3,2,3),IF(M380=1,IF(Q403=3,3,4))))),IF(U387=U388,IF(U387&lt;U386,IF(M380=2,IF(Q399=3,1,2),IF(M380=1,IF(Q399=3,2,3))),IF(U387&gt;U386,IF(M380=2,IF(Q399=3,2,3),IF(M380=1,IF(Q399=3,3,4)))))))))))),"")</f>
        <v/>
      </c>
      <c r="AC397" s="192"/>
      <c r="AD397" s="192"/>
      <c r="AE397" s="192"/>
      <c r="AF397" s="203"/>
      <c r="AG397" s="203"/>
      <c r="AH397" s="203"/>
      <c r="AI397" s="203"/>
      <c r="AJ397" s="203"/>
      <c r="AK397" s="203"/>
      <c r="AL397" s="203"/>
      <c r="AM397" s="203"/>
      <c r="AN397" s="192"/>
      <c r="AO397" s="192"/>
      <c r="AP397" s="192"/>
      <c r="AQ397" s="192"/>
      <c r="AR397" s="192"/>
      <c r="AS397" s="192"/>
      <c r="AT397" s="192"/>
      <c r="AU397" s="192"/>
      <c r="AV397" s="192"/>
      <c r="AW397" s="192"/>
      <c r="AX397" s="192"/>
    </row>
    <row r="398" spans="2:50" ht="15" customHeight="1" thickTop="1" thickBot="1" x14ac:dyDescent="0.35">
      <c r="B398" s="192"/>
      <c r="C398" s="192"/>
      <c r="D398" s="192"/>
      <c r="E398" s="164"/>
      <c r="F398" s="164"/>
      <c r="G398" s="192"/>
      <c r="H398" s="192"/>
      <c r="I398" s="249" t="s">
        <v>118</v>
      </c>
      <c r="J398" s="249"/>
      <c r="K398" s="249"/>
      <c r="L398" s="250" t="s">
        <v>115</v>
      </c>
      <c r="M398" s="250" t="s">
        <v>116</v>
      </c>
      <c r="N398" s="250" t="s">
        <v>117</v>
      </c>
      <c r="O398" s="250" t="s">
        <v>118</v>
      </c>
      <c r="P398" s="250" t="s">
        <v>119</v>
      </c>
      <c r="Q398" s="250" t="s">
        <v>120</v>
      </c>
      <c r="R398" s="250"/>
      <c r="S398" s="251"/>
      <c r="T398" s="192"/>
      <c r="U398" s="235"/>
      <c r="V398" s="235"/>
      <c r="W398" s="235"/>
      <c r="X398" s="235"/>
      <c r="Y398" s="235"/>
      <c r="Z398" s="235"/>
      <c r="AA398" s="240">
        <v>3</v>
      </c>
      <c r="AB398" s="241" t="str">
        <f>IF(AND(COUNTBLANK(I379:I382)=0,Group_players=4,M379=M380,M380=M381),IF(U388="","",IF(COUNTIF(U386:U389,U388)=3,"Tied",IF(AND(COUNTIF(U386:U389,U388)=1,U386&lt;&gt;U387),IF(M379=2,IF(SMALL(U386:U389,1)=U388,1,IF(SMALL(U386:U389,2)=U388,2,IF(SMALL(U386:U389,3)=U388,3))),IF(M381=1,IF(SMALL(U386:U389,1)=U388,2,IF(SMALL(U386:U389,2)=U388,3,IF(SMALL(U386:U389,3)=U388,4))),"")),IF(COUNTIF(U386:U389,U388)=1,IF(U388&lt;U387,IF(M381=2,1,2),IF(M381=2,3,4)),IF(COUNTIF(U386:U389,U388)=2,IF(U388=U387,IF(U388&lt;U386,IF(M381=2,IF(Q400=3,1,2),IF(M381=1,IF(Q400=3,2,3))),IF(U388&gt;U386,IF(M381=2,IF(Q400=3,2,3),IF(M381=1,IF(Q400=3,3,4))))),IF(U388=U386,IF(U388&lt;U387,IF(M381=2,IF(Q391=3,1,2),IF(M381=1,IF(Q391=3,2,3))),IF(U388&gt;U387,IF(M381=2,IF(Q391=3,2,3),IF(M381=1,IF(Q391=3,3,4)))))))))))),"")</f>
        <v/>
      </c>
      <c r="AC398" s="192"/>
      <c r="AD398" s="192"/>
      <c r="AE398" s="192"/>
      <c r="AF398" s="203"/>
      <c r="AG398" s="203"/>
      <c r="AH398" s="203"/>
      <c r="AI398" s="203"/>
      <c r="AJ398" s="203"/>
      <c r="AK398" s="203"/>
      <c r="AL398" s="203"/>
      <c r="AM398" s="203"/>
      <c r="AN398" s="192"/>
      <c r="AO398" s="192"/>
      <c r="AP398" s="192"/>
      <c r="AQ398" s="192"/>
      <c r="AR398" s="192"/>
      <c r="AS398" s="192"/>
      <c r="AT398" s="192"/>
      <c r="AU398" s="192"/>
      <c r="AV398" s="192"/>
      <c r="AW398" s="192"/>
      <c r="AX398" s="192"/>
    </row>
    <row r="399" spans="2:50" ht="15" customHeight="1" thickTop="1" x14ac:dyDescent="0.3">
      <c r="B399" s="192"/>
      <c r="C399" s="192"/>
      <c r="D399" s="192"/>
      <c r="E399" s="164" t="str">
        <f>IF(Q399="","",IF(Q399=3,1,0))</f>
        <v/>
      </c>
      <c r="F399" s="164" t="str">
        <f>IF(Q399="","",IF(Q399&lt;3,1,0))</f>
        <v/>
      </c>
      <c r="G399" s="192"/>
      <c r="H399" s="192" t="str">
        <f>IF(I382&lt;&gt;"",2,"")</f>
        <v/>
      </c>
      <c r="I399" s="192" t="str">
        <f>IF(ISNUMBER(H399),VLOOKUP(H399,H379:I382,2,TRUE),"")</f>
        <v/>
      </c>
      <c r="J399" s="192"/>
      <c r="K399" s="192" t="str">
        <f>VLOOKUP(I399,I379:L382,3,FALSE)</f>
        <v/>
      </c>
      <c r="L399" s="253"/>
      <c r="M399" s="254"/>
      <c r="N399" s="254"/>
      <c r="O399" s="152"/>
      <c r="P399" s="153"/>
      <c r="Q399" s="255" t="str">
        <f>IF(L399="","",IF(AND(L399-L400&gt;1,L399&gt;10),1,0)+IF(AND(M399-M400&gt;1,M399&gt;10),1,0)+IF(AND(N399-N400&gt;1,N399&gt;10),1,0)+IF(AND(O399-O400&gt;1,O399&gt;10),1,0)+IF(AND(P399-P400&gt;1,P399&gt;10),1,0))</f>
        <v/>
      </c>
      <c r="R399" s="203" t="str">
        <f>IF(AND(I399="",I400=""),"",ABS(VLOOKUP(I399,I379:L382,4,FALSE)-VLOOKUP(I400,I379:L382,4,FALSE)))</f>
        <v/>
      </c>
      <c r="S399" s="256" t="str">
        <f>IF(R400="","",IF(Q399=3,+R400,-R400))</f>
        <v/>
      </c>
      <c r="T399" s="192"/>
      <c r="U399" s="235"/>
      <c r="V399" s="235"/>
      <c r="W399" s="235"/>
      <c r="X399" s="235"/>
      <c r="Y399" s="235"/>
      <c r="Z399" s="235"/>
      <c r="AA399" s="243">
        <v>1</v>
      </c>
      <c r="AB399" s="222" t="str">
        <f>IF(AND(COUNTBLANK(I379:I382)=0,Group_players=4,M379=M381,M381=M382),IF(V386="","",IF(COUNTIF(V386:V389,V386)=3,"Tied",IF(AND(COUNTIF(V386:V389,V386)=1,V388&lt;&gt;U389),IF(M379=2,IF(SMALL(V386:V389,1)=V386,1,IF(SMALL(V386:V389,2)=V386,2,IF(SMALL(V386:V389,3)=V386,3))),IF(M379=1,IF(SMALL(V386:V389,1)=V386,2,IF(SMALL(V386:V389,2)=V386,3,IF(SMALL(V386:V389,3)=V386,4))),"")),IF(COUNTIF(V386:V389,V386)=1,IF(V386&lt;V388,IF(M379=2,1,2),IF(M379=2,3,4)),IF(COUNTIF(V386:V389,V386)=2,IF(V386=V388,IF(V386&lt;V389,IF(M379=2,IF(Q390=3,1,2),IF(M379=1,IF(Q390=3,2,3))),IF(V386&gt;V389,IF(M379=2,IF(Q390=3,2,3),IF(M379=1,IF(Q390=3,3,4))))),IF(V386=V389,IF(V386&lt;V388,IF(M379=2,IF(Q396=3,1,2),IF(M379=1,IF(Q396=3,2,3))),IF(V386&gt;V387,IF(M379=2,IF(Q396=3,2,3),IF(M379=1,IF(Q396=3,3,4)))))))))))),"")</f>
        <v/>
      </c>
      <c r="AC399" s="192"/>
      <c r="AD399" s="192"/>
      <c r="AE399" s="192"/>
      <c r="AF399" s="203"/>
      <c r="AG399" s="203"/>
      <c r="AH399" s="203"/>
      <c r="AI399" s="203"/>
      <c r="AJ399" s="203"/>
      <c r="AK399" s="203"/>
      <c r="AL399" s="203"/>
      <c r="AM399" s="203"/>
      <c r="AN399" s="192"/>
      <c r="AO399" s="192"/>
      <c r="AP399" s="192"/>
      <c r="AQ399" s="192"/>
      <c r="AR399" s="192"/>
      <c r="AS399" s="192"/>
      <c r="AT399" s="192"/>
      <c r="AU399" s="192"/>
      <c r="AV399" s="192"/>
      <c r="AW399" s="192"/>
      <c r="AX399" s="192"/>
    </row>
    <row r="400" spans="2:50" ht="15" customHeight="1" thickBot="1" x14ac:dyDescent="0.35">
      <c r="B400" s="192"/>
      <c r="C400" s="192"/>
      <c r="D400" s="192"/>
      <c r="E400" s="164" t="str">
        <f>IF(Q400="","",IF(Q400=3,1,0))</f>
        <v/>
      </c>
      <c r="F400" s="164" t="str">
        <f>IF(Q400="","",IF(Q400&lt;3,1,0))</f>
        <v/>
      </c>
      <c r="G400" s="192"/>
      <c r="H400" s="192" t="str">
        <f>IF(I382&lt;&gt;"",3,"")</f>
        <v/>
      </c>
      <c r="I400" s="192" t="str">
        <f>IF(ISNUMBER(H400),VLOOKUP(H400,H379:I382,2,TRUE),"")</f>
        <v/>
      </c>
      <c r="J400" s="192"/>
      <c r="K400" s="192" t="str">
        <f>VLOOKUP(I400,I379:L382,3,FALSE)</f>
        <v/>
      </c>
      <c r="L400" s="155"/>
      <c r="M400" s="259"/>
      <c r="N400" s="259"/>
      <c r="O400" s="156"/>
      <c r="P400" s="157"/>
      <c r="Q400" s="260" t="str">
        <f>IF(L400="","",IF(AND(L400-L399&gt;1,L400&gt;10),1,0)+IF(AND(M400-M399&gt;1,M400&gt;10),1,0)+IF(AND(N400-N399&gt;1,N400&gt;10),1,0)+IF(AND(O400-O399&gt;1,O400&gt;10),1,0)+IF(AND(P400-P399&gt;1,P400&gt;10),1,0))</f>
        <v/>
      </c>
      <c r="R400" s="203" t="str">
        <f>IF(AND(Q399&lt;&gt;3,Q400&lt;&gt;3),"",IF(Q399=3,IF(VLOOKUP(I399,I379:L382,4,FALSE)&gt;VLOOKUP(I400,I379:L382,4,FALSE),VLOOKUP(R399,Point_dif,2,FALSE),VLOOKUP(R399,Point_dif,3,FALSE)),IF(Q400=3,IF(VLOOKUP(I400,I379:L382,4,FALSE)&gt;VLOOKUP(I399,I379:L382,4,FALSE),VLOOKUP(R399,Point_dif,2,FALSE),VLOOKUP(R399,Point_dif,3,FALSE)))))</f>
        <v/>
      </c>
      <c r="S400" s="256" t="str">
        <f>IF(R400="","",IF(Q400=3,+R400,-R400))</f>
        <v/>
      </c>
      <c r="T400" s="192"/>
      <c r="U400" s="159"/>
      <c r="V400" s="266"/>
      <c r="W400" s="266"/>
      <c r="X400" s="266"/>
      <c r="Y400" s="192"/>
      <c r="Z400" s="203"/>
      <c r="AA400" s="246">
        <v>3</v>
      </c>
      <c r="AB400" s="222" t="str">
        <f>IF(AND(COUNTBLANK(I379:I382)=0,Group_players=4,M379=M381,M381=M382),IF(V388="","",IF(COUNTIF(V386:V389,V388)=3,"Tied",IF(AND(COUNTIF(V386:V389,V388)=1,V386&lt;&gt;V389),IF(M381=2,IF(SMALL(V386:V389,1)=V388,1,IF(SMALL(V386:V389,2)=V388,2,IF(SMALL(V386:V389,3)=V388,3))),IF(M381=1,IF(SMALL(V386:V389,1)=V388,2,IF(SMALL(V386:V389,2)=V388,3,IF(SMALL(V386:V389,3)=V388,4))),"")),IF(COUNTIF(V386:V389,V388)=1,IF(V388&lt;V386,IF(M381=2,1,2),IF(M381=2,3,4)),IF(COUNTIF(V386:V389,V388)=2,IF(V388=V386,IF(V388&lt;V389,IF(M381=2,IF(Q391=3,1,2),IF(M381=1,IF(Q391=3,2,3))),IF(V388&gt;V389,IF(M381=2,IF(Q391=3,2,3),IF(M381=1,IF(Q391=3,3,4))))),IF(V388=V389,IF(V388&lt;V386,IF(M381=2,IF(Q405=3,1,2),IF(M381=1,IF(Q405=3,2,3))),IF(V388&gt;V386,IF(M381=2,IF(Q405=3,2,3),IF(M381=1,IF(Q405=3,3,4)))))))))))),"")</f>
        <v/>
      </c>
      <c r="AC400" s="192"/>
      <c r="AD400" s="192"/>
      <c r="AE400" s="192"/>
      <c r="AF400" s="203"/>
      <c r="AG400" s="203"/>
      <c r="AH400" s="203"/>
      <c r="AI400" s="203"/>
      <c r="AJ400" s="203"/>
      <c r="AK400" s="203"/>
      <c r="AL400" s="203"/>
      <c r="AM400" s="203"/>
      <c r="AN400" s="192"/>
      <c r="AO400" s="192"/>
      <c r="AP400" s="192"/>
      <c r="AQ400" s="192"/>
      <c r="AR400" s="192"/>
      <c r="AS400" s="192"/>
      <c r="AT400" s="192"/>
      <c r="AU400" s="192"/>
      <c r="AV400" s="192"/>
      <c r="AW400" s="192"/>
      <c r="AX400" s="192"/>
    </row>
    <row r="401" spans="2:50" ht="15" customHeight="1" thickTop="1" thickBot="1" x14ac:dyDescent="0.35">
      <c r="B401" s="192"/>
      <c r="C401" s="192"/>
      <c r="D401" s="192"/>
      <c r="E401" s="164"/>
      <c r="F401" s="164"/>
      <c r="G401" s="192"/>
      <c r="H401" s="192"/>
      <c r="I401" s="249" t="s">
        <v>119</v>
      </c>
      <c r="J401" s="249"/>
      <c r="K401" s="249"/>
      <c r="L401" s="250" t="s">
        <v>115</v>
      </c>
      <c r="M401" s="250" t="s">
        <v>116</v>
      </c>
      <c r="N401" s="250" t="s">
        <v>117</v>
      </c>
      <c r="O401" s="250" t="s">
        <v>118</v>
      </c>
      <c r="P401" s="250" t="s">
        <v>119</v>
      </c>
      <c r="Q401" s="250" t="s">
        <v>120</v>
      </c>
      <c r="R401" s="250"/>
      <c r="S401" s="251"/>
      <c r="T401" s="247"/>
      <c r="U401" s="235"/>
      <c r="V401" s="235"/>
      <c r="W401" s="235"/>
      <c r="X401" s="235"/>
      <c r="Y401" s="235"/>
      <c r="Z401" s="235"/>
      <c r="AA401" s="240">
        <v>4</v>
      </c>
      <c r="AB401" s="241" t="str">
        <f>IF(AND(COUNTBLANK(I379:I382)=0,Group_players=4,M379=M381,M381=M382),IF(V389="","",IF(COUNTIF(V386:V389,V389)=3,"Tied",IF(AND(COUNTIF(V386:V389,V389)=1,V388&lt;&gt;V386),IF(M382=2,IF(SMALL(V386:V389,1)=V389,1,IF(SMALL(V386:V389,2)=V389,2,IF(SMALL(V386:V389,3)=V389,3))),IF(M382=1,IF(SMALL(V386:V389,1)=V389,2,IF(SMALL(V386:V389,2)=V389,3,IF(SMALL(V386:V389,3)=V389,4))),"")),IF(COUNTIF(V386:V389,V389)=1,IF(V389&lt;V386,IF(M382=2,1,2),IF(M382=2,3,4)),IF(COUNTIF(V386:V389,V389)=2,IF(V389=V386,IF(V389&lt;V388,IF(M382=2,IF(Q397=3,1,2),IF(M382=1,IF(Q397=3,2,3))),IF(V389&gt;V388,IF(M382=2,IF(Q397=3,2,3),IF(M382=1,IF(Q397=3,3,4))))),IF(V389=V388,IF(V389&lt;V386,IF(M382=2,IF(Q406=3,1,2),IF(M382=1,IF(Q406=3,2,3))),IF(V389&gt;V386,IF(M382=2,IF(Q406=3,2,3),IF(M382=1,IF(Q406=3,3,4)))))))))))),"")</f>
        <v/>
      </c>
      <c r="AC401" s="192"/>
      <c r="AD401" s="192"/>
      <c r="AE401" s="192"/>
      <c r="AF401" s="203"/>
      <c r="AG401" s="203"/>
      <c r="AH401" s="203"/>
      <c r="AI401" s="203"/>
      <c r="AJ401" s="203"/>
      <c r="AK401" s="203"/>
      <c r="AL401" s="203"/>
      <c r="AM401" s="203"/>
      <c r="AN401" s="192"/>
      <c r="AO401" s="192"/>
      <c r="AP401" s="192"/>
      <c r="AQ401" s="192"/>
      <c r="AR401" s="192"/>
      <c r="AS401" s="192"/>
      <c r="AT401" s="192"/>
      <c r="AU401" s="192"/>
      <c r="AV401" s="192"/>
      <c r="AW401" s="192"/>
      <c r="AX401" s="192"/>
    </row>
    <row r="402" spans="2:50" ht="15" customHeight="1" thickTop="1" x14ac:dyDescent="0.3">
      <c r="B402" s="192"/>
      <c r="C402" s="192"/>
      <c r="D402" s="192"/>
      <c r="E402" s="164" t="str">
        <f>IF(Q402="","",IF(Q402=3,1,0))</f>
        <v/>
      </c>
      <c r="F402" s="164" t="str">
        <f>IF(Q402="","",IF(Q402&lt;3,1,0))</f>
        <v/>
      </c>
      <c r="G402" s="192"/>
      <c r="H402" s="192" t="str">
        <f>IF(I382&lt;&gt;"",1,"")</f>
        <v/>
      </c>
      <c r="I402" s="192" t="str">
        <f>IF(ISNUMBER(H402),VLOOKUP(H402,H379:I382,2,TRUE),"")</f>
        <v/>
      </c>
      <c r="J402" s="192"/>
      <c r="K402" s="192" t="str">
        <f>VLOOKUP(I402,I379:L382,3,FALSE)</f>
        <v/>
      </c>
      <c r="L402" s="253"/>
      <c r="M402" s="254"/>
      <c r="N402" s="254"/>
      <c r="O402" s="152"/>
      <c r="P402" s="153"/>
      <c r="Q402" s="255" t="str">
        <f>IF(L402="","",IF(AND(L402-L403&gt;1,L402&gt;10),1,0)+IF(AND(M402-M403&gt;1,M402&gt;10),1,0)+IF(AND(N402-N403&gt;1,N402&gt;10),1,0)+IF(AND(O402-O403&gt;1,O402&gt;10),1,0)+IF(AND(P402-P403&gt;1,P402&gt;10),1,0))</f>
        <v/>
      </c>
      <c r="R402" s="203" t="str">
        <f>IF(AND(I402="",I403=""),"",ABS(VLOOKUP(I402,I379:L382,4,FALSE)-VLOOKUP(I403,I379:L382,4,FALSE)))</f>
        <v/>
      </c>
      <c r="S402" s="256" t="str">
        <f>IF(R403="","",IF(Q402=3,+R403,-R403))</f>
        <v/>
      </c>
      <c r="T402" s="247"/>
      <c r="U402" s="235"/>
      <c r="V402" s="235"/>
      <c r="W402" s="235"/>
      <c r="X402" s="235"/>
      <c r="Y402" s="235"/>
      <c r="Z402" s="235"/>
      <c r="AA402" s="243">
        <v>1</v>
      </c>
      <c r="AB402" s="222" t="str">
        <f>IF(AND(COUNTBLANK(I379:I382)=0,Group_players=4,M379=M380,M380=M382),IF(W386="","",IF(COUNTIF(W386:W389,W386)=3,"Tied",IF(AND(COUNTIF(W386:W389,W386)=1,W387&lt;&gt;W388),IF(M379=2,IF(SMALL(W386:W389,1)=W386,1,IF(SMALL(W386:W389,2)=W386,2,IF(SMALL(W386:W389,3)=W386,3))),IF(M379=1,IF(SMALL(W386:W389,1)=W386,2,IF(SMALL(W386:W389,2)=W386,3,IF(SMALL(W386:W389,3)=W386,4))),"")),IF(COUNTIF(W386:W389,W386)=1,IF(W386&lt;W387,IF(M379=2,1,2),IF(M379=2,3,4)),IF(COUNTIF(W386:W389,W386)=2,IF(W386=W387,IF(W386&lt;W389,IF(M379=2,IF(Q402=3,1,2),IF(M379=1,IF(Q402=3,2,3))),IF(W386&gt;W389,IF(M379=2,IF(Q402=3,2,3),IF(M379=1,IF(Q402=3,3,4))))),IF(W386=W389,IF(W386&lt;W387,IF(M379=2,IF(Q396=3,1,2),IF(M379=1,IF(Q396=3,2,3))),IF(W386&gt;W387,IF(M379=2,IF(Q396=3,2,3),IF(M379=1,IF(Q396=3,3,4)))))))))))),"")</f>
        <v/>
      </c>
      <c r="AC402" s="192"/>
      <c r="AD402" s="192"/>
      <c r="AE402" s="192"/>
      <c r="AF402" s="203"/>
      <c r="AG402" s="203"/>
      <c r="AH402" s="203"/>
      <c r="AI402" s="203"/>
      <c r="AJ402" s="203"/>
      <c r="AK402" s="203"/>
      <c r="AL402" s="203"/>
      <c r="AM402" s="203"/>
      <c r="AN402" s="192"/>
      <c r="AO402" s="192"/>
      <c r="AP402" s="192"/>
      <c r="AQ402" s="192"/>
      <c r="AR402" s="192"/>
      <c r="AS402" s="192"/>
      <c r="AT402" s="192"/>
      <c r="AU402" s="192"/>
      <c r="AV402" s="192"/>
      <c r="AW402" s="192"/>
      <c r="AX402" s="192"/>
    </row>
    <row r="403" spans="2:50" ht="15" customHeight="1" thickBot="1" x14ac:dyDescent="0.35">
      <c r="B403" s="192"/>
      <c r="C403" s="192"/>
      <c r="D403" s="192"/>
      <c r="E403" s="164" t="str">
        <f>IF(Q403="","",IF(Q403=3,1,0))</f>
        <v/>
      </c>
      <c r="F403" s="164" t="str">
        <f>IF(Q403="","",IF(Q403&lt;3,1,0))</f>
        <v/>
      </c>
      <c r="G403" s="192"/>
      <c r="H403" s="192" t="str">
        <f>IF(I382&lt;&gt;"",2,"")</f>
        <v/>
      </c>
      <c r="I403" s="192" t="str">
        <f>IF(ISNUMBER(H403),VLOOKUP(H403,H379:I382,2,TRUE),"")</f>
        <v/>
      </c>
      <c r="J403" s="192"/>
      <c r="K403" s="192" t="str">
        <f>VLOOKUP(I403,I379:L382,3,FALSE)</f>
        <v/>
      </c>
      <c r="L403" s="155"/>
      <c r="M403" s="259"/>
      <c r="N403" s="259"/>
      <c r="O403" s="156"/>
      <c r="P403" s="157"/>
      <c r="Q403" s="260" t="str">
        <f>IF(L403="","",IF(AND(L403-L402&gt;1,L403&gt;10),1,0)+IF(AND(M403-M402&gt;1,M403&gt;10),1,0)+IF(AND(N403-N402&gt;1,N403&gt;10),1,0)+IF(AND(O403-O402&gt;1,O403&gt;10),1,0)+IF(AND(P403-P402&gt;1,P403&gt;10),1,0))</f>
        <v/>
      </c>
      <c r="R403" s="203" t="str">
        <f>IF(AND(Q402&lt;&gt;3,Q403&lt;&gt;3),"",IF(Q402=3,IF(VLOOKUP(I402,I379:L382,4,FALSE)&gt;VLOOKUP(I403,I379:L382,4,FALSE),VLOOKUP(R402,Point_dif,2,FALSE),VLOOKUP(R402,Point_dif,3,FALSE)),IF(Q403=3,IF(VLOOKUP(I403,I379:L382,4,FALSE)&gt;VLOOKUP(I403,I379:L382,4,FALSE),VLOOKUP(R402,Point_dif,2,FALSE),VLOOKUP(R402,Point_dif,3,FALSE)))))</f>
        <v/>
      </c>
      <c r="S403" s="256" t="str">
        <f>IF(R403="","",IF(Q403=3,+R403,-R403))</f>
        <v/>
      </c>
      <c r="T403" s="247"/>
      <c r="U403" s="235"/>
      <c r="V403" s="235"/>
      <c r="W403" s="235"/>
      <c r="X403" s="235"/>
      <c r="Y403" s="235"/>
      <c r="Z403" s="235"/>
      <c r="AA403" s="246">
        <v>2</v>
      </c>
      <c r="AB403" s="222" t="str">
        <f>IF(AND(COUNTBLANK(I379:I382)=0,Group_players=4,M379=M380,M380=M382),IF(W387="","",IF(COUNTIF(W386:W389,W387)=3,"Tied",IF(AND(COUNTIF(W386:W389,W387)=1,W386&lt;&gt;W388),IF(M380=2,IF(SMALL(W386:W389,1)=W387,1,IF(SMALL(W386:W389,2)=W387,2,IF(SMALL(W386:W389,3)=W387,3))),IF(M380=1,IF(SMALL(W386:W389,1)=W387,2,IF(SMALL(W386:W389,2)=W387,3,IF(SMALL(W386:W389,3)=W387,4))),"")),IF(COUNTIF(W386:W389,W387)=1,IF(W387&lt;W386,IF(M380=2,1,2),IF(M380=2,3,4)),IF(COUNTIF(W386:W389,W387)=2,IF(W387=W386,IF(W387&lt;W389,IF(M380=2,IF(Q403=3,1,2),IF(M380=1,IF(Q403=3,2,3))),IF(W387&gt;W389,IF(M380=2,IF(Q403=3,2,3),IF(M380=1,IF(Q403=3,3,4))))),IF(W387=W389,IF(W387&lt;W386,IF(M380=2,IF(Q393=3,1,2),IF(M380=1,IF(Q393=3,2,3))),IF(W387&gt;W386,IF(M380=2,IF(Q393=3,2,3),IF(M380=1,IF(Q393=3,3,4)))))))))))),"")</f>
        <v/>
      </c>
      <c r="AC403" s="192"/>
      <c r="AD403" s="192"/>
      <c r="AE403" s="192"/>
      <c r="AF403" s="203"/>
      <c r="AG403" s="203"/>
      <c r="AH403" s="203"/>
      <c r="AI403" s="203"/>
      <c r="AJ403" s="203"/>
      <c r="AK403" s="203"/>
      <c r="AL403" s="203"/>
      <c r="AM403" s="203"/>
      <c r="AN403" s="192"/>
      <c r="AO403" s="192"/>
      <c r="AP403" s="192"/>
      <c r="AQ403" s="192"/>
      <c r="AR403" s="192"/>
      <c r="AS403" s="192"/>
      <c r="AT403" s="192"/>
      <c r="AU403" s="192"/>
      <c r="AV403" s="192"/>
      <c r="AW403" s="192"/>
      <c r="AX403" s="192"/>
    </row>
    <row r="404" spans="2:50" ht="15" customHeight="1" thickTop="1" thickBot="1" x14ac:dyDescent="0.35">
      <c r="B404" s="192"/>
      <c r="C404" s="192"/>
      <c r="D404" s="192"/>
      <c r="E404" s="164"/>
      <c r="F404" s="164"/>
      <c r="G404" s="192"/>
      <c r="H404" s="192"/>
      <c r="I404" s="249" t="s">
        <v>121</v>
      </c>
      <c r="J404" s="249"/>
      <c r="K404" s="249"/>
      <c r="L404" s="250" t="s">
        <v>115</v>
      </c>
      <c r="M404" s="250" t="s">
        <v>116</v>
      </c>
      <c r="N404" s="250" t="s">
        <v>117</v>
      </c>
      <c r="O404" s="250" t="s">
        <v>118</v>
      </c>
      <c r="P404" s="250" t="s">
        <v>119</v>
      </c>
      <c r="Q404" s="250" t="s">
        <v>120</v>
      </c>
      <c r="R404" s="250"/>
      <c r="S404" s="251"/>
      <c r="T404" s="247"/>
      <c r="U404" s="235"/>
      <c r="V404" s="235"/>
      <c r="W404" s="235"/>
      <c r="X404" s="235"/>
      <c r="Y404" s="235"/>
      <c r="Z404" s="235"/>
      <c r="AA404" s="240">
        <v>4</v>
      </c>
      <c r="AB404" s="241" t="str">
        <f>IF(AND(COUNTBLANK(I379:I382)=0,Group_players=4,M379=M380,M380=M382),IF(W389="","",IF(COUNTIF(W386:W389,W389)=3,"Tied",IF(AND(COUNTIF(W386:W389,W389)=1,W386&lt;&gt;W387),IF(M382=2,IF(SMALL(W386:W389,1)=W389,1,IF(SMALL(W386:W389,2)=W389,2,IF(SMALL(W386:W389,3)=W389,3))),IF(M382=1,IF(SMALL(W386:W389,1)=W389,2,IF(SMALL(W386:W389,2)=W389,3,IF(SMALL(W386:W389,3)=W389,4))),"")),IF(COUNTIF(W386:W389,W389)=1,IF(W389&lt;W386,IF(M382=2,1,2),IF(M382=2,3,4)),IF(COUNTIF(W386:W389,W389)=2,IF(W389=W386,IF(W389&lt;W387,IF(M382=2,IF(Q397=3,1,2),IF(M382=1,IF(Q397=3,2,3))),IF(W389&gt;W388,IF(M382=2,IF(Q397=3,2,3),IF(M382=1,IF(Q397=3,3,4))))),IF(W389=W387,IF(W389&lt;W386,IF(M382=2,IF(Q394=3,1,2),IF(M382=1,IF(Q394=3,2,3))),IF(W389&gt;W386,IF(M382=2,IF(Q394=3,2,3),IF(M382=1,IF(Q394=3,3,4)))))))))))),"")</f>
        <v/>
      </c>
      <c r="AC404" s="192"/>
      <c r="AD404" s="192"/>
      <c r="AE404" s="192"/>
      <c r="AF404" s="203"/>
      <c r="AG404" s="203"/>
      <c r="AH404" s="203"/>
      <c r="AI404" s="203"/>
      <c r="AJ404" s="203"/>
      <c r="AK404" s="203"/>
      <c r="AL404" s="203"/>
      <c r="AM404" s="203"/>
      <c r="AN404" s="192"/>
      <c r="AO404" s="192"/>
      <c r="AP404" s="192"/>
      <c r="AQ404" s="192"/>
      <c r="AR404" s="192"/>
      <c r="AS404" s="192"/>
      <c r="AT404" s="192"/>
      <c r="AU404" s="192"/>
      <c r="AV404" s="192"/>
      <c r="AW404" s="192"/>
      <c r="AX404" s="192"/>
    </row>
    <row r="405" spans="2:50" ht="15" customHeight="1" thickTop="1" x14ac:dyDescent="0.3">
      <c r="B405" s="192"/>
      <c r="C405" s="192"/>
      <c r="D405" s="192"/>
      <c r="E405" s="164" t="str">
        <f>IF(Q405="","",IF(Q405=3,1,0))</f>
        <v/>
      </c>
      <c r="F405" s="164" t="str">
        <f>IF(Q405="","",IF(Q405&lt;3,1,0))</f>
        <v/>
      </c>
      <c r="G405" s="192"/>
      <c r="H405" s="192" t="str">
        <f>IF(I382&lt;&gt;"",3,"")</f>
        <v/>
      </c>
      <c r="I405" s="192" t="str">
        <f>IF(ISNUMBER(H405),VLOOKUP(H405,H379:I382,2,TRUE),"")</f>
        <v/>
      </c>
      <c r="J405" s="192"/>
      <c r="K405" s="192" t="str">
        <f>VLOOKUP(I405,I379:L382,3,FALSE)</f>
        <v/>
      </c>
      <c r="L405" s="253"/>
      <c r="M405" s="254"/>
      <c r="N405" s="254"/>
      <c r="O405" s="152"/>
      <c r="P405" s="153"/>
      <c r="Q405" s="255" t="str">
        <f>IF(L405="","",IF(AND(L405-L406&gt;1,L405&gt;10),1,0)+IF(AND(M405-M406&gt;1,M405&gt;10),1,0)+IF(AND(N405-N406&gt;1,N405&gt;10),1,0)+IF(AND(O405-O406&gt;1,O405&gt;10),1,0)+IF(AND(P405-P406&gt;1,P405&gt;10),1,0))</f>
        <v/>
      </c>
      <c r="R405" s="203" t="str">
        <f>IF(AND(I405="",I406=""),"",ABS(VLOOKUP(I405,I379:L382,4,FALSE)-VLOOKUP(I406,I379:L382,4,FALSE)))</f>
        <v/>
      </c>
      <c r="S405" s="256" t="str">
        <f>IF(R406="","",IF(Q405=3,+R406,-R406))</f>
        <v/>
      </c>
      <c r="T405" s="247"/>
      <c r="U405" s="264"/>
      <c r="V405" s="242"/>
      <c r="W405" s="192"/>
      <c r="X405" s="264"/>
      <c r="Y405" s="192"/>
      <c r="Z405" s="192"/>
      <c r="AA405" s="243">
        <v>2</v>
      </c>
      <c r="AB405" s="222" t="str">
        <f>IF(AND(COUNTBLANK(I379:I382)=0,Group_players=4,M380=M381,M381=M382),IF(X387="","",IF(COUNTIF(X386:X389,X387)=3,"Tied",IF(AND(COUNTIF(X386:X389,X387)=1,X388&lt;&gt;X389),IF(M380=2,IF(SMALL(X386:X389,1)=X387,1,IF(SMALL(X386:X389,2)=X387,2,IF(SMALL(X386:X389,3)=X387,3))),IF(M380=1,IF(SMALL(X386:X389,1)=X387,2,IF(SMALL(X386:X389,2)=X387,3,IF(SMALL(X386:X389,3)=X387,4))),"")),IF(COUNTIF(X386:X389,X387)=1,IF(X387&lt;X389,IF(M380=2,1,2),IF(M380=1,4)),IF(COUNTIF(X386:X389,X387)=2,IF(X387=X388,IF(X387&lt;X389,IF(M380=2,IF(Q399=3,1,2),IF(M380=1,IF(Q399=3,2,3))),IF(X387&gt;X389,IF(M380=2,IF(Q399=3,2,3),IF(M380=1,IF(Q399=3,3,4))))),IF(X387=X389,IF(X387&lt;X388,IF(M380=2,IF(Q393=3,1,2),IF(M380=1,IF(Q393=3,2,3))),IF(X387&gt;X388,IF(M380=2,IF(Q393=3,2,3),IF(M380=1,IF(Q393=3,3,4)))))))))))),"")</f>
        <v/>
      </c>
      <c r="AC405" s="192"/>
      <c r="AD405" s="192"/>
      <c r="AE405" s="192"/>
      <c r="AF405" s="203"/>
      <c r="AG405" s="203"/>
      <c r="AH405" s="203"/>
      <c r="AI405" s="203"/>
      <c r="AJ405" s="203"/>
      <c r="AK405" s="203"/>
      <c r="AL405" s="203"/>
      <c r="AM405" s="203"/>
      <c r="AN405" s="192"/>
      <c r="AO405" s="192"/>
      <c r="AP405" s="192"/>
      <c r="AQ405" s="192"/>
      <c r="AR405" s="192"/>
      <c r="AS405" s="192"/>
      <c r="AT405" s="192"/>
      <c r="AU405" s="192"/>
      <c r="AV405" s="192"/>
      <c r="AW405" s="192"/>
      <c r="AX405" s="192"/>
    </row>
    <row r="406" spans="2:50" ht="15" customHeight="1" thickBot="1" x14ac:dyDescent="0.35">
      <c r="B406" s="192"/>
      <c r="C406" s="192"/>
      <c r="D406" s="192"/>
      <c r="E406" s="164" t="str">
        <f>IF(Q406="","",IF(Q406=3,1,0))</f>
        <v/>
      </c>
      <c r="F406" s="164" t="str">
        <f>IF(Q406="","",IF(Q406&lt;3,1,0))</f>
        <v/>
      </c>
      <c r="G406" s="192"/>
      <c r="H406" s="192" t="str">
        <f>IF(I382&lt;&gt;"",4,"")</f>
        <v/>
      </c>
      <c r="I406" s="192" t="str">
        <f>IF(ISNUMBER(H406),VLOOKUP(H406,H379:I382,2,TRUE),"")</f>
        <v/>
      </c>
      <c r="J406" s="192"/>
      <c r="K406" s="192" t="str">
        <f>VLOOKUP(I406,I379:L382,3,FALSE)</f>
        <v/>
      </c>
      <c r="L406" s="155"/>
      <c r="M406" s="259"/>
      <c r="N406" s="259"/>
      <c r="O406" s="156"/>
      <c r="P406" s="157"/>
      <c r="Q406" s="260" t="str">
        <f>IF(L406="","",IF(AND(L406-L405&gt;1,L406&gt;10),1,0)+IF(AND(M406-M405&gt;1,M406&gt;10),1,0)+IF(AND(N406-N405&gt;1,N406&gt;10),1,0)+IF(AND(O406-O405&gt;1,O406&gt;10),1,0)+IF(AND(P406-P405&gt;1,P406&gt;10),1,0))</f>
        <v/>
      </c>
      <c r="R406" s="203" t="str">
        <f>IF(AND(Q405&lt;&gt;3,Q406&lt;&gt;3),"",IF(Q405=3,IF(VLOOKUP(I405,I379:L382,4,FALSE)&gt;VLOOKUP(I406,I379:L382,4,FALSE),VLOOKUP(R405,Point_dif,2,FALSE),VLOOKUP(R405,Point_dif,3,FALSE)),IF(Q406=3,IF(VLOOKUP(I406,I379:L382,4,FALSE)&gt;VLOOKUP(I405,I379:L382,4,FALSE),VLOOKUP(R405,Point_dif,2,FALSE),VLOOKUP(R405,Point_dif,3,FALSE)))))</f>
        <v/>
      </c>
      <c r="S406" s="260" t="str">
        <f>IF(R406="","",IF(Q406=3,+R406,-R406))</f>
        <v/>
      </c>
      <c r="T406" s="247"/>
      <c r="U406" s="235"/>
      <c r="V406" s="235"/>
      <c r="W406" s="235"/>
      <c r="X406" s="235"/>
      <c r="Y406" s="235"/>
      <c r="Z406" s="235"/>
      <c r="AA406" s="246">
        <v>3</v>
      </c>
      <c r="AB406" s="222" t="str">
        <f>IF(AND(COUNTBLANK(I379:I382)=0,Group_players=4,Group_players=4,M380=M381,M381=M382),IF(X388="","",IF(COUNTIF(X386:X389,X388)=3,"Tied",IF(AND(COUNTIF(X386:X389,X388)=1,X387&lt;&gt;X389),IF(M381=2,IF(SMALL(X386:X389,1)=X388,1,IF(SMALL(X386:X389,2)=X388,2,IF(SMALL(X386:X389,3)=X388,3))),IF(M381=1,IF(SMALL(X386:X389,1)=X388,2,IF(SMALL(X386:X389,2)=X388,3,IF(SMALL(X386:X389,3)=X388,4))),"")),IF(COUNTIF(X386:X389,X388)=1,IF(X388&lt;X387,IF(M381=2,1,2),IF(M381=2,3,4)),IF(COUNTIF(X386:X389,X388)=2,IF(X388=X387,IF(X388&lt;X389,IF(M381=2,IF(Q400=3,1,2),IF(M381=1,IF(Q400=3,2,3))),IF(X388&gt;X389,IF(M381=2,IF(Q400=3,2,3),IF(M381=1,IF(Q400=3,3,4))))),IF(X388=X389,IF(X388&lt;X387,IF(M381=2,IF(Q405=3,1,2),IF(M381=1,IF(Q405=3,2,3))),IF(X388&gt;X387,IF(M381=2,IF(Q405=3,2,3),IF(M381=1,IF(Q405=3,3,4)))))))))))),"")</f>
        <v/>
      </c>
      <c r="AC406" s="192"/>
      <c r="AD406" s="192"/>
      <c r="AE406" s="192"/>
      <c r="AF406" s="203"/>
      <c r="AG406" s="203"/>
      <c r="AH406" s="203"/>
      <c r="AI406" s="203"/>
      <c r="AJ406" s="203"/>
      <c r="AK406" s="203"/>
      <c r="AL406" s="203"/>
      <c r="AM406" s="203"/>
      <c r="AN406" s="192"/>
      <c r="AO406" s="192"/>
      <c r="AP406" s="192"/>
      <c r="AQ406" s="192"/>
      <c r="AR406" s="192"/>
      <c r="AS406" s="192"/>
      <c r="AT406" s="192"/>
      <c r="AU406" s="192"/>
      <c r="AV406" s="192"/>
      <c r="AW406" s="192"/>
      <c r="AX406" s="192"/>
    </row>
    <row r="407" spans="2:50" ht="15" customHeight="1" thickTop="1" thickBot="1" x14ac:dyDescent="0.35">
      <c r="B407" s="192"/>
      <c r="C407" s="192"/>
      <c r="D407" s="192"/>
      <c r="E407" s="192"/>
      <c r="F407" s="192"/>
      <c r="G407" s="192"/>
      <c r="H407" s="192"/>
      <c r="I407" s="192"/>
      <c r="J407" s="192"/>
      <c r="K407" s="192"/>
      <c r="L407" s="192"/>
      <c r="M407" s="192"/>
      <c r="N407" s="192"/>
      <c r="O407" s="268"/>
      <c r="P407" s="192"/>
      <c r="Q407" s="192"/>
      <c r="R407" s="247"/>
      <c r="S407" s="247"/>
      <c r="T407" s="247"/>
      <c r="U407" s="235"/>
      <c r="V407" s="235"/>
      <c r="W407" s="235"/>
      <c r="X407" s="235"/>
      <c r="Y407" s="235"/>
      <c r="Z407" s="235"/>
      <c r="AA407" s="261">
        <v>4</v>
      </c>
      <c r="AB407" s="233" t="str">
        <f>IF(AND(COUNTBLANK(I379:I382)=0,Group_players=4,M380=M381,M381=M382),IF(X389="","",IF(COUNTIF(X386:X389,X389)=3,"Tied",IF(AND(COUNTIF(X386:X389,X389)=1,X388&lt;&gt;X387),IF(M382=2,IF(SMALL(X386:X389,1)=X389,1,IF(SMALL(X386:X389,2)=X389,2,IF(SMALL(X386:X389,3)=X389,3))),IF(M382=1,IF(SMALL(X386:X389,1)=X389,2,IF(SMALL(X386:X389,2)=X389,3,IF(SMALL(X386:X389,3)=X389,4))),"")),IF(COUNTIF(X386:X389,X389)=1,IF(X389&lt;X387,IF(M382=2,1,2),IF(M382=2,3,4)),IF(COUNTIF(X386:X389,X389)=2,IF(X389=X387,IF(X389&lt;X388,IF(M382=2,IF(Q394=3,1,2),IF(M382=1,IF(Q394=3,2,3))),IF(X389&gt;X388,IF(M382=2,IF(Q394=3,2,3),IF(M382=1,IF(Q394=3,3,4))))),IF(X389=X388,IF(X389&lt;X387,IF(M382=2,IF(Q406=3,1,2),IF(M382=1,IF(Q406=3,2,3))),IF(X389&gt;X387,IF(M382=2,IF(Q406=3,2,3),IF(M382=1,IF(Q406=3,3,4)))))))))))),"")</f>
        <v/>
      </c>
      <c r="AC407" s="192"/>
      <c r="AD407" s="192"/>
      <c r="AE407" s="192"/>
      <c r="AF407" s="203"/>
      <c r="AG407" s="203"/>
      <c r="AH407" s="203"/>
      <c r="AI407" s="203"/>
      <c r="AJ407" s="203"/>
      <c r="AK407" s="203"/>
      <c r="AL407" s="203"/>
      <c r="AM407" s="203"/>
      <c r="AN407" s="192"/>
      <c r="AO407" s="192"/>
      <c r="AP407" s="192"/>
      <c r="AQ407" s="192"/>
      <c r="AR407" s="192"/>
      <c r="AS407" s="192"/>
      <c r="AT407" s="192"/>
      <c r="AU407" s="192"/>
      <c r="AV407" s="192"/>
      <c r="AW407" s="192"/>
      <c r="AX407" s="192"/>
    </row>
    <row r="408" spans="2:50" ht="15" customHeight="1" thickTop="1" x14ac:dyDescent="0.3">
      <c r="B408" s="192"/>
      <c r="C408" s="192"/>
      <c r="D408" s="192"/>
      <c r="E408" s="192"/>
      <c r="F408" s="192"/>
      <c r="G408" s="192"/>
      <c r="H408" s="192"/>
      <c r="I408" s="192"/>
      <c r="J408" s="192"/>
      <c r="K408" s="192"/>
      <c r="L408" s="192"/>
      <c r="M408" s="192"/>
      <c r="N408" s="192"/>
      <c r="O408" s="192"/>
      <c r="P408" s="192"/>
      <c r="Q408" s="192"/>
      <c r="R408" s="192"/>
      <c r="S408" s="192"/>
      <c r="T408" s="203"/>
      <c r="U408" s="192"/>
      <c r="V408" s="192"/>
      <c r="W408" s="192"/>
      <c r="X408" s="192"/>
      <c r="Y408" s="192"/>
      <c r="Z408" s="192"/>
      <c r="AA408" s="192"/>
      <c r="AB408" s="192"/>
      <c r="AC408" s="192"/>
      <c r="AD408" s="192"/>
      <c r="AE408" s="192"/>
      <c r="AF408" s="203"/>
      <c r="AG408" s="203"/>
      <c r="AH408" s="203"/>
      <c r="AI408" s="203"/>
      <c r="AJ408" s="203"/>
      <c r="AK408" s="203"/>
      <c r="AL408" s="203"/>
      <c r="AM408" s="203"/>
      <c r="AN408" s="192"/>
      <c r="AO408" s="192"/>
      <c r="AP408" s="192"/>
      <c r="AQ408" s="192"/>
      <c r="AR408" s="192"/>
      <c r="AS408" s="192"/>
      <c r="AT408" s="192"/>
      <c r="AU408" s="192"/>
      <c r="AV408" s="192"/>
      <c r="AW408" s="192"/>
      <c r="AX408" s="192"/>
    </row>
    <row r="409" spans="2:50" ht="15" customHeight="1" x14ac:dyDescent="0.3">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c r="AA409" s="192"/>
      <c r="AB409" s="192"/>
      <c r="AC409" s="192"/>
      <c r="AD409" s="192"/>
      <c r="AE409" s="192"/>
      <c r="AF409" s="203"/>
      <c r="AG409" s="203"/>
      <c r="AH409" s="203"/>
      <c r="AI409" s="203"/>
      <c r="AJ409" s="203"/>
      <c r="AK409" s="203"/>
      <c r="AL409" s="203"/>
      <c r="AM409" s="203"/>
      <c r="AN409" s="192"/>
      <c r="AO409" s="192"/>
      <c r="AP409" s="192"/>
      <c r="AQ409" s="192"/>
      <c r="AR409" s="192"/>
      <c r="AS409" s="192"/>
      <c r="AT409" s="192"/>
      <c r="AU409" s="192"/>
      <c r="AV409" s="192"/>
      <c r="AW409" s="192"/>
      <c r="AX409" s="192"/>
    </row>
    <row r="410" spans="2:50" ht="15" customHeight="1" x14ac:dyDescent="0.3">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269"/>
      <c r="AA410" s="192"/>
      <c r="AB410" s="192"/>
      <c r="AC410" s="192"/>
      <c r="AD410" s="192"/>
      <c r="AE410" s="192"/>
      <c r="AF410" s="203"/>
      <c r="AG410" s="203"/>
      <c r="AH410" s="203"/>
      <c r="AI410" s="203"/>
      <c r="AJ410" s="203"/>
      <c r="AK410" s="203"/>
      <c r="AL410" s="203"/>
      <c r="AM410" s="203"/>
      <c r="AN410" s="192"/>
      <c r="AO410" s="192"/>
      <c r="AP410" s="192"/>
      <c r="AQ410" s="192"/>
      <c r="AR410" s="192"/>
      <c r="AS410" s="192"/>
      <c r="AT410" s="192"/>
      <c r="AU410" s="192"/>
      <c r="AV410" s="192"/>
      <c r="AW410" s="192"/>
      <c r="AX410" s="192"/>
    </row>
    <row r="411" spans="2:50" ht="15" customHeight="1" x14ac:dyDescent="0.3">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c r="AA411" s="192"/>
      <c r="AB411" s="192"/>
      <c r="AC411" s="192"/>
      <c r="AD411" s="192"/>
      <c r="AE411" s="192"/>
      <c r="AF411" s="203"/>
      <c r="AG411" s="203"/>
      <c r="AH411" s="203"/>
      <c r="AI411" s="203"/>
      <c r="AJ411" s="203"/>
      <c r="AK411" s="203"/>
      <c r="AL411" s="203"/>
      <c r="AM411" s="203"/>
      <c r="AN411" s="192"/>
      <c r="AO411" s="192"/>
      <c r="AP411" s="192"/>
      <c r="AQ411" s="192"/>
      <c r="AR411" s="192"/>
      <c r="AS411" s="192"/>
      <c r="AT411" s="192"/>
      <c r="AU411" s="192"/>
      <c r="AV411" s="192"/>
      <c r="AW411" s="192"/>
      <c r="AX411" s="192"/>
    </row>
    <row r="412" spans="2:50" ht="15" customHeight="1" x14ac:dyDescent="0.3">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c r="AA412" s="192"/>
      <c r="AB412" s="192"/>
      <c r="AC412" s="192"/>
      <c r="AD412" s="192"/>
      <c r="AE412" s="192"/>
      <c r="AF412" s="203"/>
      <c r="AG412" s="203"/>
      <c r="AH412" s="203"/>
      <c r="AI412" s="203"/>
      <c r="AJ412" s="203"/>
      <c r="AK412" s="203"/>
      <c r="AL412" s="203"/>
      <c r="AM412" s="203"/>
      <c r="AN412" s="192"/>
      <c r="AO412" s="192"/>
      <c r="AP412" s="192"/>
      <c r="AQ412" s="192"/>
      <c r="AR412" s="192"/>
      <c r="AS412" s="192"/>
      <c r="AT412" s="192"/>
      <c r="AU412" s="192"/>
      <c r="AV412" s="192"/>
      <c r="AW412" s="192"/>
      <c r="AX412" s="192"/>
    </row>
    <row r="413" spans="2:50" ht="15" customHeight="1" thickBot="1" x14ac:dyDescent="0.4">
      <c r="B413" s="192"/>
      <c r="C413" s="192"/>
      <c r="D413" s="192"/>
      <c r="E413" s="192"/>
      <c r="F413" s="192"/>
      <c r="G413" s="192"/>
      <c r="H413" s="192"/>
      <c r="I413" s="383" t="s">
        <v>134</v>
      </c>
      <c r="J413" s="383"/>
      <c r="K413" s="383"/>
      <c r="L413" s="383"/>
      <c r="M413" s="383"/>
      <c r="N413" s="383"/>
      <c r="O413" s="383"/>
      <c r="P413" s="383"/>
      <c r="Q413" s="383"/>
      <c r="R413" s="383"/>
      <c r="S413" s="192"/>
      <c r="T413" s="192"/>
      <c r="U413" s="370" t="s">
        <v>92</v>
      </c>
      <c r="V413" s="371"/>
      <c r="W413" s="371"/>
      <c r="X413" s="372"/>
      <c r="Y413" s="192"/>
      <c r="Z413" s="192"/>
      <c r="AA413" s="192"/>
      <c r="AB413" s="192"/>
      <c r="AC413" s="192"/>
      <c r="AD413" s="192"/>
      <c r="AE413" s="192"/>
      <c r="AF413" s="203"/>
      <c r="AG413" s="203"/>
      <c r="AH413" s="203"/>
      <c r="AI413" s="203"/>
      <c r="AJ413" s="203"/>
      <c r="AK413" s="203"/>
      <c r="AL413" s="203"/>
      <c r="AM413" s="203"/>
      <c r="AN413" s="192"/>
      <c r="AO413" s="192"/>
      <c r="AP413" s="192"/>
      <c r="AQ413" s="192"/>
      <c r="AR413" s="192"/>
      <c r="AS413" s="192"/>
      <c r="AT413" s="192"/>
      <c r="AU413" s="192"/>
      <c r="AV413" s="192"/>
      <c r="AW413" s="192"/>
      <c r="AX413" s="192"/>
    </row>
    <row r="414" spans="2:50" ht="15" customHeight="1" thickTop="1" thickBot="1" x14ac:dyDescent="0.35">
      <c r="B414" s="192"/>
      <c r="C414" s="192"/>
      <c r="D414" s="192"/>
      <c r="E414" s="192"/>
      <c r="F414" s="192"/>
      <c r="G414" s="192"/>
      <c r="H414" s="192"/>
      <c r="I414" s="400" t="s">
        <v>93</v>
      </c>
      <c r="J414" s="160"/>
      <c r="K414" s="396" t="s">
        <v>94</v>
      </c>
      <c r="L414" s="398" t="s">
        <v>95</v>
      </c>
      <c r="M414" s="390" t="s">
        <v>96</v>
      </c>
      <c r="N414" s="390" t="s">
        <v>97</v>
      </c>
      <c r="O414" s="373" t="s">
        <v>98</v>
      </c>
      <c r="P414" s="373" t="str">
        <f>IF(COUNT(U415:X426)=3,"LM/WM Ratio",IF(COUNT(U415:X426)=6,"LP/WP Ratio",""))</f>
        <v/>
      </c>
      <c r="Q414" s="390" t="s">
        <v>99</v>
      </c>
      <c r="R414" s="392" t="s">
        <v>100</v>
      </c>
      <c r="S414" s="192"/>
      <c r="T414" s="120"/>
      <c r="U414" s="121" t="s">
        <v>101</v>
      </c>
      <c r="V414" s="122" t="s">
        <v>102</v>
      </c>
      <c r="W414" s="122" t="s">
        <v>103</v>
      </c>
      <c r="X414" s="123" t="s">
        <v>104</v>
      </c>
      <c r="Y414" s="380" t="s">
        <v>105</v>
      </c>
      <c r="Z414" s="379"/>
      <c r="AA414" s="378" t="s">
        <v>106</v>
      </c>
      <c r="AB414" s="379"/>
      <c r="AC414" s="192"/>
      <c r="AD414" s="192"/>
      <c r="AE414" s="203"/>
      <c r="AF414" s="203"/>
      <c r="AG414" s="203"/>
      <c r="AH414" s="203"/>
      <c r="AI414" s="203"/>
      <c r="AJ414" s="203"/>
      <c r="AK414" s="203"/>
      <c r="AL414" s="203"/>
      <c r="AM414" s="203"/>
      <c r="AN414" s="192"/>
      <c r="AO414" s="192"/>
      <c r="AP414" s="192"/>
      <c r="AQ414" s="192"/>
      <c r="AR414" s="192"/>
      <c r="AS414" s="192"/>
      <c r="AT414" s="192"/>
      <c r="AU414" s="192"/>
      <c r="AV414" s="192"/>
      <c r="AW414" s="192"/>
      <c r="AX414" s="192"/>
    </row>
    <row r="415" spans="2:50" ht="15" customHeight="1" thickTop="1" thickBot="1" x14ac:dyDescent="0.35">
      <c r="B415" s="192"/>
      <c r="C415" s="192"/>
      <c r="D415" s="192"/>
      <c r="E415" s="192"/>
      <c r="F415" s="192"/>
      <c r="G415" s="192"/>
      <c r="H415" s="192"/>
      <c r="I415" s="401"/>
      <c r="J415" s="161"/>
      <c r="K415" s="397"/>
      <c r="L415" s="399"/>
      <c r="M415" s="391"/>
      <c r="N415" s="391"/>
      <c r="O415" s="374"/>
      <c r="P415" s="374"/>
      <c r="Q415" s="391"/>
      <c r="R415" s="393"/>
      <c r="S415" s="192"/>
      <c r="T415" s="208">
        <v>1</v>
      </c>
      <c r="U415" s="209" t="str">
        <f>IF(M416="","",IF(COUNTIF(M416:M418,M416)=3,IF(COUNTBLANK(I416:I419)=1,(Q428+Q434)/(Q427+Q433),IF(COUNTBLANK(I416:I419)=0,(Q440+Q428)/(Q439+Q427),"")),""))</f>
        <v/>
      </c>
      <c r="V415" s="125" t="str">
        <f>IF(AND(COUNTBLANK(I416:I419)=0,M416=M418,M418=M419),(Q428+Q434)/(Q427+Q433),"")</f>
        <v/>
      </c>
      <c r="W415" s="210" t="str">
        <f>IF(AND(COUNTBLANK(I416:I419)=0,M416=M417,M417=M419),(Q440+Q434)/(Q439+Q433),"")</f>
        <v/>
      </c>
      <c r="X415" s="211"/>
      <c r="Y415" s="169" t="s">
        <v>93</v>
      </c>
      <c r="Z415" s="170" t="s">
        <v>107</v>
      </c>
      <c r="AA415" s="169" t="s">
        <v>93</v>
      </c>
      <c r="AB415" s="170" t="s">
        <v>107</v>
      </c>
      <c r="AC415" s="192"/>
      <c r="AD415" s="192"/>
      <c r="AE415" s="192"/>
      <c r="AF415" s="203"/>
      <c r="AG415" s="203"/>
      <c r="AH415" s="203"/>
      <c r="AI415" s="203"/>
      <c r="AJ415" s="203"/>
      <c r="AK415" s="203"/>
      <c r="AL415" s="203"/>
      <c r="AM415" s="203"/>
      <c r="AN415" s="192"/>
      <c r="AO415" s="192"/>
      <c r="AP415" s="192"/>
      <c r="AQ415" s="192"/>
      <c r="AR415" s="192"/>
      <c r="AS415" s="192"/>
      <c r="AT415" s="192"/>
      <c r="AU415" s="192"/>
      <c r="AV415" s="192"/>
      <c r="AW415" s="192"/>
      <c r="AX415" s="192"/>
    </row>
    <row r="416" spans="2:50" ht="15" customHeight="1" thickTop="1" thickBot="1" x14ac:dyDescent="0.35">
      <c r="B416" s="192"/>
      <c r="C416" s="192"/>
      <c r="D416" s="192"/>
      <c r="E416" s="192"/>
      <c r="F416" s="192" t="str">
        <f>IF(I416="","",VLOOKUP(I416,Siembra,2,FALSE))</f>
        <v/>
      </c>
      <c r="G416" s="192" t="str">
        <f>O416</f>
        <v/>
      </c>
      <c r="H416" s="192">
        <v>1</v>
      </c>
      <c r="I416" s="128" t="str">
        <f>IF(K416="","",IF(ISNUMBER(Sorteo!$A$17),VLOOKUP(K416,Draw,2,FALSE),""))</f>
        <v/>
      </c>
      <c r="J416" s="129" t="str">
        <f>O416</f>
        <v/>
      </c>
      <c r="K416" s="130" t="str">
        <f>IF($K$9="","",IF(Group_players=4,IF(Tablas!BS$3="","",Tablas!BS$3),IF(Group_players=3,IF(Tablas!BS$11="","",Tablas!BS$11),"")))</f>
        <v/>
      </c>
      <c r="L416" s="131" t="str">
        <f>IF(K416="","",VLOOKUP(I416,Siembra,3,FALSE))</f>
        <v/>
      </c>
      <c r="M416" s="132" t="str">
        <f>IF(AND(Q427="",Q428=""),"",IF(I416="","",SUMIFS(E427:E443,I427:I443,I416)))</f>
        <v/>
      </c>
      <c r="N416" s="132" t="str">
        <f>IF(M416="","",IF(I416="","",SUMIFS(F427:F443,I427:I443,I416)))</f>
        <v/>
      </c>
      <c r="O416" s="132" t="str">
        <f>IF(M416="","",IF(COUNTBLANK(I416:I419)=1,IF(M416=2,1,IF(M416=0,3,IF(AND(M416=1,M417&lt;&gt;1),2,IF(COUNTIF(M416:M418,1)&gt;1,Z416)))),IF(COUNTBLANK(I416:I419)=0,IF(COUNTIF(M416:M419,M416)=1,IF(M416=3,1,IF(M416=2,2,IF(M416=1,3,IF(M416=0,4)))),IF(Group_players=3,Z416,IF(COUNTIF(M416:M419,M416)=2,AB416,IF(AND(M416=M417,M417=M418),AB420,IF(AND(M416=M418,M418=M419),AB423,IF(AND(M416=M417,M417=M419),AB426,"")))))),99)))</f>
        <v/>
      </c>
      <c r="P416" s="133" t="str">
        <f>IF(COUNT(U415:X426)=3,IF(ISNUMBER(U415),U415,IF(ISNUMBER(V415),V415,IF(ISNUMBER(W415),W415,IF(X415="","")))),IF(COUNT(U415:X426)=6,IF(ISNUMBER(U423),U423,IF(ISNUMBER(V423),V423,IF(ISNUMBER(W423),W423,IF(ISBLANK(X415),"")))),""))</f>
        <v/>
      </c>
      <c r="Q416" s="132" t="str">
        <f>IF(M416="","",SUMIF(I427:S443,I416,S427:S443))</f>
        <v/>
      </c>
      <c r="R416" s="134" t="str">
        <f>IF(M416="","",L416+Q416)</f>
        <v/>
      </c>
      <c r="S416" s="203"/>
      <c r="T416" s="208">
        <v>2</v>
      </c>
      <c r="U416" s="209" t="str">
        <f>IF(M417="","",IF(COUNTIF(M416:M418,M417)=3,IF(COUNTBLANK(I416:I419)=1,(Q431+Q433)/(Q430+Q434),IF(COUNTBLANK(I416:I419)=0,(Q437+Q439)/(Q436+Q440),"")),""))</f>
        <v/>
      </c>
      <c r="V416" s="135"/>
      <c r="W416" s="212" t="str">
        <f>IF(AND(COUNTBLANK(I416:I419)=0,M417=M416,M416=M419),(Q439+Q431)/(Q440+Q430),"")</f>
        <v/>
      </c>
      <c r="X416" s="213" t="str">
        <f>IF(AND(COUNTBLANK(I416:I419)=0,M417=M418,M418=M419),(Q437+Q431)/(Q436+Q430),"")</f>
        <v/>
      </c>
      <c r="Y416" s="214">
        <v>1</v>
      </c>
      <c r="Z416" s="215" t="str">
        <f>IF(U415="","",IF(OR(Group_players=3,AND(Group_players=4,COUNTBLANK(I416:I419)=1)),IF(COUNTIF(M416:M418,M416)=1,"",IF(AND(U415=U416,U416=U417),Z420,IF(AND(U415&lt;&gt;U416,U415&lt;&gt;U417,U416&lt;&gt;U417),(IF(SMALL(U415:U417,1)=U415,1,IF(SMALL(U415:U417,2)=U415,2,IF(SMALL(U415:U417,3)=U415,3)))),IF(AND(U415&lt;U416,U416=U417),1,IF(AND(U415&gt;U416,U416=U417),3,IF(AND(U415=U416,U415&lt;U417),(IF(Q433=3,1,2)),IF(AND(U415=U416,U415&gt;U417),(IF(Q433=3,2,3)),IF(AND(U415=U417,U415&lt;U416),(IF(Q427=3,1,2)),IF(AND(U415=U417,U415&gt;U416),(IF(Q427=3,2,3)),99))))))))),""))</f>
        <v/>
      </c>
      <c r="AA416" s="216">
        <v>1</v>
      </c>
      <c r="AB416" s="217" t="str">
        <f>IF(COUNTIF(M416:M419,M416)&lt;&gt;2,"",IF(COUNTIF(M416:M419,M416)=1,"",IF(AND(COUNTIF(M416:M419,M416)=2,M416=2),IF(M416=M417,IF(Q439=3,1,2),IF(M416=M418,IF(Q427=3,1,2),IF(M416=M419,IF(Q433=3,1,2)))),IF(AND(COUNTIF(M416:M419,M416)=2,M416=1),IF(M416=M417,IF(Q439=3,3,4),IF(M416=M418,IF(Q427=3,3,4),IF(M416=M419,IF(Q433=3,3,4)))),IF(COUNTIF(M416:M419,M416)=3,AB420)))))</f>
        <v/>
      </c>
      <c r="AC416" s="192"/>
      <c r="AD416" s="192"/>
      <c r="AE416" s="192"/>
      <c r="AF416" s="203"/>
      <c r="AG416" s="203"/>
      <c r="AH416" s="203"/>
      <c r="AI416" s="203"/>
      <c r="AJ416" s="203"/>
      <c r="AK416" s="203"/>
      <c r="AL416" s="203"/>
      <c r="AM416" s="203"/>
      <c r="AN416" s="192"/>
      <c r="AO416" s="192"/>
      <c r="AP416" s="192"/>
      <c r="AQ416" s="192"/>
      <c r="AR416" s="192"/>
      <c r="AS416" s="192"/>
      <c r="AT416" s="192"/>
      <c r="AU416" s="192"/>
      <c r="AV416" s="192"/>
      <c r="AW416" s="192"/>
      <c r="AX416" s="192"/>
    </row>
    <row r="417" spans="2:50" ht="15" customHeight="1" thickTop="1" thickBot="1" x14ac:dyDescent="0.35">
      <c r="B417" s="192"/>
      <c r="C417" s="192"/>
      <c r="D417" s="192"/>
      <c r="E417" s="192"/>
      <c r="F417" s="192" t="str">
        <f>IF(I417="","",VLOOKUP(I417,Siembra,2,FALSE))</f>
        <v/>
      </c>
      <c r="G417" s="192" t="str">
        <f>O417</f>
        <v/>
      </c>
      <c r="H417" s="192">
        <v>2</v>
      </c>
      <c r="I417" s="128" t="str">
        <f>IF(K417="","",IF(ISNUMBER(Sorteo!$A$17),VLOOKUP(K417,Draw,2,FALSE),""))</f>
        <v/>
      </c>
      <c r="J417" s="129" t="str">
        <f>O417</f>
        <v/>
      </c>
      <c r="K417" s="136" t="str">
        <f>IF($K$9="","",IF(Group_players=4,IF(Tablas!BS$4="","",Tablas!BS$4),IF(Group_players=3,IF(Tablas!BS$12="","",Tablas!BS$12),"")))</f>
        <v/>
      </c>
      <c r="L417" s="137" t="str">
        <f>IF(K417="","",VLOOKUP(I417,Siembra,3,FALSE))</f>
        <v/>
      </c>
      <c r="M417" s="132" t="str">
        <f>IF(AND(L427="",L428=""),"",IF(I417="","",SUMIFS(E427:E444,I427:I444,I417)))</f>
        <v/>
      </c>
      <c r="N417" s="138" t="str">
        <f>IF(M417="","",IF(I417="","",SUMIFS(F427:F443,I427:I443,I417)))</f>
        <v/>
      </c>
      <c r="O417" s="132" t="str">
        <f>IF(M417="","",IF(COUNTBLANK(I416:I419)=1,IF(M417=2,1,IF(M417=0,3,IF(AND(M417=1,M418&lt;&gt;1),2,IF(COUNTIF(M416:M419,1)&gt;1,Z417)))),IF(COUNTBLANK(I416:I419)=0,IF(COUNTIF(M416:M419,M417)=1,IF(M417=3,1,IF(M417=2,2,IF(M417=1,3,IF(M417=0,4)))),IF(Group_players=3,Z417,IF(COUNTIF(M416:M419,M417)=2,AB417,IF(AND(M417=M416,M416=M418),AB421,IF(AND(M417=M416,M416=M419),AB427,IF(AND(M417=M418,M418=M419),AB429,"")))))))))</f>
        <v/>
      </c>
      <c r="P417" s="133" t="str">
        <f>IF(COUNT(U415:X426)=3,IF(ISNUMBER(U416),U416,IF(ISNUMBER(W416),W416,IF(ISNUMBER(X416),X416,IF(X416="","")))),IF(COUNT(U415:X426)=6,IF(ISNUMBER(U424),U424,IF(ISNUMBER(W424),W424,IF(ISNUMBER(X424),X424,IF(ISBLANK(X423),"")))),""))</f>
        <v/>
      </c>
      <c r="Q417" s="138" t="str">
        <f>IF(M417="","",SUMIF(I427:S443,I417,S427:$S443))</f>
        <v/>
      </c>
      <c r="R417" s="139" t="str">
        <f>IF(M417="","",L417+Q417)</f>
        <v/>
      </c>
      <c r="S417" s="203"/>
      <c r="T417" s="208">
        <v>3</v>
      </c>
      <c r="U417" s="209" t="str">
        <f>IF(M418="","",IF(COUNTIF(M416:M418,M418)=3,IF(COUNTBLANK(I416:I419)=1,(Q427+Q430)/(Q428+Q431),IF(COUNTBLANK(I416:I419)=0,(Q427+Q436)/(Q428+Q437),"")),""))</f>
        <v/>
      </c>
      <c r="V417" s="125" t="str">
        <f>IF(AND(COUNTBLANK(I416:I419)=0,M418=M419,M419=M416),(Q427+Q443)/(Q428+Q442),"")</f>
        <v/>
      </c>
      <c r="W417" s="218"/>
      <c r="X417" s="213" t="str">
        <f>IF(AND(COUNTBLANK(I416:I419)=0,M418=M419,M419=M417),(Q436+Q443)/(Q437+Q442),"")</f>
        <v/>
      </c>
      <c r="Y417" s="219">
        <v>2</v>
      </c>
      <c r="Z417" s="220" t="str">
        <f>IF(U416="","",IF(OR(Group_players=3,AND(Group_players=4,COUNTBLANK(I416:I419)=1)),IF(COUNTIF(M416:M418,M417)=1,"",IF(AND(U416=U415,U416=U417),Z421,IF(AND(U416&lt;&gt;U415,U416&lt;&gt;U417,U415&lt;&gt;U417),(IF(SMALL(U415:U417,1)=U416,1,IF(SMALL(U415:U417,2)=U416,2,IF(SMALL(U415:U417,3)=U416,3)))),IF(AND(U416&lt;U415,U415=U417),1,IF(AND(U416&gt;U415,U415=U417),3,IF(AND(U416=U415,U416&lt;U417),(IF(Q434=3,1,2)),IF(AND(U416=U415,U416&gt;U417),(IF(Q434=3,2,3)),IF(AND(U416=U417,U416&lt;U415),(IF(Q430=3,1,2)),IF(AND(U416=U417,U416&gt;U415),(IF(Q430=3,2,3)),99))))))))),""))</f>
        <v/>
      </c>
      <c r="AA417" s="221">
        <v>2</v>
      </c>
      <c r="AB417" s="222" t="str">
        <f>IF(COUNTIF(M416:M419,M417)&lt;&gt;2,"",IF(COUNTIF(M416:M419,M417)=1,"",IF(AND(COUNTIF(M416:M419,M417)=2,M417=2),IF(M417=M416,IF(Q440=3,1,2),IF(M417=M418,IF(Q436=3,1,2),IF(M417=M419,IF(Q430=3,1,2)))),IF(AND(COUNTIF(M416:M419,M417)=2,M417=1),IF(M417=M416,IF(Q440=3,3,4),IF(M417=M418,IF(Q436=3,3,4),IF(M417=M419,IF(Q430=3,3,4)))),AB422))))</f>
        <v/>
      </c>
      <c r="AC417" s="192"/>
      <c r="AD417" s="192"/>
      <c r="AE417" s="192"/>
      <c r="AF417" s="203"/>
      <c r="AG417" s="203"/>
      <c r="AH417" s="203"/>
      <c r="AI417" s="203"/>
      <c r="AJ417" s="203"/>
      <c r="AK417" s="203"/>
      <c r="AL417" s="203"/>
      <c r="AM417" s="203"/>
      <c r="AN417" s="192"/>
      <c r="AO417" s="192"/>
      <c r="AP417" s="192"/>
      <c r="AQ417" s="192"/>
      <c r="AR417" s="192"/>
      <c r="AS417" s="192"/>
      <c r="AT417" s="192"/>
      <c r="AU417" s="192"/>
      <c r="AV417" s="192"/>
      <c r="AW417" s="192"/>
      <c r="AX417" s="192"/>
    </row>
    <row r="418" spans="2:50" ht="15" customHeight="1" thickBot="1" x14ac:dyDescent="0.35">
      <c r="B418" s="192"/>
      <c r="C418" s="192"/>
      <c r="D418" s="192"/>
      <c r="E418" s="192"/>
      <c r="F418" s="192" t="str">
        <f>IF(I418="","",VLOOKUP(I418,Siembra,2,FALSE))</f>
        <v/>
      </c>
      <c r="G418" s="192" t="str">
        <f>O418</f>
        <v/>
      </c>
      <c r="H418" s="192">
        <v>3</v>
      </c>
      <c r="I418" s="128" t="str">
        <f>IF(K418="","",IF(ISNUMBER(Sorteo!$A$17),VLOOKUP(K418,Draw,2,FALSE),""))</f>
        <v/>
      </c>
      <c r="J418" s="129" t="str">
        <f>O418</f>
        <v/>
      </c>
      <c r="K418" s="136" t="str">
        <f>IF($K$9="","",IF(Group_players=4,IF(Tablas!BS$5="","",Tablas!BS$5),IF(Group_players=3,IF(Tablas!BS$13="","",Tablas!BS$13),"")))</f>
        <v/>
      </c>
      <c r="L418" s="137" t="str">
        <f>IF(K418="","",VLOOKUP(I418,Siembra,3,FALSE))</f>
        <v/>
      </c>
      <c r="M418" s="132" t="str">
        <f>IF(AND(L428="",L427=""),"",IF(I418="","",SUMIFS(E427:E445,I427:I445,I418)))</f>
        <v/>
      </c>
      <c r="N418" s="138" t="str">
        <f>IF(M418="","",IF(I418="","",SUMIFS(F427:F443,I427:I443,I418)))</f>
        <v/>
      </c>
      <c r="O418" s="132" t="str">
        <f>IF(M418="","",IF(COUNTBLANK(I416:I419)=1,IF(M418=2,1,IF(M418=0,3,IF(AND(M418=1,M418&lt;&gt;M416),2,IF(COUNTIF(M416:M419,1)&gt;1,Z418)))),IF(COUNTBLANK(I416:I419)=0,IF(COUNTIF(M416:M419,M418)=1,IF(M418=3,1,IF(M418=2,2,IF(M418=1,3,IF(M418=0,4)))),IF(Group_players=3,Z418,IF(COUNTIF(M416:M419,M418)=2,AB418,IF(AND(M418=M416,M416=M417),AB422,IF(AND(M418=M416,M416=M419),AB424,IF(AND(M418=M417,M417=M419),AB430,"")))))))))</f>
        <v/>
      </c>
      <c r="P418" s="133" t="str">
        <f>IF(COUNT(U415:X426)=3,IF(ISNUMBER(U417),U417,IF(ISNUMBER(V417),V417,IF(ISNUMBER(X417),X417,IF(W417="","")))),IF(COUNT(U415:X426)=6,IF(ISNUMBER(U425),U425,IF(ISNUMBER(V425),V425,IF(ISNUMBER(X425),X425,""))),""))</f>
        <v/>
      </c>
      <c r="Q418" s="138" t="str">
        <f>IF(M418="","",SUMIF(I427:S443,I418,S427:S443))</f>
        <v/>
      </c>
      <c r="R418" s="139" t="str">
        <f>IF(M418="","",L418+Q418)</f>
        <v/>
      </c>
      <c r="S418" s="203"/>
      <c r="T418" s="208">
        <v>4</v>
      </c>
      <c r="U418" s="223"/>
      <c r="V418" s="140" t="str">
        <f>IF(AND(COUNTBLANK(I416:I419)=0,M419=M416,M416=M418),(Q433+Q442)/(Q434+Q443),"")</f>
        <v/>
      </c>
      <c r="W418" s="224" t="str">
        <f>IF(AND(COUNTBLANK(I416:I419)=0,M419=M416,M416=M417),(Q433+Q430)/(Q434+Q431),"")</f>
        <v/>
      </c>
      <c r="X418" s="225" t="str">
        <f>IF(AND(COUNTBLANK(I416:I419)=0,M419=M417,M417=M418),(Q430+Q442)/(Q431+Q443),"")</f>
        <v/>
      </c>
      <c r="Y418" s="226">
        <v>3</v>
      </c>
      <c r="Z418" s="227" t="str">
        <f>IF(U417="","",IF(OR(Group_players=3,AND(Group_players=4,COUNTBLANK(I416:I419)=1)),IF(COUNTIF(M416:M418,M418)=1,"",IF(AND(U417=U415,U417=U416),Z422,IF(AND(U417&lt;&gt;U416,U416&lt;&gt;U415,U417&lt;&gt;U415),(IF(SMALL(U415:U417,1)=U417,1,IF(SMALL(U415:U417,2)=U417,2,IF(SMALL(U415:U417,3)=U417,3)))),IF(AND(U417&lt;U416,U416=U415),1,IF(AND(U417&gt;U416,U416=U415),3,IF(AND(U417=U416,U417&lt;U415),(IF(Q431=3,1,2)),IF(AND(U417=U416,U417&gt;U415),(IF(Q431=3,2,3)),IF(AND(U417=U415,U417&lt;U416),(IF(Q428=3,1,2)),IF(AND(U417=U415,U417&gt;U416),(IF(Q428=3,2,3)),99))))))))),""))</f>
        <v/>
      </c>
      <c r="AA418" s="221">
        <v>3</v>
      </c>
      <c r="AB418" s="222" t="str">
        <f>IF(COUNTIF(M416:M419,M418)&lt;&gt;2,"",IF(COUNTIF(M416:M419,M418)=1,"",IF(AND(COUNTIF(M416:M419,M418)=2,M418=2),IF(M418=M416,IF(Q428=3,1,2),IF(M418=M417,IF(Q437=3,1,2),IF(M418=M419,IF(Q442=3,1,2)))),IF(AND(COUNTIF(M416:M419,M418)=2,M418=1),IF(M418=M416,IF(Q428=3,3,4),IF(M418=M417,IF(Q437=3,3,4),IF(M418=M419,IF(Q442=3,3,4)))),AB422))))</f>
        <v/>
      </c>
      <c r="AC418" s="192"/>
      <c r="AD418" s="192"/>
      <c r="AE418" s="192"/>
      <c r="AF418" s="203"/>
      <c r="AG418" s="203"/>
      <c r="AH418" s="203"/>
      <c r="AI418" s="203"/>
      <c r="AJ418" s="203"/>
      <c r="AK418" s="203"/>
      <c r="AL418" s="203"/>
      <c r="AM418" s="203"/>
      <c r="AN418" s="192"/>
      <c r="AO418" s="192"/>
      <c r="AP418" s="192"/>
      <c r="AQ418" s="192"/>
      <c r="AR418" s="192"/>
      <c r="AS418" s="192"/>
      <c r="AT418" s="192"/>
      <c r="AU418" s="192"/>
      <c r="AV418" s="192"/>
      <c r="AW418" s="192"/>
      <c r="AX418" s="192"/>
    </row>
    <row r="419" spans="2:50" ht="15" customHeight="1" thickTop="1" thickBot="1" x14ac:dyDescent="0.35">
      <c r="B419" s="192"/>
      <c r="C419" s="192"/>
      <c r="D419" s="192"/>
      <c r="E419" s="192"/>
      <c r="F419" s="192" t="str">
        <f>IF(I419="","",VLOOKUP(I419,Siembra,2,FALSE))</f>
        <v/>
      </c>
      <c r="G419" s="192" t="str">
        <f>O419</f>
        <v/>
      </c>
      <c r="H419" s="192">
        <v>4</v>
      </c>
      <c r="I419" s="141" t="str">
        <f>IF(K419="","",IF(ISNUMBER(Sorteo!$A$17),VLOOKUP(K419,Draw,2,FALSE),""))</f>
        <v/>
      </c>
      <c r="J419" s="142" t="str">
        <f>O419</f>
        <v/>
      </c>
      <c r="K419" s="143" t="str">
        <f>IF($K$9="","",IF(Group_players=4,IF(Tablas!BS6="","",Tablas!BS6),""))</f>
        <v/>
      </c>
      <c r="L419" s="144" t="str">
        <f>IF(K419="","",VLOOKUP(I419,Siembra,3,FALSE))</f>
        <v/>
      </c>
      <c r="M419" s="145" t="str">
        <f>IF(AND(Q430="",Q431=""),"",IF(I419="","",SUMIFS(E427:E446,I427:I446,I419)))</f>
        <v/>
      </c>
      <c r="N419" s="145" t="str">
        <f>IF(M419="","",IF(I419="","",SUMIFS(F427:F443,I427:I443,I419)))</f>
        <v/>
      </c>
      <c r="O419" s="145" t="str">
        <f>IF(M419="","",IF(COUNTIF(M416:M419,M419)=1,IF(M419=3,1,IF(M419=2,2,IF(M419=1,3,IF(M419=0,4)))),IF(COUNTIF(M416:M419,M419)=2,AB419,IF(AND(M419=M416,M416=M418),AB425,IF(AND(M419=M416,M416=M417),AB428,IF(AND(M419=M417,M417=M418),AB431,""))))))</f>
        <v/>
      </c>
      <c r="P419" s="146" t="str">
        <f>IF(COUNT(U415:X426)=3,IF(ISNUMBER(V418),V418,IF(ISNUMBER(W418),W418,IF(ISNUMBER(X418),X418,IF(X418="","")))),IF(COUNT(U415:X426)=6,IF(ISNUMBER(V426),V426,IF(ISNUMBER(W426),W426,IF(ISNUMBER(X426),X426,""))),""))</f>
        <v/>
      </c>
      <c r="Q419" s="145" t="str">
        <f>IF(M419="","",SUMIF(I427:S443,I419,S427:$S443))</f>
        <v/>
      </c>
      <c r="R419" s="147" t="str">
        <f>IF(M419="","",L419+Q419)</f>
        <v/>
      </c>
      <c r="S419" s="203"/>
      <c r="T419" s="192"/>
      <c r="U419" s="192"/>
      <c r="V419" s="192"/>
      <c r="W419" s="192"/>
      <c r="X419" s="192"/>
      <c r="Y419" s="230" t="s">
        <v>93</v>
      </c>
      <c r="Z419" s="231" t="s">
        <v>110</v>
      </c>
      <c r="AA419" s="232">
        <v>4</v>
      </c>
      <c r="AB419" s="233" t="str">
        <f>IF(COUNTIF(M416:M419,M419)&lt;&gt;2,"",IF(COUNTIF(M416:M419,M419)=1,"",IF(AND(COUNTIF(M416:M419,M419)=2,M419=2),IF(M419=M416,IF(Q434=3,1,2),IF(M419=M417,IF(Q431=3,1,2),IF(M419=M418,IF(Q443=3,1,2)))),IF(AND(COUNTIF(M416:M419,M419)=2,M419=1),IF(M419=M416,IF(Q434=3,3,4),IF(M419=M417,IF(Q431=3,3,4),IF(M419=M418,IF(Q443=3,3,4)))),AB425))))</f>
        <v/>
      </c>
      <c r="AC419" s="192"/>
      <c r="AD419" s="192"/>
      <c r="AE419" s="192"/>
      <c r="AF419" s="203"/>
      <c r="AG419" s="203"/>
      <c r="AH419" s="203"/>
      <c r="AI419" s="203"/>
      <c r="AJ419" s="203"/>
      <c r="AK419" s="203"/>
      <c r="AL419" s="203"/>
      <c r="AM419" s="203"/>
      <c r="AN419" s="192"/>
      <c r="AO419" s="192"/>
      <c r="AP419" s="192"/>
      <c r="AQ419" s="192"/>
      <c r="AR419" s="192"/>
      <c r="AS419" s="192"/>
      <c r="AT419" s="192"/>
      <c r="AU419" s="192"/>
      <c r="AV419" s="192"/>
      <c r="AW419" s="192"/>
      <c r="AX419" s="192"/>
    </row>
    <row r="420" spans="2:50" ht="15" customHeight="1" thickTop="1" x14ac:dyDescent="0.3">
      <c r="B420" s="192"/>
      <c r="C420" s="192"/>
      <c r="D420" s="192"/>
      <c r="E420" s="192"/>
      <c r="F420" s="192"/>
      <c r="G420" s="192"/>
      <c r="H420" s="192"/>
      <c r="I420" s="192"/>
      <c r="J420" s="192"/>
      <c r="K420" s="192"/>
      <c r="L420" s="192"/>
      <c r="M420" s="192"/>
      <c r="N420" s="192"/>
      <c r="O420" s="192"/>
      <c r="P420" s="192"/>
      <c r="Q420" s="192"/>
      <c r="R420" s="192"/>
      <c r="S420" s="192"/>
      <c r="T420" s="208"/>
      <c r="U420" s="192"/>
      <c r="V420" s="148"/>
      <c r="W420" s="148"/>
      <c r="X420" s="234"/>
      <c r="Y420" s="214">
        <v>1</v>
      </c>
      <c r="Z420" s="215" t="str">
        <f>IF(U423="","",IF(OR(Group_players=3,AND(Group_players=4,COUNTBLANK(I416:I419)=1)),IF(COUNTIF(M416:M418,M416)=1,"",IF(COUNTIF(U415:U417,U415)=3,IF(AND(U423=U424,U424=U425),"Tied",IF(AND(U423&lt;&gt;U424,U423&lt;&gt;U425,U424&lt;&gt;U425),(IF(SMALL(U423:U425,1)=U423,1,IF(SMALL(U423:U425,2)=U423,2,IF(SMALL(U423:U425,3)=U423,3)))),IF(AND(U423&lt;U424,U424=U425),1,IF(AND(U423&gt;U424,U424=U425),3,IF(AND(U423=U424,U423&lt;U425),(IF(Q433=3,1,2)),IF(AND(U423=U424,U423&gt;U425),(IF(Q433=3,2,3)),IF(AND(U423=U425,U423&lt;U424),(IF(Q427=3,1,2)),IF(AND(U423=U425,U423&gt;U424),(IF(Q427=3,2,3)),99)))))))),"")),""))</f>
        <v/>
      </c>
      <c r="AA420" s="208">
        <v>1</v>
      </c>
      <c r="AB420" s="222" t="str">
        <f>IF(AND(COUNTBLANK(I416:I419)=0,Group_players=4,M416=M417,M417=M418),IF(COUNTIF(U415:U418,U415)=3,AB433,IF(AND(COUNTIF(U415:U418,U415)=1,U416&lt;&gt;U417),IF(M416=2,IF(SMALL(U415:U418,1)=U415,1,IF(SMALL(U415:U418,2)=U415,2,IF(SMALL(U415:U418,3)=U415,3))),IF(M416=1,IF(SMALL(U415:U418,1)=U415,2,IF(SMALL(U415:U418,2)=U415,3,IF(SMALL(U415:U418,3)=U415,4))),"")),IF(COUNTIF(U415:U418,U415)=1,IF(U415&lt;U416,IF(M416=2,1,2),IF(M416=2,3,4)),IF(COUNTIF(U415:U418,U415)=2,IF(U415=U416,IF(U415&lt;U417,IF(M416=2,IF(Q439=3,1,2),IF(M416=1,IF(Q439=3,2,3))),IF(U415&gt;U417,IF(M416=2,IF(Q439=3,2,3),IF(M416=1,IF(Q439=3,3,4))))),IF(U415=U417,IF(U415&lt;U416,IF(M416=2,IF(Q427=3,1,2),IF(M416=1,IF(Q427=3,2,3))),IF(U415&gt;U416,IF(M416=2,IF(Q427=3,2,3),IF(M416=1,IF(Q427=3,3,4))))))),"")))),"")</f>
        <v/>
      </c>
      <c r="AC420" s="192"/>
      <c r="AD420" s="192"/>
      <c r="AE420" s="269"/>
      <c r="AF420" s="203"/>
      <c r="AG420" s="203"/>
      <c r="AH420" s="203"/>
      <c r="AI420" s="203"/>
      <c r="AJ420" s="203"/>
      <c r="AK420" s="203"/>
      <c r="AL420" s="203"/>
      <c r="AM420" s="203"/>
      <c r="AN420" s="192"/>
      <c r="AO420" s="192"/>
      <c r="AP420" s="192"/>
      <c r="AQ420" s="192"/>
      <c r="AR420" s="192"/>
      <c r="AS420" s="192"/>
      <c r="AT420" s="192"/>
      <c r="AU420" s="192"/>
      <c r="AV420" s="192"/>
      <c r="AW420" s="192"/>
      <c r="AX420" s="192"/>
    </row>
    <row r="421" spans="2:50" ht="15" customHeight="1" thickBot="1" x14ac:dyDescent="0.35">
      <c r="B421" s="192"/>
      <c r="C421" s="192"/>
      <c r="D421" s="192"/>
      <c r="E421" s="192"/>
      <c r="F421" s="192"/>
      <c r="G421" s="192"/>
      <c r="H421" s="192"/>
      <c r="I421" s="269"/>
      <c r="J421" s="269"/>
      <c r="K421" s="192"/>
      <c r="L421" s="192"/>
      <c r="M421" s="192"/>
      <c r="N421" s="192"/>
      <c r="O421" s="192"/>
      <c r="P421" s="192"/>
      <c r="Q421" s="192"/>
      <c r="R421" s="192"/>
      <c r="S421" s="192"/>
      <c r="T421" s="208"/>
      <c r="U421" s="368" t="s">
        <v>111</v>
      </c>
      <c r="V421" s="369"/>
      <c r="W421" s="369"/>
      <c r="X421" s="369"/>
      <c r="Y421" s="236">
        <v>2</v>
      </c>
      <c r="Z421" s="220" t="str">
        <f>IF(U416="","",IF(OR(Group_players=3,AND(Group_players=4,COUNTBLANK(I416:I419)=1)),IF(COUNTIF(M416:M418,M417)=1,"",IF(COUNTIF(U415:U417,U416)=3,IF(AND(U424=U423,U424=U425),"Tied",IF(AND(U424&lt;&gt;U423,U424&lt;&gt;U425,U423&lt;&gt;U425),(IF(SMALL(U423:U425,1)=U424,1,IF(SMALL(U423:U425,2)=U424,2,IF(SMALL(U423:U425,3)=U424,3)))),IF(AND(U424&lt;U423,U423=U425),1,IF(AND(U424&gt;U423,U423=U425),3,IF(AND(U424=U423,U424&lt;U425),(IF(Q434=3,1,2)),IF(AND(U424=U423,U424&gt;U425),(IF(Q434=3,2,3)),IF(AND(U424=U425,U424&lt;U423),(IF(Q430=3,1,2)),IF(AND(U424=U425,U424&gt;U423),(IF(Q430=3,2,3)),99)))))))),"")),""))</f>
        <v/>
      </c>
      <c r="AA421" s="208">
        <v>2</v>
      </c>
      <c r="AB421" s="222" t="str">
        <f>IF(AND(COUNTBLANK(I416:I419)=0,Group_players=4,M416=M417,M417=M418),IF(COUNTIF(U415:U418,U416)=3,AB434,IF(AND(COUNTIF(U415:U418,U416)=1,U415&lt;&gt;U417),IF(M417=2,IF(SMALL(U415:U418,1)=U416,1,IF(SMALL(U415:U418,2)=U416,2,IF(SMALL(U415:U418,3)=U416,3))),IF(M417=1,IF(SMALL(U415:U418,1)=U416,2,IF(SMALL(U415:U418,2)=U416,3,IF(SMALL(U415:U418,3)=U416,4))),"")),IF(COUNTIF(U415:U417,U416)=1,IF(U416&lt;U415,IF(M417=2,1,2),IF(M417=2,3,99)),IF(COUNTIF(U415:U418,U416)=2,IF(U416=U415,IF(U416&lt;U417,IF(M417=2,IF(Q440=3,1,2),IF(M417=1,IF(Q440=3,2,3))),IF(U416&gt;U417,IF(M417=2,IF(Q440=3,2,3),IF(M417=1,IF(Q440=3,3,4))))),IF(U416=U417,IF(U416&lt;U415,IF(M417=2,IF(Q436=3,1,2),IF(M417=1,IF(Q436=3,2,3))),IF(U416&gt;U415,IF(M417=2,IF(Q436=3,2,3),IF(M417=1,IF(Q436=3,3,4))))))),"")))),"")</f>
        <v/>
      </c>
      <c r="AC421" s="192"/>
      <c r="AD421" s="192"/>
      <c r="AE421" s="192"/>
      <c r="AF421" s="203"/>
      <c r="AG421" s="203"/>
      <c r="AH421" s="203"/>
      <c r="AI421" s="203"/>
      <c r="AJ421" s="203"/>
      <c r="AK421" s="203"/>
      <c r="AL421" s="203"/>
      <c r="AM421" s="203"/>
      <c r="AN421" s="192"/>
      <c r="AO421" s="192"/>
      <c r="AP421" s="192"/>
      <c r="AQ421" s="192"/>
      <c r="AR421" s="192"/>
      <c r="AS421" s="192"/>
      <c r="AT421" s="192"/>
      <c r="AU421" s="192"/>
      <c r="AV421" s="192"/>
      <c r="AW421" s="192"/>
      <c r="AX421" s="192"/>
    </row>
    <row r="422" spans="2:50" ht="15" customHeight="1" thickTop="1" thickBot="1" x14ac:dyDescent="0.35">
      <c r="B422" s="192"/>
      <c r="C422" s="192"/>
      <c r="D422" s="192"/>
      <c r="E422" s="192"/>
      <c r="F422" s="192"/>
      <c r="G422" s="192"/>
      <c r="H422" s="192"/>
      <c r="I422" s="192"/>
      <c r="J422" s="192"/>
      <c r="K422" s="192"/>
      <c r="L422" s="192"/>
      <c r="M422" s="192"/>
      <c r="N422" s="192"/>
      <c r="O422" s="192"/>
      <c r="P422" s="192"/>
      <c r="Q422" s="192"/>
      <c r="R422" s="192"/>
      <c r="S422" s="192"/>
      <c r="T422" s="120"/>
      <c r="U422" s="121" t="s">
        <v>101</v>
      </c>
      <c r="V422" s="122" t="s">
        <v>102</v>
      </c>
      <c r="W422" s="122" t="s">
        <v>103</v>
      </c>
      <c r="X422" s="123" t="s">
        <v>104</v>
      </c>
      <c r="Y422" s="238">
        <v>3</v>
      </c>
      <c r="Z422" s="239" t="str">
        <f>IF(U417="","",IF(OR(Group_players=3,AND(Group_players=4,COUNTBLANK(I416:I419)=1)),IF(COUNTIF(M416:M418,M418)=1,"",IF(COUNTIF(U415:U417,U417)=3,IF(AND(U425=U423,U425=U424),"Tied",IF(AND(U425&lt;&gt;U424,U424&lt;&gt;U423,U425&lt;&gt;U423),(IF(SMALL(U423:U425,1)=U425,1,IF(SMALL(U423:U425,2)=U425,2,IF(SMALL(U423:U425,3)=U425,3)))),IF(AND(U425&lt;U424,U424=U423),1,IF(AND(U425&gt;U424,U424=U423),3,IF(AND(U425=U424,U425&lt;U423),(IF(Q431=3,1,2)),IF(AND(U425=U424,U425&gt;U423),(IF(Q431=3,2,3)),IF(AND(U425=U423,U425&lt;U424),(IF(Q428=3,1,2)),IF(AND(U425=U423,U425&gt;U424),(IF(Q428=3,2,3)),99)))))))),"")),""))</f>
        <v/>
      </c>
      <c r="AA422" s="240">
        <v>3</v>
      </c>
      <c r="AB422" s="241" t="str">
        <f>IF(AND(COUNTBLANK(I416:I419)=0,Group_players=4,M416=M417,M417=M418),IF(COUNTIF(U415:U418,U417)=3,AB435,IF(AND(COUNTIF(U415:U418,U417)=1,U415&lt;&gt;U416),IF(M416=2,IF(SMALL(U415:U418,1)=U417,1,IF(SMALL(U415:U418,2)=U417,2,IF(SMALL(U415:U418,3)=U417,3))),IF(M418=1,IF(SMALL(U415:U418,1)=U417,2,IF(SMALL(U415:U418,2)=U417,3,IF(SMALL(U415:U418,3)=U417,4))),"")),IF(COUNTIF(U415:U418,U417)=1,IF(U417&lt;U416,IF(M418=2,1,2),IF(M418=2,3,4)),IF(COUNTIF(U415:U418,U417)=2,IF(U417=U416,IF(U417&lt;U415,IF(M418=2,IF(Q437=3,1,2),IF(M418=1,IF(Q437=3,2,3))),IF(U417&gt;U415,IF(M418=2,IF(Q437=3,2,3),IF(M418=1,IF(Q437=3,3,4))))),IF(U417=U415,IF(U417&lt;U416,IF(M418=2,IF(Q428=3,1,2),IF(M418=1,IF(Q428=3,2,3))),IF(U417&gt;U416,IF(M418=2,IF(Q428=3,2,3),IF(M418=1,IF(Q428=3,3,4))))))),"")))),"")</f>
        <v/>
      </c>
      <c r="AC422" s="192"/>
      <c r="AD422" s="192"/>
      <c r="AE422" s="192"/>
      <c r="AF422" s="203"/>
      <c r="AG422" s="203"/>
      <c r="AH422" s="203"/>
      <c r="AI422" s="203"/>
      <c r="AJ422" s="203"/>
      <c r="AK422" s="203"/>
      <c r="AL422" s="203"/>
      <c r="AM422" s="203"/>
      <c r="AN422" s="192"/>
      <c r="AO422" s="192"/>
      <c r="AP422" s="192"/>
      <c r="AQ422" s="192"/>
      <c r="AR422" s="192"/>
      <c r="AS422" s="192"/>
      <c r="AT422" s="192"/>
      <c r="AU422" s="192"/>
      <c r="AV422" s="192"/>
      <c r="AW422" s="192"/>
      <c r="AX422" s="192"/>
    </row>
    <row r="423" spans="2:50" ht="15" customHeight="1" thickTop="1" thickBot="1" x14ac:dyDescent="0.35">
      <c r="B423" s="192"/>
      <c r="C423" s="192"/>
      <c r="D423" s="192"/>
      <c r="E423" s="192"/>
      <c r="F423" s="192"/>
      <c r="G423" s="192"/>
      <c r="H423" s="192"/>
      <c r="I423" s="192"/>
      <c r="J423" s="192"/>
      <c r="K423" s="192"/>
      <c r="L423" s="192"/>
      <c r="M423" s="192"/>
      <c r="N423" s="192"/>
      <c r="O423" s="192"/>
      <c r="P423" s="192"/>
      <c r="Q423" s="192"/>
      <c r="R423" s="192"/>
      <c r="S423" s="192"/>
      <c r="T423" s="208">
        <v>1</v>
      </c>
      <c r="U423" s="209" t="str">
        <f>IF(U415="","",IF(OR(U415&lt;&gt;U416,U415&lt;&gt;U417),"",IF(COUNTIF(M416:M418,M416)=1,"",IF(COUNTBLANK(I416:I419)=1,(SUM(L428:P428)+SUM(L434:P434))/(SUM(L427:P427)+SUM(L433:P433)),IF(COUNTBLANK(I416:I419)=0,(SUM(L440:P440)+SUM(L428:P428))/(SUM(L439:P439)+SUM(L427:P427)),"")))))</f>
        <v/>
      </c>
      <c r="V423" s="125" t="str">
        <f>IF(V415="","",IF(OR(V415&lt;&gt;V417,V415&lt;&gt;V418),"",IF(AND(COUNTBLANK(I416:I419)=0,M416=M418,M418=M419),(SUM(L428:P428)+SUM(L434:P434))/(SUM(L427:P427)+SUM(L433:P433)),"")))</f>
        <v/>
      </c>
      <c r="W423" s="210" t="str">
        <f>IF(W415="","",IF(OR(W415&lt;&gt;W416,W415&lt;&gt;W418),"",IF(AND(COUNTBLANK(I416:I419)=0,M416=M417,M417=M419),(SUM(L440:P440)+SUM(L434:P434))/(SUM(L439:P439)+SUM(L433:P433)),"")))</f>
        <v/>
      </c>
      <c r="X423" s="211"/>
      <c r="Y423" s="242"/>
      <c r="Z423" s="242"/>
      <c r="AA423" s="243">
        <v>1</v>
      </c>
      <c r="AB423" s="244" t="str">
        <f>IF(AND(COUNTBLANK(I416:I419)=0,Group_players=4,M416=M418,M418=M419),IF(COUNTIF(V415:V418,V415)=3,AB436,IF(AND(COUNTIF(V415:V418,V415)=1,V417&lt;&gt;U426),IF(M416=2,IF(SMALL(V415:V418,1)=V415,1,IF(SMALL(V415:V418,2)=V415,2,IF(SMALL(V415:V418,3)=V415,3))),IF(M416=1,IF(SMALL(V415:V418,1)=V415,2,IF(SMALL(V415:V418,2)=V415,3,IF(SMALL(V415:V418,3)=V415,4))),"")),IF(COUNTIF(V415:V418,V415)=1,IF(V415&lt;V417,IF(M416=2,1,2),IF(M416=2,3,4)),IF(COUNTIF(V415:V418,V415)=2,IF(V415=V417,IF(V415&lt;V418,IF(M416=2,IF(Q427=3,1,2),IF(M416=1,IF(Q427=3,2,3))),IF(V415&gt;V418,IF(M416=2,IF(Q427=3,2,3),IF(M416=1,IF(Q427=3,3,4))))),IF(V415=V418,IF(V415&lt;V417,IF(M416=2,IF(Q433=3,1,2),IF(M416=1,IF(Q433=3,2,3))),IF(V415&gt;V416,IF(M416=2,IF(Q433=3,2,3),IF(M416=1,IF(Q433=3,3,4))))))),"")))),"")</f>
        <v/>
      </c>
      <c r="AC423" s="192"/>
      <c r="AD423" s="192"/>
      <c r="AE423" s="192"/>
      <c r="AF423" s="203"/>
      <c r="AG423" s="203"/>
      <c r="AH423" s="203"/>
      <c r="AI423" s="203"/>
      <c r="AJ423" s="203"/>
      <c r="AK423" s="203"/>
      <c r="AL423" s="203"/>
      <c r="AM423" s="203"/>
      <c r="AN423" s="192"/>
      <c r="AO423" s="192"/>
      <c r="AP423" s="192"/>
      <c r="AQ423" s="192"/>
      <c r="AR423" s="192"/>
      <c r="AS423" s="192"/>
      <c r="AT423" s="192"/>
      <c r="AU423" s="192"/>
      <c r="AV423" s="192"/>
      <c r="AW423" s="192"/>
      <c r="AX423" s="192"/>
    </row>
    <row r="424" spans="2:50" ht="15" customHeight="1" thickTop="1" thickBot="1" x14ac:dyDescent="0.35">
      <c r="B424" s="192"/>
      <c r="C424" s="192"/>
      <c r="D424" s="192"/>
      <c r="E424" s="117"/>
      <c r="F424" s="117"/>
      <c r="G424" s="117"/>
      <c r="H424" s="192"/>
      <c r="I424" s="192"/>
      <c r="J424" s="192"/>
      <c r="K424" s="192"/>
      <c r="L424" s="192"/>
      <c r="M424" s="192"/>
      <c r="N424" s="192"/>
      <c r="O424" s="192"/>
      <c r="P424" s="192"/>
      <c r="Q424" s="192"/>
      <c r="R424" s="192"/>
      <c r="S424" s="394" t="s">
        <v>112</v>
      </c>
      <c r="T424" s="208">
        <v>2</v>
      </c>
      <c r="U424" s="209" t="str">
        <f>IF(U415="","",IF(OR(U416&lt;&gt;U415,U416&lt;&gt;U417),"",IF(COUNTIF(M416:M418,M417)=1,"",IF(COUNTBLANK(I416:I419)=1,(SUM(L431:P431)+SUM(L433:P433))/(SUM(L430:P430)+SUM(L434:P434)),IF(COUNTBLANK(I416:I419)=0,(SUM(L439:P439)+SUM(L437:P437))/(SUM(L440:P440)+SUM(L436:P436)))))))</f>
        <v/>
      </c>
      <c r="V424" s="135"/>
      <c r="W424" s="212" t="str">
        <f>IF(W415="","",IF(OR(W416&lt;&gt;W415,W416&lt;&gt;W418),"",IF(AND(COUNTBLANK(I416:I419)=0,M416=M417,M417=M419),(SUM(L431:P431)+SUM(L439:P439))/(SUM(L440:P440)+SUM(L430:P430)),"")))</f>
        <v/>
      </c>
      <c r="X424" s="245" t="str">
        <f>IF(X416="","",IF(OR(X416&lt;&gt;X417,X416&lt;&gt;X418),"",IF(AND(COUNTBLANK(I416:I419)=0,M417=M418,M418=M419),(SUM(L437:P437)+SUM(L431:P431))/(SUM(L436:P436)+SUM(L430:P430)),"")))</f>
        <v/>
      </c>
      <c r="Y424" s="242"/>
      <c r="Z424" s="203"/>
      <c r="AA424" s="246">
        <v>3</v>
      </c>
      <c r="AB424" s="222" t="str">
        <f>IF(AND(COUNTBLANK(I416:I419)=0,Group_players=4,M416=M418,M418=M419),IF(COUNTIF(V415:V418,V417)=3,AB437,IF(AND(COUNTIF(V415:V418,V417)=1,V415&lt;&gt;V418),IF(M418=2,IF(SMALL(V415:V418,1)=V417,1,IF(SMALL(V415:V418,2)=V417,2,IF(SMALL(V415:V418,3)=V417,3))),IF(M418=1,IF(SMALL(V415:V418,1)=V417,2,IF(SMALL(V415:V418,2)=V417,3,IF(SMALL(V415:V418,3)=V417,4))),"")),IF(COUNTIF(V415:V418,V417)=1,IF(V417&lt;V415,IF(M418=2,1,2),IF(M418=2,3,4)),IF(COUNTIF(V415:V418,V417)=2,IF(V417=V415,IF(V417&lt;V418,IF(M418=2,IF(Q428=3,1,2),IF(M418=1,IF(Q428=3,2,3))),IF(V417&gt;V418,IF(M418=2,IF(Q428=3,2,3),IF(M418=1,IF(Q428=3,3,4))))),IF(V417=V418,IF(V417&lt;V415,IF(M418=2,IF(Q442=3,1,2),IF(M418=1,IF(Q442=3,2,3))),IF(V417&gt;V415,IF(M418=2,IF(Q442=3,2,3),IF(M418=1,IF(Q442=3,3,4))))))),"")))),"")</f>
        <v/>
      </c>
      <c r="AC424" s="192"/>
      <c r="AD424" s="192"/>
      <c r="AE424" s="192"/>
      <c r="AF424" s="203"/>
      <c r="AG424" s="203"/>
      <c r="AH424" s="203"/>
      <c r="AI424" s="203"/>
      <c r="AJ424" s="203"/>
      <c r="AK424" s="203"/>
      <c r="AL424" s="203"/>
      <c r="AM424" s="203"/>
      <c r="AN424" s="192"/>
      <c r="AO424" s="192"/>
      <c r="AP424" s="192"/>
      <c r="AQ424" s="192"/>
      <c r="AR424" s="192"/>
      <c r="AS424" s="192"/>
      <c r="AT424" s="192"/>
      <c r="AU424" s="192"/>
      <c r="AV424" s="192"/>
      <c r="AW424" s="192"/>
      <c r="AX424" s="192"/>
    </row>
    <row r="425" spans="2:50" ht="15" customHeight="1" thickTop="1" thickBot="1" x14ac:dyDescent="0.35">
      <c r="B425" s="192"/>
      <c r="C425" s="192"/>
      <c r="D425" s="192"/>
      <c r="E425" s="117"/>
      <c r="F425" s="117"/>
      <c r="G425" s="117"/>
      <c r="H425" s="192"/>
      <c r="I425" s="192"/>
      <c r="J425" s="192"/>
      <c r="K425" s="192"/>
      <c r="L425" s="192"/>
      <c r="M425" s="192"/>
      <c r="N425" s="192"/>
      <c r="O425" s="192"/>
      <c r="P425" s="192"/>
      <c r="Q425" s="192"/>
      <c r="R425" s="247"/>
      <c r="S425" s="395"/>
      <c r="T425" s="208">
        <v>3</v>
      </c>
      <c r="U425" s="209" t="str">
        <f>IF(U415="","",IF(OR(U417&lt;&gt;U415,U417&lt;&gt;U416),"",IF(COUNTIF(M416:M418,M418)=1,"",IF(COUNTBLANK(I416:I419)=1,(SUM(L427:P427)+SUM(L430:P430))/(SUM(L428:P428)+SUM(L431:P431)),IF(COUNTBLANK(I416:I419)=0,(SUM(L427:P427)+SUM(L436:P436))/(SUM(L428:P428)+SUM(L437:P437)))))))</f>
        <v/>
      </c>
      <c r="V425" s="125" t="str">
        <f>IF(V415="","",IF(OR(V417&lt;&gt;V415,V417&lt;&gt;V418),"",IF(AND(COUNTBLANK(I416:I419)=0,M416=M418,M418=M419),(SUM(L427:P427)+SUM(L443:P443))/(SUM(L428:P428)+SUM(L442:P442)),"")))</f>
        <v/>
      </c>
      <c r="W425" s="218"/>
      <c r="X425" s="245" t="str">
        <f>IF(X416="","",IF(OR(X417&lt;&gt;X416,X417&lt;&gt;X418),"",IF(AND(COUNTBLANK(I416:I419)=0,M417=M418,M418=M419),(SUM(L436:P436)+SUM(L443:P443))/(SUM(L437:P437)+SUM(L442:P442)),"")))</f>
        <v/>
      </c>
      <c r="Y425" s="208"/>
      <c r="Z425" s="203"/>
      <c r="AA425" s="240">
        <v>4</v>
      </c>
      <c r="AB425" s="222" t="str">
        <f>IF(AND(COUNTBLANK(I416:I419)=0,Group_players=4,M416=M418,M418=M419),IF(COUNTIF(V415:V418,V418)=3,AB438,IF(AND(COUNTIF(V415:V418,V418)=1,V417&lt;&gt;V415),IF(M419=2,IF(SMALL(V415:V418,1)=V418,1,IF(SMALL(V415:V418,2)=V418,2,IF(SMALL(V415:V418,3)=V418,3))),IF(M419=1,IF(SMALL(V415:V418,1)=V418,2,IF(SMALL(V415:V418,2)=V418,3,IF(SMALL(V415:V418,3)=V418,4))),"")),IF(COUNTIF(V415:V418,V418)=1,IF(V418&lt;V415,IF(M419=2,1,2),IF(M419=2,3,4)),IF(COUNTIF(V415:V418,V418)=2,IF(V418=V415,IF(V418&lt;V417,IF(M419=2,IF(Q434=3,1,2),IF(M419=1,IF(Q434=3,2,3))),IF(V418&gt;V417,IF(M419=2,IF(Q434=3,2,3),IF(M419=1,IF(Q434=3,3,4))))),IF(V418=V417,IF(V418&lt;V415,IF(M419=2,IF(Q443=3,1,2),IF(M419=1,IF(Q443=3,2,3))),IF(V418&gt;V415,IF(M419=2,IF(Q443=3,2,3),IF(M419=1,IF(Q443=3,3,4))))))),"")))),"")</f>
        <v/>
      </c>
      <c r="AC425" s="192"/>
      <c r="AD425" s="192"/>
      <c r="AE425" s="192"/>
      <c r="AF425" s="203"/>
      <c r="AG425" s="203"/>
      <c r="AH425" s="203"/>
      <c r="AI425" s="203"/>
      <c r="AJ425" s="203"/>
      <c r="AK425" s="203"/>
      <c r="AL425" s="203"/>
      <c r="AM425" s="203"/>
      <c r="AN425" s="192"/>
      <c r="AO425" s="192"/>
      <c r="AP425" s="192"/>
      <c r="AQ425" s="192"/>
      <c r="AR425" s="192"/>
      <c r="AS425" s="192"/>
      <c r="AT425" s="192"/>
      <c r="AU425" s="192"/>
      <c r="AV425" s="192"/>
      <c r="AW425" s="192"/>
      <c r="AX425" s="192"/>
    </row>
    <row r="426" spans="2:50" ht="15" customHeight="1" thickTop="1" thickBot="1" x14ac:dyDescent="0.35">
      <c r="B426" s="192"/>
      <c r="C426" s="192"/>
      <c r="D426" s="192"/>
      <c r="E426" s="168" t="s">
        <v>113</v>
      </c>
      <c r="F426" s="168" t="s">
        <v>114</v>
      </c>
      <c r="G426" s="117"/>
      <c r="H426" s="192"/>
      <c r="I426" s="249" t="s">
        <v>115</v>
      </c>
      <c r="J426" s="249"/>
      <c r="K426" s="249"/>
      <c r="L426" s="250" t="s">
        <v>115</v>
      </c>
      <c r="M426" s="250" t="s">
        <v>116</v>
      </c>
      <c r="N426" s="250" t="s">
        <v>117</v>
      </c>
      <c r="O426" s="250" t="s">
        <v>118</v>
      </c>
      <c r="P426" s="250" t="s">
        <v>119</v>
      </c>
      <c r="Q426" s="250" t="s">
        <v>120</v>
      </c>
      <c r="R426" s="250"/>
      <c r="S426" s="251"/>
      <c r="T426" s="208">
        <v>4</v>
      </c>
      <c r="U426" s="223"/>
      <c r="V426" s="140" t="str">
        <f>IF(V415="","",IF(OR(V418&lt;&gt;V415,V418&lt;&gt;V417),"",IF(AND(COUNTBLANK(I416:I419)=0,M416=M418,M418=M419),(SUM(L433:P433)+SUM(L442:P442))/(SUM(L434:P434)+SUM(L443:P443)),"")))</f>
        <v/>
      </c>
      <c r="W426" s="224" t="str">
        <f>IF(W415="","",IF(OR(W418&lt;&gt;W415,W418&lt;&gt;W416),"",IF(AND(COUNTBLANK(I416:I419)=0,M416=M417,M417=M419),(SUM(L433:P433)+SUM(L430:P430))/(SUM(L434:P434)+SUM(L431:P431)),"")))</f>
        <v/>
      </c>
      <c r="X426" s="252" t="str">
        <f>IF(X416="","",IF(OR(X418&lt;&gt;X416,X418&lt;&gt;X417),"",IF(AND(COUNTBLANK(I416:I419)=0,M417=M418,M418=M419),(SUM(L430:P430)+SUM(L442:P442))/(SUM(L431:P431)+SUM(L443:P443)),"")))</f>
        <v/>
      </c>
      <c r="Y426" s="192"/>
      <c r="Z426" s="203"/>
      <c r="AA426" s="243">
        <v>1</v>
      </c>
      <c r="AB426" s="151" t="str">
        <f>IF(AND(COUNTBLANK(I416:I419)=0,Group_players=4,M416=M417,M417=M419),IF(COUNTIF(W415:W418,W415)=3,AB439,IF(AND(COUNTIF(W415:W418,W415)=1,W416&lt;&gt;W418),IF(M416=2,IF(SMALL(W415:W418,1)=W415,1,IF(SMALL(W415:W418,2)=W415,2,IF(SMALL(W415:W418,3)=W415,3))),IF(M416=1,IF(SMALL(W415:W418,1)=W415,2,IF(SMALL(W415:W418,2)=W415,3,IF(SMALL(W415:W418,3)=W415,4))),"")),IF(COUNTIF(W415:W418,W415)=1,IF(W415&lt;W416,IF(M416=2,1,2),IF(M416=2,3,4)),IF(COUNTIF(W415:W418,W415)=2,IF(W415=W416,IF(W415&lt;W418,IF(M416=2,IF(Q439=3,1,2),IF(M416=1,IF(Q439=3,2,3))),IF(W415&gt;W418,IF(M416=2,IF(Q439=3,2,3),IF(M416=1,IF(Q439=3,3,4))))),IF(W415=W418,IF(W415&lt;W416,IF(M416=2,IF(Q433=3,1,2),IF(M416=1,IF(Q433=3,2,3))),IF(W415&gt;W416,IF(M416=2,IF(Q433=3,2,3),IF(M416=1,IF(Q433=3,3,4))))))),"")))),"")</f>
        <v/>
      </c>
      <c r="AC426" s="192"/>
      <c r="AD426" s="192"/>
      <c r="AE426" s="192"/>
      <c r="AF426" s="203"/>
      <c r="AG426" s="203"/>
      <c r="AH426" s="203"/>
      <c r="AI426" s="203"/>
      <c r="AJ426" s="203"/>
      <c r="AK426" s="203"/>
      <c r="AL426" s="203"/>
      <c r="AM426" s="203"/>
      <c r="AN426" s="192"/>
      <c r="AO426" s="192"/>
      <c r="AP426" s="192"/>
      <c r="AQ426" s="192"/>
      <c r="AR426" s="192"/>
      <c r="AS426" s="192"/>
      <c r="AT426" s="192"/>
      <c r="AU426" s="192"/>
      <c r="AV426" s="192"/>
      <c r="AW426" s="192"/>
      <c r="AX426" s="192"/>
    </row>
    <row r="427" spans="2:50" ht="15" customHeight="1" thickTop="1" x14ac:dyDescent="0.3">
      <c r="B427" s="192"/>
      <c r="C427" s="192"/>
      <c r="D427" s="192"/>
      <c r="E427" s="164" t="str">
        <f>IF(Q427="","",IF(Q427=3,1,0))</f>
        <v/>
      </c>
      <c r="F427" s="164" t="str">
        <f>IF(Q427="","",IF(Q427&lt;3,1,0))</f>
        <v/>
      </c>
      <c r="G427" s="192"/>
      <c r="H427" s="192" t="str">
        <f>IF(I416="","",1)</f>
        <v/>
      </c>
      <c r="I427" s="192" t="str">
        <f>IF(ISNUMBER(H427),VLOOKUP(H427,H416:I419,2,TRUE),"")</f>
        <v/>
      </c>
      <c r="J427" s="192"/>
      <c r="K427" s="192" t="str">
        <f>VLOOKUP(I427,I416:L419,3,FALSE)</f>
        <v/>
      </c>
      <c r="L427" s="253"/>
      <c r="M427" s="254"/>
      <c r="N427" s="254"/>
      <c r="O427" s="152"/>
      <c r="P427" s="153"/>
      <c r="Q427" s="255" t="str">
        <f>IF(L427="","",IF(AND(L427-L428&gt;1,L427&gt;10),1,0)+IF(AND(M427-M428&gt;1,M427&gt;10),1,0)+IF(AND(N427-N428&gt;1,N427&gt;10),1,0)+IF(AND(O427-O428&gt;1,O427&gt;10),1,0)+IF(AND(P427-P428&gt;1,P427&gt;10),1,0))</f>
        <v/>
      </c>
      <c r="R427" s="203" t="str">
        <f>IF(AND(I427="",I428=""),"",ABS(VLOOKUP(I427,I416:L419,4,FALSE)-VLOOKUP(I428,I416:L419,4,FALSE)))</f>
        <v/>
      </c>
      <c r="S427" s="256" t="str">
        <f>IF(R428="","",IF(Q427=3,+R428,-R428))</f>
        <v/>
      </c>
      <c r="T427" s="257"/>
      <c r="U427" s="258"/>
      <c r="V427" s="258"/>
      <c r="W427" s="258"/>
      <c r="X427" s="258"/>
      <c r="Y427" s="192"/>
      <c r="Z427" s="203"/>
      <c r="AA427" s="246">
        <v>2</v>
      </c>
      <c r="AB427" s="154" t="str">
        <f>IF(AND(COUNTBLANK(I416:I419)=0,Group_players=4,M416=M417,M417=M419),IF(COUNTIF(W415:W418,W416)=3,AB440,IF(AND(COUNTIF(W415:W418,W416)=1,W415&lt;&gt;W417),IF(M417=2,IF(SMALL(W415:W418,1)=W416,1,IF(SMALL(W415:W418,2)=W416,2,IF(SMALL(W415:W418,3)=W416,3))),IF(M417=1,IF(SMALL(W415:W418,1)=W416,2,IF(SMALL(W415:W418,2)=W416,3,IF(SMALL(W415:W418,3)=W416,4))),"")),IF(COUNTIF(W415:W418,W416)=1,IF(W416&lt;W415,IF(M417=2,1,2),IF(M417=2,3,4)),IF(COUNTIF(W415:W418,W416)=2,IF(W416=W415,IF(W416&lt;W418,IF(M417=2,IF(Q440=3,1,2),IF(M417=1,IF(Q440=3,2,3))),IF(W416&gt;W418,IF(M417=2,IF(Q440=3,2,3),IF(M417=1,IF(Q440=3,3,4))))),IF(W416=W418,IF(W416&lt;W415,IF(M417=2,IF(Q430=3,1,2),IF(M417=1,IF(Q430=3,2,3))),IF(W416&gt;W415,IF(M417=2,IF(Q430=3,2,3),IF(M417=1,IF(Q430=3,3,4))))))),"")))),"")</f>
        <v/>
      </c>
      <c r="AC427" s="192"/>
      <c r="AD427" s="192"/>
      <c r="AE427" s="192"/>
      <c r="AF427" s="203"/>
      <c r="AG427" s="203"/>
      <c r="AH427" s="203"/>
      <c r="AI427" s="203"/>
      <c r="AJ427" s="203"/>
      <c r="AK427" s="203"/>
      <c r="AL427" s="203"/>
      <c r="AM427" s="203"/>
      <c r="AN427" s="192"/>
      <c r="AO427" s="192"/>
      <c r="AP427" s="192"/>
      <c r="AQ427" s="192"/>
      <c r="AR427" s="192"/>
      <c r="AS427" s="192"/>
      <c r="AT427" s="192"/>
      <c r="AU427" s="192"/>
      <c r="AV427" s="192"/>
      <c r="AW427" s="192"/>
      <c r="AX427" s="192"/>
    </row>
    <row r="428" spans="2:50" ht="15" customHeight="1" thickBot="1" x14ac:dyDescent="0.35">
      <c r="B428" s="192"/>
      <c r="C428" s="192"/>
      <c r="D428" s="192"/>
      <c r="E428" s="164" t="str">
        <f>IF(Q428="","",IF(Q428=3,1,0))</f>
        <v/>
      </c>
      <c r="F428" s="164" t="str">
        <f>IF(Q428="","",IF(Q428&lt;3,1,0))</f>
        <v/>
      </c>
      <c r="G428" s="192"/>
      <c r="H428" s="192" t="str">
        <f>IF(I417="","",IF(I418="",2,3))</f>
        <v/>
      </c>
      <c r="I428" s="192" t="str">
        <f>IF(ISNUMBER(H428),VLOOKUP(H428,H416:I419,2,TRUE),"")</f>
        <v/>
      </c>
      <c r="J428" s="192"/>
      <c r="K428" s="192" t="str">
        <f>VLOOKUP(I428,I416:L419,3,FALSE)</f>
        <v/>
      </c>
      <c r="L428" s="155"/>
      <c r="M428" s="259"/>
      <c r="N428" s="259"/>
      <c r="O428" s="156"/>
      <c r="P428" s="157"/>
      <c r="Q428" s="260" t="str">
        <f>IF(L428="","",IF(AND(L428-L427&gt;1,L428&gt;10),1,0)+IF(AND(M428-M427&gt;1,M428&gt;10),1,0)+IF(AND(N428-N427&gt;1,N428&gt;10),1,0)+IF(AND(O428-O427&gt;1,O428&gt;10),1,0)+IF(AND(P428-P427&gt;1,P428&gt;10),1,0))</f>
        <v/>
      </c>
      <c r="R428" s="203" t="str">
        <f>IF(AND(Q427&lt;&gt;3,Q428&lt;&gt;3),"",IF(Q427=3,IF(VLOOKUP(I427,I416:L419,4,FALSE)&gt;VLOOKUP(I428,I416:L419,4,FALSE),VLOOKUP(R427,Point_dif,2,FALSE),VLOOKUP(R427,Point_dif,3,FALSE)),IF(Q428=3,IF(VLOOKUP(I428,I416:L419,4,FALSE)&gt;VLOOKUP(I427,I416:L419,4,FALSE),VLOOKUP(R427,Point_dif,2,FALSE),VLOOKUP(R427,Point_dif,3,FALSE)))))</f>
        <v/>
      </c>
      <c r="S428" s="256" t="str">
        <f>IF(R428="","",IF(Q428=3,+R428,-R428))</f>
        <v/>
      </c>
      <c r="T428" s="192"/>
      <c r="U428" s="235"/>
      <c r="V428" s="235"/>
      <c r="W428" s="235"/>
      <c r="X428" s="235"/>
      <c r="Y428" s="235"/>
      <c r="Z428" s="235"/>
      <c r="AA428" s="240">
        <v>4</v>
      </c>
      <c r="AB428" s="158" t="str">
        <f>IF(AND(COUNTBLANK(I416:I419)=0,Group_players=4,M416=M417,M417=M419),IF(COUNTIF(W415:W418,W418)=3,AB441,IF(AND(COUNTIF(W415:W418,W418)=1,W415&lt;&gt;W416),IF(M419=2,IF(SMALL(W415:W418,1)=W418,1,IF(SMALL(W415:W418,2)=W418,2,IF(SMALL(W415:W418,3)=W418,3))),IF(M419=1,IF(SMALL(W415:W418,1)=W418,2,IF(SMALL(W415:W418,2)=W418,3,IF(SMALL(W415:W418,3)=W418,4))),"")),IF(COUNTIF(W415:W418,W418)=1,IF(W418&lt;W415,IF(M419=2,1,2),IF(M419=2,3,4)),IF(COUNTIF(W415:W418,W418)=2,IF(W418=W415,IF(W418&lt;W416,IF(M419=2,IF(Q434=3,1,2),IF(M419=1,IF(Q434=3,2,3))),IF(W418&gt;W417,IF(M419=2,IF(Q434=3,2,3),IF(M419=1,IF(Q434=3,3,4))))),IF(W418=W416,IF(W418&lt;W415,IF(M419=2,IF(Q431=3,1,2),IF(M419=1,IF(Q431=3,2,3))),IF(W418&gt;W415,IF(M419=2,IF(Q431=3,2,3),IF(M419=1,IF(Q431=3,3,4))))))),"")))),"")</f>
        <v/>
      </c>
      <c r="AC428" s="192"/>
      <c r="AD428" s="192"/>
      <c r="AE428" s="192"/>
      <c r="AF428" s="203"/>
      <c r="AG428" s="203"/>
      <c r="AH428" s="203"/>
      <c r="AI428" s="203"/>
      <c r="AJ428" s="203"/>
      <c r="AK428" s="203"/>
      <c r="AL428" s="203"/>
      <c r="AM428" s="203"/>
      <c r="AN428" s="192"/>
      <c r="AO428" s="192"/>
      <c r="AP428" s="192"/>
      <c r="AQ428" s="192"/>
      <c r="AR428" s="192"/>
      <c r="AS428" s="192"/>
      <c r="AT428" s="192"/>
      <c r="AU428" s="192"/>
      <c r="AV428" s="192"/>
      <c r="AW428" s="192"/>
      <c r="AX428" s="192"/>
    </row>
    <row r="429" spans="2:50" ht="15" customHeight="1" thickTop="1" thickBot="1" x14ac:dyDescent="0.35">
      <c r="B429" s="192"/>
      <c r="C429" s="192"/>
      <c r="D429" s="192"/>
      <c r="E429" s="164"/>
      <c r="F429" s="164"/>
      <c r="G429" s="192"/>
      <c r="H429" s="192"/>
      <c r="I429" s="249" t="s">
        <v>116</v>
      </c>
      <c r="J429" s="249"/>
      <c r="K429" s="249"/>
      <c r="L429" s="250" t="s">
        <v>115</v>
      </c>
      <c r="M429" s="250" t="s">
        <v>116</v>
      </c>
      <c r="N429" s="250" t="s">
        <v>117</v>
      </c>
      <c r="O429" s="250" t="s">
        <v>118</v>
      </c>
      <c r="P429" s="250" t="s">
        <v>119</v>
      </c>
      <c r="Q429" s="250" t="s">
        <v>120</v>
      </c>
      <c r="R429" s="250"/>
      <c r="S429" s="251"/>
      <c r="T429" s="192"/>
      <c r="U429" s="235"/>
      <c r="V429" s="235"/>
      <c r="W429" s="235"/>
      <c r="X429" s="235"/>
      <c r="Y429" s="235"/>
      <c r="Z429" s="235"/>
      <c r="AA429" s="243">
        <v>2</v>
      </c>
      <c r="AB429" s="151" t="str">
        <f>IF(AND(COUNTBLANK(I416:I419)=0,Group_players=4,M417=M418,M418=M419),IF(COUNTIF(X415:X418,X416)=3,AB442,IF(AND(COUNTIF(X415:X418,X416)=1,X417&lt;&gt;X418),IF(M417=2,IF(SMALL(X415:X418,1)=X416,1,IF(SMALL(X415:X418,2)=X416,2,IF(SMALL(X415:X418,3)=X416,3))),IF(M417=1,IF(SMALL(X415:X418,1)=X416,2,IF(SMALL(X415:X418,2)=X416,3,IF(SMALL(X415:X418,3)=X416,4))),"")),IF(COUNTIF(X415:X418,X416)=1,IF(X416&lt;X418,IF(M417=2,1,2),IF(M417=1,3,3)),IF(COUNTIF(X415:X418,X416)=2,IF(X416=X417,IF(X416&lt;X418,IF(M417=2,IF(Q436=3,1,2),IF(M417=1,IF(Q436=3,2,3))),IF(X416&gt;X418,IF(M417=2,IF(Q436=3,2,3),IF(M417=1,IF(Q436=3,3,4))))),IF(X416=X418,IF(X416&lt;X417,IF(M417=2,IF(Q430=3,1,2),IF(M417=1,IF(Q430=3,2,3))),IF(X416&gt;X417,IF(M417=2,IF(Q430=3,2,3),IF(M417=1,IF(Q430=3,3,4))))))),"")))),"")</f>
        <v/>
      </c>
      <c r="AC429" s="192"/>
      <c r="AD429" s="192"/>
      <c r="AE429" s="192"/>
      <c r="AF429" s="203"/>
      <c r="AG429" s="203"/>
      <c r="AH429" s="203"/>
      <c r="AI429" s="203"/>
      <c r="AJ429" s="203"/>
      <c r="AK429" s="203"/>
      <c r="AL429" s="203"/>
      <c r="AM429" s="203"/>
      <c r="AN429" s="192"/>
      <c r="AO429" s="192"/>
      <c r="AP429" s="192"/>
      <c r="AQ429" s="192"/>
      <c r="AR429" s="192"/>
      <c r="AS429" s="192"/>
      <c r="AT429" s="192"/>
      <c r="AU429" s="192"/>
      <c r="AV429" s="192"/>
      <c r="AW429" s="192"/>
      <c r="AX429" s="192"/>
    </row>
    <row r="430" spans="2:50" ht="15" customHeight="1" thickTop="1" x14ac:dyDescent="0.3">
      <c r="B430" s="192"/>
      <c r="C430" s="192"/>
      <c r="D430" s="192"/>
      <c r="E430" s="164" t="str">
        <f>IF(Q430="","",IF(Q430=3,1,0))</f>
        <v/>
      </c>
      <c r="F430" s="164" t="str">
        <f>IF(Q430="","",IF(Q430&lt;3,1,0))</f>
        <v/>
      </c>
      <c r="G430" s="192"/>
      <c r="H430" s="192" t="str">
        <f>IF(I418="","",2)</f>
        <v/>
      </c>
      <c r="I430" s="192" t="str">
        <f>IF(ISNUMBER(H430),VLOOKUP(H430,H416:I419,2,TRUE),"")</f>
        <v/>
      </c>
      <c r="J430" s="192"/>
      <c r="K430" s="192" t="str">
        <f>VLOOKUP(I430,I416:L419,3,FALSE)</f>
        <v/>
      </c>
      <c r="L430" s="253"/>
      <c r="M430" s="254"/>
      <c r="N430" s="254"/>
      <c r="O430" s="152"/>
      <c r="P430" s="153"/>
      <c r="Q430" s="255" t="str">
        <f>IF(L430="","",IF(AND(L430-L431&gt;1,L430&gt;10),1,0)+IF(AND(M430-M431&gt;1,M430&gt;10),1,0)+IF(AND(N430-N431&gt;1,N430&gt;10),1,0)+IF(AND(O430-O431&gt;1,O430&gt;10),1,0)+IF(AND(P430-P431&gt;1,P430&gt;10),1,0))</f>
        <v/>
      </c>
      <c r="R430" s="203" t="str">
        <f>IF(AND(I430="",I431=""),"",ABS(VLOOKUP(I430,I416:L419,4,FALSE)-VLOOKUP(I431,I416:L419,4,FALSE)))</f>
        <v/>
      </c>
      <c r="S430" s="256" t="str">
        <f>IF(R431="","",IF(Q430=3,+R431,-R431))</f>
        <v/>
      </c>
      <c r="T430" s="192"/>
      <c r="U430" s="235"/>
      <c r="V430" s="235"/>
      <c r="W430" s="235"/>
      <c r="X430" s="235"/>
      <c r="Y430" s="235"/>
      <c r="Z430" s="235"/>
      <c r="AA430" s="246">
        <v>3</v>
      </c>
      <c r="AB430" s="154" t="str">
        <f>IF(AND(COUNTBLANK(I416:I419)=0,Group_players=4,M417=M418,M418=M419),IF(COUNTIF(X415:X418,X417)=3,AB443,IF(AND(COUNTIF(X415:X418,X417)=1,X416&lt;&gt;X418),IF(M418=2,IF(SMALL(X415:X418,1)=X417,1,IF(SMALL(X415:X418,2)=X417,2,IF(SMALL(X415:X418,3)=X417,3))),IF(M418=1,IF(SMALL(X415:X418,1)=X417,2,IF(SMALL(X415:X418,2)=X417,3,IF(SMALL(X415:X418,3)=X417,4))),"")),IF(COUNTIF(X415:X418,X417)=1,IF(X417&lt;X416,IF(M418=2,1,2),IF(M418=2,3,4)),IF(COUNTIF(X415:X418,X417)=2,IF(X417=X416,IF(X417&lt;X418,IF(M418=2,IF(Q437=3,1,2),IF(M418=1,IF(Q437=3,2,3))),IF(X417&gt;X418,IF(M418=2,IF(Q437=3,2,3),IF(M418=1,IF(Q437=3,3,4))))),IF(X417=X418,IF(X417&lt;X416,IF(M418=2,IF(Q442=3,1,2),IF(M418=1,IF(Q442=3,2,3))),IF(X417&gt;X416,IF(M418=2,IF(Q442=3,2,3),IF(M418=1,IF(Q442=3,3,4))))))),"")))),"")</f>
        <v/>
      </c>
      <c r="AC430" s="192"/>
      <c r="AD430" s="192"/>
      <c r="AE430" s="192"/>
      <c r="AF430" s="203"/>
      <c r="AG430" s="203"/>
      <c r="AH430" s="203"/>
      <c r="AI430" s="203"/>
      <c r="AJ430" s="203"/>
      <c r="AK430" s="203"/>
      <c r="AL430" s="203"/>
      <c r="AM430" s="203"/>
      <c r="AN430" s="192"/>
      <c r="AO430" s="192"/>
      <c r="AP430" s="192"/>
      <c r="AQ430" s="192"/>
      <c r="AR430" s="192"/>
      <c r="AS430" s="192"/>
      <c r="AT430" s="192"/>
      <c r="AU430" s="192"/>
      <c r="AV430" s="192"/>
      <c r="AW430" s="192"/>
      <c r="AX430" s="192"/>
    </row>
    <row r="431" spans="2:50" ht="15" customHeight="1" thickBot="1" x14ac:dyDescent="0.35">
      <c r="B431" s="192"/>
      <c r="C431" s="192"/>
      <c r="D431" s="192"/>
      <c r="E431" s="164" t="str">
        <f>IF(Q431="","",IF(Q431=3,1,0))</f>
        <v/>
      </c>
      <c r="F431" s="164" t="str">
        <f>IF(Q431="","",IF(Q431&lt;3,1,0))</f>
        <v/>
      </c>
      <c r="G431" s="192"/>
      <c r="H431" s="192" t="str">
        <f>IF(I418="","",IF(I419="",3,4))</f>
        <v/>
      </c>
      <c r="I431" s="192" t="str">
        <f>IF(ISNUMBER(H431),VLOOKUP(H431,H416:I419,2,TRUE),"")</f>
        <v/>
      </c>
      <c r="J431" s="192"/>
      <c r="K431" s="192" t="str">
        <f>VLOOKUP(I431,I416:L419,3,FALSE)</f>
        <v/>
      </c>
      <c r="L431" s="155"/>
      <c r="M431" s="259"/>
      <c r="N431" s="259"/>
      <c r="O431" s="156"/>
      <c r="P431" s="157"/>
      <c r="Q431" s="260" t="str">
        <f>IF(L431="","",IF(AND(L431-L430&gt;1,L431&gt;10),1,0)+IF(AND(M431-M430&gt;1,M431&gt;10),1,0)+IF(AND(N431-N430&gt;1,N431&gt;10),1,0)+IF(AND(O431-O430&gt;1,O431&gt;10),1,0)+IF(AND(P431-P430&gt;1,P431&gt;10),1,0))</f>
        <v/>
      </c>
      <c r="R431" s="203" t="str">
        <f>IF(AND(Q430&lt;&gt;3,Q431&lt;&gt;3),"",IF(Q430=3,IF(VLOOKUP(I430,I416:L419,4,FALSE)&gt;VLOOKUP(I431,I416:L419,4,FALSE),VLOOKUP(R430,Point_dif,2,FALSE),VLOOKUP(R430,Point_dif,3,FALSE)),IF(Q431=3,IF(VLOOKUP(I431,I416:L419,4,FALSE)&gt;VLOOKUP(I430,I416:L419,4,FALSE),VLOOKUP(R430,Point_dif,2,FALSE),VLOOKUP(R430,Point_dif,3,FALSE)))))</f>
        <v/>
      </c>
      <c r="S431" s="256" t="str">
        <f>IF(R431="","",IF(Q431=3,+R431,-R431))</f>
        <v/>
      </c>
      <c r="T431" s="192"/>
      <c r="U431" s="235"/>
      <c r="V431" s="235"/>
      <c r="W431" s="235"/>
      <c r="X431" s="235"/>
      <c r="Y431" s="235"/>
      <c r="Z431" s="235"/>
      <c r="AA431" s="261">
        <v>4</v>
      </c>
      <c r="AB431" s="158" t="str">
        <f>IF(AND(COUNTBLANK(I416:I419)=0,Group_players=4,M417=M418,M418=M419),IF(COUNTIF(X415:X418,X418)=3,AB444,IF(AND(COUNTIF(X415:X418,X418)=1,X417&lt;&gt;X416),IF(M419=2,IF(SMALL(X415:X418,1)=X418,1,IF(SMALL(X415:X418,2)=X418,2,IF(SMALL(X415:X418,3)=X418,3))),IF(M419=1,IF(SMALL(X415:X418,1)=X418,2,IF(SMALL(X415:X418,2)=X418,3,IF(SMALL(X415:X418,3)=X418,4))),"")),IF(COUNTIF(X415:X418,X418)=1,IF(X418&lt;X416,IF(M419=2,1,2),IF(M419=2,3,4)),IF(COUNTIF(X415:X418,X418)=2,IF(X418=X416,IF(X418&lt;X417,IF(M419=2,IF(Q431=3,1,2),IF(M419=1,IF(Q431=3,2,3))),IF(X418&gt;X417,IF(M419=2,IF(Q431=3,2,3),IF(M419=1,IF(Q431=3,3,4))))),IF(X418=X417,IF(X418&lt;X416,IF(M419=2,IF(Q443=3,1,2),IF(M419=1,IF(Q443=3,2,3))),IF(X418&gt;X416,IF(M419=2,IF(Q443=3,2,3),IF(M419=1,IF(Q443=3,3,4))))))),"")))),"")</f>
        <v/>
      </c>
      <c r="AC431" s="192"/>
      <c r="AD431" s="192"/>
      <c r="AE431" s="192"/>
      <c r="AF431" s="203"/>
      <c r="AG431" s="203"/>
      <c r="AH431" s="203"/>
      <c r="AI431" s="203"/>
      <c r="AJ431" s="203"/>
      <c r="AK431" s="203"/>
      <c r="AL431" s="203"/>
      <c r="AM431" s="203"/>
      <c r="AN431" s="192"/>
      <c r="AO431" s="192"/>
      <c r="AP431" s="192"/>
      <c r="AQ431" s="192"/>
      <c r="AR431" s="192"/>
      <c r="AS431" s="192"/>
      <c r="AT431" s="192"/>
      <c r="AU431" s="192"/>
      <c r="AV431" s="192"/>
      <c r="AW431" s="192"/>
      <c r="AX431" s="192"/>
    </row>
    <row r="432" spans="2:50" ht="15" customHeight="1" thickTop="1" thickBot="1" x14ac:dyDescent="0.35">
      <c r="B432" s="192"/>
      <c r="C432" s="192"/>
      <c r="D432" s="192"/>
      <c r="E432" s="164"/>
      <c r="F432" s="164"/>
      <c r="G432" s="192"/>
      <c r="H432" s="192"/>
      <c r="I432" s="249" t="s">
        <v>117</v>
      </c>
      <c r="J432" s="249"/>
      <c r="K432" s="249"/>
      <c r="L432" s="250" t="s">
        <v>115</v>
      </c>
      <c r="M432" s="250" t="s">
        <v>116</v>
      </c>
      <c r="N432" s="250" t="s">
        <v>117</v>
      </c>
      <c r="O432" s="250" t="s">
        <v>118</v>
      </c>
      <c r="P432" s="250" t="s">
        <v>119</v>
      </c>
      <c r="Q432" s="250" t="s">
        <v>120</v>
      </c>
      <c r="R432" s="250"/>
      <c r="S432" s="251"/>
      <c r="T432" s="263"/>
      <c r="U432" s="264"/>
      <c r="V432" s="242"/>
      <c r="W432" s="242"/>
      <c r="X432" s="264"/>
      <c r="Y432" s="192"/>
      <c r="Z432" s="203"/>
      <c r="AA432" s="126" t="s">
        <v>93</v>
      </c>
      <c r="AB432" s="265" t="s">
        <v>110</v>
      </c>
      <c r="AC432" s="192"/>
      <c r="AD432" s="192"/>
      <c r="AE432" s="192"/>
      <c r="AF432" s="203"/>
      <c r="AG432" s="203"/>
      <c r="AH432" s="203"/>
      <c r="AI432" s="203"/>
      <c r="AJ432" s="203"/>
      <c r="AK432" s="203"/>
      <c r="AL432" s="203"/>
      <c r="AM432" s="203"/>
      <c r="AN432" s="192"/>
      <c r="AO432" s="192"/>
      <c r="AP432" s="192"/>
      <c r="AQ432" s="192"/>
      <c r="AR432" s="192"/>
      <c r="AS432" s="192"/>
      <c r="AT432" s="192"/>
      <c r="AU432" s="192"/>
      <c r="AV432" s="192"/>
      <c r="AW432" s="192"/>
      <c r="AX432" s="192"/>
    </row>
    <row r="433" spans="2:50" ht="15" customHeight="1" thickTop="1" x14ac:dyDescent="0.3">
      <c r="B433" s="192"/>
      <c r="C433" s="192"/>
      <c r="D433" s="192"/>
      <c r="E433" s="164" t="str">
        <f>IF(Q433="","",IF(Q433=3,1,0))</f>
        <v/>
      </c>
      <c r="F433" s="164" t="str">
        <f>IF(Q433="","",IF(Q433&lt;3,1,0))</f>
        <v/>
      </c>
      <c r="G433" s="192"/>
      <c r="H433" s="192" t="str">
        <f>IF(I418&lt;&gt;"",1,"")</f>
        <v/>
      </c>
      <c r="I433" s="192" t="str">
        <f>IF(ISNUMBER(H433),VLOOKUP(H433,H416:I419,2,TRUE),"")</f>
        <v/>
      </c>
      <c r="J433" s="192"/>
      <c r="K433" s="192" t="str">
        <f>VLOOKUP(I433,I416:L419,3,FALSE)</f>
        <v/>
      </c>
      <c r="L433" s="253"/>
      <c r="M433" s="254"/>
      <c r="N433" s="254"/>
      <c r="O433" s="152"/>
      <c r="P433" s="153"/>
      <c r="Q433" s="255" t="str">
        <f>IF(L433="","",IF(AND(L433-L434&gt;1,L433&gt;10),1,0)+IF(AND(M433-M434&gt;1,M433&gt;10),1,0)+IF(AND(N433-N434&gt;1,N433&gt;10),1,0)+IF(AND(O433-O434&gt;1,O433&gt;10),1,0)+IF(AND(P433-P434&gt;1,P433&gt;10),1,0))</f>
        <v/>
      </c>
      <c r="R433" s="203" t="str">
        <f>IF(AND(I433="",I434=""),"",ABS(VLOOKUP(I433,I416:L419,4,FALSE)-VLOOKUP(I434,I416:L419,4,FALSE)))</f>
        <v/>
      </c>
      <c r="S433" s="256" t="str">
        <f>IF(R434="","",IF(Q433=3,+R434,-R434))</f>
        <v/>
      </c>
      <c r="T433" s="192"/>
      <c r="U433" s="235"/>
      <c r="V433" s="235"/>
      <c r="W433" s="235"/>
      <c r="X433" s="235"/>
      <c r="Y433" s="235"/>
      <c r="Z433" s="235"/>
      <c r="AA433" s="243">
        <v>1</v>
      </c>
      <c r="AB433" s="222" t="str">
        <f>IF(AND(COUNTBLANK(I416:I419)=0,Group_players=4,M416=M417,M417=M418),IF(U423="","",IF(COUNTIF(U423:U426,U423)=3,"Tied",IF(AND(COUNTIF(U423:U426,U423)=1,U424&lt;&gt;U425),IF(M416=2,IF(SMALL(U423:U426,1)=U423,1,IF(SMALL(U423:U426,2)=U423,2,IF(SMALL(U423:U426,3)=U423,3))),IF(M416=1,IF(SMALL(U423:U426,1)=U423,2,IF(SMALL(U423:U426,2)=U423,3,IF(SMALL(U423:U426,3)=U423,4))),"")),IF(COUNTIF(U423:U426,U423)=1,IF(U423&lt;U424,IF(M416=2,1,2),IF(M416=2,3,4)),IF(COUNTIF(U423:U426,U423)=2,IF(U423=U424,IF(U423&lt;U425,IF(M416=2,IF(Q439=3,1,2),IF(M416=1,IF(Q439=3,2,3))),IF(U423&gt;U425,IF(M416=2,IF(Q439=3,2,3),IF(M416=1,IF(Q439=3,3,4))))),IF(U423=U425,IF(U423&lt;U424,IF(M416=2,IF(Q427=3,1,2),IF(M416=1,IF(Q427=3,2,3))),IF(U423&gt;U424,IF(M416=2,IF(Q427=3,2,3),IF(M416=1,IF(Q427=3,3,4)))))))))))),"")</f>
        <v/>
      </c>
      <c r="AC433" s="192"/>
      <c r="AD433" s="192"/>
      <c r="AE433" s="192"/>
      <c r="AF433" s="203"/>
      <c r="AG433" s="203"/>
      <c r="AH433" s="203"/>
      <c r="AI433" s="203"/>
      <c r="AJ433" s="203"/>
      <c r="AK433" s="203"/>
      <c r="AL433" s="203"/>
      <c r="AM433" s="203"/>
      <c r="AN433" s="192"/>
      <c r="AO433" s="192"/>
      <c r="AP433" s="192"/>
      <c r="AQ433" s="192"/>
      <c r="AR433" s="192"/>
      <c r="AS433" s="192"/>
      <c r="AT433" s="192"/>
      <c r="AU433" s="192"/>
      <c r="AV433" s="192"/>
      <c r="AW433" s="192"/>
      <c r="AX433" s="192"/>
    </row>
    <row r="434" spans="2:50" ht="15" customHeight="1" thickBot="1" x14ac:dyDescent="0.35">
      <c r="B434" s="192"/>
      <c r="C434" s="192"/>
      <c r="D434" s="192"/>
      <c r="E434" s="164" t="str">
        <f>IF(Q434="","",IF(Q434=3,1,0))</f>
        <v/>
      </c>
      <c r="F434" s="164" t="str">
        <f>IF(Q434="","",IF(Q434&lt;3,1,0))</f>
        <v/>
      </c>
      <c r="G434" s="192"/>
      <c r="H434" s="192" t="str">
        <f>IF(I418="","",IF(I419&lt;&gt;"",4,2))</f>
        <v/>
      </c>
      <c r="I434" s="192" t="str">
        <f>IF(ISNUMBER(H434),VLOOKUP(H434,H416:I419,2,TRUE),"")</f>
        <v/>
      </c>
      <c r="J434" s="192"/>
      <c r="K434" s="192" t="str">
        <f>VLOOKUP(I434,I416:L419,3,FALSE)</f>
        <v/>
      </c>
      <c r="L434" s="155"/>
      <c r="M434" s="259"/>
      <c r="N434" s="259"/>
      <c r="O434" s="156"/>
      <c r="P434" s="157"/>
      <c r="Q434" s="260" t="str">
        <f>IF(L434="","",IF(AND(L434-L433&gt;1,L434&gt;10),1,0)+IF(AND(M434-M433&gt;1,M434&gt;10),1,0)+IF(AND(N434-N433&gt;1,N434&gt;10),1,0)+IF(AND(O434-O433&gt;1,O434&gt;10),1,0)+IF(AND(P434-P433&gt;1,P434&gt;10),1,0))</f>
        <v/>
      </c>
      <c r="R434" s="203" t="str">
        <f>IF(AND(Q433&lt;&gt;3,Q434&lt;&gt;3),"",IF(Q433=3,IF(VLOOKUP(I433,I416:L419,4,FALSE)&gt;VLOOKUP(I434,I416:L419,4,FALSE),VLOOKUP(R433,Point_dif,2,FALSE),VLOOKUP(R433,Point_dif,3,FALSE)),IF(Q434=3,IF(VLOOKUP(I434,I416:L419,4,FALSE)&gt;VLOOKUP(I433,I416:L419,4,FALSE),VLOOKUP(R433,Point_dif,2,FALSE),VLOOKUP(R433,Point_dif,3,FALSE)))))</f>
        <v/>
      </c>
      <c r="S434" s="256" t="str">
        <f>IF(R434="","",IF(Q434=3,+R434,-R434))</f>
        <v/>
      </c>
      <c r="T434" s="192"/>
      <c r="U434" s="235"/>
      <c r="V434" s="235"/>
      <c r="W434" s="235"/>
      <c r="X434" s="235"/>
      <c r="Y434" s="235"/>
      <c r="Z434" s="235"/>
      <c r="AA434" s="246">
        <v>2</v>
      </c>
      <c r="AB434" s="222" t="str">
        <f>IF(AND(COUNTBLANK(I416:I419)=0,Group_players=4,M416=M417,M417=M418),IF(U424="","",IF(COUNTIF(U423:U426,U424)=3,"Tied",IF(AND(COUNTIF(U423:U426,U424)=1,U423&lt;&gt;U425),IF(M417=2,IF(SMALL(U423:U426,1)=U424,1,IF(SMALL(U423:U426,2)=U424,2,IF(SMALL(U423:U426,3)=U424,3))),IF(M417=1,IF(SMALL(U423:U426,1)=U424,2,IF(SMALL(U423:U426,2)=U424,3,IF(SMALL(U423:U426,3)=U424,4))),"")),IF(COUNTIF(U423:U426,U424)=1,IF(U424&lt;U423,IF(M417=2,1,2),IF(M417=2,3,4)),IF(COUNTIF(U423:U426,U424)=2,IF(U424=U423,IF(U424&lt;U425,IF(M417=2,IF(Q440=3,1,2),IF(M417=1,IF(Q440=3,2,3))),IF(U424&gt;U425,IF(M417=2,IF(Q440=3,2,3),IF(M417=1,IF(Q440=3,3,4))))),IF(U424=U425,IF(U424&lt;U423,IF(M417=2,IF(Q436=3,1,2),IF(M417=1,IF(Q436=3,2,3))),IF(U424&gt;U423,IF(M417=2,IF(Q436=3,2,3),IF(M417=1,IF(Q436=3,3,4)))))))))))),"")</f>
        <v/>
      </c>
      <c r="AC434" s="192"/>
      <c r="AD434" s="192"/>
      <c r="AE434" s="192"/>
      <c r="AF434" s="203"/>
      <c r="AG434" s="203"/>
      <c r="AH434" s="203"/>
      <c r="AI434" s="203"/>
      <c r="AJ434" s="203"/>
      <c r="AK434" s="203"/>
      <c r="AL434" s="203"/>
      <c r="AM434" s="203"/>
      <c r="AN434" s="192"/>
      <c r="AO434" s="192"/>
      <c r="AP434" s="192"/>
      <c r="AQ434" s="192"/>
      <c r="AR434" s="192"/>
      <c r="AS434" s="192"/>
      <c r="AT434" s="192"/>
      <c r="AU434" s="192"/>
      <c r="AV434" s="192"/>
      <c r="AW434" s="192"/>
      <c r="AX434" s="192"/>
    </row>
    <row r="435" spans="2:50" ht="15" customHeight="1" thickTop="1" thickBot="1" x14ac:dyDescent="0.35">
      <c r="B435" s="192"/>
      <c r="C435" s="192"/>
      <c r="D435" s="192"/>
      <c r="E435" s="164"/>
      <c r="F435" s="164"/>
      <c r="G435" s="192"/>
      <c r="H435" s="192"/>
      <c r="I435" s="249" t="s">
        <v>118</v>
      </c>
      <c r="J435" s="249"/>
      <c r="K435" s="249"/>
      <c r="L435" s="250" t="s">
        <v>115</v>
      </c>
      <c r="M435" s="250" t="s">
        <v>116</v>
      </c>
      <c r="N435" s="250" t="s">
        <v>117</v>
      </c>
      <c r="O435" s="250" t="s">
        <v>118</v>
      </c>
      <c r="P435" s="250" t="s">
        <v>119</v>
      </c>
      <c r="Q435" s="250" t="s">
        <v>120</v>
      </c>
      <c r="R435" s="250"/>
      <c r="S435" s="251"/>
      <c r="T435" s="192"/>
      <c r="U435" s="235"/>
      <c r="V435" s="235"/>
      <c r="W435" s="235"/>
      <c r="X435" s="235"/>
      <c r="Y435" s="235"/>
      <c r="Z435" s="235"/>
      <c r="AA435" s="240">
        <v>3</v>
      </c>
      <c r="AB435" s="241" t="str">
        <f>IF(AND(COUNTBLANK(I416:I419)=0,Group_players=4,M416=M417,M417=M418),IF(U425="","",IF(COUNTIF(U423:U426,U425)=3,"Tied",IF(AND(COUNTIF(U423:U426,U425)=1,U423&lt;&gt;U424),IF(M416=2,IF(SMALL(U423:U426,1)=U425,1,IF(SMALL(U423:U426,2)=U425,2,IF(SMALL(U423:U426,3)=U425,3))),IF(M418=1,IF(SMALL(U423:U426,1)=U425,2,IF(SMALL(U423:U426,2)=U425,3,IF(SMALL(U423:U426,3)=U425,4))),"")),IF(COUNTIF(U423:U426,U425)=1,IF(U425&lt;U424,IF(M418=2,1,2),IF(M418=2,3,4)),IF(COUNTIF(U423:U426,U425)=2,IF(U425=U424,IF(U425&lt;U423,IF(M418=2,IF(Q437=3,1,2),IF(M418=1,IF(Q437=3,2,3))),IF(U425&gt;U423,IF(M418=2,IF(Q437=3,2,3),IF(M418=1,IF(Q437=3,3,4))))),IF(U425=U423,IF(U425&lt;U424,IF(M418=2,IF(Q428=3,1,2),IF(M418=1,IF(Q428=3,2,3))),IF(U425&gt;U424,IF(M418=2,IF(Q428=3,2,3),IF(M418=1,IF(Q428=3,3,4)))))))))))),"")</f>
        <v/>
      </c>
      <c r="AC435" s="192"/>
      <c r="AD435" s="192"/>
      <c r="AE435" s="192"/>
      <c r="AF435" s="203"/>
      <c r="AG435" s="203"/>
      <c r="AH435" s="203"/>
      <c r="AI435" s="203"/>
      <c r="AJ435" s="203"/>
      <c r="AK435" s="203"/>
      <c r="AL435" s="203"/>
      <c r="AM435" s="203"/>
      <c r="AN435" s="192"/>
      <c r="AO435" s="192"/>
      <c r="AP435" s="192"/>
      <c r="AQ435" s="192"/>
      <c r="AR435" s="192"/>
      <c r="AS435" s="192"/>
      <c r="AT435" s="192"/>
      <c r="AU435" s="192"/>
      <c r="AV435" s="192"/>
      <c r="AW435" s="192"/>
      <c r="AX435" s="192"/>
    </row>
    <row r="436" spans="2:50" ht="15" customHeight="1" thickTop="1" x14ac:dyDescent="0.3">
      <c r="B436" s="192"/>
      <c r="C436" s="192"/>
      <c r="D436" s="192"/>
      <c r="E436" s="164" t="str">
        <f>IF(Q436="","",IF(Q436=3,1,0))</f>
        <v/>
      </c>
      <c r="F436" s="164" t="str">
        <f>IF(Q436="","",IF(Q436&lt;3,1,0))</f>
        <v/>
      </c>
      <c r="G436" s="192"/>
      <c r="H436" s="192" t="str">
        <f>IF(I419&lt;&gt;"",2,"")</f>
        <v/>
      </c>
      <c r="I436" s="192" t="str">
        <f>IF(ISNUMBER(H436),VLOOKUP(H436,H416:I419,2,TRUE),"")</f>
        <v/>
      </c>
      <c r="J436" s="192"/>
      <c r="K436" s="192" t="str">
        <f>VLOOKUP(I436,I416:L419,3,FALSE)</f>
        <v/>
      </c>
      <c r="L436" s="253"/>
      <c r="M436" s="254"/>
      <c r="N436" s="254"/>
      <c r="O436" s="152"/>
      <c r="P436" s="153"/>
      <c r="Q436" s="255" t="str">
        <f>IF(L436="","",IF(AND(L436-L437&gt;1,L436&gt;10),1,0)+IF(AND(M436-M437&gt;1,M436&gt;10),1,0)+IF(AND(N436-N437&gt;1,N436&gt;10),1,0)+IF(AND(O436-O437&gt;1,O436&gt;10),1,0)+IF(AND(P436-P437&gt;1,P436&gt;10),1,0))</f>
        <v/>
      </c>
      <c r="R436" s="203" t="str">
        <f>IF(AND(I436="",I437=""),"",ABS(VLOOKUP(I436,I416:L419,4,FALSE)-VLOOKUP(I437,I416:L419,4,FALSE)))</f>
        <v/>
      </c>
      <c r="S436" s="256" t="str">
        <f>IF(R437="","",IF(Q436=3,+R437,-R437))</f>
        <v/>
      </c>
      <c r="T436" s="192"/>
      <c r="U436" s="235"/>
      <c r="V436" s="235"/>
      <c r="W436" s="235"/>
      <c r="X436" s="235"/>
      <c r="Y436" s="235"/>
      <c r="Z436" s="235"/>
      <c r="AA436" s="243">
        <v>1</v>
      </c>
      <c r="AB436" s="222" t="str">
        <f>IF(AND(COUNTBLANK(I416:I419)=0,Group_players=4,M416=M418,M418=M419),IF(V423="","",IF(COUNTIF(V423:V426,V423)=3,"Tied",IF(AND(COUNTIF(V423:V426,V423)=1,V425&lt;&gt;U426),IF(M416=2,IF(SMALL(V423:V426,1)=V423,1,IF(SMALL(V423:V426,2)=V423,2,IF(SMALL(V423:V426,3)=V423,3))),IF(M416=1,IF(SMALL(V423:V426,1)=V423,2,IF(SMALL(V423:V426,2)=V423,3,IF(SMALL(V423:V426,3)=V423,4))),"")),IF(COUNTIF(V423:V426,V423)=1,IF(V423&lt;V425,IF(M416=2,1,2),IF(M416=2,3,4)),IF(COUNTIF(V423:V426,V423)=2,IF(V423=V425,IF(V423&lt;V426,IF(M416=2,IF(Q427=3,1,2),IF(M416=1,IF(Q427=3,2,3))),IF(V423&gt;V426,IF(M416=2,IF(Q427=3,2,3),IF(M416=1,IF(Q427=3,3,4))))),IF(V423=V426,IF(V423&lt;V425,IF(M416=2,IF(Q433=3,1,2),IF(M416=1,IF(Q433=3,2,3))),IF(V423&gt;V424,IF(M416=2,IF(Q433=3,2,3),IF(M416=1,IF(Q433=3,3,4)))))))))))),"")</f>
        <v/>
      </c>
      <c r="AC436" s="192"/>
      <c r="AD436" s="192"/>
      <c r="AE436" s="192"/>
      <c r="AF436" s="203"/>
      <c r="AG436" s="203"/>
      <c r="AH436" s="203"/>
      <c r="AI436" s="203"/>
      <c r="AJ436" s="203"/>
      <c r="AK436" s="203"/>
      <c r="AL436" s="203"/>
      <c r="AM436" s="203"/>
      <c r="AN436" s="192"/>
      <c r="AO436" s="192"/>
      <c r="AP436" s="192"/>
      <c r="AQ436" s="192"/>
      <c r="AR436" s="192"/>
      <c r="AS436" s="192"/>
      <c r="AT436" s="192"/>
      <c r="AU436" s="192"/>
      <c r="AV436" s="192"/>
      <c r="AW436" s="192"/>
      <c r="AX436" s="192"/>
    </row>
    <row r="437" spans="2:50" ht="15" customHeight="1" thickBot="1" x14ac:dyDescent="0.35">
      <c r="B437" s="192"/>
      <c r="C437" s="192"/>
      <c r="D437" s="192"/>
      <c r="E437" s="164" t="str">
        <f>IF(Q437="","",IF(Q437=3,1,0))</f>
        <v/>
      </c>
      <c r="F437" s="164" t="str">
        <f>IF(Q437="","",IF(Q437&lt;3,1,0))</f>
        <v/>
      </c>
      <c r="G437" s="192"/>
      <c r="H437" s="192" t="str">
        <f>IF(I419&lt;&gt;"",3,"")</f>
        <v/>
      </c>
      <c r="I437" s="192" t="str">
        <f>IF(ISNUMBER(H437),VLOOKUP(H437,H416:I419,2,TRUE),"")</f>
        <v/>
      </c>
      <c r="J437" s="192"/>
      <c r="K437" s="192" t="str">
        <f>VLOOKUP(I437,I416:L419,3,FALSE)</f>
        <v/>
      </c>
      <c r="L437" s="155"/>
      <c r="M437" s="259"/>
      <c r="N437" s="259"/>
      <c r="O437" s="156"/>
      <c r="P437" s="157"/>
      <c r="Q437" s="260" t="str">
        <f>IF(L437="","",IF(AND(L437-L436&gt;1,L437&gt;10),1,0)+IF(AND(M437-M436&gt;1,M437&gt;10),1,0)+IF(AND(N437-N436&gt;1,N437&gt;10),1,0)+IF(AND(O437-O436&gt;1,O437&gt;10),1,0)+IF(AND(P437-P436&gt;1,P437&gt;10),1,0))</f>
        <v/>
      </c>
      <c r="R437" s="203" t="str">
        <f>IF(AND(Q436&lt;&gt;3,Q437&lt;&gt;3),"",IF(Q436=3,IF(VLOOKUP(I436,I416:L419,4,FALSE)&gt;VLOOKUP(I437,I416:L419,4,FALSE),VLOOKUP(R436,Point_dif,2,FALSE),VLOOKUP(R436,Point_dif,3,FALSE)),IF(Q437=3,IF(VLOOKUP(I437,I416:L419,4,FALSE)&gt;VLOOKUP(I436,I416:L419,4,FALSE),VLOOKUP(R436,Point_dif,2,FALSE),VLOOKUP(R436,Point_dif,3,FALSE)))))</f>
        <v/>
      </c>
      <c r="S437" s="256" t="str">
        <f>IF(R437="","",IF(Q437=3,+R437,-R437))</f>
        <v/>
      </c>
      <c r="T437" s="192"/>
      <c r="U437" s="159"/>
      <c r="V437" s="266"/>
      <c r="W437" s="266"/>
      <c r="X437" s="266"/>
      <c r="Y437" s="192"/>
      <c r="Z437" s="203"/>
      <c r="AA437" s="246">
        <v>3</v>
      </c>
      <c r="AB437" s="222" t="str">
        <f>IF(AND(COUNTBLANK(I416:I419)=0,Group_players=4,M416=M418,M418=M419),IF(V425="","",IF(COUNTIF(V423:V426,V425)=3,"Tied",IF(AND(COUNTIF(V423:V426,V425)=1,V423&lt;&gt;V426),IF(M418=2,IF(SMALL(V423:V426,1)=V425,1,IF(SMALL(V423:V426,2)=V425,2,IF(SMALL(V423:V426,3)=V425,3))),IF(M418=1,IF(SMALL(V423:V426,1)=V425,2,IF(SMALL(V423:V426,2)=V425,3,IF(SMALL(V423:V426,3)=V425,4))),"")),IF(COUNTIF(V423:V426,V425)=1,IF(V425&lt;V423,IF(M418=2,1,2),IF(M418=2,3,4)),IF(COUNTIF(V423:V426,V425)=2,IF(V425=V423,IF(V425&lt;V426,IF(M418=2,IF(Q428=3,1,2),IF(M418=1,IF(Q428=3,2,3))),IF(V425&gt;V426,IF(M418=2,IF(Q428=3,2,3),IF(M418=1,IF(Q428=3,3,4))))),IF(V425=V426,IF(V425&lt;V423,IF(M418=2,IF(Q442=3,1,2),IF(M418=1,IF(Q442=3,2,3))),IF(V425&gt;V423,IF(M418=2,IF(Q442=3,2,3),IF(M418=1,IF(Q442=3,3,4)))))))))))),"")</f>
        <v/>
      </c>
      <c r="AC437" s="192"/>
      <c r="AD437" s="192"/>
      <c r="AE437" s="192"/>
      <c r="AF437" s="203"/>
      <c r="AG437" s="203"/>
      <c r="AH437" s="203"/>
      <c r="AI437" s="203"/>
      <c r="AJ437" s="203"/>
      <c r="AK437" s="203"/>
      <c r="AL437" s="203"/>
      <c r="AM437" s="203"/>
      <c r="AN437" s="192"/>
      <c r="AO437" s="192"/>
      <c r="AP437" s="192"/>
      <c r="AQ437" s="192"/>
      <c r="AR437" s="192"/>
      <c r="AS437" s="192"/>
      <c r="AT437" s="192"/>
      <c r="AU437" s="192"/>
      <c r="AV437" s="192"/>
      <c r="AW437" s="192"/>
      <c r="AX437" s="192"/>
    </row>
    <row r="438" spans="2:50" ht="15" customHeight="1" thickTop="1" thickBot="1" x14ac:dyDescent="0.35">
      <c r="B438" s="192"/>
      <c r="C438" s="192"/>
      <c r="D438" s="192"/>
      <c r="E438" s="164"/>
      <c r="F438" s="164"/>
      <c r="G438" s="192"/>
      <c r="H438" s="192"/>
      <c r="I438" s="249" t="s">
        <v>119</v>
      </c>
      <c r="J438" s="249"/>
      <c r="K438" s="249"/>
      <c r="L438" s="250" t="s">
        <v>115</v>
      </c>
      <c r="M438" s="250" t="s">
        <v>116</v>
      </c>
      <c r="N438" s="250" t="s">
        <v>117</v>
      </c>
      <c r="O438" s="250" t="s">
        <v>118</v>
      </c>
      <c r="P438" s="250" t="s">
        <v>119</v>
      </c>
      <c r="Q438" s="250" t="s">
        <v>120</v>
      </c>
      <c r="R438" s="250"/>
      <c r="S438" s="251"/>
      <c r="T438" s="247"/>
      <c r="U438" s="235"/>
      <c r="V438" s="235"/>
      <c r="W438" s="235"/>
      <c r="X438" s="235"/>
      <c r="Y438" s="235"/>
      <c r="Z438" s="235"/>
      <c r="AA438" s="240">
        <v>4</v>
      </c>
      <c r="AB438" s="241" t="str">
        <f>IF(AND(COUNTBLANK(I416:I419)=0,Group_players=4,M416=M418,M418=M419),IF(V426="","",IF(COUNTIF(V423:V426,V426)=3,"Tied",IF(AND(COUNTIF(V423:V426,V426)=1,V425&lt;&gt;V423),IF(M419=2,IF(SMALL(V423:V426,1)=V426,1,IF(SMALL(V423:V426,2)=V426,2,IF(SMALL(V423:V426,3)=V426,3))),IF(M419=1,IF(SMALL(V423:V426,1)=V426,2,IF(SMALL(V423:V426,2)=V426,3,IF(SMALL(V423:V426,3)=V426,4))),"")),IF(COUNTIF(V423:V426,V426)=1,IF(V426&lt;V423,IF(M419=2,1,2),IF(M419=2,3,4)),IF(COUNTIF(V423:V426,V426)=2,IF(V426=V423,IF(V426&lt;V425,IF(M419=2,IF(Q434=3,1,2),IF(M419=1,IF(Q434=3,2,3))),IF(V426&gt;V425,IF(M419=2,IF(Q434=3,2,3),IF(M419=1,IF(Q434=3,3,4))))),IF(V426=V425,IF(V426&lt;V423,IF(M419=2,IF(Q443=3,1,2),IF(M419=1,IF(Q443=3,2,3))),IF(V426&gt;V423,IF(M419=2,IF(Q443=3,2,3),IF(M419=1,IF(Q443=3,3,4)))))))))))),"")</f>
        <v/>
      </c>
      <c r="AC438" s="192"/>
      <c r="AD438" s="192"/>
      <c r="AE438" s="192"/>
      <c r="AF438" s="203"/>
      <c r="AG438" s="203"/>
      <c r="AH438" s="203"/>
      <c r="AI438" s="203"/>
      <c r="AJ438" s="203"/>
      <c r="AK438" s="203"/>
      <c r="AL438" s="203"/>
      <c r="AM438" s="203"/>
      <c r="AN438" s="192"/>
      <c r="AO438" s="192"/>
      <c r="AP438" s="192"/>
      <c r="AQ438" s="192"/>
      <c r="AR438" s="192"/>
      <c r="AS438" s="192"/>
      <c r="AT438" s="192"/>
      <c r="AU438" s="192"/>
      <c r="AV438" s="192"/>
      <c r="AW438" s="192"/>
      <c r="AX438" s="192"/>
    </row>
    <row r="439" spans="2:50" ht="15" customHeight="1" thickTop="1" x14ac:dyDescent="0.3">
      <c r="B439" s="192"/>
      <c r="C439" s="192"/>
      <c r="D439" s="192"/>
      <c r="E439" s="164" t="str">
        <f>IF(Q439="","",IF(Q439=3,1,0))</f>
        <v/>
      </c>
      <c r="F439" s="164" t="str">
        <f>IF(Q439="","",IF(Q439&lt;3,1,0))</f>
        <v/>
      </c>
      <c r="G439" s="192"/>
      <c r="H439" s="192" t="str">
        <f>IF(I419&lt;&gt;"",1,"")</f>
        <v/>
      </c>
      <c r="I439" s="192" t="str">
        <f>IF(ISNUMBER(H439),VLOOKUP(H439,H416:I419,2,TRUE),"")</f>
        <v/>
      </c>
      <c r="J439" s="192"/>
      <c r="K439" s="192" t="str">
        <f>VLOOKUP(I439,I416:L419,3,FALSE)</f>
        <v/>
      </c>
      <c r="L439" s="253"/>
      <c r="M439" s="254"/>
      <c r="N439" s="254"/>
      <c r="O439" s="152"/>
      <c r="P439" s="153"/>
      <c r="Q439" s="255" t="str">
        <f>IF(L439="","",IF(AND(L439-L440&gt;1,L439&gt;10),1,0)+IF(AND(M439-M440&gt;1,M439&gt;10),1,0)+IF(AND(N439-N440&gt;1,N439&gt;10),1,0)+IF(AND(O439-O440&gt;1,O439&gt;10),1,0)+IF(AND(P439-P440&gt;1,P439&gt;10),1,0))</f>
        <v/>
      </c>
      <c r="R439" s="203" t="str">
        <f>IF(AND(I439="",I440=""),"",ABS(VLOOKUP(I439,I416:L419,4,FALSE)-VLOOKUP(I440,I416:L419,4,FALSE)))</f>
        <v/>
      </c>
      <c r="S439" s="256" t="str">
        <f>IF(R440="","",IF(Q439=3,+R440,-R440))</f>
        <v/>
      </c>
      <c r="T439" s="247"/>
      <c r="U439" s="235"/>
      <c r="V439" s="235"/>
      <c r="W439" s="235"/>
      <c r="X439" s="235"/>
      <c r="Y439" s="235"/>
      <c r="Z439" s="235"/>
      <c r="AA439" s="243">
        <v>1</v>
      </c>
      <c r="AB439" s="222" t="str">
        <f>IF(AND(COUNTBLANK(I416:I419)=0,Group_players=4,M416=M417,M417=M419),IF(W423="","",IF(COUNTIF(W423:W426,W423)=3,"Tied",IF(AND(COUNTIF(W423:W426,W423)=1,W424&lt;&gt;W425),IF(M416=2,IF(SMALL(W423:W426,1)=W423,1,IF(SMALL(W423:W426,2)=W423,2,IF(SMALL(W423:W426,3)=W423,3))),IF(M416=1,IF(SMALL(W423:W426,1)=W423,2,IF(SMALL(W423:W426,2)=W423,3,IF(SMALL(W423:W426,3)=W423,4))),"")),IF(COUNTIF(W423:W426,W423)=1,IF(W423&lt;W424,IF(M416=2,1,2),IF(M416=2,3,4)),IF(COUNTIF(W423:W426,W423)=2,IF(W423=W424,IF(W423&lt;W426,IF(M416=2,IF(Q439=3,1,2),IF(M416=1,IF(Q439=3,2,3))),IF(W423&gt;W426,IF(M416=2,IF(Q439=3,2,3),IF(M416=1,IF(Q439=3,3,4))))),IF(W423=W426,IF(W423&lt;W424,IF(M416=2,IF(Q433=3,1,2),IF(M416=1,IF(Q433=3,2,3))),IF(W423&gt;W424,IF(M416=2,IF(Q433=3,2,3),IF(M416=1,IF(Q433=3,3,4)))))))))))),"")</f>
        <v/>
      </c>
      <c r="AC439" s="192"/>
      <c r="AD439" s="192"/>
      <c r="AE439" s="192"/>
      <c r="AF439" s="203"/>
      <c r="AG439" s="203"/>
      <c r="AH439" s="203"/>
      <c r="AI439" s="203"/>
      <c r="AJ439" s="203"/>
      <c r="AK439" s="203"/>
      <c r="AL439" s="203"/>
      <c r="AM439" s="203"/>
      <c r="AN439" s="192"/>
      <c r="AO439" s="192"/>
      <c r="AP439" s="192"/>
      <c r="AQ439" s="192"/>
      <c r="AR439" s="192"/>
      <c r="AS439" s="192"/>
      <c r="AT439" s="192"/>
      <c r="AU439" s="192"/>
      <c r="AV439" s="192"/>
      <c r="AW439" s="192"/>
      <c r="AX439" s="192"/>
    </row>
    <row r="440" spans="2:50" ht="15" customHeight="1" thickBot="1" x14ac:dyDescent="0.35">
      <c r="B440" s="192"/>
      <c r="C440" s="192"/>
      <c r="D440" s="192"/>
      <c r="E440" s="164" t="str">
        <f>IF(Q440="","",IF(Q440=3,1,0))</f>
        <v/>
      </c>
      <c r="F440" s="164" t="str">
        <f>IF(Q440="","",IF(Q440&lt;3,1,0))</f>
        <v/>
      </c>
      <c r="G440" s="192"/>
      <c r="H440" s="192" t="str">
        <f>IF(I419&lt;&gt;"",2,"")</f>
        <v/>
      </c>
      <c r="I440" s="192" t="str">
        <f>IF(ISNUMBER(H440),VLOOKUP(H440,H416:I419,2,TRUE),"")</f>
        <v/>
      </c>
      <c r="J440" s="192"/>
      <c r="K440" s="192" t="str">
        <f>VLOOKUP(I440,I416:L419,3,FALSE)</f>
        <v/>
      </c>
      <c r="L440" s="155"/>
      <c r="M440" s="259"/>
      <c r="N440" s="259"/>
      <c r="O440" s="156"/>
      <c r="P440" s="157"/>
      <c r="Q440" s="260" t="str">
        <f>IF(L440="","",IF(AND(L440-L439&gt;1,L440&gt;10),1,0)+IF(AND(M440-M439&gt;1,M440&gt;10),1,0)+IF(AND(N440-N439&gt;1,N440&gt;10),1,0)+IF(AND(O440-O439&gt;1,O440&gt;10),1,0)+IF(AND(P440-P439&gt;1,P440&gt;10),1,0))</f>
        <v/>
      </c>
      <c r="R440" s="203" t="str">
        <f>IF(AND(Q439&lt;&gt;3,Q440&lt;&gt;3),"",IF(Q439=3,IF(VLOOKUP(I439,I416:L419,4,FALSE)&gt;VLOOKUP(I440,I416:L419,4,FALSE),VLOOKUP(R439,Point_dif,2,FALSE),VLOOKUP(R439,Point_dif,3,FALSE)),IF(Q440=3,IF(VLOOKUP(I440,I416:L419,4,FALSE)&gt;VLOOKUP(I440,I416:L419,4,FALSE),VLOOKUP(R439,Point_dif,2,FALSE),VLOOKUP(R439,Point_dif,3,FALSE)))))</f>
        <v/>
      </c>
      <c r="S440" s="256" t="str">
        <f>IF(R440="","",IF(Q440=3,+R440,-R440))</f>
        <v/>
      </c>
      <c r="T440" s="247"/>
      <c r="U440" s="235"/>
      <c r="V440" s="235"/>
      <c r="W440" s="235"/>
      <c r="X440" s="235"/>
      <c r="Y440" s="235"/>
      <c r="Z440" s="235"/>
      <c r="AA440" s="246">
        <v>2</v>
      </c>
      <c r="AB440" s="222" t="str">
        <f>IF(AND(COUNTBLANK(I416:I419)=0,Group_players=4,M416=M417,M417=M419),IF(W424="","",IF(COUNTIF(W423:W426,W424)=3,"Tied",IF(AND(COUNTIF(W423:W426,W424)=1,W423&lt;&gt;W425),IF(M417=2,IF(SMALL(W423:W426,1)=W424,1,IF(SMALL(W423:W426,2)=W424,2,IF(SMALL(W423:W426,3)=W424,3))),IF(M417=1,IF(SMALL(W423:W426,1)=W424,2,IF(SMALL(W423:W426,2)=W424,3,IF(SMALL(W423:W426,3)=W424,4))),"")),IF(COUNTIF(W423:W426,W424)=1,IF(W424&lt;W423,IF(M417=2,1,2),IF(M417=2,3,4)),IF(COUNTIF(W423:W426,W424)=2,IF(W424=W423,IF(W424&lt;W426,IF(M417=2,IF(Q440=3,1,2),IF(M417=1,IF(Q440=3,2,3))),IF(W424&gt;W426,IF(M417=2,IF(Q440=3,2,3),IF(M417=1,IF(Q440=3,3,4))))),IF(W424=W426,IF(W424&lt;W423,IF(M417=2,IF(Q430=3,1,2),IF(M417=1,IF(Q430=3,2,3))),IF(W424&gt;W423,IF(M417=2,IF(Q430=3,2,3),IF(M417=1,IF(Q430=3,3,4)))))))))))),"")</f>
        <v/>
      </c>
      <c r="AC440" s="192"/>
      <c r="AD440" s="192"/>
      <c r="AE440" s="192"/>
      <c r="AF440" s="203"/>
      <c r="AG440" s="203"/>
      <c r="AH440" s="203"/>
      <c r="AI440" s="203"/>
      <c r="AJ440" s="203"/>
      <c r="AK440" s="203"/>
      <c r="AL440" s="203"/>
      <c r="AM440" s="203"/>
      <c r="AN440" s="192"/>
      <c r="AO440" s="192"/>
      <c r="AP440" s="192"/>
      <c r="AQ440" s="192"/>
      <c r="AR440" s="192"/>
      <c r="AS440" s="192"/>
      <c r="AT440" s="192"/>
      <c r="AU440" s="192"/>
      <c r="AV440" s="192"/>
      <c r="AW440" s="192"/>
      <c r="AX440" s="192"/>
    </row>
    <row r="441" spans="2:50" ht="15" customHeight="1" thickTop="1" thickBot="1" x14ac:dyDescent="0.35">
      <c r="B441" s="192"/>
      <c r="C441" s="192"/>
      <c r="D441" s="192"/>
      <c r="E441" s="164"/>
      <c r="F441" s="164"/>
      <c r="G441" s="192"/>
      <c r="H441" s="192"/>
      <c r="I441" s="249" t="s">
        <v>121</v>
      </c>
      <c r="J441" s="249"/>
      <c r="K441" s="249"/>
      <c r="L441" s="250" t="s">
        <v>115</v>
      </c>
      <c r="M441" s="250" t="s">
        <v>116</v>
      </c>
      <c r="N441" s="250" t="s">
        <v>117</v>
      </c>
      <c r="O441" s="250" t="s">
        <v>118</v>
      </c>
      <c r="P441" s="250" t="s">
        <v>119</v>
      </c>
      <c r="Q441" s="250" t="s">
        <v>120</v>
      </c>
      <c r="R441" s="250"/>
      <c r="S441" s="251"/>
      <c r="T441" s="247"/>
      <c r="U441" s="235"/>
      <c r="V441" s="235"/>
      <c r="W441" s="235"/>
      <c r="X441" s="235"/>
      <c r="Y441" s="235"/>
      <c r="Z441" s="235"/>
      <c r="AA441" s="240">
        <v>4</v>
      </c>
      <c r="AB441" s="241" t="str">
        <f>IF(AND(COUNTBLANK(I416:I419)=0,Group_players=4,M416=M417,M417=M419),IF(W426="","",IF(COUNTIF(W423:W426,W426)=3,"Tied",IF(AND(COUNTIF(W423:W426,W426)=1,W423&lt;&gt;W424),IF(M419=2,IF(SMALL(W423:W426,1)=W426,1,IF(SMALL(W423:W426,2)=W426,2,IF(SMALL(W423:W426,3)=W426,3))),IF(M419=1,IF(SMALL(W423:W426,1)=W426,2,IF(SMALL(W423:W426,2)=W426,3,IF(SMALL(W423:W426,3)=W426,4))),"")),IF(COUNTIF(W423:W426,W426)=1,IF(W426&lt;W423,IF(M419=2,1,2),IF(M419=2,3,4)),IF(COUNTIF(W423:W426,W426)=2,IF(W426=W423,IF(W426&lt;W424,IF(M419=2,IF(Q434=3,1,2),IF(M419=1,IF(Q434=3,2,3))),IF(W426&gt;W425,IF(M419=2,IF(Q434=3,2,3),IF(M419=1,IF(Q434=3,3,4))))),IF(W426=W424,IF(W426&lt;W423,IF(M419=2,IF(Q431=3,1,2),IF(M419=1,IF(Q431=3,2,3))),IF(W426&gt;W423,IF(M419=2,IF(Q431=3,2,3),IF(M419=1,IF(Q431=3,3,4)))))))))))),"")</f>
        <v/>
      </c>
      <c r="AC441" s="192"/>
      <c r="AD441" s="192"/>
      <c r="AE441" s="192"/>
      <c r="AF441" s="203"/>
      <c r="AG441" s="203"/>
      <c r="AH441" s="203"/>
      <c r="AI441" s="203"/>
      <c r="AJ441" s="203"/>
      <c r="AK441" s="203"/>
      <c r="AL441" s="203"/>
      <c r="AM441" s="203"/>
      <c r="AN441" s="192"/>
      <c r="AO441" s="192"/>
      <c r="AP441" s="192"/>
      <c r="AQ441" s="192"/>
      <c r="AR441" s="192"/>
      <c r="AS441" s="192"/>
      <c r="AT441" s="192"/>
      <c r="AU441" s="192"/>
      <c r="AV441" s="192"/>
      <c r="AW441" s="192"/>
      <c r="AX441" s="192"/>
    </row>
    <row r="442" spans="2:50" ht="15" customHeight="1" thickTop="1" x14ac:dyDescent="0.3">
      <c r="B442" s="192"/>
      <c r="C442" s="192"/>
      <c r="D442" s="192"/>
      <c r="E442" s="164" t="str">
        <f>IF(Q442="","",IF(Q442=3,1,0))</f>
        <v/>
      </c>
      <c r="F442" s="164" t="str">
        <f>IF(Q442="","",IF(Q442&lt;3,1,0))</f>
        <v/>
      </c>
      <c r="G442" s="192"/>
      <c r="H442" s="192" t="str">
        <f>IF(I419&lt;&gt;"",3,"")</f>
        <v/>
      </c>
      <c r="I442" s="192" t="str">
        <f>IF(ISNUMBER(H442),VLOOKUP(H442,H416:I419,2,TRUE),"")</f>
        <v/>
      </c>
      <c r="J442" s="192"/>
      <c r="K442" s="192" t="str">
        <f>VLOOKUP(I442,I416:L419,3,FALSE)</f>
        <v/>
      </c>
      <c r="L442" s="253"/>
      <c r="M442" s="254"/>
      <c r="N442" s="254"/>
      <c r="O442" s="152"/>
      <c r="P442" s="153"/>
      <c r="Q442" s="255" t="str">
        <f>IF(L442="","",IF(AND(L442-L443&gt;1,L442&gt;10),1,0)+IF(AND(M442-M443&gt;1,M442&gt;10),1,0)+IF(AND(N442-N443&gt;1,N442&gt;10),1,0)+IF(AND(O442-O443&gt;1,O442&gt;10),1,0)+IF(AND(P442-P443&gt;1,P442&gt;10),1,0))</f>
        <v/>
      </c>
      <c r="R442" s="203" t="str">
        <f>IF(AND(I442="",I443=""),"",ABS(VLOOKUP(I442,I416:L419,4,FALSE)-VLOOKUP(I443,I416:L419,4,FALSE)))</f>
        <v/>
      </c>
      <c r="S442" s="256" t="str">
        <f>IF(R443="","",IF(Q442=3,+R443,-R443))</f>
        <v/>
      </c>
      <c r="T442" s="247"/>
      <c r="U442" s="264"/>
      <c r="V442" s="242"/>
      <c r="W442" s="192"/>
      <c r="X442" s="264"/>
      <c r="Y442" s="192"/>
      <c r="Z442" s="192"/>
      <c r="AA442" s="243">
        <v>2</v>
      </c>
      <c r="AB442" s="222" t="str">
        <f>IF(AND(COUNTBLANK(I416:I419)=0,Group_players=4,M417=M418,M418=M419),IF(X424="","",IF(COUNTIF(X423:X426,X424)=3,"Tied",IF(AND(COUNTIF(X423:X426,X424)=1,X425&lt;&gt;X426),IF(M417=2,IF(SMALL(X423:X426,1)=X424,1,IF(SMALL(X423:X426,2)=X424,2,IF(SMALL(X423:X426,3)=X424,3))),IF(M417=1,IF(SMALL(X423:X426,1)=X424,2,IF(SMALL(X423:X426,2)=X424,3,IF(SMALL(X423:X426,3)=X424,4))),"")),IF(COUNTIF(X423:X426,X424)=1,IF(X424&lt;X426,IF(M417=2,1,2),IF(M417=1,4)),IF(COUNTIF(X423:X426,X424)=2,IF(X424=X425,IF(X424&lt;X426,IF(M417=2,IF(Q436=3,1,2),IF(M417=1,IF(Q436=3,2,3))),IF(X424&gt;X426,IF(M417=2,IF(Q436=3,2,3),IF(M417=1,IF(Q436=3,3,4))))),IF(X424=X426,IF(X424&lt;X425,IF(M417=2,IF(Q430=3,1,2),IF(M417=1,IF(Q430=3,2,3))),IF(X424&gt;X425,IF(M417=2,IF(Q430=3,2,3),IF(M417=1,IF(Q430=3,3,4)))))))))))),"")</f>
        <v/>
      </c>
      <c r="AC442" s="192"/>
      <c r="AD442" s="192"/>
      <c r="AE442" s="192"/>
      <c r="AF442" s="203"/>
      <c r="AG442" s="203"/>
      <c r="AH442" s="203"/>
      <c r="AI442" s="203"/>
      <c r="AJ442" s="203"/>
      <c r="AK442" s="203"/>
      <c r="AL442" s="203"/>
      <c r="AM442" s="203"/>
      <c r="AN442" s="192"/>
      <c r="AO442" s="192"/>
      <c r="AP442" s="192"/>
      <c r="AQ442" s="192"/>
      <c r="AR442" s="192"/>
      <c r="AS442" s="192"/>
      <c r="AT442" s="192"/>
      <c r="AU442" s="192"/>
      <c r="AV442" s="192"/>
      <c r="AW442" s="192"/>
      <c r="AX442" s="192"/>
    </row>
    <row r="443" spans="2:50" ht="15" customHeight="1" thickBot="1" x14ac:dyDescent="0.35">
      <c r="B443" s="192"/>
      <c r="C443" s="192"/>
      <c r="D443" s="192"/>
      <c r="E443" s="164" t="str">
        <f>IF(Q443="","",IF(Q443=3,1,0))</f>
        <v/>
      </c>
      <c r="F443" s="164" t="str">
        <f>IF(Q443="","",IF(Q443&lt;3,1,0))</f>
        <v/>
      </c>
      <c r="G443" s="192"/>
      <c r="H443" s="192" t="str">
        <f>IF(I419&lt;&gt;"",4,"")</f>
        <v/>
      </c>
      <c r="I443" s="192" t="str">
        <f>IF(ISNUMBER(H443),VLOOKUP(H443,H416:I419,2,TRUE),"")</f>
        <v/>
      </c>
      <c r="J443" s="192"/>
      <c r="K443" s="192" t="str">
        <f>VLOOKUP(I443,I416:L419,3,FALSE)</f>
        <v/>
      </c>
      <c r="L443" s="155"/>
      <c r="M443" s="259"/>
      <c r="N443" s="259"/>
      <c r="O443" s="156"/>
      <c r="P443" s="157"/>
      <c r="Q443" s="260" t="str">
        <f>IF(L443="","",IF(AND(L443-L442&gt;1,L443&gt;10),1,0)+IF(AND(M443-M442&gt;1,M443&gt;10),1,0)+IF(AND(N443-N442&gt;1,N443&gt;10),1,0)+IF(AND(O443-O442&gt;1,O443&gt;10),1,0)+IF(AND(P443-P442&gt;1,P443&gt;10),1,0))</f>
        <v/>
      </c>
      <c r="R443" s="203" t="str">
        <f>IF(AND(Q442&lt;&gt;3,Q443&lt;&gt;3),"",IF(Q442=3,IF(VLOOKUP(I442,I416:L419,4,FALSE)&gt;VLOOKUP(I443,I416:L419,4,FALSE),VLOOKUP(R442,Point_dif,2,FALSE),VLOOKUP(R442,Point_dif,3,FALSE)),IF(Q443=3,IF(VLOOKUP(I443,I416:L419,4,FALSE)&gt;VLOOKUP(I442,I416:L419,4,FALSE),VLOOKUP(R442,Point_dif,2,FALSE),VLOOKUP(R442,Point_dif,3,FALSE)))))</f>
        <v/>
      </c>
      <c r="S443" s="260" t="str">
        <f>IF(R443="","",IF(Q443=3,+R443,-R443))</f>
        <v/>
      </c>
      <c r="T443" s="247"/>
      <c r="U443" s="235"/>
      <c r="V443" s="235"/>
      <c r="W443" s="235"/>
      <c r="X443" s="235"/>
      <c r="Y443" s="235"/>
      <c r="Z443" s="235"/>
      <c r="AA443" s="246">
        <v>3</v>
      </c>
      <c r="AB443" s="222" t="str">
        <f>IF(AND(COUNTBLANK(I416:I419)=0,Group_players=4,Group_players=4,M417=M418,M418=M419),IF(X425="","",IF(COUNTIF(X423:X426,X425)=3,"Tied",IF(AND(COUNTIF(X423:X426,X425)=1,X424&lt;&gt;X426),IF(M418=2,IF(SMALL(X423:X426,1)=X425,1,IF(SMALL(X423:X426,2)=X425,2,IF(SMALL(X423:X426,3)=X425,3))),IF(M418=1,IF(SMALL(X423:X426,1)=X425,2,IF(SMALL(X423:X426,2)=X425,3,IF(SMALL(X423:X426,3)=X425,4))),"")),IF(COUNTIF(X423:X426,X425)=1,IF(X425&lt;X424,IF(M418=2,1,2),IF(M418=2,3,4)),IF(COUNTIF(X423:X426,X425)=2,IF(X425=X424,IF(X425&lt;X426,IF(M418=2,IF(Q437=3,1,2),IF(M418=1,IF(Q437=3,2,3))),IF(X425&gt;X426,IF(M418=2,IF(Q437=3,2,3),IF(M418=1,IF(Q437=3,3,4))))),IF(X425=X426,IF(X425&lt;X424,IF(M418=2,IF(Q442=3,1,2),IF(M418=1,IF(Q442=3,2,3))),IF(X425&gt;X424,IF(M418=2,IF(Q442=3,2,3),IF(M418=1,IF(Q442=3,3,4)))))))))))),"")</f>
        <v/>
      </c>
      <c r="AC443" s="192"/>
      <c r="AD443" s="192"/>
      <c r="AE443" s="192"/>
      <c r="AF443" s="203"/>
      <c r="AG443" s="203"/>
      <c r="AH443" s="203"/>
      <c r="AI443" s="203"/>
      <c r="AJ443" s="203"/>
      <c r="AK443" s="203"/>
      <c r="AL443" s="203"/>
      <c r="AM443" s="203"/>
      <c r="AN443" s="192"/>
      <c r="AO443" s="192"/>
      <c r="AP443" s="192"/>
      <c r="AQ443" s="192"/>
      <c r="AR443" s="192"/>
      <c r="AS443" s="192"/>
      <c r="AT443" s="192"/>
      <c r="AU443" s="192"/>
      <c r="AV443" s="192"/>
      <c r="AW443" s="192"/>
      <c r="AX443" s="192"/>
    </row>
    <row r="444" spans="2:50" ht="15" customHeight="1" thickTop="1" thickBot="1" x14ac:dyDescent="0.35">
      <c r="B444" s="192"/>
      <c r="C444" s="192"/>
      <c r="D444" s="192"/>
      <c r="E444" s="192"/>
      <c r="F444" s="192"/>
      <c r="G444" s="192"/>
      <c r="H444" s="192"/>
      <c r="I444" s="192"/>
      <c r="J444" s="192"/>
      <c r="K444" s="192"/>
      <c r="L444" s="192"/>
      <c r="M444" s="192"/>
      <c r="N444" s="192"/>
      <c r="O444" s="268"/>
      <c r="P444" s="192"/>
      <c r="Q444" s="192"/>
      <c r="R444" s="247"/>
      <c r="S444" s="247"/>
      <c r="T444" s="247"/>
      <c r="U444" s="235"/>
      <c r="V444" s="235"/>
      <c r="W444" s="235"/>
      <c r="X444" s="235"/>
      <c r="Y444" s="235"/>
      <c r="Z444" s="235"/>
      <c r="AA444" s="261">
        <v>4</v>
      </c>
      <c r="AB444" s="233" t="str">
        <f>IF(AND(COUNTBLANK(I416:I419)=0,Group_players=4,M417=M418,M418=M419),IF(X426="","",IF(COUNTIF(X423:X426,X426)=3,"Tied",IF(AND(COUNTIF(X423:X426,X426)=1,X425&lt;&gt;X424),IF(M419=2,IF(SMALL(X423:X426,1)=X426,1,IF(SMALL(X423:X426,2)=X426,2,IF(SMALL(X423:X426,3)=X426,3))),IF(M419=1,IF(SMALL(X423:X426,1)=X426,2,IF(SMALL(X423:X426,2)=X426,3,IF(SMALL(X423:X426,3)=X426,4))),"")),IF(COUNTIF(X423:X426,X426)=1,IF(X426&lt;X424,IF(M419=2,1,2),IF(M419=2,3,4)),IF(COUNTIF(X423:X426,X426)=2,IF(X426=X424,IF(X426&lt;X425,IF(M419=2,IF(Q431=3,1,2),IF(M419=1,IF(Q431=3,2,3))),IF(X426&gt;X425,IF(M419=2,IF(Q431=3,2,3),IF(M419=1,IF(Q431=3,3,4))))),IF(X426=X425,IF(X426&lt;X424,IF(M419=2,IF(Q443=3,1,2),IF(M419=1,IF(Q443=3,2,3))),IF(X426&gt;X424,IF(M419=2,IF(Q443=3,2,3),IF(M419=1,IF(Q443=3,3,4)))))))))))),"")</f>
        <v/>
      </c>
      <c r="AC444" s="192"/>
      <c r="AD444" s="192"/>
      <c r="AE444" s="192"/>
      <c r="AF444" s="203"/>
      <c r="AG444" s="203"/>
      <c r="AH444" s="203"/>
      <c r="AI444" s="203"/>
      <c r="AJ444" s="203"/>
      <c r="AK444" s="203"/>
      <c r="AL444" s="203"/>
      <c r="AM444" s="203"/>
      <c r="AN444" s="192"/>
      <c r="AO444" s="192"/>
      <c r="AP444" s="192"/>
      <c r="AQ444" s="192"/>
      <c r="AR444" s="192"/>
      <c r="AS444" s="192"/>
      <c r="AT444" s="192"/>
      <c r="AU444" s="192"/>
      <c r="AV444" s="192"/>
      <c r="AW444" s="192"/>
      <c r="AX444" s="192"/>
    </row>
    <row r="445" spans="2:50" ht="15" customHeight="1" thickTop="1" x14ac:dyDescent="0.3">
      <c r="B445" s="192"/>
      <c r="C445" s="192"/>
      <c r="D445" s="192"/>
      <c r="E445" s="192"/>
      <c r="F445" s="192"/>
      <c r="G445" s="192"/>
      <c r="H445" s="192"/>
      <c r="I445" s="192"/>
      <c r="J445" s="192"/>
      <c r="K445" s="192"/>
      <c r="L445" s="192"/>
      <c r="M445" s="192"/>
      <c r="N445" s="192"/>
      <c r="O445" s="192"/>
      <c r="P445" s="192"/>
      <c r="Q445" s="192"/>
      <c r="R445" s="192"/>
      <c r="S445" s="192"/>
      <c r="T445" s="203"/>
      <c r="U445" s="192"/>
      <c r="V445" s="192"/>
      <c r="W445" s="192"/>
      <c r="X445" s="192"/>
      <c r="Y445" s="192"/>
      <c r="Z445" s="192"/>
      <c r="AA445" s="192"/>
      <c r="AB445" s="192"/>
      <c r="AC445" s="192"/>
      <c r="AD445" s="192"/>
      <c r="AE445" s="192"/>
      <c r="AF445" s="203"/>
      <c r="AG445" s="203"/>
      <c r="AH445" s="203"/>
      <c r="AI445" s="203"/>
      <c r="AJ445" s="203"/>
      <c r="AK445" s="203"/>
      <c r="AL445" s="203"/>
      <c r="AM445" s="203"/>
      <c r="AN445" s="192"/>
      <c r="AO445" s="192"/>
      <c r="AP445" s="192"/>
      <c r="AQ445" s="192"/>
      <c r="AR445" s="192"/>
      <c r="AS445" s="192"/>
      <c r="AT445" s="192"/>
      <c r="AU445" s="192"/>
      <c r="AV445" s="192"/>
      <c r="AW445" s="192"/>
      <c r="AX445" s="192"/>
    </row>
    <row r="446" spans="2:50" ht="15" customHeight="1" x14ac:dyDescent="0.3">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c r="AA446" s="192"/>
      <c r="AB446" s="192"/>
      <c r="AC446" s="192"/>
      <c r="AD446" s="192"/>
      <c r="AE446" s="192"/>
      <c r="AF446" s="203"/>
      <c r="AG446" s="203"/>
      <c r="AH446" s="203"/>
      <c r="AI446" s="203"/>
      <c r="AJ446" s="203"/>
      <c r="AK446" s="203"/>
      <c r="AL446" s="203"/>
      <c r="AM446" s="203"/>
      <c r="AN446" s="192"/>
      <c r="AO446" s="192"/>
      <c r="AP446" s="192"/>
      <c r="AQ446" s="192"/>
      <c r="AR446" s="192"/>
      <c r="AS446" s="192"/>
      <c r="AT446" s="192"/>
      <c r="AU446" s="192"/>
      <c r="AV446" s="192"/>
      <c r="AW446" s="192"/>
      <c r="AX446" s="192"/>
    </row>
    <row r="447" spans="2:50" ht="15" customHeight="1" x14ac:dyDescent="0.3">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269"/>
      <c r="AA447" s="192"/>
      <c r="AB447" s="192"/>
      <c r="AC447" s="192"/>
      <c r="AD447" s="192"/>
      <c r="AE447" s="192"/>
      <c r="AF447" s="203"/>
      <c r="AG447" s="203"/>
      <c r="AH447" s="203"/>
      <c r="AI447" s="203"/>
      <c r="AJ447" s="203"/>
      <c r="AK447" s="203"/>
      <c r="AL447" s="203"/>
      <c r="AM447" s="203"/>
      <c r="AN447" s="192"/>
      <c r="AO447" s="192"/>
      <c r="AP447" s="192"/>
      <c r="AQ447" s="192"/>
      <c r="AR447" s="192"/>
      <c r="AS447" s="192"/>
      <c r="AT447" s="192"/>
      <c r="AU447" s="192"/>
      <c r="AV447" s="192"/>
      <c r="AW447" s="192"/>
      <c r="AX447" s="192"/>
    </row>
    <row r="448" spans="2:50" ht="15" customHeight="1" x14ac:dyDescent="0.3">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c r="AB448" s="192"/>
      <c r="AC448" s="192"/>
      <c r="AD448" s="192"/>
      <c r="AE448" s="192"/>
      <c r="AF448" s="203"/>
      <c r="AG448" s="203"/>
      <c r="AH448" s="203"/>
      <c r="AI448" s="203"/>
      <c r="AJ448" s="203"/>
      <c r="AK448" s="203"/>
      <c r="AL448" s="203"/>
      <c r="AM448" s="203"/>
      <c r="AN448" s="192"/>
      <c r="AO448" s="192"/>
      <c r="AP448" s="192"/>
      <c r="AQ448" s="192"/>
      <c r="AR448" s="192"/>
      <c r="AS448" s="192"/>
      <c r="AT448" s="192"/>
      <c r="AU448" s="192"/>
      <c r="AV448" s="192"/>
      <c r="AW448" s="192"/>
      <c r="AX448" s="192"/>
    </row>
    <row r="449" spans="2:50" ht="15" customHeight="1" x14ac:dyDescent="0.3">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c r="AA449" s="192"/>
      <c r="AB449" s="192"/>
      <c r="AC449" s="192"/>
      <c r="AD449" s="192"/>
      <c r="AE449" s="192"/>
      <c r="AF449" s="203"/>
      <c r="AG449" s="203"/>
      <c r="AH449" s="203"/>
      <c r="AI449" s="203"/>
      <c r="AJ449" s="203"/>
      <c r="AK449" s="203"/>
      <c r="AL449" s="203"/>
      <c r="AM449" s="203"/>
      <c r="AN449" s="192"/>
      <c r="AO449" s="192"/>
      <c r="AP449" s="192"/>
      <c r="AQ449" s="192"/>
      <c r="AR449" s="192"/>
      <c r="AS449" s="192"/>
      <c r="AT449" s="192"/>
      <c r="AU449" s="192"/>
      <c r="AV449" s="192"/>
      <c r="AW449" s="192"/>
      <c r="AX449" s="192"/>
    </row>
    <row r="450" spans="2:50" ht="15" customHeight="1" thickBot="1" x14ac:dyDescent="0.4">
      <c r="B450" s="192"/>
      <c r="C450" s="192"/>
      <c r="D450" s="192"/>
      <c r="E450" s="192"/>
      <c r="F450" s="192"/>
      <c r="G450" s="192"/>
      <c r="H450" s="192"/>
      <c r="I450" s="383" t="s">
        <v>135</v>
      </c>
      <c r="J450" s="383"/>
      <c r="K450" s="383"/>
      <c r="L450" s="383"/>
      <c r="M450" s="383"/>
      <c r="N450" s="383"/>
      <c r="O450" s="383"/>
      <c r="P450" s="383"/>
      <c r="Q450" s="383"/>
      <c r="R450" s="383"/>
      <c r="S450" s="192"/>
      <c r="T450" s="192"/>
      <c r="U450" s="370" t="s">
        <v>92</v>
      </c>
      <c r="V450" s="371"/>
      <c r="W450" s="371"/>
      <c r="X450" s="372"/>
      <c r="Y450" s="192"/>
      <c r="Z450" s="192"/>
      <c r="AA450" s="192"/>
      <c r="AB450" s="192"/>
      <c r="AC450" s="192"/>
      <c r="AD450" s="192"/>
      <c r="AE450" s="192"/>
      <c r="AF450" s="203"/>
      <c r="AG450" s="203"/>
      <c r="AH450" s="203"/>
      <c r="AI450" s="203"/>
      <c r="AJ450" s="203"/>
      <c r="AK450" s="203"/>
      <c r="AL450" s="203"/>
      <c r="AM450" s="203"/>
      <c r="AN450" s="192"/>
      <c r="AO450" s="192"/>
      <c r="AP450" s="192"/>
      <c r="AQ450" s="192"/>
      <c r="AR450" s="192"/>
      <c r="AS450" s="192"/>
      <c r="AT450" s="192"/>
      <c r="AU450" s="192"/>
      <c r="AV450" s="192"/>
      <c r="AW450" s="192"/>
      <c r="AX450" s="192"/>
    </row>
    <row r="451" spans="2:50" ht="15" customHeight="1" thickTop="1" thickBot="1" x14ac:dyDescent="0.35">
      <c r="B451" s="192"/>
      <c r="C451" s="192"/>
      <c r="D451" s="192"/>
      <c r="E451" s="192"/>
      <c r="F451" s="192"/>
      <c r="G451" s="192"/>
      <c r="H451" s="192"/>
      <c r="I451" s="402" t="s">
        <v>93</v>
      </c>
      <c r="J451" s="160"/>
      <c r="K451" s="396" t="s">
        <v>94</v>
      </c>
      <c r="L451" s="404" t="s">
        <v>95</v>
      </c>
      <c r="M451" s="406" t="s">
        <v>96</v>
      </c>
      <c r="N451" s="406" t="s">
        <v>97</v>
      </c>
      <c r="O451" s="373" t="s">
        <v>98</v>
      </c>
      <c r="P451" s="373" t="str">
        <f>IF(COUNT(U452:X463)=3,"LM/WM Ratio",IF(COUNT(U452:X463)=6,"LP/WP Ratio",""))</f>
        <v/>
      </c>
      <c r="Q451" s="406" t="s">
        <v>99</v>
      </c>
      <c r="R451" s="408" t="s">
        <v>100</v>
      </c>
      <c r="S451" s="192"/>
      <c r="T451" s="120"/>
      <c r="U451" s="121" t="s">
        <v>101</v>
      </c>
      <c r="V451" s="122" t="s">
        <v>102</v>
      </c>
      <c r="W451" s="122" t="s">
        <v>103</v>
      </c>
      <c r="X451" s="123" t="s">
        <v>104</v>
      </c>
      <c r="Y451" s="380" t="s">
        <v>105</v>
      </c>
      <c r="Z451" s="379"/>
      <c r="AA451" s="378" t="s">
        <v>106</v>
      </c>
      <c r="AB451" s="379"/>
      <c r="AC451" s="192"/>
      <c r="AD451" s="192"/>
      <c r="AE451" s="203"/>
      <c r="AF451" s="203"/>
      <c r="AG451" s="203"/>
      <c r="AH451" s="203"/>
      <c r="AI451" s="203"/>
      <c r="AJ451" s="203"/>
      <c r="AK451" s="203"/>
      <c r="AL451" s="203"/>
      <c r="AM451" s="203"/>
      <c r="AN451" s="192"/>
      <c r="AO451" s="192"/>
      <c r="AP451" s="192"/>
      <c r="AQ451" s="192"/>
      <c r="AR451" s="192"/>
      <c r="AS451" s="192"/>
      <c r="AT451" s="192"/>
      <c r="AU451" s="192"/>
      <c r="AV451" s="192"/>
      <c r="AW451" s="192"/>
      <c r="AX451" s="192"/>
    </row>
    <row r="452" spans="2:50" ht="15" customHeight="1" thickTop="1" thickBot="1" x14ac:dyDescent="0.35">
      <c r="B452" s="192"/>
      <c r="C452" s="192"/>
      <c r="D452" s="192"/>
      <c r="E452" s="192"/>
      <c r="F452" s="192"/>
      <c r="G452" s="192"/>
      <c r="H452" s="192"/>
      <c r="I452" s="403"/>
      <c r="J452" s="161"/>
      <c r="K452" s="397"/>
      <c r="L452" s="405"/>
      <c r="M452" s="407"/>
      <c r="N452" s="407"/>
      <c r="O452" s="374"/>
      <c r="P452" s="374"/>
      <c r="Q452" s="407"/>
      <c r="R452" s="409"/>
      <c r="S452" s="192"/>
      <c r="T452" s="208">
        <v>1</v>
      </c>
      <c r="U452" s="209" t="str">
        <f>IF(M453="","",IF(COUNTIF(M453:M455,M453)=3,IF(COUNTBLANK(I453:I456)=1,(Q465+Q471)/(Q464+Q470),IF(COUNTBLANK(I453:I456)=0,(Q477+Q465)/(Q476+Q464),"")),""))</f>
        <v/>
      </c>
      <c r="V452" s="125" t="str">
        <f>IF(AND(COUNTBLANK(I453:I456)=0,M453=M455,M455=M456),(Q465+Q471)/(Q464+Q470),"")</f>
        <v/>
      </c>
      <c r="W452" s="210" t="str">
        <f>IF(AND(COUNTBLANK(I453:I456)=0,M453=M454,M454=M456),(Q477+Q471)/(Q476+Q470),"")</f>
        <v/>
      </c>
      <c r="X452" s="211"/>
      <c r="Y452" s="169" t="s">
        <v>93</v>
      </c>
      <c r="Z452" s="170" t="s">
        <v>107</v>
      </c>
      <c r="AA452" s="169" t="s">
        <v>93</v>
      </c>
      <c r="AB452" s="170" t="s">
        <v>107</v>
      </c>
      <c r="AC452" s="192"/>
      <c r="AD452" s="192"/>
      <c r="AE452" s="192"/>
      <c r="AF452" s="203"/>
      <c r="AG452" s="203"/>
      <c r="AH452" s="203"/>
      <c r="AI452" s="203"/>
      <c r="AJ452" s="203"/>
      <c r="AK452" s="203"/>
      <c r="AL452" s="203"/>
      <c r="AM452" s="203"/>
      <c r="AN452" s="192"/>
      <c r="AO452" s="192"/>
      <c r="AP452" s="192"/>
      <c r="AQ452" s="192"/>
      <c r="AR452" s="192"/>
      <c r="AS452" s="192"/>
      <c r="AT452" s="192"/>
      <c r="AU452" s="192"/>
      <c r="AV452" s="192"/>
      <c r="AW452" s="192"/>
      <c r="AX452" s="192"/>
    </row>
    <row r="453" spans="2:50" ht="15" customHeight="1" thickTop="1" thickBot="1" x14ac:dyDescent="0.35">
      <c r="B453" s="192"/>
      <c r="C453" s="192"/>
      <c r="D453" s="192"/>
      <c r="E453" s="192"/>
      <c r="F453" s="192" t="str">
        <f>IF(I453="","",VLOOKUP(I453,Siembra,2,FALSE))</f>
        <v/>
      </c>
      <c r="G453" s="192" t="str">
        <f>O453</f>
        <v/>
      </c>
      <c r="H453" s="192">
        <v>1</v>
      </c>
      <c r="I453" s="128" t="str">
        <f>IF(K453="","",IF(ISNUMBER(Sorteo!$A$17),VLOOKUP(K453,Draw,2,FALSE),""))</f>
        <v/>
      </c>
      <c r="J453" s="129" t="str">
        <f>O453</f>
        <v/>
      </c>
      <c r="K453" s="130" t="str">
        <f>IF($K$9="","",IF(Group_players=4,IF(Tablas!BT$3="","",Tablas!BT$3),IF(Group_players=3,IF(Tablas!BT$11="","",Tablas!BT$11),"")))</f>
        <v/>
      </c>
      <c r="L453" s="131" t="str">
        <f>IF(K453="","",VLOOKUP(I453,Siembra,3,FALSE))</f>
        <v/>
      </c>
      <c r="M453" s="132" t="str">
        <f>IF(AND(Q464="",Q465=""),"",IF(I453="","",SUMIFS(E464:E480,I464:I480,I453)))</f>
        <v/>
      </c>
      <c r="N453" s="132" t="str">
        <f>IF(M453="","",IF(I453="","",SUMIFS(F464:F480,I464:I480,I453)))</f>
        <v/>
      </c>
      <c r="O453" s="132" t="str">
        <f>IF(M453="","",IF(COUNTBLANK(I453:I456)=1,IF(M453=2,1,IF(M453=0,3,IF(AND(M453=1,M454&lt;&gt;1),2,IF(COUNTIF(M453:M455,1)&gt;1,Z453)))),IF(COUNTBLANK(I453:I456)=0,IF(COUNTIF(M453:M456,M453)=1,IF(M453=3,1,IF(M453=2,2,IF(M453=1,3,IF(M453=0,4)))),IF(Group_players=3,Z453,IF(COUNTIF(M453:M456,M453)=2,AB453,IF(AND(M453=M454,M454=M455),AB457,IF(AND(M453=M455,M455=M456),AB460,IF(AND(M453=M454,M454=M456),AB463,"")))))),99)))</f>
        <v/>
      </c>
      <c r="P453" s="133" t="str">
        <f>IF(COUNT(U452:X463)=3,IF(ISNUMBER(U452),U452,IF(ISNUMBER(V452),V452,IF(ISNUMBER(W452),W452,IF(X452="","")))),IF(COUNT(U452:X463)=6,IF(ISNUMBER(U460),U460,IF(ISNUMBER(V460),V460,IF(ISNUMBER(W460),W460,IF(ISBLANK(X452),"")))),""))</f>
        <v/>
      </c>
      <c r="Q453" s="132" t="str">
        <f>IF(M453="","",SUMIF(I464:S480,I453,S464:S480))</f>
        <v/>
      </c>
      <c r="R453" s="134" t="str">
        <f>IF(M453="","",L453+Q453)</f>
        <v/>
      </c>
      <c r="S453" s="203"/>
      <c r="T453" s="208">
        <v>2</v>
      </c>
      <c r="U453" s="209" t="str">
        <f>IF(M454="","",IF(COUNTIF(M453:M455,M454)=3,IF(COUNTBLANK(I453:I456)=1,(Q468+Q470)/(Q467+Q471),IF(COUNTBLANK(I453:I456)=0,(Q474+Q476)/(Q473+Q477),"")),""))</f>
        <v/>
      </c>
      <c r="V453" s="135"/>
      <c r="W453" s="212" t="str">
        <f>IF(AND(COUNTBLANK(I453:I456)=0,M454=M453,M453=M456),(Q476+Q468)/(Q477+Q467),"")</f>
        <v/>
      </c>
      <c r="X453" s="213" t="str">
        <f>IF(AND(COUNTBLANK(I453:I456)=0,M454=M455,M455=M456),(Q474+Q468)/(Q473+Q467),"")</f>
        <v/>
      </c>
      <c r="Y453" s="214">
        <v>1</v>
      </c>
      <c r="Z453" s="215" t="str">
        <f>IF(U452="","",IF(OR(Group_players=3,AND(Group_players=4,COUNTBLANK(I453:I456)=1)),IF(COUNTIF(M453:M455,M453)=1,"",IF(AND(U452=U453,U453=U454),Z457,IF(AND(U452&lt;&gt;U453,U452&lt;&gt;U454,U453&lt;&gt;U454),(IF(SMALL(U452:U454,1)=U452,1,IF(SMALL(U452:U454,2)=U452,2,IF(SMALL(U452:U454,3)=U452,3)))),IF(AND(U452&lt;U453,U453=U454),1,IF(AND(U452&gt;U453,U453=U454),3,IF(AND(U452=U453,U452&lt;U454),(IF(Q470=3,1,2)),IF(AND(U452=U453,U452&gt;U454),(IF(Q470=3,2,3)),IF(AND(U452=U454,U452&lt;U453),(IF(Q464=3,1,2)),IF(AND(U452=U454,U452&gt;U453),(IF(Q464=3,2,3)),99))))))))),""))</f>
        <v/>
      </c>
      <c r="AA453" s="216">
        <v>1</v>
      </c>
      <c r="AB453" s="217" t="str">
        <f>IF(COUNTIF(M453:M456,M453)&lt;&gt;2,"",IF(COUNTIF(M453:M456,M453)=1,"",IF(AND(COUNTIF(M453:M456,M453)=2,M453=2),IF(M453=M454,IF(Q476=3,1,2),IF(M453=M455,IF(Q464=3,1,2),IF(M453=M456,IF(Q470=3,1,2)))),IF(AND(COUNTIF(M453:M456,M453)=2,M453=1),IF(M453=M454,IF(Q476=3,3,4),IF(M453=M455,IF(Q464=3,3,4),IF(M453=M456,IF(Q470=3,3,4)))),IF(COUNTIF(M453:M456,M453)=3,AB457)))))</f>
        <v/>
      </c>
      <c r="AC453" s="192"/>
      <c r="AD453" s="192"/>
      <c r="AE453" s="192"/>
      <c r="AF453" s="203"/>
      <c r="AG453" s="203"/>
      <c r="AH453" s="203"/>
      <c r="AI453" s="203"/>
      <c r="AJ453" s="203"/>
      <c r="AK453" s="203"/>
      <c r="AL453" s="203"/>
      <c r="AM453" s="203"/>
      <c r="AN453" s="192"/>
      <c r="AO453" s="192"/>
      <c r="AP453" s="192"/>
      <c r="AQ453" s="192"/>
      <c r="AR453" s="192"/>
      <c r="AS453" s="192"/>
      <c r="AT453" s="192"/>
      <c r="AU453" s="192"/>
      <c r="AV453" s="192"/>
      <c r="AW453" s="192"/>
      <c r="AX453" s="192"/>
    </row>
    <row r="454" spans="2:50" ht="15" customHeight="1" thickTop="1" thickBot="1" x14ac:dyDescent="0.35">
      <c r="B454" s="192"/>
      <c r="C454" s="192"/>
      <c r="D454" s="192"/>
      <c r="E454" s="192"/>
      <c r="F454" s="192" t="str">
        <f>IF(I454="","",VLOOKUP(I454,Siembra,2,FALSE))</f>
        <v/>
      </c>
      <c r="G454" s="192" t="str">
        <f>O454</f>
        <v/>
      </c>
      <c r="H454" s="192">
        <v>2</v>
      </c>
      <c r="I454" s="128" t="str">
        <f>IF(K454="","",IF(ISNUMBER(Sorteo!$A$17),VLOOKUP(K454,Draw,2,FALSE),""))</f>
        <v/>
      </c>
      <c r="J454" s="129" t="str">
        <f>O454</f>
        <v/>
      </c>
      <c r="K454" s="136" t="str">
        <f>IF($K$9="","",IF(Group_players=4,IF(Tablas!BT$4="","",Tablas!BT$4),IF(Group_players=3,IF(Tablas!BT$12="","",Tablas!BT$12),"")))</f>
        <v/>
      </c>
      <c r="L454" s="137" t="str">
        <f>IF(K454="","",VLOOKUP(I454,Siembra,3,FALSE))</f>
        <v/>
      </c>
      <c r="M454" s="132" t="str">
        <f>IF(AND(L464="",L465=""),"",IF(I454="","",SUMIFS(E464:E481,I464:I481,I454)))</f>
        <v/>
      </c>
      <c r="N454" s="138" t="str">
        <f>IF(M454="","",IF(I454="","",SUMIFS(F464:F480,I464:I480,I454)))</f>
        <v/>
      </c>
      <c r="O454" s="132" t="str">
        <f>IF(M454="","",IF(COUNTBLANK(I453:I456)=1,IF(M454=2,1,IF(M454=0,3,IF(AND(M454=1,M455&lt;&gt;1),2,IF(COUNTIF(M453:M456,1)&gt;1,Z454)))),IF(COUNTBLANK(I453:I456)=0,IF(COUNTIF(M453:M456,M454)=1,IF(M454=3,1,IF(M454=2,2,IF(M454=1,3,IF(M454=0,4)))),IF(Group_players=3,Z454,IF(COUNTIF(M453:M456,M454)=2,AB454,IF(AND(M454=M453,M453=M455),AB458,IF(AND(M454=M453,M453=M456),AB464,IF(AND(M454=M455,M455=M456),AB466,"")))))))))</f>
        <v/>
      </c>
      <c r="P454" s="133" t="str">
        <f>IF(COUNT(U452:X463)=3,IF(ISNUMBER(U453),U453,IF(ISNUMBER(W453),W453,IF(ISNUMBER(X453),X453,IF(X453="","")))),IF(COUNT(U452:X463)=6,IF(ISNUMBER(U461),U461,IF(ISNUMBER(W461),W461,IF(ISNUMBER(X461),X461,IF(ISBLANK(X460),"")))),""))</f>
        <v/>
      </c>
      <c r="Q454" s="138" t="str">
        <f>IF(M454="","",SUMIF(I464:S480,I454,S464:$S480))</f>
        <v/>
      </c>
      <c r="R454" s="139" t="str">
        <f>IF(M454="","",L454+Q454)</f>
        <v/>
      </c>
      <c r="S454" s="203"/>
      <c r="T454" s="208">
        <v>3</v>
      </c>
      <c r="U454" s="209" t="str">
        <f>IF(M455="","",IF(COUNTIF(M453:M455,M455)=3,IF(COUNTBLANK(I453:I456)=1,(Q464+Q467)/(Q465+Q468),IF(COUNTBLANK(I453:I456)=0,(Q464+Q473)/(Q465+Q474),"")),""))</f>
        <v/>
      </c>
      <c r="V454" s="125" t="str">
        <f>IF(AND(COUNTBLANK(I453:I456)=0,M455=M456,M456=M453),(Q464+Q480)/(Q465+Q479),"")</f>
        <v/>
      </c>
      <c r="W454" s="218"/>
      <c r="X454" s="213" t="str">
        <f>IF(AND(COUNTBLANK(I453:I456)=0,M455=M456,M456=M454),(Q473+Q480)/(Q474+Q479),"")</f>
        <v/>
      </c>
      <c r="Y454" s="219">
        <v>2</v>
      </c>
      <c r="Z454" s="220" t="str">
        <f>IF(U453="","",IF(OR(Group_players=3,AND(Group_players=4,COUNTBLANK(I453:I456)=1)),IF(COUNTIF(M453:M455,M454)=1,"",IF(AND(U453=U452,U453=U454),Z458,IF(AND(U453&lt;&gt;U452,U453&lt;&gt;U454,U452&lt;&gt;U454),(IF(SMALL(U452:U454,1)=U453,1,IF(SMALL(U452:U454,2)=U453,2,IF(SMALL(U452:U454,3)=U453,3)))),IF(AND(U453&lt;U452,U452=U454),1,IF(AND(U453&gt;U452,U452=U454),3,IF(AND(U453=U452,U453&lt;U454),(IF(Q471=3,1,2)),IF(AND(U453=U452,U453&gt;U454),(IF(Q471=3,2,3)),IF(AND(U453=U454,U453&lt;U452),(IF(Q467=3,1,2)),IF(AND(U453=U454,U453&gt;U452),(IF(Q467=3,2,3)),99))))))))),""))</f>
        <v/>
      </c>
      <c r="AA454" s="221">
        <v>2</v>
      </c>
      <c r="AB454" s="222" t="str">
        <f>IF(COUNTIF(M453:M456,M454)&lt;&gt;2,"",IF(COUNTIF(M453:M456,M454)=1,"",IF(AND(COUNTIF(M453:M456,M454)=2,M454=2),IF(M454=M453,IF(Q477=3,1,2),IF(M454=M455,IF(Q473=3,1,2),IF(M454=M456,IF(Q467=3,1,2)))),IF(AND(COUNTIF(M453:M456,M454)=2,M454=1),IF(M454=M453,IF(Q477=3,3,4),IF(M454=M455,IF(Q473=3,3,4),IF(M454=M456,IF(Q467=3,3,4)))),AB459))))</f>
        <v/>
      </c>
      <c r="AC454" s="192"/>
      <c r="AD454" s="192"/>
      <c r="AE454" s="192"/>
      <c r="AF454" s="203"/>
      <c r="AG454" s="203"/>
      <c r="AH454" s="203"/>
      <c r="AI454" s="203"/>
      <c r="AJ454" s="203"/>
      <c r="AK454" s="203"/>
      <c r="AL454" s="203"/>
      <c r="AM454" s="203"/>
      <c r="AN454" s="192"/>
      <c r="AO454" s="192"/>
      <c r="AP454" s="192"/>
      <c r="AQ454" s="192"/>
      <c r="AR454" s="192"/>
      <c r="AS454" s="192"/>
      <c r="AT454" s="192"/>
      <c r="AU454" s="192"/>
      <c r="AV454" s="192"/>
      <c r="AW454" s="192"/>
      <c r="AX454" s="192"/>
    </row>
    <row r="455" spans="2:50" ht="15" customHeight="1" thickBot="1" x14ac:dyDescent="0.35">
      <c r="B455" s="192"/>
      <c r="C455" s="192"/>
      <c r="D455" s="192"/>
      <c r="E455" s="192"/>
      <c r="F455" s="192" t="str">
        <f>IF(I455="","",VLOOKUP(I455,Siembra,2,FALSE))</f>
        <v/>
      </c>
      <c r="G455" s="192" t="str">
        <f>O455</f>
        <v/>
      </c>
      <c r="H455" s="192">
        <v>3</v>
      </c>
      <c r="I455" s="128" t="str">
        <f>IF(K455="","",IF(ISNUMBER(Sorteo!$A$17),VLOOKUP(K455,Draw,2,FALSE),""))</f>
        <v/>
      </c>
      <c r="J455" s="129" t="str">
        <f>O455</f>
        <v/>
      </c>
      <c r="K455" s="136" t="str">
        <f>IF($K$9="","",IF(Group_players=4,IF(Tablas!BT$5="","",Tablas!BT$5),IF(Group_players=3,IF(Tablas!BT$13="","",Tablas!BT$13),"")))</f>
        <v/>
      </c>
      <c r="L455" s="137" t="str">
        <f>IF(K455="","",VLOOKUP(I455,Siembra,3,FALSE))</f>
        <v/>
      </c>
      <c r="M455" s="132" t="str">
        <f>IF(AND(L465="",L464=""),"",IF(I455="","",SUMIFS(E464:E482,I464:I482,I455)))</f>
        <v/>
      </c>
      <c r="N455" s="138" t="str">
        <f>IF(M455="","",IF(I455="","",SUMIFS(F464:F480,I464:I480,I455)))</f>
        <v/>
      </c>
      <c r="O455" s="132" t="str">
        <f>IF(M455="","",IF(COUNTBLANK(I453:I456)=1,IF(M455=2,1,IF(M455=0,3,IF(AND(M455=1,M455&lt;&gt;M453),2,IF(COUNTIF(M453:M456,1)&gt;1,Z455)))),IF(COUNTBLANK(I453:I456)=0,IF(COUNTIF(M453:M456,M455)=1,IF(M455=3,1,IF(M455=2,2,IF(M455=1,3,IF(M455=0,4)))),IF(Group_players=3,Z455,IF(COUNTIF(M453:M456,M455)=2,AB455,IF(AND(M455=M453,M453=M454),AB459,IF(AND(M455=M453,M453=M456),AB461,IF(AND(M455=M454,M454=M456),AB467,"")))))))))</f>
        <v/>
      </c>
      <c r="P455" s="133" t="str">
        <f>IF(COUNT(U452:X463)=3,IF(ISNUMBER(U454),U454,IF(ISNUMBER(V454),V454,IF(ISNUMBER(X454),X454,IF(W454="","")))),IF(COUNT(U452:X463)=6,IF(ISNUMBER(U462),U462,IF(ISNUMBER(V462),V462,IF(ISNUMBER(X462),X462,""))),""))</f>
        <v/>
      </c>
      <c r="Q455" s="138" t="str">
        <f>IF(M455="","",SUMIF(I464:S480,I455,S464:S480))</f>
        <v/>
      </c>
      <c r="R455" s="139" t="str">
        <f>IF(M455="","",L455+Q455)</f>
        <v/>
      </c>
      <c r="S455" s="203"/>
      <c r="T455" s="208">
        <v>4</v>
      </c>
      <c r="U455" s="223"/>
      <c r="V455" s="140" t="str">
        <f>IF(AND(COUNTBLANK(I453:I456)=0,M456=M453,M453=M455),(Q470+Q479)/(Q471+Q480),"")</f>
        <v/>
      </c>
      <c r="W455" s="224" t="str">
        <f>IF(AND(COUNTBLANK(I453:I456)=0,M456=M453,M453=M454),(Q470+Q467)/(Q471+Q468),"")</f>
        <v/>
      </c>
      <c r="X455" s="225" t="str">
        <f>IF(AND(COUNTBLANK(I453:I456)=0,M456=M454,M454=M455),(Q467+Q479)/(Q468+Q480),"")</f>
        <v/>
      </c>
      <c r="Y455" s="226">
        <v>3</v>
      </c>
      <c r="Z455" s="227" t="str">
        <f>IF(U454="","",IF(OR(Group_players=3,AND(Group_players=4,COUNTBLANK(I453:I456)=1)),IF(COUNTIF(M453:M455,M455)=1,"",IF(AND(U454=U452,U454=U453),Z459,IF(AND(U454&lt;&gt;U453,U453&lt;&gt;U452,U454&lt;&gt;U452),(IF(SMALL(U452:U454,1)=U454,1,IF(SMALL(U452:U454,2)=U454,2,IF(SMALL(U452:U454,3)=U454,3)))),IF(AND(U454&lt;U453,U453=U452),1,IF(AND(U454&gt;U453,U453=U452),3,IF(AND(U454=U453,U454&lt;U452),(IF(Q468=3,1,2)),IF(AND(U454=U453,U454&gt;U452),(IF(Q468=3,2,3)),IF(AND(U454=U452,U454&lt;U453),(IF(Q465=3,1,2)),IF(AND(U454=U452,U454&gt;U453),(IF(Q465=3,2,3)),99))))))))),""))</f>
        <v/>
      </c>
      <c r="AA455" s="221">
        <v>3</v>
      </c>
      <c r="AB455" s="222" t="str">
        <f>IF(COUNTIF(M453:M456,M455)&lt;&gt;2,"",IF(COUNTIF(M453:M456,M455)=1,"",IF(AND(COUNTIF(M453:M456,M455)=2,M455=2),IF(M455=M453,IF(Q465=3,1,2),IF(M455=M454,IF(Q474=3,1,2),IF(M455=M456,IF(Q479=3,1,2)))),IF(AND(COUNTIF(M453:M456,M455)=2,M455=1),IF(M455=M453,IF(Q465=3,3,4),IF(M455=M454,IF(Q474=3,3,4),IF(M455=M456,IF(Q479=3,3,4)))),AB459))))</f>
        <v/>
      </c>
      <c r="AC455" s="192"/>
      <c r="AD455" s="192"/>
      <c r="AE455" s="192"/>
      <c r="AF455" s="203"/>
      <c r="AG455" s="203"/>
      <c r="AH455" s="203"/>
      <c r="AI455" s="203"/>
      <c r="AJ455" s="203"/>
      <c r="AK455" s="203"/>
      <c r="AL455" s="203"/>
      <c r="AM455" s="203"/>
      <c r="AN455" s="192"/>
      <c r="AO455" s="192"/>
      <c r="AP455" s="192"/>
      <c r="AQ455" s="192"/>
      <c r="AR455" s="192"/>
      <c r="AS455" s="192"/>
      <c r="AT455" s="192"/>
      <c r="AU455" s="192"/>
      <c r="AV455" s="192"/>
      <c r="AW455" s="192"/>
      <c r="AX455" s="192"/>
    </row>
    <row r="456" spans="2:50" ht="15" customHeight="1" thickTop="1" thickBot="1" x14ac:dyDescent="0.35">
      <c r="B456" s="192"/>
      <c r="C456" s="192"/>
      <c r="D456" s="192"/>
      <c r="E456" s="192"/>
      <c r="F456" s="192" t="str">
        <f>IF(I456="","",VLOOKUP(I456,Siembra,2,FALSE))</f>
        <v/>
      </c>
      <c r="G456" s="192" t="str">
        <f>O456</f>
        <v/>
      </c>
      <c r="H456" s="192">
        <v>4</v>
      </c>
      <c r="I456" s="141" t="str">
        <f>IF(K456="","",IF(ISNUMBER(Sorteo!$A$17),VLOOKUP(K456,Draw,2,FALSE),""))</f>
        <v/>
      </c>
      <c r="J456" s="142" t="str">
        <f>O456</f>
        <v/>
      </c>
      <c r="K456" s="143" t="str">
        <f>IF($K$9="","",IF(Group_players=4,IF(Tablas!BT6="","",Tablas!BT6),""))</f>
        <v/>
      </c>
      <c r="L456" s="144" t="str">
        <f>IF(K456="","",VLOOKUP(I456,Siembra,3,FALSE))</f>
        <v/>
      </c>
      <c r="M456" s="145" t="str">
        <f>IF(AND(Q467="",Q468=""),"",IF(I456="","",SUMIFS(E464:E483,I464:I483,I456)))</f>
        <v/>
      </c>
      <c r="N456" s="145" t="str">
        <f>IF(M456="","",IF(I456="","",SUMIFS(F464:F480,I464:I480,I456)))</f>
        <v/>
      </c>
      <c r="O456" s="145" t="str">
        <f>IF(M456="","",IF(COUNTIF(M453:M456,M456)=1,IF(M456=3,1,IF(M456=2,2,IF(M456=1,3,IF(M456=0,4)))),IF(COUNTIF(M453:M456,M456)=2,AB456,IF(AND(M456=M453,M453=M455),AB462,IF(AND(M456=M453,M453=M454),AB465,IF(AND(M456=M454,M454=M455),AB468,""))))))</f>
        <v/>
      </c>
      <c r="P456" s="146" t="str">
        <f>IF(COUNT(U452:X463)=3,IF(ISNUMBER(V455),V455,IF(ISNUMBER(W455),W455,IF(ISNUMBER(X455),X455,IF(X455="","")))),IF(COUNT(U452:X463)=6,IF(ISNUMBER(V463),V463,IF(ISNUMBER(W463),W463,IF(ISNUMBER(X463),X463,""))),""))</f>
        <v/>
      </c>
      <c r="Q456" s="145" t="str">
        <f>IF(M456="","",SUMIF(I464:S480,I456,S464:$S480))</f>
        <v/>
      </c>
      <c r="R456" s="147" t="str">
        <f>IF(M456="","",L456+Q456)</f>
        <v/>
      </c>
      <c r="S456" s="203"/>
      <c r="T456" s="192"/>
      <c r="U456" s="192"/>
      <c r="V456" s="192"/>
      <c r="W456" s="192"/>
      <c r="X456" s="192"/>
      <c r="Y456" s="230" t="s">
        <v>93</v>
      </c>
      <c r="Z456" s="231" t="s">
        <v>110</v>
      </c>
      <c r="AA456" s="232">
        <v>4</v>
      </c>
      <c r="AB456" s="233" t="str">
        <f>IF(COUNTIF(M453:M456,M456)&lt;&gt;2,"",IF(COUNTIF(M453:M456,M456)=1,"",IF(AND(COUNTIF(M453:M456,M456)=2,M456=2),IF(M456=M453,IF(Q471=3,1,2),IF(M456=M454,IF(Q468=3,1,2),IF(M456=M455,IF(Q480=3,1,2)))),IF(AND(COUNTIF(M453:M456,M456)=2,M456=1),IF(M456=M453,IF(Q471=3,3,4),IF(M456=M454,IF(Q468=3,3,4),IF(M456=M455,IF(Q480=3,3,4)))),AB462))))</f>
        <v/>
      </c>
      <c r="AC456" s="192"/>
      <c r="AD456" s="192"/>
      <c r="AE456" s="192"/>
      <c r="AF456" s="203"/>
      <c r="AG456" s="203"/>
      <c r="AH456" s="203"/>
      <c r="AI456" s="203"/>
      <c r="AJ456" s="203"/>
      <c r="AK456" s="203"/>
      <c r="AL456" s="203"/>
      <c r="AM456" s="203"/>
      <c r="AN456" s="192"/>
      <c r="AO456" s="192"/>
      <c r="AP456" s="192"/>
      <c r="AQ456" s="192"/>
      <c r="AR456" s="192"/>
      <c r="AS456" s="192"/>
      <c r="AT456" s="192"/>
      <c r="AU456" s="192"/>
      <c r="AV456" s="192"/>
      <c r="AW456" s="192"/>
      <c r="AX456" s="192"/>
    </row>
    <row r="457" spans="2:50" ht="15" customHeight="1" thickTop="1" x14ac:dyDescent="0.3">
      <c r="B457" s="192"/>
      <c r="C457" s="192"/>
      <c r="D457" s="192"/>
      <c r="E457" s="192"/>
      <c r="F457" s="192"/>
      <c r="G457" s="192"/>
      <c r="H457" s="192"/>
      <c r="I457" s="192"/>
      <c r="J457" s="192"/>
      <c r="K457" s="192"/>
      <c r="L457" s="192"/>
      <c r="M457" s="192"/>
      <c r="N457" s="192"/>
      <c r="O457" s="192"/>
      <c r="P457" s="192"/>
      <c r="Q457" s="192"/>
      <c r="R457" s="192"/>
      <c r="S457" s="192"/>
      <c r="T457" s="208"/>
      <c r="U457" s="192"/>
      <c r="V457" s="148"/>
      <c r="W457" s="148"/>
      <c r="X457" s="234"/>
      <c r="Y457" s="214">
        <v>1</v>
      </c>
      <c r="Z457" s="215" t="str">
        <f>IF(U460="","",IF(OR(Group_players=3,AND(Group_players=4,COUNTBLANK(I453:I456)=1)),IF(COUNTIF(M453:M455,M453)=1,"",IF(COUNTIF(U452:U454,U452)=3,IF(AND(U460=U461,U461=U462),"Tied",IF(AND(U460&lt;&gt;U461,U460&lt;&gt;U462,U461&lt;&gt;U462),(IF(SMALL(U460:U462,1)=U460,1,IF(SMALL(U460:U462,2)=U460,2,IF(SMALL(U460:U462,3)=U460,3)))),IF(AND(U460&lt;U461,U461=U462),1,IF(AND(U460&gt;U461,U461=U462),3,IF(AND(U460=U461,U460&lt;U462),(IF(Q470=3,1,2)),IF(AND(U460=U461,U460&gt;U462),(IF(Q470=3,2,3)),IF(AND(U460=U462,U460&lt;U461),(IF(Q464=3,1,2)),IF(AND(U460=U462,U460&gt;U461),(IF(Q464=3,2,3)),99)))))))),"")),""))</f>
        <v/>
      </c>
      <c r="AA457" s="208">
        <v>1</v>
      </c>
      <c r="AB457" s="222" t="str">
        <f>IF(AND(COUNTBLANK(I453:I456)=0,Group_players=4,M453=M454,M454=M455),IF(COUNTIF(U452:U455,U452)=3,AB470,IF(AND(COUNTIF(U452:U455,U452)=1,U453&lt;&gt;U454),IF(M453=2,IF(SMALL(U452:U455,1)=U452,1,IF(SMALL(U452:U455,2)=U452,2,IF(SMALL(U452:U455,3)=U452,3))),IF(M453=1,IF(SMALL(U452:U455,1)=U452,2,IF(SMALL(U452:U455,2)=U452,3,IF(SMALL(U452:U455,3)=U452,4))),"")),IF(COUNTIF(U452:U455,U452)=1,IF(U452&lt;U453,IF(M453=2,1,2),IF(M453=2,3,4)),IF(COUNTIF(U452:U455,U452)=2,IF(U452=U453,IF(U452&lt;U454,IF(M453=2,IF(Q476=3,1,2),IF(M453=1,IF(Q476=3,2,3))),IF(U452&gt;U454,IF(M453=2,IF(Q476=3,2,3),IF(M453=1,IF(Q476=3,3,4))))),IF(U452=U454,IF(U452&lt;U453,IF(M453=2,IF(Q464=3,1,2),IF(M453=1,IF(Q464=3,2,3))),IF(U452&gt;U453,IF(M453=2,IF(Q464=3,2,3),IF(M453=1,IF(Q464=3,3,4))))))),"")))),"")</f>
        <v/>
      </c>
      <c r="AC457" s="192"/>
      <c r="AD457" s="192"/>
      <c r="AE457" s="269"/>
      <c r="AF457" s="203"/>
      <c r="AG457" s="203"/>
      <c r="AH457" s="203"/>
      <c r="AI457" s="203"/>
      <c r="AJ457" s="203"/>
      <c r="AK457" s="203"/>
      <c r="AL457" s="203"/>
      <c r="AM457" s="203"/>
      <c r="AN457" s="192"/>
      <c r="AO457" s="192"/>
      <c r="AP457" s="192"/>
      <c r="AQ457" s="192"/>
      <c r="AR457" s="192"/>
      <c r="AS457" s="192"/>
      <c r="AT457" s="192"/>
      <c r="AU457" s="192"/>
      <c r="AV457" s="192"/>
      <c r="AW457" s="192"/>
      <c r="AX457" s="192"/>
    </row>
    <row r="458" spans="2:50" ht="15" customHeight="1" thickBot="1" x14ac:dyDescent="0.35">
      <c r="B458" s="192"/>
      <c r="C458" s="192"/>
      <c r="D458" s="192"/>
      <c r="E458" s="192"/>
      <c r="F458" s="192"/>
      <c r="G458" s="192"/>
      <c r="H458" s="192"/>
      <c r="I458" s="269"/>
      <c r="J458" s="269"/>
      <c r="K458" s="192"/>
      <c r="L458" s="192"/>
      <c r="M458" s="192"/>
      <c r="N458" s="192"/>
      <c r="O458" s="192"/>
      <c r="P458" s="192"/>
      <c r="Q458" s="192"/>
      <c r="R458" s="192"/>
      <c r="S458" s="192"/>
      <c r="T458" s="208"/>
      <c r="U458" s="368" t="s">
        <v>111</v>
      </c>
      <c r="V458" s="369"/>
      <c r="W458" s="369"/>
      <c r="X458" s="369"/>
      <c r="Y458" s="236">
        <v>2</v>
      </c>
      <c r="Z458" s="220" t="str">
        <f>IF(U453="","",IF(OR(Group_players=3,AND(Group_players=4,COUNTBLANK(I453:I456)=1)),IF(COUNTIF(M453:M455,M454)=1,"",IF(COUNTIF(U452:U454,U453)=3,IF(AND(U461=U460,U461=U462),"Tied",IF(AND(U461&lt;&gt;U460,U461&lt;&gt;U462,U460&lt;&gt;U462),(IF(SMALL(U460:U462,1)=U461,1,IF(SMALL(U460:U462,2)=U461,2,IF(SMALL(U460:U462,3)=U461,3)))),IF(AND(U461&lt;U460,U460=U462),1,IF(AND(U461&gt;U460,U460=U462),3,IF(AND(U461=U460,U461&lt;U462),(IF(Q471=3,1,2)),IF(AND(U461=U460,U461&gt;U462),(IF(Q471=3,2,3)),IF(AND(U461=U462,U461&lt;U460),(IF(Q467=3,1,2)),IF(AND(U461=U462,U461&gt;U460),(IF(Q467=3,2,3)),99)))))))),"")),""))</f>
        <v/>
      </c>
      <c r="AA458" s="208">
        <v>2</v>
      </c>
      <c r="AB458" s="222" t="str">
        <f>IF(AND(COUNTBLANK(I453:I456)=0,Group_players=4,M453=M454,M454=M455),IF(COUNTIF(U452:U455,U453)=3,AB471,IF(AND(COUNTIF(U452:U455,U453)=1,U452&lt;&gt;U454),IF(M454=2,IF(SMALL(U452:U455,1)=U453,1,IF(SMALL(U452:U455,2)=U453,2,IF(SMALL(U452:U455,3)=U453,3))),IF(M454=1,IF(SMALL(U452:U455,1)=U453,2,IF(SMALL(U452:U455,2)=U453,3,IF(SMALL(U452:U455,3)=U453,4))),"")),IF(COUNTIF(U452:U454,U453)=1,IF(U453&lt;U452,IF(M454=2,1,2),IF(M454=2,3,99)),IF(COUNTIF(U452:U455,U453)=2,IF(U453=U452,IF(U453&lt;U454,IF(M454=2,IF(Q477=3,1,2),IF(M454=1,IF(Q477=3,2,3))),IF(U453&gt;U454,IF(M454=2,IF(Q477=3,2,3),IF(M454=1,IF(Q477=3,3,4))))),IF(U453=U454,IF(U453&lt;U452,IF(M454=2,IF(Q473=3,1,2),IF(M454=1,IF(Q473=3,2,3))),IF(U453&gt;U452,IF(M454=2,IF(Q473=3,2,3),IF(M454=1,IF(Q473=3,3,4))))))),"")))),"")</f>
        <v/>
      </c>
      <c r="AC458" s="192"/>
      <c r="AD458" s="192"/>
      <c r="AE458" s="192"/>
      <c r="AF458" s="203"/>
      <c r="AG458" s="203"/>
      <c r="AH458" s="203"/>
      <c r="AI458" s="203"/>
      <c r="AJ458" s="203"/>
      <c r="AK458" s="203"/>
      <c r="AL458" s="203"/>
      <c r="AM458" s="203"/>
      <c r="AN458" s="192"/>
      <c r="AO458" s="192"/>
      <c r="AP458" s="192"/>
      <c r="AQ458" s="192"/>
      <c r="AR458" s="192"/>
      <c r="AS458" s="192"/>
      <c r="AT458" s="192"/>
      <c r="AU458" s="192"/>
      <c r="AV458" s="192"/>
      <c r="AW458" s="192"/>
      <c r="AX458" s="192"/>
    </row>
    <row r="459" spans="2:50" ht="15" customHeight="1" thickTop="1" thickBot="1" x14ac:dyDescent="0.35">
      <c r="B459" s="192"/>
      <c r="C459" s="192"/>
      <c r="D459" s="192"/>
      <c r="E459" s="192"/>
      <c r="F459" s="192"/>
      <c r="G459" s="192"/>
      <c r="H459" s="192"/>
      <c r="I459" s="192"/>
      <c r="J459" s="192"/>
      <c r="K459" s="192"/>
      <c r="L459" s="192"/>
      <c r="M459" s="192"/>
      <c r="N459" s="192"/>
      <c r="O459" s="192"/>
      <c r="P459" s="192"/>
      <c r="Q459" s="192"/>
      <c r="R459" s="192"/>
      <c r="S459" s="192"/>
      <c r="T459" s="120"/>
      <c r="U459" s="121" t="s">
        <v>101</v>
      </c>
      <c r="V459" s="122" t="s">
        <v>102</v>
      </c>
      <c r="W459" s="122" t="s">
        <v>103</v>
      </c>
      <c r="X459" s="123" t="s">
        <v>104</v>
      </c>
      <c r="Y459" s="238">
        <v>3</v>
      </c>
      <c r="Z459" s="239" t="str">
        <f>IF(U454="","",IF(OR(Group_players=3,AND(Group_players=4,COUNTBLANK(I453:I456)=1)),IF(COUNTIF(M453:M455,M455)=1,"",IF(COUNTIF(U452:U454,U454)=3,IF(AND(U462=U460,U462=U461),"Tied",IF(AND(U462&lt;&gt;U461,U461&lt;&gt;U460,U462&lt;&gt;U460),(IF(SMALL(U460:U462,1)=U462,1,IF(SMALL(U460:U462,2)=U462,2,IF(SMALL(U460:U462,3)=U462,3)))),IF(AND(U462&lt;U461,U461=U460),1,IF(AND(U462&gt;U461,U461=U460),3,IF(AND(U462=U461,U462&lt;U460),(IF(Q468=3,1,2)),IF(AND(U462=U461,U462&gt;U460),(IF(Q468=3,2,3)),IF(AND(U462=U460,U462&lt;U461),(IF(Q465=3,1,2)),IF(AND(U462=U460,U462&gt;U461),(IF(Q465=3,2,3)),99)))))))),"")),""))</f>
        <v/>
      </c>
      <c r="AA459" s="240">
        <v>3</v>
      </c>
      <c r="AB459" s="241" t="str">
        <f>IF(AND(COUNTBLANK(I453:I456)=0,Group_players=4,M453=M454,M454=M455),IF(COUNTIF(U452:U455,U454)=3,AB472,IF(AND(COUNTIF(U452:U455,U454)=1,U452&lt;&gt;U453),IF(M453=2,IF(SMALL(U452:U455,1)=U454,1,IF(SMALL(U452:U455,2)=U454,2,IF(SMALL(U452:U455,3)=U454,3))),IF(M455=1,IF(SMALL(U452:U455,1)=U454,2,IF(SMALL(U452:U455,2)=U454,3,IF(SMALL(U452:U455,3)=U454,4))),"")),IF(COUNTIF(U452:U455,U454)=1,IF(U454&lt;U453,IF(M455=2,1,2),IF(M455=2,3,4)),IF(COUNTIF(U452:U455,U454)=2,IF(U454=U453,IF(U454&lt;U452,IF(M455=2,IF(Q474=3,1,2),IF(M455=1,IF(Q474=3,2,3))),IF(U454&gt;U452,IF(M455=2,IF(Q474=3,2,3),IF(M455=1,IF(Q474=3,3,4))))),IF(U454=U452,IF(U454&lt;U453,IF(M455=2,IF(Q465=3,1,2),IF(M455=1,IF(Q465=3,2,3))),IF(U454&gt;U453,IF(M455=2,IF(Q465=3,2,3),IF(M455=1,IF(Q465=3,3,4))))))),"")))),"")</f>
        <v/>
      </c>
      <c r="AC459" s="192"/>
      <c r="AD459" s="192"/>
      <c r="AE459" s="192"/>
      <c r="AF459" s="203"/>
      <c r="AG459" s="203"/>
      <c r="AH459" s="203"/>
      <c r="AI459" s="203"/>
      <c r="AJ459" s="203"/>
      <c r="AK459" s="203"/>
      <c r="AL459" s="203"/>
      <c r="AM459" s="203"/>
      <c r="AN459" s="192"/>
      <c r="AO459" s="192"/>
      <c r="AP459" s="192"/>
      <c r="AQ459" s="192"/>
      <c r="AR459" s="192"/>
      <c r="AS459" s="192"/>
      <c r="AT459" s="192"/>
      <c r="AU459" s="192"/>
      <c r="AV459" s="192"/>
      <c r="AW459" s="192"/>
      <c r="AX459" s="192"/>
    </row>
    <row r="460" spans="2:50" ht="15" customHeight="1" thickTop="1" thickBot="1" x14ac:dyDescent="0.35">
      <c r="B460" s="192"/>
      <c r="C460" s="192"/>
      <c r="D460" s="192"/>
      <c r="E460" s="192"/>
      <c r="F460" s="192"/>
      <c r="G460" s="192"/>
      <c r="H460" s="192"/>
      <c r="I460" s="192"/>
      <c r="J460" s="192"/>
      <c r="K460" s="192"/>
      <c r="L460" s="192"/>
      <c r="M460" s="192"/>
      <c r="N460" s="192"/>
      <c r="O460" s="192"/>
      <c r="P460" s="192"/>
      <c r="Q460" s="192"/>
      <c r="R460" s="192"/>
      <c r="S460" s="192"/>
      <c r="T460" s="208">
        <v>1</v>
      </c>
      <c r="U460" s="209" t="str">
        <f>IF(U452="","",IF(OR(U452&lt;&gt;U453,U452&lt;&gt;U454),"",IF(COUNTIF(M453:M455,M453)=1,"",IF(COUNTBLANK(I453:I456)=1,(SUM(L465:P465)+SUM(L471:P471))/(SUM(L464:P464)+SUM(L470:P470)),IF(COUNTBLANK(I453:I456)=0,(SUM(L477:P477)+SUM(L465:P465))/(SUM(L476:P476)+SUM(L464:P464)),"")))))</f>
        <v/>
      </c>
      <c r="V460" s="125" t="str">
        <f>IF(V452="","",IF(OR(V452&lt;&gt;V454,V452&lt;&gt;V455),"",IF(AND(COUNTBLANK(I453:I456)=0,M453=M455,M455=M456),(SUM(L465:P465)+SUM(L471:P471))/(SUM(L464:P464)+SUM(L470:P470)),"")))</f>
        <v/>
      </c>
      <c r="W460" s="210" t="str">
        <f>IF(W452="","",IF(OR(W452&lt;&gt;W453,W452&lt;&gt;W455),"",IF(AND(COUNTBLANK(I453:I456)=0,M453=M454,M454=M456),(SUM(L477:P477)+SUM(L471:P471))/(SUM(L476:P476)+SUM(L470:P470)),"")))</f>
        <v/>
      </c>
      <c r="X460" s="211"/>
      <c r="Y460" s="242"/>
      <c r="Z460" s="242"/>
      <c r="AA460" s="243">
        <v>1</v>
      </c>
      <c r="AB460" s="244" t="str">
        <f>IF(AND(COUNTBLANK(I453:I456)=0,Group_players=4,M453=M455,M455=M456),IF(COUNTIF(V452:V455,V452)=3,AB473,IF(AND(COUNTIF(V452:V455,V452)=1,V454&lt;&gt;U463),IF(M453=2,IF(SMALL(V452:V455,1)=V452,1,IF(SMALL(V452:V455,2)=V452,2,IF(SMALL(V452:V455,3)=V452,3))),IF(M453=1,IF(SMALL(V452:V455,1)=V452,2,IF(SMALL(V452:V455,2)=V452,3,IF(SMALL(V452:V455,3)=V452,4))),"")),IF(COUNTIF(V452:V455,V452)=1,IF(V452&lt;V454,IF(M453=2,1,2),IF(M453=2,3,4)),IF(COUNTIF(V452:V455,V452)=2,IF(V452=V454,IF(V452&lt;V455,IF(M453=2,IF(Q464=3,1,2),IF(M453=1,IF(Q464=3,2,3))),IF(V452&gt;V455,IF(M453=2,IF(Q464=3,2,3),IF(M453=1,IF(Q464=3,3,4))))),IF(V452=V455,IF(V452&lt;V454,IF(M453=2,IF(Q470=3,1,2),IF(M453=1,IF(Q470=3,2,3))),IF(V452&gt;V453,IF(M453=2,IF(Q470=3,2,3),IF(M453=1,IF(Q470=3,3,4))))))),"")))),"")</f>
        <v/>
      </c>
      <c r="AC460" s="192"/>
      <c r="AD460" s="192"/>
      <c r="AE460" s="192"/>
      <c r="AF460" s="203"/>
      <c r="AG460" s="203"/>
      <c r="AH460" s="203"/>
      <c r="AI460" s="203"/>
      <c r="AJ460" s="203"/>
      <c r="AK460" s="203"/>
      <c r="AL460" s="203"/>
      <c r="AM460" s="203"/>
      <c r="AN460" s="192"/>
      <c r="AO460" s="192"/>
      <c r="AP460" s="192"/>
      <c r="AQ460" s="192"/>
      <c r="AR460" s="192"/>
      <c r="AS460" s="192"/>
      <c r="AT460" s="192"/>
      <c r="AU460" s="192"/>
      <c r="AV460" s="192"/>
      <c r="AW460" s="192"/>
      <c r="AX460" s="192"/>
    </row>
    <row r="461" spans="2:50" ht="15" customHeight="1" thickTop="1" thickBot="1" x14ac:dyDescent="0.35">
      <c r="B461" s="192"/>
      <c r="C461" s="192"/>
      <c r="D461" s="192"/>
      <c r="E461" s="117"/>
      <c r="F461" s="117"/>
      <c r="G461" s="117"/>
      <c r="H461" s="192"/>
      <c r="I461" s="192"/>
      <c r="J461" s="192"/>
      <c r="K461" s="192"/>
      <c r="L461" s="192"/>
      <c r="M461" s="192"/>
      <c r="N461" s="192"/>
      <c r="O461" s="192"/>
      <c r="P461" s="192"/>
      <c r="Q461" s="192"/>
      <c r="R461" s="192"/>
      <c r="S461" s="394" t="s">
        <v>112</v>
      </c>
      <c r="T461" s="208">
        <v>2</v>
      </c>
      <c r="U461" s="209" t="str">
        <f>IF(U452="","",IF(OR(U453&lt;&gt;U452,U453&lt;&gt;U454),"",IF(COUNTIF(M453:M455,M454)=1,"",IF(COUNTBLANK(I453:I456)=1,(SUM(L468:P468)+SUM(L470:P470))/(SUM(L467:P467)+SUM(L471:P471)),IF(COUNTBLANK(I453:I456)=0,(SUM(L476:P476)+SUM(L474:P474))/(SUM(L477:P477)+SUM(L473:P473)))))))</f>
        <v/>
      </c>
      <c r="V461" s="135"/>
      <c r="W461" s="212" t="str">
        <f>IF(W452="","",IF(OR(W453&lt;&gt;W452,W453&lt;&gt;W455),"",IF(AND(COUNTBLANK(I453:I456)=0,M453=M454,M454=M456),(SUM(L468:P468)+SUM(L476:P476))/(SUM(L477:P477)+SUM(L467:P467)),"")))</f>
        <v/>
      </c>
      <c r="X461" s="245" t="str">
        <f>IF(X453="","",IF(OR(X453&lt;&gt;X454,X453&lt;&gt;X455),"",IF(AND(COUNTBLANK(I453:I456)=0,M454=M455,M455=M456),(SUM(L474:P474)+SUM(L468:P468))/(SUM(L473:P473)+SUM(L467:P467)),"")))</f>
        <v/>
      </c>
      <c r="Y461" s="242"/>
      <c r="Z461" s="203"/>
      <c r="AA461" s="246">
        <v>3</v>
      </c>
      <c r="AB461" s="222" t="str">
        <f>IF(AND(COUNTBLANK(I453:I456)=0,Group_players=4,M453=M455,M455=M456),IF(COUNTIF(V452:V455,V454)=3,AB474,IF(AND(COUNTIF(V452:V455,V454)=1,V452&lt;&gt;V455),IF(M455=2,IF(SMALL(V452:V455,1)=V454,1,IF(SMALL(V452:V455,2)=V454,2,IF(SMALL(V452:V455,3)=V454,3))),IF(M455=1,IF(SMALL(V452:V455,1)=V454,2,IF(SMALL(V452:V455,2)=V454,3,IF(SMALL(V452:V455,3)=V454,4))),"")),IF(COUNTIF(V452:V455,V454)=1,IF(V454&lt;V452,IF(M455=2,1,2),IF(M455=2,3,4)),IF(COUNTIF(V452:V455,V454)=2,IF(V454=V452,IF(V454&lt;V455,IF(M455=2,IF(Q465=3,1,2),IF(M455=1,IF(Q465=3,2,3))),IF(V454&gt;V455,IF(M455=2,IF(Q465=3,2,3),IF(M455=1,IF(Q465=3,3,4))))),IF(V454=V455,IF(V454&lt;V452,IF(M455=2,IF(Q479=3,1,2),IF(M455=1,IF(Q479=3,2,3))),IF(V454&gt;V452,IF(M455=2,IF(Q479=3,2,3),IF(M455=1,IF(Q479=3,3,4))))))),"")))),"")</f>
        <v/>
      </c>
      <c r="AC461" s="192"/>
      <c r="AD461" s="192"/>
      <c r="AE461" s="192"/>
      <c r="AF461" s="203"/>
      <c r="AG461" s="203"/>
      <c r="AH461" s="203"/>
      <c r="AI461" s="203"/>
      <c r="AJ461" s="203"/>
      <c r="AK461" s="203"/>
      <c r="AL461" s="203"/>
      <c r="AM461" s="203"/>
      <c r="AN461" s="192"/>
      <c r="AO461" s="192"/>
      <c r="AP461" s="192"/>
      <c r="AQ461" s="192"/>
      <c r="AR461" s="192"/>
      <c r="AS461" s="192"/>
      <c r="AT461" s="192"/>
      <c r="AU461" s="192"/>
      <c r="AV461" s="192"/>
      <c r="AW461" s="192"/>
      <c r="AX461" s="192"/>
    </row>
    <row r="462" spans="2:50" ht="15" customHeight="1" thickTop="1" thickBot="1" x14ac:dyDescent="0.35">
      <c r="B462" s="192"/>
      <c r="C462" s="192"/>
      <c r="D462" s="192"/>
      <c r="E462" s="117"/>
      <c r="F462" s="117"/>
      <c r="G462" s="117"/>
      <c r="H462" s="192"/>
      <c r="I462" s="192"/>
      <c r="J462" s="192"/>
      <c r="K462" s="192"/>
      <c r="L462" s="192"/>
      <c r="M462" s="192"/>
      <c r="N462" s="192"/>
      <c r="O462" s="192"/>
      <c r="P462" s="192"/>
      <c r="Q462" s="192"/>
      <c r="R462" s="247"/>
      <c r="S462" s="395"/>
      <c r="T462" s="208">
        <v>3</v>
      </c>
      <c r="U462" s="209" t="str">
        <f>IF(U452="","",IF(OR(U454&lt;&gt;U452,U454&lt;&gt;U453),"",IF(COUNTIF(M453:M455,M455)=1,"",IF(COUNTBLANK(I453:I456)=1,(SUM(L464:P464)+SUM(L467:P467))/(SUM(L465:P465)+SUM(L468:P468)),IF(COUNTBLANK(I453:I456)=0,(SUM(L464:P464)+SUM(L473:P473))/(SUM(L465:P465)+SUM(L474:P474)))))))</f>
        <v/>
      </c>
      <c r="V462" s="125" t="str">
        <f>IF(V452="","",IF(OR(V454&lt;&gt;V452,V454&lt;&gt;V455),"",IF(AND(COUNTBLANK(I453:I456)=0,M453=M455,M455=M456),(SUM(L464:P464)+SUM(L480:P480))/(SUM(L465:P465)+SUM(L479:P479)),"")))</f>
        <v/>
      </c>
      <c r="W462" s="218"/>
      <c r="X462" s="245" t="str">
        <f>IF(X453="","",IF(OR(X454&lt;&gt;X453,X454&lt;&gt;X455),"",IF(AND(COUNTBLANK(I453:I456)=0,M454=M455,M455=M456),(SUM(L473:P473)+SUM(L480:P480))/(SUM(L474:P474)+SUM(L479:P479)),"")))</f>
        <v/>
      </c>
      <c r="Y462" s="208"/>
      <c r="Z462" s="203"/>
      <c r="AA462" s="240">
        <v>4</v>
      </c>
      <c r="AB462" s="222" t="str">
        <f>IF(AND(COUNTBLANK(I453:I456)=0,Group_players=4,M453=M455,M455=M456),IF(COUNTIF(V452:V455,V455)=3,AB475,IF(AND(COUNTIF(V452:V455,V455)=1,V454&lt;&gt;V452),IF(M456=2,IF(SMALL(V452:V455,1)=V455,1,IF(SMALL(V452:V455,2)=V455,2,IF(SMALL(V452:V455,3)=V455,3))),IF(M456=1,IF(SMALL(V452:V455,1)=V455,2,IF(SMALL(V452:V455,2)=V455,3,IF(SMALL(V452:V455,3)=V455,4))),"")),IF(COUNTIF(V452:V455,V455)=1,IF(V455&lt;V452,IF(M456=2,1,2),IF(M456=2,3,4)),IF(COUNTIF(V452:V455,V455)=2,IF(V455=V452,IF(V455&lt;V454,IF(M456=2,IF(Q471=3,1,2),IF(M456=1,IF(Q471=3,2,3))),IF(V455&gt;V454,IF(M456=2,IF(Q471=3,2,3),IF(M456=1,IF(Q471=3,3,4))))),IF(V455=V454,IF(V455&lt;V452,IF(M456=2,IF(Q480=3,1,2),IF(M456=1,IF(Q480=3,2,3))),IF(V455&gt;V452,IF(M456=2,IF(Q480=3,2,3),IF(M456=1,IF(Q480=3,3,4))))))),"")))),"")</f>
        <v/>
      </c>
      <c r="AC462" s="192"/>
      <c r="AD462" s="192"/>
      <c r="AE462" s="192"/>
      <c r="AF462" s="203"/>
      <c r="AG462" s="203"/>
      <c r="AH462" s="203"/>
      <c r="AI462" s="203"/>
      <c r="AJ462" s="203"/>
      <c r="AK462" s="203"/>
      <c r="AL462" s="203"/>
      <c r="AM462" s="203"/>
      <c r="AN462" s="192"/>
      <c r="AO462" s="192"/>
      <c r="AP462" s="192"/>
      <c r="AQ462" s="192"/>
      <c r="AR462" s="192"/>
      <c r="AS462" s="192"/>
      <c r="AT462" s="192"/>
      <c r="AU462" s="192"/>
      <c r="AV462" s="192"/>
      <c r="AW462" s="192"/>
      <c r="AX462" s="192"/>
    </row>
    <row r="463" spans="2:50" ht="15" customHeight="1" thickTop="1" thickBot="1" x14ac:dyDescent="0.35">
      <c r="B463" s="192"/>
      <c r="C463" s="192"/>
      <c r="D463" s="192"/>
      <c r="E463" s="168" t="s">
        <v>113</v>
      </c>
      <c r="F463" s="168" t="s">
        <v>114</v>
      </c>
      <c r="G463" s="117"/>
      <c r="H463" s="192"/>
      <c r="I463" s="249" t="s">
        <v>115</v>
      </c>
      <c r="J463" s="249"/>
      <c r="K463" s="249"/>
      <c r="L463" s="250" t="s">
        <v>115</v>
      </c>
      <c r="M463" s="250" t="s">
        <v>116</v>
      </c>
      <c r="N463" s="250" t="s">
        <v>117</v>
      </c>
      <c r="O463" s="250" t="s">
        <v>118</v>
      </c>
      <c r="P463" s="250" t="s">
        <v>119</v>
      </c>
      <c r="Q463" s="250" t="s">
        <v>120</v>
      </c>
      <c r="R463" s="250"/>
      <c r="S463" s="251"/>
      <c r="T463" s="208">
        <v>4</v>
      </c>
      <c r="U463" s="223"/>
      <c r="V463" s="140" t="str">
        <f>IF(V452="","",IF(OR(V455&lt;&gt;V452,V455&lt;&gt;V454),"",IF(AND(COUNTBLANK(I453:I456)=0,M453=M455,M455=M456),(SUM(L470:P470)+SUM(L479:P479))/(SUM(L471:P471)+SUM(L480:P480)),"")))</f>
        <v/>
      </c>
      <c r="W463" s="224" t="str">
        <f>IF(W452="","",IF(OR(W455&lt;&gt;W452,W455&lt;&gt;W453),"",IF(AND(COUNTBLANK(I453:I456)=0,M453=M454,M454=M456),(SUM(L470:P470)+SUM(L467:P467))/(SUM(L471:P471)+SUM(L468:P468)),"")))</f>
        <v/>
      </c>
      <c r="X463" s="252" t="str">
        <f>IF(X453="","",IF(OR(X455&lt;&gt;X453,X455&lt;&gt;X454),"",IF(AND(COUNTBLANK(I453:I456)=0,M454=M455,M455=M456),(SUM(L467:P467)+SUM(L479:P479))/(SUM(L468:P468)+SUM(L480:P480)),"")))</f>
        <v/>
      </c>
      <c r="Y463" s="192"/>
      <c r="Z463" s="203"/>
      <c r="AA463" s="243">
        <v>1</v>
      </c>
      <c r="AB463" s="151" t="str">
        <f>IF(AND(COUNTBLANK(I453:I456)=0,Group_players=4,M453=M454,M454=M456),IF(COUNTIF(W452:W455,W452)=3,AB476,IF(AND(COUNTIF(W452:W455,W452)=1,W453&lt;&gt;W455),IF(M453=2,IF(SMALL(W452:W455,1)=W452,1,IF(SMALL(W452:W455,2)=W452,2,IF(SMALL(W452:W455,3)=W452,3))),IF(M453=1,IF(SMALL(W452:W455,1)=W452,2,IF(SMALL(W452:W455,2)=W452,3,IF(SMALL(W452:W455,3)=W452,4))),"")),IF(COUNTIF(W452:W455,W452)=1,IF(W452&lt;W453,IF(M453=2,1,2),IF(M453=2,3,4)),IF(COUNTIF(W452:W455,W452)=2,IF(W452=W453,IF(W452&lt;W455,IF(M453=2,IF(Q476=3,1,2),IF(M453=1,IF(Q476=3,2,3))),IF(W452&gt;W455,IF(M453=2,IF(Q476=3,2,3),IF(M453=1,IF(Q476=3,3,4))))),IF(W452=W455,IF(W452&lt;W453,IF(M453=2,IF(Q470=3,1,2),IF(M453=1,IF(Q470=3,2,3))),IF(W452&gt;W453,IF(M453=2,IF(Q470=3,2,3),IF(M453=1,IF(Q470=3,3,4))))))),"")))),"")</f>
        <v/>
      </c>
      <c r="AC463" s="192"/>
      <c r="AD463" s="192"/>
      <c r="AE463" s="192"/>
      <c r="AF463" s="203"/>
      <c r="AG463" s="203"/>
      <c r="AH463" s="203"/>
      <c r="AI463" s="203"/>
      <c r="AJ463" s="203"/>
      <c r="AK463" s="203"/>
      <c r="AL463" s="203"/>
      <c r="AM463" s="203"/>
      <c r="AN463" s="192"/>
      <c r="AO463" s="192"/>
      <c r="AP463" s="192"/>
      <c r="AQ463" s="192"/>
      <c r="AR463" s="192"/>
      <c r="AS463" s="192"/>
      <c r="AT463" s="192"/>
      <c r="AU463" s="192"/>
      <c r="AV463" s="192"/>
      <c r="AW463" s="192"/>
      <c r="AX463" s="192"/>
    </row>
    <row r="464" spans="2:50" ht="15" customHeight="1" thickTop="1" x14ac:dyDescent="0.3">
      <c r="B464" s="192"/>
      <c r="C464" s="192"/>
      <c r="D464" s="192"/>
      <c r="E464" s="164" t="str">
        <f>IF(Q464="","",IF(Q464=3,1,0))</f>
        <v/>
      </c>
      <c r="F464" s="164" t="str">
        <f>IF(Q464="","",IF(Q464&lt;3,1,0))</f>
        <v/>
      </c>
      <c r="G464" s="192"/>
      <c r="H464" s="192" t="str">
        <f>IF(I453="","",1)</f>
        <v/>
      </c>
      <c r="I464" s="192" t="str">
        <f>IF(ISNUMBER(H464),VLOOKUP(H464,H453:I456,2,TRUE),"")</f>
        <v/>
      </c>
      <c r="J464" s="192"/>
      <c r="K464" s="192" t="str">
        <f>VLOOKUP(I464,I453:L456,3,FALSE)</f>
        <v/>
      </c>
      <c r="L464" s="253"/>
      <c r="M464" s="254"/>
      <c r="N464" s="254"/>
      <c r="O464" s="152"/>
      <c r="P464" s="153"/>
      <c r="Q464" s="255" t="str">
        <f>IF(L464="","",IF(AND(L464-L465&gt;1,L464&gt;10),1,0)+IF(AND(M464-M465&gt;1,M464&gt;10),1,0)+IF(AND(N464-N465&gt;1,N464&gt;10),1,0)+IF(AND(O464-O465&gt;1,O464&gt;10),1,0)+IF(AND(P464-P465&gt;1,P464&gt;10),1,0))</f>
        <v/>
      </c>
      <c r="R464" s="203" t="str">
        <f>IF(AND(I464="",I465=""),"",ABS(VLOOKUP(I464,I453:L456,4,FALSE)-VLOOKUP(I465,I453:L456,4,FALSE)))</f>
        <v/>
      </c>
      <c r="S464" s="256" t="str">
        <f>IF(R465="","",IF(Q464=3,+R465,-R465))</f>
        <v/>
      </c>
      <c r="T464" s="257"/>
      <c r="U464" s="258"/>
      <c r="V464" s="258"/>
      <c r="W464" s="258"/>
      <c r="X464" s="258"/>
      <c r="Y464" s="192"/>
      <c r="Z464" s="203"/>
      <c r="AA464" s="246">
        <v>2</v>
      </c>
      <c r="AB464" s="154" t="str">
        <f>IF(AND(COUNTBLANK(I453:I456)=0,Group_players=4,M453=M454,M454=M456),IF(COUNTIF(W452:W455,W453)=3,AB477,IF(AND(COUNTIF(W452:W455,W453)=1,W452&lt;&gt;W454),IF(M454=2,IF(SMALL(W452:W455,1)=W453,1,IF(SMALL(W452:W455,2)=W453,2,IF(SMALL(W452:W455,3)=W453,3))),IF(M454=1,IF(SMALL(W452:W455,1)=W453,2,IF(SMALL(W452:W455,2)=W453,3,IF(SMALL(W452:W455,3)=W453,4))),"")),IF(COUNTIF(W452:W455,W453)=1,IF(W453&lt;W452,IF(M454=2,1,2),IF(M454=2,3,4)),IF(COUNTIF(W452:W455,W453)=2,IF(W453=W452,IF(W453&lt;W455,IF(M454=2,IF(Q477=3,1,2),IF(M454=1,IF(Q477=3,2,3))),IF(W453&gt;W455,IF(M454=2,IF(Q477=3,2,3),IF(M454=1,IF(Q477=3,3,4))))),IF(W453=W455,IF(W453&lt;W452,IF(M454=2,IF(Q467=3,1,2),IF(M454=1,IF(Q467=3,2,3))),IF(W453&gt;W452,IF(M454=2,IF(Q467=3,2,3),IF(M454=1,IF(Q467=3,3,4))))))),"")))),"")</f>
        <v/>
      </c>
      <c r="AC464" s="192"/>
      <c r="AD464" s="192"/>
      <c r="AE464" s="192"/>
      <c r="AF464" s="203"/>
      <c r="AG464" s="203"/>
      <c r="AH464" s="203"/>
      <c r="AI464" s="203"/>
      <c r="AJ464" s="203"/>
      <c r="AK464" s="203"/>
      <c r="AL464" s="203"/>
      <c r="AM464" s="203"/>
      <c r="AN464" s="192"/>
      <c r="AO464" s="192"/>
      <c r="AP464" s="192"/>
      <c r="AQ464" s="192"/>
      <c r="AR464" s="192"/>
      <c r="AS464" s="192"/>
      <c r="AT464" s="192"/>
      <c r="AU464" s="192"/>
      <c r="AV464" s="192"/>
      <c r="AW464" s="192"/>
      <c r="AX464" s="192"/>
    </row>
    <row r="465" spans="2:50" ht="15" customHeight="1" thickBot="1" x14ac:dyDescent="0.35">
      <c r="B465" s="192"/>
      <c r="C465" s="192"/>
      <c r="D465" s="192"/>
      <c r="E465" s="164" t="str">
        <f>IF(Q465="","",IF(Q465=3,1,0))</f>
        <v/>
      </c>
      <c r="F465" s="164" t="str">
        <f>IF(Q465="","",IF(Q465&lt;3,1,0))</f>
        <v/>
      </c>
      <c r="G465" s="192"/>
      <c r="H465" s="192" t="str">
        <f>IF(I454="","",IF(I455="",2,3))</f>
        <v/>
      </c>
      <c r="I465" s="192" t="str">
        <f>IF(ISNUMBER(H465),VLOOKUP(H465,H453:I456,2,TRUE),"")</f>
        <v/>
      </c>
      <c r="J465" s="192"/>
      <c r="K465" s="192" t="str">
        <f>VLOOKUP(I465,I453:L456,3,FALSE)</f>
        <v/>
      </c>
      <c r="L465" s="155"/>
      <c r="M465" s="259"/>
      <c r="N465" s="259"/>
      <c r="O465" s="156"/>
      <c r="P465" s="157"/>
      <c r="Q465" s="260" t="str">
        <f>IF(L465="","",IF(AND(L465-L464&gt;1,L465&gt;10),1,0)+IF(AND(M465-M464&gt;1,M465&gt;10),1,0)+IF(AND(N465-N464&gt;1,N465&gt;10),1,0)+IF(AND(O465-O464&gt;1,O465&gt;10),1,0)+IF(AND(P465-P464&gt;1,P465&gt;10),1,0))</f>
        <v/>
      </c>
      <c r="R465" s="203" t="str">
        <f>IF(AND(Q464&lt;&gt;3,Q465&lt;&gt;3),"",IF(Q464=3,IF(VLOOKUP(I464,I453:L456,4,FALSE)&gt;VLOOKUP(I465,I453:L456,4,FALSE),VLOOKUP(R464,Point_dif,2,FALSE),VLOOKUP(R464,Point_dif,3,FALSE)),IF(Q465=3,IF(VLOOKUP(I465,I453:L456,4,FALSE)&gt;VLOOKUP(I464,I453:L456,4,FALSE),VLOOKUP(R464,Point_dif,2,FALSE),VLOOKUP(R464,Point_dif,3,FALSE)))))</f>
        <v/>
      </c>
      <c r="S465" s="256" t="str">
        <f>IF(R465="","",IF(Q465=3,+R465,-R465))</f>
        <v/>
      </c>
      <c r="T465" s="192"/>
      <c r="U465" s="235"/>
      <c r="V465" s="235"/>
      <c r="W465" s="235"/>
      <c r="X465" s="235"/>
      <c r="Y465" s="235"/>
      <c r="Z465" s="235"/>
      <c r="AA465" s="240">
        <v>4</v>
      </c>
      <c r="AB465" s="158" t="str">
        <f>IF(AND(COUNTBLANK(I453:I456)=0,Group_players=4,M453=M454,M454=M456),IF(COUNTIF(W452:W455,W455)=3,AB478,IF(AND(COUNTIF(W452:W455,W455)=1,W452&lt;&gt;W453),IF(M456=2,IF(SMALL(W452:W455,1)=W455,1,IF(SMALL(W452:W455,2)=W455,2,IF(SMALL(W452:W455,3)=W455,3))),IF(M456=1,IF(SMALL(W452:W455,1)=W455,2,IF(SMALL(W452:W455,2)=W455,3,IF(SMALL(W452:W455,3)=W455,4))),"")),IF(COUNTIF(W452:W455,W455)=1,IF(W455&lt;W452,IF(M456=2,1,2),IF(M456=2,3,4)),IF(COUNTIF(W452:W455,W455)=2,IF(W455=W452,IF(W455&lt;W453,IF(M456=2,IF(Q471=3,1,2),IF(M456=1,IF(Q471=3,2,3))),IF(W455&gt;W454,IF(M456=2,IF(Q471=3,2,3),IF(M456=1,IF(Q471=3,3,4))))),IF(W455=W453,IF(W455&lt;W452,IF(M456=2,IF(Q468=3,1,2),IF(M456=1,IF(Q468=3,2,3))),IF(W455&gt;W452,IF(M456=2,IF(Q468=3,2,3),IF(M456=1,IF(Q468=3,3,4))))))),"")))),"")</f>
        <v/>
      </c>
      <c r="AC465" s="192"/>
      <c r="AD465" s="192"/>
      <c r="AE465" s="192"/>
      <c r="AF465" s="203"/>
      <c r="AG465" s="203"/>
      <c r="AH465" s="203"/>
      <c r="AI465" s="203"/>
      <c r="AJ465" s="203"/>
      <c r="AK465" s="203"/>
      <c r="AL465" s="203"/>
      <c r="AM465" s="203"/>
      <c r="AN465" s="192"/>
      <c r="AO465" s="192"/>
      <c r="AP465" s="192"/>
      <c r="AQ465" s="192"/>
      <c r="AR465" s="192"/>
      <c r="AS465" s="192"/>
      <c r="AT465" s="192"/>
      <c r="AU465" s="192"/>
      <c r="AV465" s="192"/>
      <c r="AW465" s="192"/>
      <c r="AX465" s="192"/>
    </row>
    <row r="466" spans="2:50" ht="15" customHeight="1" thickTop="1" thickBot="1" x14ac:dyDescent="0.35">
      <c r="B466" s="192"/>
      <c r="C466" s="192"/>
      <c r="D466" s="192"/>
      <c r="E466" s="164"/>
      <c r="F466" s="164"/>
      <c r="G466" s="192"/>
      <c r="H466" s="192"/>
      <c r="I466" s="249" t="s">
        <v>116</v>
      </c>
      <c r="J466" s="249"/>
      <c r="K466" s="249"/>
      <c r="L466" s="250" t="s">
        <v>115</v>
      </c>
      <c r="M466" s="250" t="s">
        <v>116</v>
      </c>
      <c r="N466" s="250" t="s">
        <v>117</v>
      </c>
      <c r="O466" s="250" t="s">
        <v>118</v>
      </c>
      <c r="P466" s="250" t="s">
        <v>119</v>
      </c>
      <c r="Q466" s="250" t="s">
        <v>120</v>
      </c>
      <c r="R466" s="250"/>
      <c r="S466" s="251"/>
      <c r="T466" s="192"/>
      <c r="U466" s="235"/>
      <c r="V466" s="235"/>
      <c r="W466" s="235"/>
      <c r="X466" s="235"/>
      <c r="Y466" s="235"/>
      <c r="Z466" s="235"/>
      <c r="AA466" s="243">
        <v>2</v>
      </c>
      <c r="AB466" s="151" t="str">
        <f>IF(AND(COUNTBLANK(I453:I456)=0,Group_players=4,M454=M455,M455=M456),IF(COUNTIF(X452:X455,X453)=3,AB479,IF(AND(COUNTIF(X452:X455,X453)=1,X454&lt;&gt;X455),IF(M454=2,IF(SMALL(X452:X455,1)=X453,1,IF(SMALL(X452:X455,2)=X453,2,IF(SMALL(X452:X455,3)=X453,3))),IF(M454=1,IF(SMALL(X452:X455,1)=X453,2,IF(SMALL(X452:X455,2)=X453,3,IF(SMALL(X452:X455,3)=X453,4))),"")),IF(COUNTIF(X452:X455,X453)=1,IF(X453&lt;X455,IF(M454=2,1,2),IF(M454=1,3,3)),IF(COUNTIF(X452:X455,X453)=2,IF(X453=X454,IF(X453&lt;X455,IF(M454=2,IF(Q473=3,1,2),IF(M454=1,IF(Q473=3,2,3))),IF(X453&gt;X455,IF(M454=2,IF(Q473=3,2,3),IF(M454=1,IF(Q473=3,3,4))))),IF(X453=X455,IF(X453&lt;X454,IF(M454=2,IF(Q467=3,1,2),IF(M454=1,IF(Q467=3,2,3))),IF(X453&gt;X454,IF(M454=2,IF(Q467=3,2,3),IF(M454=1,IF(Q467=3,3,4))))))),"")))),"")</f>
        <v/>
      </c>
      <c r="AC466" s="192"/>
      <c r="AD466" s="192"/>
      <c r="AE466" s="192"/>
      <c r="AF466" s="203"/>
      <c r="AG466" s="203"/>
      <c r="AH466" s="203"/>
      <c r="AI466" s="203"/>
      <c r="AJ466" s="203"/>
      <c r="AK466" s="203"/>
      <c r="AL466" s="203"/>
      <c r="AM466" s="203"/>
      <c r="AN466" s="192"/>
      <c r="AO466" s="192"/>
      <c r="AP466" s="192"/>
      <c r="AQ466" s="192"/>
      <c r="AR466" s="192"/>
      <c r="AS466" s="192"/>
      <c r="AT466" s="192"/>
      <c r="AU466" s="192"/>
      <c r="AV466" s="192"/>
      <c r="AW466" s="192"/>
      <c r="AX466" s="192"/>
    </row>
    <row r="467" spans="2:50" ht="15" customHeight="1" thickTop="1" x14ac:dyDescent="0.3">
      <c r="B467" s="192"/>
      <c r="C467" s="192"/>
      <c r="D467" s="192"/>
      <c r="E467" s="164" t="str">
        <f>IF(Q467="","",IF(Q467=3,1,0))</f>
        <v/>
      </c>
      <c r="F467" s="164" t="str">
        <f>IF(Q467="","",IF(Q467&lt;3,1,0))</f>
        <v/>
      </c>
      <c r="G467" s="192"/>
      <c r="H467" s="192" t="str">
        <f>IF(I455="","",2)</f>
        <v/>
      </c>
      <c r="I467" s="192" t="str">
        <f>IF(ISNUMBER(H467),VLOOKUP(H467,H453:I456,2,TRUE),"")</f>
        <v/>
      </c>
      <c r="J467" s="192"/>
      <c r="K467" s="192" t="str">
        <f>VLOOKUP(I467,I453:L456,3,FALSE)</f>
        <v/>
      </c>
      <c r="L467" s="253"/>
      <c r="M467" s="254"/>
      <c r="N467" s="254"/>
      <c r="O467" s="152"/>
      <c r="P467" s="153"/>
      <c r="Q467" s="255" t="str">
        <f>IF(L467="","",IF(AND(L467-L468&gt;1,L467&gt;10),1,0)+IF(AND(M467-M468&gt;1,M467&gt;10),1,0)+IF(AND(N467-N468&gt;1,N467&gt;10),1,0)+IF(AND(O467-O468&gt;1,O467&gt;10),1,0)+IF(AND(P467-P468&gt;1,P467&gt;10),1,0))</f>
        <v/>
      </c>
      <c r="R467" s="203" t="str">
        <f>IF(AND(I467="",I468=""),"",ABS(VLOOKUP(I467,I453:L456,4,FALSE)-VLOOKUP(I468,I453:L456,4,FALSE)))</f>
        <v/>
      </c>
      <c r="S467" s="256" t="str">
        <f>IF(R468="","",IF(Q467=3,+R468,-R468))</f>
        <v/>
      </c>
      <c r="T467" s="192"/>
      <c r="U467" s="235"/>
      <c r="V467" s="235"/>
      <c r="W467" s="235"/>
      <c r="X467" s="235"/>
      <c r="Y467" s="235"/>
      <c r="Z467" s="235"/>
      <c r="AA467" s="246">
        <v>3</v>
      </c>
      <c r="AB467" s="154" t="str">
        <f>IF(AND(COUNTBLANK(I453:I456)=0,Group_players=4,M454=M455,M455=M456),IF(COUNTIF(X452:X455,X454)=3,AB480,IF(AND(COUNTIF(X452:X455,X454)=1,X453&lt;&gt;X455),IF(M455=2,IF(SMALL(X452:X455,1)=X454,1,IF(SMALL(X452:X455,2)=X454,2,IF(SMALL(X452:X455,3)=X454,3))),IF(M455=1,IF(SMALL(X452:X455,1)=X454,2,IF(SMALL(X452:X455,2)=X454,3,IF(SMALL(X452:X455,3)=X454,4))),"")),IF(COUNTIF(X452:X455,X454)=1,IF(X454&lt;X453,IF(M455=2,1,2),IF(M455=2,3,4)),IF(COUNTIF(X452:X455,X454)=2,IF(X454=X453,IF(X454&lt;X455,IF(M455=2,IF(Q474=3,1,2),IF(M455=1,IF(Q474=3,2,3))),IF(X454&gt;X455,IF(M455=2,IF(Q474=3,2,3),IF(M455=1,IF(Q474=3,3,4))))),IF(X454=X455,IF(X454&lt;X453,IF(M455=2,IF(Q479=3,1,2),IF(M455=1,IF(Q479=3,2,3))),IF(X454&gt;X453,IF(M455=2,IF(Q479=3,2,3),IF(M455=1,IF(Q479=3,3,4))))))),"")))),"")</f>
        <v/>
      </c>
      <c r="AC467" s="192"/>
      <c r="AD467" s="192"/>
      <c r="AE467" s="192"/>
      <c r="AF467" s="203"/>
      <c r="AG467" s="203"/>
      <c r="AH467" s="203"/>
      <c r="AI467" s="203"/>
      <c r="AJ467" s="203"/>
      <c r="AK467" s="203"/>
      <c r="AL467" s="203"/>
      <c r="AM467" s="203"/>
      <c r="AN467" s="192"/>
      <c r="AO467" s="192"/>
      <c r="AP467" s="192"/>
      <c r="AQ467" s="192"/>
      <c r="AR467" s="192"/>
      <c r="AS467" s="192"/>
      <c r="AT467" s="192"/>
      <c r="AU467" s="192"/>
      <c r="AV467" s="192"/>
      <c r="AW467" s="192"/>
      <c r="AX467" s="192"/>
    </row>
    <row r="468" spans="2:50" ht="15" customHeight="1" thickBot="1" x14ac:dyDescent="0.35">
      <c r="B468" s="192"/>
      <c r="C468" s="192"/>
      <c r="D468" s="192"/>
      <c r="E468" s="164" t="str">
        <f>IF(Q468="","",IF(Q468=3,1,0))</f>
        <v/>
      </c>
      <c r="F468" s="164" t="str">
        <f>IF(Q468="","",IF(Q468&lt;3,1,0))</f>
        <v/>
      </c>
      <c r="G468" s="192"/>
      <c r="H468" s="192" t="str">
        <f>IF(I455="","",IF(I456="",3,4))</f>
        <v/>
      </c>
      <c r="I468" s="192" t="str">
        <f>IF(ISNUMBER(H468),VLOOKUP(H468,H453:I456,2,TRUE),"")</f>
        <v/>
      </c>
      <c r="J468" s="192"/>
      <c r="K468" s="192" t="str">
        <f>VLOOKUP(I468,I453:L456,3,FALSE)</f>
        <v/>
      </c>
      <c r="L468" s="155"/>
      <c r="M468" s="259"/>
      <c r="N468" s="259"/>
      <c r="O468" s="156"/>
      <c r="P468" s="157"/>
      <c r="Q468" s="260" t="str">
        <f>IF(L468="","",IF(AND(L468-L467&gt;1,L468&gt;10),1,0)+IF(AND(M468-M467&gt;1,M468&gt;10),1,0)+IF(AND(N468-N467&gt;1,N468&gt;10),1,0)+IF(AND(O468-O467&gt;1,O468&gt;10),1,0)+IF(AND(P468-P467&gt;1,P468&gt;10),1,0))</f>
        <v/>
      </c>
      <c r="R468" s="203" t="str">
        <f>IF(AND(Q467&lt;&gt;3,Q468&lt;&gt;3),"",IF(Q467=3,IF(VLOOKUP(I467,I453:L456,4,FALSE)&gt;VLOOKUP(I468,I453:L456,4,FALSE),VLOOKUP(R467,Point_dif,2,FALSE),VLOOKUP(R467,Point_dif,3,FALSE)),IF(Q468=3,IF(VLOOKUP(I468,I453:L456,4,FALSE)&gt;VLOOKUP(I467,I453:L456,4,FALSE),VLOOKUP(R467,Point_dif,2,FALSE),VLOOKUP(R467,Point_dif,3,FALSE)))))</f>
        <v/>
      </c>
      <c r="S468" s="256" t="str">
        <f>IF(R468="","",IF(Q468=3,+R468,-R468))</f>
        <v/>
      </c>
      <c r="T468" s="192"/>
      <c r="U468" s="235"/>
      <c r="V468" s="235"/>
      <c r="W468" s="235"/>
      <c r="X468" s="235"/>
      <c r="Y468" s="235"/>
      <c r="Z468" s="235"/>
      <c r="AA468" s="261">
        <v>4</v>
      </c>
      <c r="AB468" s="158" t="str">
        <f>IF(AND(COUNTBLANK(I453:I456)=0,Group_players=4,M454=M455,M455=M456),IF(COUNTIF(X452:X455,X455)=3,AB481,IF(AND(COUNTIF(X452:X455,X455)=1,X454&lt;&gt;X453),IF(M456=2,IF(SMALL(X452:X455,1)=X455,1,IF(SMALL(X452:X455,2)=X455,2,IF(SMALL(X452:X455,3)=X455,3))),IF(M456=1,IF(SMALL(X452:X455,1)=X455,2,IF(SMALL(X452:X455,2)=X455,3,IF(SMALL(X452:X455,3)=X455,4))),"")),IF(COUNTIF(X452:X455,X455)=1,IF(X455&lt;X453,IF(M456=2,1,2),IF(M456=2,3,4)),IF(COUNTIF(X452:X455,X455)=2,IF(X455=X453,IF(X455&lt;X454,IF(M456=2,IF(Q468=3,1,2),IF(M456=1,IF(Q468=3,2,3))),IF(X455&gt;X454,IF(M456=2,IF(Q468=3,2,3),IF(M456=1,IF(Q468=3,3,4))))),IF(X455=X454,IF(X455&lt;X453,IF(M456=2,IF(Q480=3,1,2),IF(M456=1,IF(Q480=3,2,3))),IF(X455&gt;X453,IF(M456=2,IF(Q480=3,2,3),IF(M456=1,IF(Q480=3,3,4))))))),"")))),"")</f>
        <v/>
      </c>
      <c r="AC468" s="192"/>
      <c r="AD468" s="192"/>
      <c r="AE468" s="192"/>
      <c r="AF468" s="203"/>
      <c r="AG468" s="203"/>
      <c r="AH468" s="203"/>
      <c r="AI468" s="203"/>
      <c r="AJ468" s="203"/>
      <c r="AK468" s="203"/>
      <c r="AL468" s="203"/>
      <c r="AM468" s="203"/>
      <c r="AN468" s="192"/>
      <c r="AO468" s="192"/>
      <c r="AP468" s="192"/>
      <c r="AQ468" s="192"/>
      <c r="AR468" s="192"/>
      <c r="AS468" s="192"/>
      <c r="AT468" s="192"/>
      <c r="AU468" s="192"/>
      <c r="AV468" s="192"/>
      <c r="AW468" s="192"/>
      <c r="AX468" s="192"/>
    </row>
    <row r="469" spans="2:50" ht="15" customHeight="1" thickTop="1" thickBot="1" x14ac:dyDescent="0.35">
      <c r="B469" s="192"/>
      <c r="C469" s="192"/>
      <c r="D469" s="192"/>
      <c r="E469" s="164"/>
      <c r="F469" s="164"/>
      <c r="G469" s="192"/>
      <c r="H469" s="192"/>
      <c r="I469" s="249" t="s">
        <v>117</v>
      </c>
      <c r="J469" s="249"/>
      <c r="K469" s="249"/>
      <c r="L469" s="250" t="s">
        <v>115</v>
      </c>
      <c r="M469" s="250" t="s">
        <v>116</v>
      </c>
      <c r="N469" s="250" t="s">
        <v>117</v>
      </c>
      <c r="O469" s="250" t="s">
        <v>118</v>
      </c>
      <c r="P469" s="250" t="s">
        <v>119</v>
      </c>
      <c r="Q469" s="250" t="s">
        <v>120</v>
      </c>
      <c r="R469" s="250"/>
      <c r="S469" s="251"/>
      <c r="T469" s="263"/>
      <c r="U469" s="264"/>
      <c r="V469" s="242"/>
      <c r="W469" s="242"/>
      <c r="X469" s="264"/>
      <c r="Y469" s="192"/>
      <c r="Z469" s="203"/>
      <c r="AA469" s="126" t="s">
        <v>93</v>
      </c>
      <c r="AB469" s="265" t="s">
        <v>110</v>
      </c>
      <c r="AC469" s="192"/>
      <c r="AD469" s="192"/>
      <c r="AE469" s="192"/>
      <c r="AF469" s="203"/>
      <c r="AG469" s="203"/>
      <c r="AH469" s="203"/>
      <c r="AI469" s="203"/>
      <c r="AJ469" s="203"/>
      <c r="AK469" s="203"/>
      <c r="AL469" s="203"/>
      <c r="AM469" s="203"/>
      <c r="AN469" s="192"/>
      <c r="AO469" s="192"/>
      <c r="AP469" s="192"/>
      <c r="AQ469" s="192"/>
      <c r="AR469" s="192"/>
      <c r="AS469" s="192"/>
      <c r="AT469" s="192"/>
      <c r="AU469" s="192"/>
      <c r="AV469" s="192"/>
      <c r="AW469" s="192"/>
      <c r="AX469" s="192"/>
    </row>
    <row r="470" spans="2:50" ht="15" customHeight="1" thickTop="1" x14ac:dyDescent="0.3">
      <c r="B470" s="192"/>
      <c r="C470" s="192"/>
      <c r="D470" s="192"/>
      <c r="E470" s="164" t="str">
        <f>IF(Q470="","",IF(Q470=3,1,0))</f>
        <v/>
      </c>
      <c r="F470" s="164" t="str">
        <f>IF(Q470="","",IF(Q470&lt;3,1,0))</f>
        <v/>
      </c>
      <c r="G470" s="192"/>
      <c r="H470" s="192" t="str">
        <f>IF(I455&lt;&gt;"",1,"")</f>
        <v/>
      </c>
      <c r="I470" s="192" t="str">
        <f>IF(ISNUMBER(H470),VLOOKUP(H470,H453:I456,2,TRUE),"")</f>
        <v/>
      </c>
      <c r="J470" s="192"/>
      <c r="K470" s="192" t="str">
        <f>VLOOKUP(I470,I453:L456,3,FALSE)</f>
        <v/>
      </c>
      <c r="L470" s="253"/>
      <c r="M470" s="254"/>
      <c r="N470" s="254"/>
      <c r="O470" s="152"/>
      <c r="P470" s="153"/>
      <c r="Q470" s="255" t="str">
        <f>IF(L470="","",IF(AND(L470-L471&gt;1,L470&gt;10),1,0)+IF(AND(M470-M471&gt;1,M470&gt;10),1,0)+IF(AND(N470-N471&gt;1,N470&gt;10),1,0)+IF(AND(O470-O471&gt;1,O470&gt;10),1,0)+IF(AND(P470-P471&gt;1,P470&gt;10),1,0))</f>
        <v/>
      </c>
      <c r="R470" s="203" t="str">
        <f>IF(AND(I470="",I471=""),"",ABS(VLOOKUP(I470,I453:L456,4,FALSE)-VLOOKUP(I471,I453:L456,4,FALSE)))</f>
        <v/>
      </c>
      <c r="S470" s="256" t="str">
        <f>IF(R471="","",IF(Q470=3,+R471,-R471))</f>
        <v/>
      </c>
      <c r="T470" s="192"/>
      <c r="U470" s="235"/>
      <c r="V470" s="235"/>
      <c r="W470" s="235"/>
      <c r="X470" s="235"/>
      <c r="Y470" s="235"/>
      <c r="Z470" s="235"/>
      <c r="AA470" s="243">
        <v>1</v>
      </c>
      <c r="AB470" s="222" t="str">
        <f>IF(AND(COUNTBLANK(I453:I456)=0,Group_players=4,M453=M454,M454=M455),IF(U460="","",IF(COUNTIF(U460:U463,U460)=3,"Tied",IF(AND(COUNTIF(U460:U463,U460)=1,U461&lt;&gt;U462),IF(M453=2,IF(SMALL(U460:U463,1)=U460,1,IF(SMALL(U460:U463,2)=U460,2,IF(SMALL(U460:U463,3)=U460,3))),IF(M453=1,IF(SMALL(U460:U463,1)=U460,2,IF(SMALL(U460:U463,2)=U460,3,IF(SMALL(U460:U463,3)=U460,4))),"")),IF(COUNTIF(U460:U463,U460)=1,IF(U460&lt;U461,IF(M453=2,1,2),IF(M453=2,3,4)),IF(COUNTIF(U460:U463,U460)=2,IF(U460=U461,IF(U460&lt;U462,IF(M453=2,IF(Q476=3,1,2),IF(M453=1,IF(Q476=3,2,3))),IF(U460&gt;U462,IF(M453=2,IF(Q476=3,2,3),IF(M453=1,IF(Q476=3,3,4))))),IF(U460=U462,IF(U460&lt;U461,IF(M453=2,IF(Q464=3,1,2),IF(M453=1,IF(Q464=3,2,3))),IF(U460&gt;U461,IF(M453=2,IF(Q464=3,2,3),IF(M453=1,IF(Q464=3,3,4)))))))))))),"")</f>
        <v/>
      </c>
      <c r="AC470" s="192"/>
      <c r="AD470" s="192"/>
      <c r="AE470" s="192"/>
      <c r="AF470" s="203"/>
      <c r="AG470" s="203"/>
      <c r="AH470" s="203"/>
      <c r="AI470" s="203"/>
      <c r="AJ470" s="203"/>
      <c r="AK470" s="203"/>
      <c r="AL470" s="203"/>
      <c r="AM470" s="203"/>
      <c r="AN470" s="192"/>
      <c r="AO470" s="192"/>
      <c r="AP470" s="192"/>
      <c r="AQ470" s="192"/>
      <c r="AR470" s="192"/>
      <c r="AS470" s="192"/>
      <c r="AT470" s="192"/>
      <c r="AU470" s="192"/>
      <c r="AV470" s="192"/>
      <c r="AW470" s="192"/>
      <c r="AX470" s="192"/>
    </row>
    <row r="471" spans="2:50" ht="15" customHeight="1" thickBot="1" x14ac:dyDescent="0.35">
      <c r="B471" s="192"/>
      <c r="C471" s="192"/>
      <c r="D471" s="192"/>
      <c r="E471" s="164" t="str">
        <f>IF(Q471="","",IF(Q471=3,1,0))</f>
        <v/>
      </c>
      <c r="F471" s="164" t="str">
        <f>IF(Q471="","",IF(Q471&lt;3,1,0))</f>
        <v/>
      </c>
      <c r="G471" s="192"/>
      <c r="H471" s="192" t="str">
        <f>IF(I455="","",IF(I456&lt;&gt;"",4,2))</f>
        <v/>
      </c>
      <c r="I471" s="192" t="str">
        <f>IF(ISNUMBER(H471),VLOOKUP(H471,H453:I456,2,TRUE),"")</f>
        <v/>
      </c>
      <c r="J471" s="192"/>
      <c r="K471" s="192" t="str">
        <f>VLOOKUP(I471,I453:L456,3,FALSE)</f>
        <v/>
      </c>
      <c r="L471" s="155"/>
      <c r="M471" s="259"/>
      <c r="N471" s="259"/>
      <c r="O471" s="156"/>
      <c r="P471" s="157"/>
      <c r="Q471" s="260" t="str">
        <f>IF(L471="","",IF(AND(L471-L470&gt;1,L471&gt;10),1,0)+IF(AND(M471-M470&gt;1,M471&gt;10),1,0)+IF(AND(N471-N470&gt;1,N471&gt;10),1,0)+IF(AND(O471-O470&gt;1,O471&gt;10),1,0)+IF(AND(P471-P470&gt;1,P471&gt;10),1,0))</f>
        <v/>
      </c>
      <c r="R471" s="203" t="str">
        <f>IF(AND(Q470&lt;&gt;3,Q471&lt;&gt;3),"",IF(Q470=3,IF(VLOOKUP(I470,I453:L456,4,FALSE)&gt;VLOOKUP(I471,I453:L456,4,FALSE),VLOOKUP(R470,Point_dif,2,FALSE),VLOOKUP(R470,Point_dif,3,FALSE)),IF(Q471=3,IF(VLOOKUP(I471,I453:L456,4,FALSE)&gt;VLOOKUP(I470,I453:L456,4,FALSE),VLOOKUP(R470,Point_dif,2,FALSE),VLOOKUP(R470,Point_dif,3,FALSE)))))</f>
        <v/>
      </c>
      <c r="S471" s="256" t="str">
        <f>IF(R471="","",IF(Q471=3,+R471,-R471))</f>
        <v/>
      </c>
      <c r="T471" s="192"/>
      <c r="U471" s="235"/>
      <c r="V471" s="235"/>
      <c r="W471" s="235"/>
      <c r="X471" s="235"/>
      <c r="Y471" s="235"/>
      <c r="Z471" s="235"/>
      <c r="AA471" s="246">
        <v>2</v>
      </c>
      <c r="AB471" s="222" t="str">
        <f>IF(AND(COUNTBLANK(I453:I456)=0,Group_players=4,M453=M454,M454=M455),IF(U461="","",IF(COUNTIF(U460:U463,U461)=3,"Tied",IF(AND(COUNTIF(U460:U463,U461)=1,U460&lt;&gt;U462),IF(M454=2,IF(SMALL(U460:U463,1)=U461,1,IF(SMALL(U460:U463,2)=U461,2,IF(SMALL(U460:U463,3)=U461,3))),IF(M454=1,IF(SMALL(U460:U463,1)=U461,2,IF(SMALL(U460:U463,2)=U461,3,IF(SMALL(U460:U463,3)=U461,4))),"")),IF(COUNTIF(U460:U463,U461)=1,IF(U461&lt;U460,IF(M454=2,1,2),IF(M454=2,3,4)),IF(COUNTIF(U460:U463,U461)=2,IF(U461=U460,IF(U461&lt;U462,IF(M454=2,IF(Q477=3,1,2),IF(M454=1,IF(Q477=3,2,3))),IF(U461&gt;U462,IF(M454=2,IF(Q477=3,2,3),IF(M454=1,IF(Q477=3,3,4))))),IF(U461=U462,IF(U461&lt;U460,IF(M454=2,IF(Q473=3,1,2),IF(M454=1,IF(Q473=3,2,3))),IF(U461&gt;U460,IF(M454=2,IF(Q473=3,2,3),IF(M454=1,IF(Q473=3,3,4)))))))))))),"")</f>
        <v/>
      </c>
      <c r="AC471" s="192"/>
      <c r="AD471" s="192"/>
      <c r="AE471" s="192"/>
      <c r="AF471" s="203"/>
      <c r="AG471" s="203"/>
      <c r="AH471" s="203"/>
      <c r="AI471" s="203"/>
      <c r="AJ471" s="203"/>
      <c r="AK471" s="203"/>
      <c r="AL471" s="203"/>
      <c r="AM471" s="203"/>
      <c r="AN471" s="192"/>
      <c r="AO471" s="192"/>
      <c r="AP471" s="192"/>
      <c r="AQ471" s="192"/>
      <c r="AR471" s="192"/>
      <c r="AS471" s="192"/>
      <c r="AT471" s="192"/>
      <c r="AU471" s="192"/>
      <c r="AV471" s="192"/>
      <c r="AW471" s="192"/>
      <c r="AX471" s="192"/>
    </row>
    <row r="472" spans="2:50" ht="15" customHeight="1" thickTop="1" thickBot="1" x14ac:dyDescent="0.35">
      <c r="B472" s="192"/>
      <c r="C472" s="192"/>
      <c r="D472" s="192"/>
      <c r="E472" s="164"/>
      <c r="F472" s="164"/>
      <c r="G472" s="192"/>
      <c r="H472" s="192"/>
      <c r="I472" s="249" t="s">
        <v>118</v>
      </c>
      <c r="J472" s="249"/>
      <c r="K472" s="249"/>
      <c r="L472" s="250" t="s">
        <v>115</v>
      </c>
      <c r="M472" s="250" t="s">
        <v>116</v>
      </c>
      <c r="N472" s="250" t="s">
        <v>117</v>
      </c>
      <c r="O472" s="250" t="s">
        <v>118</v>
      </c>
      <c r="P472" s="250" t="s">
        <v>119</v>
      </c>
      <c r="Q472" s="250" t="s">
        <v>120</v>
      </c>
      <c r="R472" s="250"/>
      <c r="S472" s="251"/>
      <c r="T472" s="192"/>
      <c r="U472" s="235"/>
      <c r="V472" s="235"/>
      <c r="W472" s="235"/>
      <c r="X472" s="235"/>
      <c r="Y472" s="235"/>
      <c r="Z472" s="235"/>
      <c r="AA472" s="240">
        <v>3</v>
      </c>
      <c r="AB472" s="241" t="str">
        <f>IF(AND(COUNTBLANK(I453:I456)=0,Group_players=4,M453=M454,M454=M455),IF(U462="","",IF(COUNTIF(U460:U463,U462)=3,"Tied",IF(AND(COUNTIF(U460:U463,U462)=1,U460&lt;&gt;U461),IF(M453=2,IF(SMALL(U460:U463,1)=U462,1,IF(SMALL(U460:U463,2)=U462,2,IF(SMALL(U460:U463,3)=U462,3))),IF(M455=1,IF(SMALL(U460:U463,1)=U462,2,IF(SMALL(U460:U463,2)=U462,3,IF(SMALL(U460:U463,3)=U462,4))),"")),IF(COUNTIF(U460:U463,U462)=1,IF(U462&lt;U461,IF(M455=2,1,2),IF(M455=2,3,4)),IF(COUNTIF(U460:U463,U462)=2,IF(U462=U461,IF(U462&lt;U460,IF(M455=2,IF(Q474=3,1,2),IF(M455=1,IF(Q474=3,2,3))),IF(U462&gt;U460,IF(M455=2,IF(Q474=3,2,3),IF(M455=1,IF(Q474=3,3,4))))),IF(U462=U460,IF(U462&lt;U461,IF(M455=2,IF(Q465=3,1,2),IF(M455=1,IF(Q465=3,2,3))),IF(U462&gt;U461,IF(M455=2,IF(Q465=3,2,3),IF(M455=1,IF(Q465=3,3,4)))))))))))),"")</f>
        <v/>
      </c>
      <c r="AC472" s="192"/>
      <c r="AD472" s="192"/>
      <c r="AE472" s="192"/>
      <c r="AF472" s="203"/>
      <c r="AG472" s="203"/>
      <c r="AH472" s="203"/>
      <c r="AI472" s="203"/>
      <c r="AJ472" s="203"/>
      <c r="AK472" s="203"/>
      <c r="AL472" s="203"/>
      <c r="AM472" s="203"/>
      <c r="AN472" s="192"/>
      <c r="AO472" s="192"/>
      <c r="AP472" s="192"/>
      <c r="AQ472" s="192"/>
      <c r="AR472" s="192"/>
      <c r="AS472" s="192"/>
      <c r="AT472" s="192"/>
      <c r="AU472" s="192"/>
      <c r="AV472" s="192"/>
      <c r="AW472" s="192"/>
      <c r="AX472" s="192"/>
    </row>
    <row r="473" spans="2:50" ht="15" customHeight="1" thickTop="1" x14ac:dyDescent="0.3">
      <c r="B473" s="192"/>
      <c r="C473" s="192"/>
      <c r="D473" s="192"/>
      <c r="E473" s="164" t="str">
        <f>IF(Q473="","",IF(Q473=3,1,0))</f>
        <v/>
      </c>
      <c r="F473" s="164" t="str">
        <f>IF(Q473="","",IF(Q473&lt;3,1,0))</f>
        <v/>
      </c>
      <c r="G473" s="192"/>
      <c r="H473" s="192" t="str">
        <f>IF(I456&lt;&gt;"",2,"")</f>
        <v/>
      </c>
      <c r="I473" s="192" t="str">
        <f>IF(ISNUMBER(H473),VLOOKUP(H473,H453:I456,2,TRUE),"")</f>
        <v/>
      </c>
      <c r="J473" s="192"/>
      <c r="K473" s="192" t="str">
        <f>VLOOKUP(I473,I453:L456,3,FALSE)</f>
        <v/>
      </c>
      <c r="L473" s="253"/>
      <c r="M473" s="254"/>
      <c r="N473" s="254"/>
      <c r="O473" s="152"/>
      <c r="P473" s="153"/>
      <c r="Q473" s="255" t="str">
        <f>IF(L473="","",IF(AND(L473-L474&gt;1,L473&gt;10),1,0)+IF(AND(M473-M474&gt;1,M473&gt;10),1,0)+IF(AND(N473-N474&gt;1,N473&gt;10),1,0)+IF(AND(O473-O474&gt;1,O473&gt;10),1,0)+IF(AND(P473-P474&gt;1,P473&gt;10),1,0))</f>
        <v/>
      </c>
      <c r="R473" s="203" t="str">
        <f>IF(AND(I473="",I474=""),"",ABS(VLOOKUP(I473,I453:L456,4,FALSE)-VLOOKUP(I474,I453:L456,4,FALSE)))</f>
        <v/>
      </c>
      <c r="S473" s="256" t="str">
        <f>IF(R474="","",IF(Q473=3,+R474,-R474))</f>
        <v/>
      </c>
      <c r="T473" s="192"/>
      <c r="U473" s="235"/>
      <c r="V473" s="235"/>
      <c r="W473" s="235"/>
      <c r="X473" s="235"/>
      <c r="Y473" s="235"/>
      <c r="Z473" s="235"/>
      <c r="AA473" s="243">
        <v>1</v>
      </c>
      <c r="AB473" s="222" t="str">
        <f>IF(AND(COUNTBLANK(I453:I456)=0,Group_players=4,M453=M455,M455=M456),IF(V460="","",IF(COUNTIF(V460:V463,V460)=3,"Tied",IF(AND(COUNTIF(V460:V463,V460)=1,V462&lt;&gt;U463),IF(M453=2,IF(SMALL(V460:V463,1)=V460,1,IF(SMALL(V460:V463,2)=V460,2,IF(SMALL(V460:V463,3)=V460,3))),IF(M453=1,IF(SMALL(V460:V463,1)=V460,2,IF(SMALL(V460:V463,2)=V460,3,IF(SMALL(V460:V463,3)=V460,4))),"")),IF(COUNTIF(V460:V463,V460)=1,IF(V460&lt;V462,IF(M453=2,1,2),IF(M453=2,3,4)),IF(COUNTIF(V460:V463,V460)=2,IF(V460=V462,IF(V460&lt;V463,IF(M453=2,IF(Q464=3,1,2),IF(M453=1,IF(Q464=3,2,3))),IF(V460&gt;V463,IF(M453=2,IF(Q464=3,2,3),IF(M453=1,IF(Q464=3,3,4))))),IF(V460=V463,IF(V460&lt;V462,IF(M453=2,IF(Q470=3,1,2),IF(M453=1,IF(Q470=3,2,3))),IF(V460&gt;V461,IF(M453=2,IF(Q470=3,2,3),IF(M453=1,IF(Q470=3,3,4)))))))))))),"")</f>
        <v/>
      </c>
      <c r="AC473" s="192"/>
      <c r="AD473" s="192"/>
      <c r="AE473" s="192"/>
      <c r="AF473" s="203"/>
      <c r="AG473" s="203"/>
      <c r="AH473" s="203"/>
      <c r="AI473" s="203"/>
      <c r="AJ473" s="203"/>
      <c r="AK473" s="203"/>
      <c r="AL473" s="203"/>
      <c r="AM473" s="203"/>
      <c r="AN473" s="192"/>
      <c r="AO473" s="192"/>
      <c r="AP473" s="192"/>
      <c r="AQ473" s="192"/>
      <c r="AR473" s="192"/>
      <c r="AS473" s="192"/>
      <c r="AT473" s="192"/>
      <c r="AU473" s="192"/>
      <c r="AV473" s="192"/>
      <c r="AW473" s="192"/>
      <c r="AX473" s="192"/>
    </row>
    <row r="474" spans="2:50" ht="15" customHeight="1" thickBot="1" x14ac:dyDescent="0.35">
      <c r="B474" s="192"/>
      <c r="C474" s="192"/>
      <c r="D474" s="192"/>
      <c r="E474" s="164" t="str">
        <f>IF(Q474="","",IF(Q474=3,1,0))</f>
        <v/>
      </c>
      <c r="F474" s="164" t="str">
        <f>IF(Q474="","",IF(Q474&lt;3,1,0))</f>
        <v/>
      </c>
      <c r="G474" s="192"/>
      <c r="H474" s="192" t="str">
        <f>IF(I456&lt;&gt;"",3,"")</f>
        <v/>
      </c>
      <c r="I474" s="192" t="str">
        <f>IF(ISNUMBER(H474),VLOOKUP(H474,H453:I456,2,TRUE),"")</f>
        <v/>
      </c>
      <c r="J474" s="192"/>
      <c r="K474" s="192" t="str">
        <f>VLOOKUP(I474,I453:L456,3,FALSE)</f>
        <v/>
      </c>
      <c r="L474" s="155"/>
      <c r="M474" s="259"/>
      <c r="N474" s="259"/>
      <c r="O474" s="156"/>
      <c r="P474" s="157"/>
      <c r="Q474" s="260" t="str">
        <f>IF(L474="","",IF(AND(L474-L473&gt;1,L474&gt;10),1,0)+IF(AND(M474-M473&gt;1,M474&gt;10),1,0)+IF(AND(N474-N473&gt;1,N474&gt;10),1,0)+IF(AND(O474-O473&gt;1,O474&gt;10),1,0)+IF(AND(P474-P473&gt;1,P474&gt;10),1,0))</f>
        <v/>
      </c>
      <c r="R474" s="203" t="str">
        <f>IF(AND(Q473&lt;&gt;3,Q474&lt;&gt;3),"",IF(Q473=3,IF(VLOOKUP(I473,I453:L456,4,FALSE)&gt;VLOOKUP(I474,I453:L456,4,FALSE),VLOOKUP(R473,Point_dif,2,FALSE),VLOOKUP(R473,Point_dif,3,FALSE)),IF(Q474=3,IF(VLOOKUP(I474,I453:L456,4,FALSE)&gt;VLOOKUP(I473,I453:L456,4,FALSE),VLOOKUP(R473,Point_dif,2,FALSE),VLOOKUP(R473,Point_dif,3,FALSE)))))</f>
        <v/>
      </c>
      <c r="S474" s="256" t="str">
        <f>IF(R474="","",IF(Q474=3,+R474,-R474))</f>
        <v/>
      </c>
      <c r="T474" s="192"/>
      <c r="U474" s="159"/>
      <c r="V474" s="266"/>
      <c r="W474" s="266"/>
      <c r="X474" s="266"/>
      <c r="Y474" s="192"/>
      <c r="Z474" s="203"/>
      <c r="AA474" s="246">
        <v>3</v>
      </c>
      <c r="AB474" s="222" t="str">
        <f>IF(AND(COUNTBLANK(I453:I456)=0,Group_players=4,M453=M455,M455=M456),IF(V462="","",IF(COUNTIF(V460:V463,V462)=3,"Tied",IF(AND(COUNTIF(V460:V463,V462)=1,V460&lt;&gt;V463),IF(M455=2,IF(SMALL(V460:V463,1)=V462,1,IF(SMALL(V460:V463,2)=V462,2,IF(SMALL(V460:V463,3)=V462,3))),IF(M455=1,IF(SMALL(V460:V463,1)=V462,2,IF(SMALL(V460:V463,2)=V462,3,IF(SMALL(V460:V463,3)=V462,4))),"")),IF(COUNTIF(V460:V463,V462)=1,IF(V462&lt;V460,IF(M455=2,1,2),IF(M455=2,3,4)),IF(COUNTIF(V460:V463,V462)=2,IF(V462=V460,IF(V462&lt;V463,IF(M455=2,IF(Q465=3,1,2),IF(M455=1,IF(Q465=3,2,3))),IF(V462&gt;V463,IF(M455=2,IF(Q465=3,2,3),IF(M455=1,IF(Q465=3,3,4))))),IF(V462=V463,IF(V462&lt;V460,IF(M455=2,IF(Q479=3,1,2),IF(M455=1,IF(Q479=3,2,3))),IF(V462&gt;V460,IF(M455=2,IF(Q479=3,2,3),IF(M455=1,IF(Q479=3,3,4)))))))))))),"")</f>
        <v/>
      </c>
      <c r="AC474" s="192"/>
      <c r="AD474" s="192"/>
      <c r="AE474" s="192"/>
      <c r="AF474" s="203"/>
      <c r="AG474" s="203"/>
      <c r="AH474" s="203"/>
      <c r="AI474" s="203"/>
      <c r="AJ474" s="203"/>
      <c r="AK474" s="203"/>
      <c r="AL474" s="203"/>
      <c r="AM474" s="203"/>
      <c r="AN474" s="192"/>
      <c r="AO474" s="192"/>
      <c r="AP474" s="192"/>
      <c r="AQ474" s="192"/>
      <c r="AR474" s="192"/>
      <c r="AS474" s="192"/>
      <c r="AT474" s="192"/>
      <c r="AU474" s="192"/>
      <c r="AV474" s="192"/>
      <c r="AW474" s="192"/>
      <c r="AX474" s="192"/>
    </row>
    <row r="475" spans="2:50" ht="15" customHeight="1" thickTop="1" thickBot="1" x14ac:dyDescent="0.35">
      <c r="B475" s="192"/>
      <c r="C475" s="192"/>
      <c r="D475" s="192"/>
      <c r="E475" s="164"/>
      <c r="F475" s="164"/>
      <c r="G475" s="192"/>
      <c r="H475" s="192"/>
      <c r="I475" s="249" t="s">
        <v>119</v>
      </c>
      <c r="J475" s="249"/>
      <c r="K475" s="249"/>
      <c r="L475" s="250" t="s">
        <v>115</v>
      </c>
      <c r="M475" s="250" t="s">
        <v>116</v>
      </c>
      <c r="N475" s="250" t="s">
        <v>117</v>
      </c>
      <c r="O475" s="250" t="s">
        <v>118</v>
      </c>
      <c r="P475" s="250" t="s">
        <v>119</v>
      </c>
      <c r="Q475" s="250" t="s">
        <v>120</v>
      </c>
      <c r="R475" s="250"/>
      <c r="S475" s="251"/>
      <c r="T475" s="247"/>
      <c r="U475" s="235"/>
      <c r="V475" s="235"/>
      <c r="W475" s="235"/>
      <c r="X475" s="235"/>
      <c r="Y475" s="235"/>
      <c r="Z475" s="235"/>
      <c r="AA475" s="240">
        <v>4</v>
      </c>
      <c r="AB475" s="241" t="str">
        <f>IF(AND(COUNTBLANK(I453:I456)=0,Group_players=4,M453=M455,M455=M456),IF(V463="","",IF(COUNTIF(V460:V463,V463)=3,"Tied",IF(AND(COUNTIF(V460:V463,V463)=1,V462&lt;&gt;V460),IF(M456=2,IF(SMALL(V460:V463,1)=V463,1,IF(SMALL(V460:V463,2)=V463,2,IF(SMALL(V460:V463,3)=V463,3))),IF(M456=1,IF(SMALL(V460:V463,1)=V463,2,IF(SMALL(V460:V463,2)=V463,3,IF(SMALL(V460:V463,3)=V463,4))),"")),IF(COUNTIF(V460:V463,V463)=1,IF(V463&lt;V460,IF(M456=2,1,2),IF(M456=2,3,4)),IF(COUNTIF(V460:V463,V463)=2,IF(V463=V460,IF(V463&lt;V462,IF(M456=2,IF(Q471=3,1,2),IF(M456=1,IF(Q471=3,2,3))),IF(V463&gt;V462,IF(M456=2,IF(Q471=3,2,3),IF(M456=1,IF(Q471=3,3,4))))),IF(V463=V462,IF(V463&lt;V460,IF(M456=2,IF(Q480=3,1,2),IF(M456=1,IF(Q480=3,2,3))),IF(V463&gt;V460,IF(M456=2,IF(Q480=3,2,3),IF(M456=1,IF(Q480=3,3,4)))))))))))),"")</f>
        <v/>
      </c>
      <c r="AC475" s="192"/>
      <c r="AD475" s="192"/>
      <c r="AE475" s="192"/>
      <c r="AF475" s="203"/>
      <c r="AG475" s="203"/>
      <c r="AH475" s="203"/>
      <c r="AI475" s="203"/>
      <c r="AJ475" s="203"/>
      <c r="AK475" s="203"/>
      <c r="AL475" s="203"/>
      <c r="AM475" s="203"/>
      <c r="AN475" s="192"/>
      <c r="AO475" s="192"/>
      <c r="AP475" s="192"/>
      <c r="AQ475" s="192"/>
      <c r="AR475" s="192"/>
      <c r="AS475" s="192"/>
      <c r="AT475" s="192"/>
      <c r="AU475" s="192"/>
      <c r="AV475" s="192"/>
      <c r="AW475" s="192"/>
      <c r="AX475" s="192"/>
    </row>
    <row r="476" spans="2:50" ht="15" customHeight="1" thickTop="1" x14ac:dyDescent="0.3">
      <c r="B476" s="192"/>
      <c r="C476" s="192"/>
      <c r="D476" s="192"/>
      <c r="E476" s="164" t="str">
        <f>IF(Q476="","",IF(Q476=3,1,0))</f>
        <v/>
      </c>
      <c r="F476" s="164" t="str">
        <f>IF(Q476="","",IF(Q476&lt;3,1,0))</f>
        <v/>
      </c>
      <c r="G476" s="192"/>
      <c r="H476" s="192" t="str">
        <f>IF(I456&lt;&gt;"",1,"")</f>
        <v/>
      </c>
      <c r="I476" s="192" t="str">
        <f>IF(ISNUMBER(H476),VLOOKUP(H476,H453:I456,2,TRUE),"")</f>
        <v/>
      </c>
      <c r="J476" s="192"/>
      <c r="K476" s="192" t="str">
        <f>VLOOKUP(I476,I453:L456,3,FALSE)</f>
        <v/>
      </c>
      <c r="L476" s="253"/>
      <c r="M476" s="254"/>
      <c r="N476" s="254"/>
      <c r="O476" s="152"/>
      <c r="P476" s="153"/>
      <c r="Q476" s="255" t="str">
        <f>IF(L476="","",IF(AND(L476-L477&gt;1,L476&gt;10),1,0)+IF(AND(M476-M477&gt;1,M476&gt;10),1,0)+IF(AND(N476-N477&gt;1,N476&gt;10),1,0)+IF(AND(O476-O477&gt;1,O476&gt;10),1,0)+IF(AND(P476-P477&gt;1,P476&gt;10),1,0))</f>
        <v/>
      </c>
      <c r="R476" s="203" t="str">
        <f>IF(AND(I476="",I477=""),"",ABS(VLOOKUP(I476,I453:L456,4,FALSE)-VLOOKUP(I477,I453:L456,4,FALSE)))</f>
        <v/>
      </c>
      <c r="S476" s="256" t="str">
        <f>IF(R477="","",IF(Q476=3,+R477,-R477))</f>
        <v/>
      </c>
      <c r="T476" s="247"/>
      <c r="U476" s="235"/>
      <c r="V476" s="235"/>
      <c r="W476" s="235"/>
      <c r="X476" s="235"/>
      <c r="Y476" s="235"/>
      <c r="Z476" s="235"/>
      <c r="AA476" s="243">
        <v>1</v>
      </c>
      <c r="AB476" s="222" t="str">
        <f>IF(AND(COUNTBLANK(I453:I456)=0,Group_players=4,M453=M454,M454=M456),IF(W460="","",IF(COUNTIF(W460:W463,W460)=3,"Tied",IF(AND(COUNTIF(W460:W463,W460)=1,W461&lt;&gt;W462),IF(M453=2,IF(SMALL(W460:W463,1)=W460,1,IF(SMALL(W460:W463,2)=W460,2,IF(SMALL(W460:W463,3)=W460,3))),IF(M453=1,IF(SMALL(W460:W463,1)=W460,2,IF(SMALL(W460:W463,2)=W460,3,IF(SMALL(W460:W463,3)=W460,4))),"")),IF(COUNTIF(W460:W463,W460)=1,IF(W460&lt;W461,IF(M453=2,1,2),IF(M453=2,3,4)),IF(COUNTIF(W460:W463,W460)=2,IF(W460=W461,IF(W460&lt;W463,IF(M453=2,IF(Q476=3,1,2),IF(M453=1,IF(Q476=3,2,3))),IF(W460&gt;W463,IF(M453=2,IF(Q476=3,2,3),IF(M453=1,IF(Q476=3,3,4))))),IF(W460=W463,IF(W460&lt;W461,IF(M453=2,IF(Q470=3,1,2),IF(M453=1,IF(Q470=3,2,3))),IF(W460&gt;W461,IF(M453=2,IF(Q470=3,2,3),IF(M453=1,IF(Q470=3,3,4)))))))))))),"")</f>
        <v/>
      </c>
      <c r="AC476" s="192"/>
      <c r="AD476" s="192"/>
      <c r="AE476" s="192"/>
      <c r="AF476" s="203"/>
      <c r="AG476" s="203"/>
      <c r="AH476" s="203"/>
      <c r="AI476" s="203"/>
      <c r="AJ476" s="203"/>
      <c r="AK476" s="203"/>
      <c r="AL476" s="203"/>
      <c r="AM476" s="203"/>
      <c r="AN476" s="192"/>
      <c r="AO476" s="192"/>
      <c r="AP476" s="192"/>
      <c r="AQ476" s="192"/>
      <c r="AR476" s="192"/>
      <c r="AS476" s="192"/>
      <c r="AT476" s="192"/>
      <c r="AU476" s="192"/>
      <c r="AV476" s="192"/>
      <c r="AW476" s="192"/>
      <c r="AX476" s="192"/>
    </row>
    <row r="477" spans="2:50" ht="15" customHeight="1" thickBot="1" x14ac:dyDescent="0.35">
      <c r="B477" s="192"/>
      <c r="C477" s="192"/>
      <c r="D477" s="192"/>
      <c r="E477" s="164" t="str">
        <f>IF(Q477="","",IF(Q477=3,1,0))</f>
        <v/>
      </c>
      <c r="F477" s="164" t="str">
        <f>IF(Q477="","",IF(Q477&lt;3,1,0))</f>
        <v/>
      </c>
      <c r="G477" s="192"/>
      <c r="H477" s="192" t="str">
        <f>IF(I456&lt;&gt;"",2,"")</f>
        <v/>
      </c>
      <c r="I477" s="192" t="str">
        <f>IF(ISNUMBER(H477),VLOOKUP(H477,H453:I456,2,TRUE),"")</f>
        <v/>
      </c>
      <c r="J477" s="192"/>
      <c r="K477" s="192" t="str">
        <f>VLOOKUP(I477,I453:L456,3,FALSE)</f>
        <v/>
      </c>
      <c r="L477" s="155"/>
      <c r="M477" s="259"/>
      <c r="N477" s="259"/>
      <c r="O477" s="156"/>
      <c r="P477" s="157"/>
      <c r="Q477" s="260" t="str">
        <f>IF(L477="","",IF(AND(L477-L476&gt;1,L477&gt;10),1,0)+IF(AND(M477-M476&gt;1,M477&gt;10),1,0)+IF(AND(N477-N476&gt;1,N477&gt;10),1,0)+IF(AND(O477-O476&gt;1,O477&gt;10),1,0)+IF(AND(P477-P476&gt;1,P477&gt;10),1,0))</f>
        <v/>
      </c>
      <c r="R477" s="203" t="str">
        <f>IF(AND(Q476&lt;&gt;3,Q477&lt;&gt;3),"",IF(Q476=3,IF(VLOOKUP(I476,I453:L456,4,FALSE)&gt;VLOOKUP(I477,I453:L456,4,FALSE),VLOOKUP(R476,Point_dif,2,FALSE),VLOOKUP(R476,Point_dif,3,FALSE)),IF(Q477=3,IF(VLOOKUP(I477,I453:L456,4,FALSE)&gt;VLOOKUP(I477,I453:L456,4,FALSE),VLOOKUP(R476,Point_dif,2,FALSE),VLOOKUP(R476,Point_dif,3,FALSE)))))</f>
        <v/>
      </c>
      <c r="S477" s="256" t="str">
        <f>IF(R477="","",IF(Q477=3,+R477,-R477))</f>
        <v/>
      </c>
      <c r="T477" s="247"/>
      <c r="U477" s="235"/>
      <c r="V477" s="235"/>
      <c r="W477" s="235"/>
      <c r="X477" s="235"/>
      <c r="Y477" s="235"/>
      <c r="Z477" s="235"/>
      <c r="AA477" s="246">
        <v>2</v>
      </c>
      <c r="AB477" s="222" t="str">
        <f>IF(AND(COUNTBLANK(I453:I456)=0,Group_players=4,M453=M454,M454=M456),IF(W461="","",IF(COUNTIF(W460:W463,W461)=3,"Tied",IF(AND(COUNTIF(W460:W463,W461)=1,W460&lt;&gt;W462),IF(M454=2,IF(SMALL(W460:W463,1)=W461,1,IF(SMALL(W460:W463,2)=W461,2,IF(SMALL(W460:W463,3)=W461,3))),IF(M454=1,IF(SMALL(W460:W463,1)=W461,2,IF(SMALL(W460:W463,2)=W461,3,IF(SMALL(W460:W463,3)=W461,4))),"")),IF(COUNTIF(W460:W463,W461)=1,IF(W461&lt;W460,IF(M454=2,1,2),IF(M454=2,3,4)),IF(COUNTIF(W460:W463,W461)=2,IF(W461=W460,IF(W461&lt;W463,IF(M454=2,IF(Q477=3,1,2),IF(M454=1,IF(Q477=3,2,3))),IF(W461&gt;W463,IF(M454=2,IF(Q477=3,2,3),IF(M454=1,IF(Q477=3,3,4))))),IF(W461=W463,IF(W461&lt;W460,IF(M454=2,IF(Q467=3,1,2),IF(M454=1,IF(Q467=3,2,3))),IF(W461&gt;W460,IF(M454=2,IF(Q467=3,2,3),IF(M454=1,IF(Q467=3,3,4)))))))))))),"")</f>
        <v/>
      </c>
      <c r="AC477" s="192"/>
      <c r="AD477" s="192"/>
      <c r="AE477" s="192"/>
      <c r="AF477" s="203"/>
      <c r="AG477" s="203"/>
      <c r="AH477" s="203"/>
      <c r="AI477" s="203"/>
      <c r="AJ477" s="203"/>
      <c r="AK477" s="203"/>
      <c r="AL477" s="203"/>
      <c r="AM477" s="203"/>
      <c r="AN477" s="192"/>
      <c r="AO477" s="192"/>
      <c r="AP477" s="192"/>
      <c r="AQ477" s="192"/>
      <c r="AR477" s="192"/>
      <c r="AS477" s="192"/>
      <c r="AT477" s="192"/>
      <c r="AU477" s="192"/>
      <c r="AV477" s="192"/>
      <c r="AW477" s="192"/>
      <c r="AX477" s="192"/>
    </row>
    <row r="478" spans="2:50" ht="15" customHeight="1" thickTop="1" thickBot="1" x14ac:dyDescent="0.35">
      <c r="B478" s="192"/>
      <c r="C478" s="192"/>
      <c r="D478" s="192"/>
      <c r="E478" s="164"/>
      <c r="F478" s="164"/>
      <c r="G478" s="192"/>
      <c r="H478" s="192"/>
      <c r="I478" s="249" t="s">
        <v>121</v>
      </c>
      <c r="J478" s="249"/>
      <c r="K478" s="249"/>
      <c r="L478" s="250" t="s">
        <v>115</v>
      </c>
      <c r="M478" s="250" t="s">
        <v>116</v>
      </c>
      <c r="N478" s="250" t="s">
        <v>117</v>
      </c>
      <c r="O478" s="250" t="s">
        <v>118</v>
      </c>
      <c r="P478" s="250" t="s">
        <v>119</v>
      </c>
      <c r="Q478" s="250" t="s">
        <v>120</v>
      </c>
      <c r="R478" s="250"/>
      <c r="S478" s="251"/>
      <c r="T478" s="247"/>
      <c r="U478" s="235"/>
      <c r="V478" s="235"/>
      <c r="W478" s="235"/>
      <c r="X478" s="235"/>
      <c r="Y478" s="235"/>
      <c r="Z478" s="235"/>
      <c r="AA478" s="240">
        <v>4</v>
      </c>
      <c r="AB478" s="241" t="str">
        <f>IF(AND(COUNTBLANK(I453:I456)=0,Group_players=4,M453=M454,M454=M456),IF(W463="","",IF(COUNTIF(W460:W463,W463)=3,"Tied",IF(AND(COUNTIF(W460:W463,W463)=1,W460&lt;&gt;W461),IF(M456=2,IF(SMALL(W460:W463,1)=W463,1,IF(SMALL(W460:W463,2)=W463,2,IF(SMALL(W460:W463,3)=W463,3))),IF(M456=1,IF(SMALL(W460:W463,1)=W463,2,IF(SMALL(W460:W463,2)=W463,3,IF(SMALL(W460:W463,3)=W463,4))),"")),IF(COUNTIF(W460:W463,W463)=1,IF(W463&lt;W460,IF(M456=2,1,2),IF(M456=2,3,4)),IF(COUNTIF(W460:W463,W463)=2,IF(W463=W460,IF(W463&lt;W461,IF(M456=2,IF(Q471=3,1,2),IF(M456=1,IF(Q471=3,2,3))),IF(W463&gt;W462,IF(M456=2,IF(Q471=3,2,3),IF(M456=1,IF(Q471=3,3,4))))),IF(W463=W461,IF(W463&lt;W460,IF(M456=2,IF(Q468=3,1,2),IF(M456=1,IF(Q468=3,2,3))),IF(W463&gt;W460,IF(M456=2,IF(Q468=3,2,3),IF(M456=1,IF(Q468=3,3,4)))))))))))),"")</f>
        <v/>
      </c>
      <c r="AC478" s="192"/>
      <c r="AD478" s="192"/>
      <c r="AE478" s="192"/>
      <c r="AF478" s="203"/>
      <c r="AG478" s="203"/>
      <c r="AH478" s="203"/>
      <c r="AI478" s="203"/>
      <c r="AJ478" s="203"/>
      <c r="AK478" s="203"/>
      <c r="AL478" s="203"/>
      <c r="AM478" s="203"/>
      <c r="AN478" s="192"/>
      <c r="AO478" s="192"/>
      <c r="AP478" s="192"/>
      <c r="AQ478" s="192"/>
      <c r="AR478" s="192"/>
      <c r="AS478" s="192"/>
      <c r="AT478" s="192"/>
      <c r="AU478" s="192"/>
      <c r="AV478" s="192"/>
      <c r="AW478" s="192"/>
      <c r="AX478" s="192"/>
    </row>
    <row r="479" spans="2:50" ht="15" customHeight="1" thickTop="1" x14ac:dyDescent="0.3">
      <c r="B479" s="192"/>
      <c r="C479" s="192"/>
      <c r="D479" s="192"/>
      <c r="E479" s="164" t="str">
        <f>IF(Q479="","",IF(Q479=3,1,0))</f>
        <v/>
      </c>
      <c r="F479" s="164" t="str">
        <f>IF(Q479="","",IF(Q479&lt;3,1,0))</f>
        <v/>
      </c>
      <c r="G479" s="192"/>
      <c r="H479" s="192" t="str">
        <f>IF(I456&lt;&gt;"",3,"")</f>
        <v/>
      </c>
      <c r="I479" s="192" t="str">
        <f>IF(ISNUMBER(H479),VLOOKUP(H479,H453:I456,2,TRUE),"")</f>
        <v/>
      </c>
      <c r="J479" s="192"/>
      <c r="K479" s="192" t="str">
        <f>VLOOKUP(I479,I453:L456,3,FALSE)</f>
        <v/>
      </c>
      <c r="L479" s="253"/>
      <c r="M479" s="254"/>
      <c r="N479" s="254"/>
      <c r="O479" s="152"/>
      <c r="P479" s="153"/>
      <c r="Q479" s="255" t="str">
        <f>IF(L479="","",IF(AND(L479-L480&gt;1,L479&gt;10),1,0)+IF(AND(M479-M480&gt;1,M479&gt;10),1,0)+IF(AND(N479-N480&gt;1,N479&gt;10),1,0)+IF(AND(O479-O480&gt;1,O479&gt;10),1,0)+IF(AND(P479-P480&gt;1,P479&gt;10),1,0))</f>
        <v/>
      </c>
      <c r="R479" s="203" t="str">
        <f>IF(AND(I479="",I480=""),"",ABS(VLOOKUP(I479,I453:L456,4,FALSE)-VLOOKUP(I480,I453:L456,4,FALSE)))</f>
        <v/>
      </c>
      <c r="S479" s="256" t="str">
        <f>IF(R480="","",IF(Q479=3,+R480,-R480))</f>
        <v/>
      </c>
      <c r="T479" s="247"/>
      <c r="U479" s="264"/>
      <c r="V479" s="242"/>
      <c r="W479" s="192"/>
      <c r="X479" s="264"/>
      <c r="Y479" s="192"/>
      <c r="Z479" s="192"/>
      <c r="AA479" s="243">
        <v>2</v>
      </c>
      <c r="AB479" s="222" t="str">
        <f>IF(AND(COUNTBLANK(I453:I456)=0,Group_players=4,M454=M455,M455=M456),IF(X461="","",IF(COUNTIF(X460:X463,X461)=3,"Tied",IF(AND(COUNTIF(X460:X463,X461)=1,X462&lt;&gt;X463),IF(M454=2,IF(SMALL(X460:X463,1)=X461,1,IF(SMALL(X460:X463,2)=X461,2,IF(SMALL(X460:X463,3)=X461,3))),IF(M454=1,IF(SMALL(X460:X463,1)=X461,2,IF(SMALL(X460:X463,2)=X461,3,IF(SMALL(X460:X463,3)=X461,4))),"")),IF(COUNTIF(X460:X463,X461)=1,IF(X461&lt;X463,IF(M454=2,1,2),IF(M454=1,4)),IF(COUNTIF(X460:X463,X461)=2,IF(X461=X462,IF(X461&lt;X463,IF(M454=2,IF(Q473=3,1,2),IF(M454=1,IF(Q473=3,2,3))),IF(X461&gt;X463,IF(M454=2,IF(Q473=3,2,3),IF(M454=1,IF(Q473=3,3,4))))),IF(X461=X463,IF(X461&lt;X462,IF(M454=2,IF(Q467=3,1,2),IF(M454=1,IF(Q467=3,2,3))),IF(X461&gt;X462,IF(M454=2,IF(Q467=3,2,3),IF(M454=1,IF(Q467=3,3,4)))))))))))),"")</f>
        <v/>
      </c>
      <c r="AC479" s="192"/>
      <c r="AD479" s="192"/>
      <c r="AE479" s="192"/>
      <c r="AF479" s="203"/>
      <c r="AG479" s="203"/>
      <c r="AH479" s="203"/>
      <c r="AI479" s="203"/>
      <c r="AJ479" s="203"/>
      <c r="AK479" s="203"/>
      <c r="AL479" s="203"/>
      <c r="AM479" s="203"/>
      <c r="AN479" s="192"/>
      <c r="AO479" s="192"/>
      <c r="AP479" s="192"/>
      <c r="AQ479" s="192"/>
      <c r="AR479" s="192"/>
      <c r="AS479" s="192"/>
      <c r="AT479" s="192"/>
      <c r="AU479" s="192"/>
      <c r="AV479" s="192"/>
      <c r="AW479" s="192"/>
      <c r="AX479" s="192"/>
    </row>
    <row r="480" spans="2:50" ht="15" customHeight="1" thickBot="1" x14ac:dyDescent="0.35">
      <c r="B480" s="192"/>
      <c r="C480" s="192"/>
      <c r="D480" s="192"/>
      <c r="E480" s="164" t="str">
        <f>IF(Q480="","",IF(Q480=3,1,0))</f>
        <v/>
      </c>
      <c r="F480" s="164" t="str">
        <f>IF(Q480="","",IF(Q480&lt;3,1,0))</f>
        <v/>
      </c>
      <c r="G480" s="192"/>
      <c r="H480" s="192" t="str">
        <f>IF(I456&lt;&gt;"",4,"")</f>
        <v/>
      </c>
      <c r="I480" s="192" t="str">
        <f>IF(ISNUMBER(H480),VLOOKUP(H480,H453:I456,2,TRUE),"")</f>
        <v/>
      </c>
      <c r="J480" s="192"/>
      <c r="K480" s="192" t="str">
        <f>VLOOKUP(I480,I453:L456,3,FALSE)</f>
        <v/>
      </c>
      <c r="L480" s="155"/>
      <c r="M480" s="259"/>
      <c r="N480" s="259"/>
      <c r="O480" s="156"/>
      <c r="P480" s="157"/>
      <c r="Q480" s="260" t="str">
        <f>IF(L480="","",IF(AND(L480-L479&gt;1,L480&gt;10),1,0)+IF(AND(M480-M479&gt;1,M480&gt;10),1,0)+IF(AND(N480-N479&gt;1,N480&gt;10),1,0)+IF(AND(O480-O479&gt;1,O480&gt;10),1,0)+IF(AND(P480-P479&gt;1,P480&gt;10),1,0))</f>
        <v/>
      </c>
      <c r="R480" s="203" t="str">
        <f>IF(AND(Q479&lt;&gt;3,Q480&lt;&gt;3),"",IF(Q479=3,IF(VLOOKUP(I479,I453:L456,4,FALSE)&gt;VLOOKUP(I480,I453:L456,4,FALSE),VLOOKUP(R479,Point_dif,2,FALSE),VLOOKUP(R479,Point_dif,3,FALSE)),IF(Q480=3,IF(VLOOKUP(I480,I453:L456,4,FALSE)&gt;VLOOKUP(I479,I453:L456,4,FALSE),VLOOKUP(R479,Point_dif,2,FALSE),VLOOKUP(R479,Point_dif,3,FALSE)))))</f>
        <v/>
      </c>
      <c r="S480" s="260" t="str">
        <f>IF(R480="","",IF(Q480=3,+R480,-R480))</f>
        <v/>
      </c>
      <c r="T480" s="247"/>
      <c r="U480" s="235"/>
      <c r="V480" s="235"/>
      <c r="W480" s="235"/>
      <c r="X480" s="235"/>
      <c r="Y480" s="235"/>
      <c r="Z480" s="235"/>
      <c r="AA480" s="246">
        <v>3</v>
      </c>
      <c r="AB480" s="222" t="str">
        <f>IF(AND(COUNTBLANK(I453:I456)=0,Group_players=4,Group_players=4,M454=M455,M455=M456),IF(X462="","",IF(COUNTIF(X460:X463,X462)=3,"Tied",IF(AND(COUNTIF(X460:X463,X462)=1,X461&lt;&gt;X463),IF(M455=2,IF(SMALL(X460:X463,1)=X462,1,IF(SMALL(X460:X463,2)=X462,2,IF(SMALL(X460:X463,3)=X462,3))),IF(M455=1,IF(SMALL(X460:X463,1)=X462,2,IF(SMALL(X460:X463,2)=X462,3,IF(SMALL(X460:X463,3)=X462,4))),"")),IF(COUNTIF(X460:X463,X462)=1,IF(X462&lt;X461,IF(M455=2,1,2),IF(M455=2,3,4)),IF(COUNTIF(X460:X463,X462)=2,IF(X462=X461,IF(X462&lt;X463,IF(M455=2,IF(Q474=3,1,2),IF(M455=1,IF(Q474=3,2,3))),IF(X462&gt;X463,IF(M455=2,IF(Q474=3,2,3),IF(M455=1,IF(Q474=3,3,4))))),IF(X462=X463,IF(X462&lt;X461,IF(M455=2,IF(Q479=3,1,2),IF(M455=1,IF(Q479=3,2,3))),IF(X462&gt;X461,IF(M455=2,IF(Q479=3,2,3),IF(M455=1,IF(Q479=3,3,4)))))))))))),"")</f>
        <v/>
      </c>
      <c r="AC480" s="192"/>
      <c r="AD480" s="192"/>
      <c r="AE480" s="192"/>
      <c r="AF480" s="203"/>
      <c r="AG480" s="203"/>
      <c r="AH480" s="203"/>
      <c r="AI480" s="203"/>
      <c r="AJ480" s="203"/>
      <c r="AK480" s="203"/>
      <c r="AL480" s="203"/>
      <c r="AM480" s="203"/>
      <c r="AN480" s="192"/>
      <c r="AO480" s="192"/>
      <c r="AP480" s="192"/>
      <c r="AQ480" s="192"/>
      <c r="AR480" s="192"/>
      <c r="AS480" s="192"/>
      <c r="AT480" s="192"/>
      <c r="AU480" s="192"/>
      <c r="AV480" s="192"/>
      <c r="AW480" s="192"/>
      <c r="AX480" s="192"/>
    </row>
    <row r="481" spans="2:50" ht="15" customHeight="1" thickTop="1" thickBot="1" x14ac:dyDescent="0.35">
      <c r="B481" s="192"/>
      <c r="C481" s="192"/>
      <c r="D481" s="192"/>
      <c r="E481" s="192"/>
      <c r="F481" s="192"/>
      <c r="G481" s="192"/>
      <c r="H481" s="192"/>
      <c r="I481" s="192"/>
      <c r="J481" s="192"/>
      <c r="K481" s="192"/>
      <c r="L481" s="192"/>
      <c r="M481" s="192"/>
      <c r="N481" s="192"/>
      <c r="O481" s="268"/>
      <c r="P481" s="192"/>
      <c r="Q481" s="192"/>
      <c r="R481" s="247"/>
      <c r="S481" s="247"/>
      <c r="T481" s="247"/>
      <c r="U481" s="235"/>
      <c r="V481" s="235"/>
      <c r="W481" s="235"/>
      <c r="X481" s="235"/>
      <c r="Y481" s="235"/>
      <c r="Z481" s="235"/>
      <c r="AA481" s="261">
        <v>4</v>
      </c>
      <c r="AB481" s="233" t="str">
        <f>IF(AND(COUNTBLANK(I453:I456)=0,Group_players=4,M454=M455,M455=M456),IF(X463="","",IF(COUNTIF(X460:X463,X463)=3,"Tied",IF(AND(COUNTIF(X460:X463,X463)=1,X462&lt;&gt;X461),IF(M456=2,IF(SMALL(X460:X463,1)=X463,1,IF(SMALL(X460:X463,2)=X463,2,IF(SMALL(X460:X463,3)=X463,3))),IF(M456=1,IF(SMALL(X460:X463,1)=X463,2,IF(SMALL(X460:X463,2)=X463,3,IF(SMALL(X460:X463,3)=X463,4))),"")),IF(COUNTIF(X460:X463,X463)=1,IF(X463&lt;X461,IF(M456=2,1,2),IF(M456=2,3,4)),IF(COUNTIF(X460:X463,X463)=2,IF(X463=X461,IF(X463&lt;X462,IF(M456=2,IF(Q468=3,1,2),IF(M456=1,IF(Q468=3,2,3))),IF(X463&gt;X462,IF(M456=2,IF(Q468=3,2,3),IF(M456=1,IF(Q468=3,3,4))))),IF(X463=X462,IF(X463&lt;X461,IF(M456=2,IF(Q480=3,1,2),IF(M456=1,IF(Q480=3,2,3))),IF(X463&gt;X461,IF(M456=2,IF(Q480=3,2,3),IF(M456=1,IF(Q480=3,3,4)))))))))))),"")</f>
        <v/>
      </c>
      <c r="AC481" s="192"/>
      <c r="AD481" s="192"/>
      <c r="AE481" s="192"/>
      <c r="AF481" s="203"/>
      <c r="AG481" s="203"/>
      <c r="AH481" s="203"/>
      <c r="AI481" s="203"/>
      <c r="AJ481" s="203"/>
      <c r="AK481" s="203"/>
      <c r="AL481" s="203"/>
      <c r="AM481" s="203"/>
      <c r="AN481" s="192"/>
      <c r="AO481" s="192"/>
      <c r="AP481" s="192"/>
      <c r="AQ481" s="192"/>
      <c r="AR481" s="192"/>
      <c r="AS481" s="192"/>
      <c r="AT481" s="192"/>
      <c r="AU481" s="192"/>
      <c r="AV481" s="192"/>
      <c r="AW481" s="192"/>
      <c r="AX481" s="192"/>
    </row>
    <row r="482" spans="2:50" ht="15" customHeight="1" thickTop="1" x14ac:dyDescent="0.3">
      <c r="B482" s="192"/>
      <c r="C482" s="192"/>
      <c r="D482" s="192"/>
      <c r="E482" s="192"/>
      <c r="F482" s="192"/>
      <c r="G482" s="192"/>
      <c r="H482" s="192"/>
      <c r="I482" s="192"/>
      <c r="J482" s="192"/>
      <c r="K482" s="192"/>
      <c r="L482" s="192"/>
      <c r="M482" s="192"/>
      <c r="N482" s="192"/>
      <c r="O482" s="192"/>
      <c r="P482" s="192"/>
      <c r="Q482" s="192"/>
      <c r="R482" s="192"/>
      <c r="S482" s="192"/>
      <c r="T482" s="203"/>
      <c r="U482" s="192"/>
      <c r="V482" s="192"/>
      <c r="W482" s="192"/>
      <c r="X482" s="192"/>
      <c r="Y482" s="192"/>
      <c r="Z482" s="192"/>
      <c r="AA482" s="192"/>
      <c r="AB482" s="192"/>
      <c r="AC482" s="192"/>
      <c r="AD482" s="192"/>
      <c r="AE482" s="192"/>
      <c r="AF482" s="203"/>
      <c r="AG482" s="203"/>
      <c r="AH482" s="203"/>
      <c r="AI482" s="203"/>
      <c r="AJ482" s="203"/>
      <c r="AK482" s="203"/>
      <c r="AL482" s="203"/>
      <c r="AM482" s="203"/>
      <c r="AN482" s="192"/>
      <c r="AO482" s="192"/>
      <c r="AP482" s="192"/>
      <c r="AQ482" s="192"/>
      <c r="AR482" s="192"/>
      <c r="AS482" s="192"/>
      <c r="AT482" s="192"/>
      <c r="AU482" s="192"/>
      <c r="AV482" s="192"/>
      <c r="AW482" s="192"/>
      <c r="AX482" s="192"/>
    </row>
    <row r="483" spans="2:50" ht="15" customHeight="1" x14ac:dyDescent="0.3">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c r="AA483" s="192"/>
      <c r="AB483" s="192"/>
      <c r="AC483" s="192"/>
      <c r="AD483" s="192"/>
      <c r="AE483" s="192"/>
      <c r="AF483" s="203"/>
      <c r="AG483" s="203"/>
      <c r="AH483" s="203"/>
      <c r="AI483" s="203"/>
      <c r="AJ483" s="203"/>
      <c r="AK483" s="203"/>
      <c r="AL483" s="203"/>
      <c r="AM483" s="203"/>
      <c r="AN483" s="192"/>
      <c r="AO483" s="192"/>
      <c r="AP483" s="192"/>
      <c r="AQ483" s="192"/>
      <c r="AR483" s="192"/>
      <c r="AS483" s="192"/>
      <c r="AT483" s="192"/>
      <c r="AU483" s="192"/>
      <c r="AV483" s="192"/>
      <c r="AW483" s="192"/>
      <c r="AX483" s="192"/>
    </row>
    <row r="484" spans="2:50" ht="15" customHeight="1" x14ac:dyDescent="0.3">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269"/>
      <c r="AA484" s="192"/>
      <c r="AB484" s="192"/>
      <c r="AC484" s="192"/>
      <c r="AD484" s="192"/>
      <c r="AE484" s="192"/>
      <c r="AF484" s="203"/>
      <c r="AG484" s="203"/>
      <c r="AH484" s="203"/>
      <c r="AI484" s="203"/>
      <c r="AJ484" s="203"/>
      <c r="AK484" s="203"/>
      <c r="AL484" s="203"/>
      <c r="AM484" s="203"/>
      <c r="AN484" s="192"/>
      <c r="AO484" s="192"/>
      <c r="AP484" s="192"/>
      <c r="AQ484" s="192"/>
      <c r="AR484" s="192"/>
      <c r="AS484" s="192"/>
      <c r="AT484" s="192"/>
      <c r="AU484" s="192"/>
      <c r="AV484" s="192"/>
      <c r="AW484" s="192"/>
      <c r="AX484" s="192"/>
    </row>
    <row r="485" spans="2:50" ht="15" customHeight="1" x14ac:dyDescent="0.3">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c r="AA485" s="192"/>
      <c r="AB485" s="192"/>
      <c r="AC485" s="192"/>
      <c r="AD485" s="192"/>
      <c r="AE485" s="192"/>
      <c r="AF485" s="203"/>
      <c r="AG485" s="203"/>
      <c r="AH485" s="203"/>
      <c r="AI485" s="203"/>
      <c r="AJ485" s="203"/>
      <c r="AK485" s="203"/>
      <c r="AL485" s="203"/>
      <c r="AM485" s="203"/>
      <c r="AN485" s="192"/>
      <c r="AO485" s="192"/>
      <c r="AP485" s="192"/>
      <c r="AQ485" s="192"/>
      <c r="AR485" s="192"/>
      <c r="AS485" s="192"/>
      <c r="AT485" s="192"/>
      <c r="AU485" s="192"/>
      <c r="AV485" s="192"/>
      <c r="AW485" s="192"/>
      <c r="AX485" s="192"/>
    </row>
    <row r="486" spans="2:50" ht="15" customHeight="1" x14ac:dyDescent="0.3">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c r="AA486" s="192"/>
      <c r="AB486" s="192"/>
      <c r="AC486" s="192"/>
      <c r="AD486" s="192"/>
      <c r="AE486" s="192"/>
      <c r="AF486" s="203"/>
      <c r="AG486" s="203"/>
      <c r="AH486" s="203"/>
      <c r="AI486" s="203"/>
      <c r="AJ486" s="203"/>
      <c r="AK486" s="203"/>
      <c r="AL486" s="203"/>
      <c r="AM486" s="203"/>
      <c r="AN486" s="192"/>
      <c r="AO486" s="192"/>
      <c r="AP486" s="192"/>
      <c r="AQ486" s="192"/>
      <c r="AR486" s="192"/>
      <c r="AS486" s="192"/>
      <c r="AT486" s="192"/>
      <c r="AU486" s="192"/>
      <c r="AV486" s="192"/>
      <c r="AW486" s="192"/>
      <c r="AX486" s="192"/>
    </row>
    <row r="487" spans="2:50" ht="15" customHeight="1" thickBot="1" x14ac:dyDescent="0.4">
      <c r="B487" s="192"/>
      <c r="C487" s="192"/>
      <c r="D487" s="192"/>
      <c r="E487" s="192"/>
      <c r="F487" s="192"/>
      <c r="G487" s="192"/>
      <c r="H487" s="192"/>
      <c r="I487" s="383" t="s">
        <v>136</v>
      </c>
      <c r="J487" s="383"/>
      <c r="K487" s="383"/>
      <c r="L487" s="383"/>
      <c r="M487" s="383"/>
      <c r="N487" s="383"/>
      <c r="O487" s="383"/>
      <c r="P487" s="383"/>
      <c r="Q487" s="383"/>
      <c r="R487" s="383"/>
      <c r="S487" s="192"/>
      <c r="T487" s="192"/>
      <c r="U487" s="370" t="s">
        <v>92</v>
      </c>
      <c r="V487" s="371"/>
      <c r="W487" s="371"/>
      <c r="X487" s="372"/>
      <c r="Y487" s="192"/>
      <c r="Z487" s="192"/>
      <c r="AA487" s="192"/>
      <c r="AB487" s="192"/>
      <c r="AC487" s="192"/>
      <c r="AD487" s="192"/>
      <c r="AE487" s="192"/>
      <c r="AF487" s="203"/>
      <c r="AG487" s="203"/>
      <c r="AH487" s="203"/>
      <c r="AI487" s="203"/>
      <c r="AJ487" s="203"/>
      <c r="AK487" s="203"/>
      <c r="AL487" s="203"/>
      <c r="AM487" s="203"/>
      <c r="AN487" s="192"/>
      <c r="AO487" s="192"/>
      <c r="AP487" s="192"/>
      <c r="AQ487" s="192"/>
      <c r="AR487" s="192"/>
      <c r="AS487" s="192"/>
      <c r="AT487" s="192"/>
      <c r="AU487" s="192"/>
      <c r="AV487" s="192"/>
      <c r="AW487" s="192"/>
      <c r="AX487" s="192"/>
    </row>
    <row r="488" spans="2:50" ht="15" customHeight="1" thickTop="1" thickBot="1" x14ac:dyDescent="0.35">
      <c r="B488" s="192"/>
      <c r="C488" s="192"/>
      <c r="D488" s="192"/>
      <c r="E488" s="192"/>
      <c r="F488" s="192"/>
      <c r="G488" s="192"/>
      <c r="H488" s="192"/>
      <c r="I488" s="400" t="s">
        <v>93</v>
      </c>
      <c r="J488" s="160"/>
      <c r="K488" s="396" t="s">
        <v>94</v>
      </c>
      <c r="L488" s="398" t="s">
        <v>95</v>
      </c>
      <c r="M488" s="390" t="s">
        <v>96</v>
      </c>
      <c r="N488" s="390" t="s">
        <v>97</v>
      </c>
      <c r="O488" s="373" t="s">
        <v>98</v>
      </c>
      <c r="P488" s="373" t="str">
        <f>IF(COUNT(U489:X500)=3,"LM/WM Ratio",IF(COUNT(U489:X500)=6,"LP/WP Ratio",""))</f>
        <v/>
      </c>
      <c r="Q488" s="390" t="s">
        <v>99</v>
      </c>
      <c r="R488" s="392" t="s">
        <v>100</v>
      </c>
      <c r="S488" s="192"/>
      <c r="T488" s="120"/>
      <c r="U488" s="121" t="s">
        <v>101</v>
      </c>
      <c r="V488" s="122" t="s">
        <v>102</v>
      </c>
      <c r="W488" s="122" t="s">
        <v>103</v>
      </c>
      <c r="X488" s="123" t="s">
        <v>104</v>
      </c>
      <c r="Y488" s="380" t="s">
        <v>105</v>
      </c>
      <c r="Z488" s="379"/>
      <c r="AA488" s="378" t="s">
        <v>106</v>
      </c>
      <c r="AB488" s="379"/>
      <c r="AC488" s="192"/>
      <c r="AD488" s="192"/>
      <c r="AE488" s="203"/>
      <c r="AF488" s="203"/>
      <c r="AG488" s="203"/>
      <c r="AH488" s="203"/>
      <c r="AI488" s="203"/>
      <c r="AJ488" s="203"/>
      <c r="AK488" s="203"/>
      <c r="AL488" s="203"/>
      <c r="AM488" s="203"/>
      <c r="AN488" s="192"/>
      <c r="AO488" s="192"/>
      <c r="AP488" s="192"/>
      <c r="AQ488" s="192"/>
      <c r="AR488" s="192"/>
      <c r="AS488" s="192"/>
      <c r="AT488" s="192"/>
      <c r="AU488" s="192"/>
      <c r="AV488" s="192"/>
      <c r="AW488" s="192"/>
      <c r="AX488" s="192"/>
    </row>
    <row r="489" spans="2:50" ht="15" customHeight="1" thickTop="1" thickBot="1" x14ac:dyDescent="0.35">
      <c r="B489" s="192"/>
      <c r="C489" s="192"/>
      <c r="D489" s="192"/>
      <c r="E489" s="192"/>
      <c r="F489" s="192"/>
      <c r="G489" s="192"/>
      <c r="H489" s="192"/>
      <c r="I489" s="401"/>
      <c r="J489" s="161"/>
      <c r="K489" s="397"/>
      <c r="L489" s="399"/>
      <c r="M489" s="391"/>
      <c r="N489" s="391"/>
      <c r="O489" s="374"/>
      <c r="P489" s="374"/>
      <c r="Q489" s="391"/>
      <c r="R489" s="393"/>
      <c r="S489" s="192"/>
      <c r="T489" s="208">
        <v>1</v>
      </c>
      <c r="U489" s="209" t="str">
        <f>IF(M490="","",IF(COUNTIF(M490:M492,M490)=3,IF(COUNTBLANK(I490:I493)=1,(Q502+Q508)/(Q501+Q507),IF(COUNTBLANK(I490:I493)=0,(Q514+Q502)/(Q513+Q501),"")),""))</f>
        <v/>
      </c>
      <c r="V489" s="125" t="str">
        <f>IF(AND(COUNTBLANK(I490:I493)=0,M490=M492,M492=M493),(Q502+Q508)/(Q501+Q507),"")</f>
        <v/>
      </c>
      <c r="W489" s="210" t="str">
        <f>IF(AND(COUNTBLANK(I490:I493)=0,M490=M491,M491=M493),(Q514+Q508)/(Q513+Q507),"")</f>
        <v/>
      </c>
      <c r="X489" s="211"/>
      <c r="Y489" s="169" t="s">
        <v>93</v>
      </c>
      <c r="Z489" s="170" t="s">
        <v>107</v>
      </c>
      <c r="AA489" s="169" t="s">
        <v>93</v>
      </c>
      <c r="AB489" s="170" t="s">
        <v>107</v>
      </c>
      <c r="AC489" s="192"/>
      <c r="AD489" s="192"/>
      <c r="AE489" s="192"/>
      <c r="AF489" s="203"/>
      <c r="AG489" s="203"/>
      <c r="AH489" s="203"/>
      <c r="AI489" s="203"/>
      <c r="AJ489" s="203"/>
      <c r="AK489" s="203"/>
      <c r="AL489" s="203"/>
      <c r="AM489" s="203"/>
      <c r="AN489" s="192"/>
      <c r="AO489" s="192"/>
      <c r="AP489" s="192"/>
      <c r="AQ489" s="192"/>
      <c r="AR489" s="192"/>
      <c r="AS489" s="192"/>
      <c r="AT489" s="192"/>
      <c r="AU489" s="192"/>
      <c r="AV489" s="192"/>
      <c r="AW489" s="192"/>
      <c r="AX489" s="192"/>
    </row>
    <row r="490" spans="2:50" ht="15" customHeight="1" thickTop="1" thickBot="1" x14ac:dyDescent="0.35">
      <c r="B490" s="192"/>
      <c r="C490" s="192"/>
      <c r="D490" s="192"/>
      <c r="E490" s="192"/>
      <c r="F490" s="192" t="str">
        <f>IF(I490="","",VLOOKUP(I490,Siembra,2,FALSE))</f>
        <v/>
      </c>
      <c r="G490" s="192" t="str">
        <f>O490</f>
        <v/>
      </c>
      <c r="H490" s="192">
        <v>1</v>
      </c>
      <c r="I490" s="128" t="str">
        <f>IF(K490="","",IF(ISNUMBER(Sorteo!$A$17),VLOOKUP(K490,Draw,2,FALSE),""))</f>
        <v/>
      </c>
      <c r="J490" s="129" t="str">
        <f>O490</f>
        <v/>
      </c>
      <c r="K490" s="130" t="str">
        <f>IF($K$9="","",IF(Group_players=4,IF(Tablas!BU$3="","",Tablas!BU$3),IF(Group_players=3,IF(Tablas!BU$11="","",Tablas!BU$11),"")))</f>
        <v/>
      </c>
      <c r="L490" s="131" t="str">
        <f>IF(K490="","",VLOOKUP(I490,Siembra,3,FALSE))</f>
        <v/>
      </c>
      <c r="M490" s="132" t="str">
        <f>IF(AND(Q501="",Q502=""),"",IF(I490="","",SUMIFS(E501:E517,I501:I517,I490)))</f>
        <v/>
      </c>
      <c r="N490" s="132" t="str">
        <f>IF(M490="","",IF(I490="","",SUMIFS(F501:F517,I501:I517,I490)))</f>
        <v/>
      </c>
      <c r="O490" s="132" t="str">
        <f>IF(M490="","",IF(COUNTBLANK(I490:I493)=1,IF(M490=2,1,IF(M490=0,3,IF(AND(M490=1,M491&lt;&gt;1),2,IF(COUNTIF(M490:M492,1)&gt;1,Z490)))),IF(COUNTBLANK(I490:I493)=0,IF(COUNTIF(M490:M493,M490)=1,IF(M490=3,1,IF(M490=2,2,IF(M490=1,3,IF(M490=0,4)))),IF(Group_players=3,Z490,IF(COUNTIF(M490:M493,M490)=2,AB490,IF(AND(M490=M491,M491=M492),AB494,IF(AND(M490=M492,M492=M493),AB497,IF(AND(M490=M491,M491=M493),AB500,"")))))),99)))</f>
        <v/>
      </c>
      <c r="P490" s="133" t="str">
        <f>IF(COUNT(U489:X500)=3,IF(ISNUMBER(U489),U489,IF(ISNUMBER(V489),V489,IF(ISNUMBER(W489),W489,IF(X489="","")))),IF(COUNT(U489:X500)=6,IF(ISNUMBER(U497),U497,IF(ISNUMBER(V497),V497,IF(ISNUMBER(W497),W497,IF(ISBLANK(X489),"")))),""))</f>
        <v/>
      </c>
      <c r="Q490" s="132" t="str">
        <f>IF(M490="","",SUMIF(I501:S517,I490,S501:S517))</f>
        <v/>
      </c>
      <c r="R490" s="134" t="str">
        <f>IF(M490="","",L490+Q490)</f>
        <v/>
      </c>
      <c r="S490" s="203"/>
      <c r="T490" s="208">
        <v>2</v>
      </c>
      <c r="U490" s="209" t="str">
        <f>IF(M491="","",IF(COUNTIF(M490:M492,M491)=3,IF(COUNTBLANK(I490:I493)=1,(Q505+Q507)/(Q504+Q508),IF(COUNTBLANK(I490:I493)=0,(Q511+Q513)/(Q510+Q514),"")),""))</f>
        <v/>
      </c>
      <c r="V490" s="135"/>
      <c r="W490" s="212" t="str">
        <f>IF(AND(COUNTBLANK(I490:I493)=0,M491=M490,M490=M493),(Q513+Q505)/(Q514+Q504),"")</f>
        <v/>
      </c>
      <c r="X490" s="213" t="str">
        <f>IF(AND(COUNTBLANK(I490:I493)=0,M491=M492,M492=M493),(Q511+Q505)/(Q510+Q504),"")</f>
        <v/>
      </c>
      <c r="Y490" s="214">
        <v>1</v>
      </c>
      <c r="Z490" s="215" t="str">
        <f>IF(U489="","",IF(OR(Group_players=3,AND(Group_players=4,COUNTBLANK(I490:I493)=1)),IF(COUNTIF(M490:M492,M490)=1,"",IF(AND(U489=U490,U490=U491),Z494,IF(AND(U489&lt;&gt;U490,U489&lt;&gt;U491,U490&lt;&gt;U491),(IF(SMALL(U489:U491,1)=U489,1,IF(SMALL(U489:U491,2)=U489,2,IF(SMALL(U489:U491,3)=U489,3)))),IF(AND(U489&lt;U490,U490=U491),1,IF(AND(U489&gt;U490,U490=U491),3,IF(AND(U489=U490,U489&lt;U491),(IF(Q507=3,1,2)),IF(AND(U489=U490,U489&gt;U491),(IF(Q507=3,2,3)),IF(AND(U489=U491,U489&lt;U490),(IF(Q501=3,1,2)),IF(AND(U489=U491,U489&gt;U490),(IF(Q501=3,2,3)),99))))))))),""))</f>
        <v/>
      </c>
      <c r="AA490" s="216">
        <v>1</v>
      </c>
      <c r="AB490" s="217" t="str">
        <f>IF(COUNTIF(M490:M493,M490)&lt;&gt;2,"",IF(COUNTIF(M490:M493,M490)=1,"",IF(AND(COUNTIF(M490:M493,M490)=2,M490=2),IF(M490=M491,IF(Q513=3,1,2),IF(M490=M492,IF(Q501=3,1,2),IF(M490=M493,IF(Q507=3,1,2)))),IF(AND(COUNTIF(M490:M493,M490)=2,M490=1),IF(M490=M491,IF(Q513=3,3,4),IF(M490=M492,IF(Q501=3,3,4),IF(M490=M493,IF(Q507=3,3,4)))),IF(COUNTIF(M490:M493,M490)=3,AB494)))))</f>
        <v/>
      </c>
      <c r="AC490" s="192"/>
      <c r="AD490" s="192"/>
      <c r="AE490" s="192"/>
      <c r="AF490" s="203"/>
      <c r="AG490" s="203"/>
      <c r="AH490" s="203"/>
      <c r="AI490" s="203"/>
      <c r="AJ490" s="203"/>
      <c r="AK490" s="203"/>
      <c r="AL490" s="203"/>
      <c r="AM490" s="203"/>
      <c r="AN490" s="192"/>
      <c r="AO490" s="192"/>
      <c r="AP490" s="192"/>
      <c r="AQ490" s="192"/>
      <c r="AR490" s="192"/>
      <c r="AS490" s="192"/>
      <c r="AT490" s="192"/>
      <c r="AU490" s="192"/>
      <c r="AV490" s="192"/>
      <c r="AW490" s="192"/>
      <c r="AX490" s="192"/>
    </row>
    <row r="491" spans="2:50" ht="15" customHeight="1" thickTop="1" thickBot="1" x14ac:dyDescent="0.35">
      <c r="B491" s="192"/>
      <c r="C491" s="192"/>
      <c r="D491" s="192"/>
      <c r="E491" s="192"/>
      <c r="F491" s="192" t="str">
        <f>IF(I491="","",VLOOKUP(I491,Siembra,2,FALSE))</f>
        <v/>
      </c>
      <c r="G491" s="192" t="str">
        <f>O491</f>
        <v/>
      </c>
      <c r="H491" s="192">
        <v>2</v>
      </c>
      <c r="I491" s="128" t="str">
        <f>IF(K491="","",IF(ISNUMBER(Sorteo!$A$17),VLOOKUP(K491,Draw,2,FALSE),""))</f>
        <v/>
      </c>
      <c r="J491" s="129" t="str">
        <f>O491</f>
        <v/>
      </c>
      <c r="K491" s="136" t="str">
        <f>IF($K$9="","",IF(Group_players=4,IF(Tablas!BU$4="","",Tablas!BU$4),IF(Group_players=3,IF(Tablas!BU$12="","",Tablas!BU$12),"")))</f>
        <v/>
      </c>
      <c r="L491" s="137" t="str">
        <f>IF(K491="","",VLOOKUP(I491,Siembra,3,FALSE))</f>
        <v/>
      </c>
      <c r="M491" s="132" t="str">
        <f>IF(AND(L501="",L502=""),"",IF(I491="","",SUMIFS(E501:E518,I501:I518,I491)))</f>
        <v/>
      </c>
      <c r="N491" s="138" t="str">
        <f>IF(M491="","",IF(I491="","",SUMIFS(F501:F517,I501:I517,I491)))</f>
        <v/>
      </c>
      <c r="O491" s="132" t="str">
        <f>IF(M491="","",IF(COUNTBLANK(I490:I493)=1,IF(M491=2,1,IF(M491=0,3,IF(AND(M491=1,M492&lt;&gt;1),2,IF(COUNTIF(M490:M493,1)&gt;1,Z491)))),IF(COUNTBLANK(I490:I493)=0,IF(COUNTIF(M490:M493,M491)=1,IF(M491=3,1,IF(M491=2,2,IF(M491=1,3,IF(M491=0,4)))),IF(Group_players=3,Z491,IF(COUNTIF(M490:M493,M491)=2,AB491,IF(AND(M491=M490,M490=M492),AB495,IF(AND(M491=M490,M490=M493),AB501,IF(AND(M491=M492,M492=M493),AB503,"")))))))))</f>
        <v/>
      </c>
      <c r="P491" s="133" t="str">
        <f>IF(COUNT(U489:X500)=3,IF(ISNUMBER(U490),U490,IF(ISNUMBER(W490),W490,IF(ISNUMBER(X490),X490,IF(X490="","")))),IF(COUNT(U489:X500)=6,IF(ISNUMBER(U498),U498,IF(ISNUMBER(W498),W498,IF(ISNUMBER(X498),X498,IF(ISBLANK(X497),"")))),""))</f>
        <v/>
      </c>
      <c r="Q491" s="138" t="str">
        <f>IF(M491="","",SUMIF(I501:S517,I491,S501:$S517))</f>
        <v/>
      </c>
      <c r="R491" s="139" t="str">
        <f>IF(M491="","",L491+Q491)</f>
        <v/>
      </c>
      <c r="S491" s="203"/>
      <c r="T491" s="208">
        <v>3</v>
      </c>
      <c r="U491" s="209" t="str">
        <f>IF(M492="","",IF(COUNTIF(M490:M492,M492)=3,IF(COUNTBLANK(I490:I493)=1,(Q501+Q504)/(Q502+Q505),IF(COUNTBLANK(I490:I493)=0,(Q501+Q510)/(Q502+Q511),"")),""))</f>
        <v/>
      </c>
      <c r="V491" s="125" t="str">
        <f>IF(AND(COUNTBLANK(I490:I493)=0,M492=M493,M493=M490),(Q501+Q517)/(Q502+Q516),"")</f>
        <v/>
      </c>
      <c r="W491" s="218"/>
      <c r="X491" s="213" t="str">
        <f>IF(AND(COUNTBLANK(I490:I493)=0,M492=M493,M493=M491),(Q510+Q517)/(Q511+Q516),"")</f>
        <v/>
      </c>
      <c r="Y491" s="219">
        <v>2</v>
      </c>
      <c r="Z491" s="220" t="str">
        <f>IF(U490="","",IF(OR(Group_players=3,AND(Group_players=4,COUNTBLANK(I490:I493)=1)),IF(COUNTIF(M490:M492,M491)=1,"",IF(AND(U490=U489,U490=U491),Z495,IF(AND(U490&lt;&gt;U489,U490&lt;&gt;U491,U489&lt;&gt;U491),(IF(SMALL(U489:U491,1)=U490,1,IF(SMALL(U489:U491,2)=U490,2,IF(SMALL(U489:U491,3)=U490,3)))),IF(AND(U490&lt;U489,U489=U491),1,IF(AND(U490&gt;U489,U489=U491),3,IF(AND(U490=U489,U490&lt;U491),(IF(Q508=3,1,2)),IF(AND(U490=U489,U490&gt;U491),(IF(Q508=3,2,3)),IF(AND(U490=U491,U490&lt;U489),(IF(Q504=3,1,2)),IF(AND(U490=U491,U490&gt;U489),(IF(Q504=3,2,3)),99))))))))),""))</f>
        <v/>
      </c>
      <c r="AA491" s="221">
        <v>2</v>
      </c>
      <c r="AB491" s="222" t="str">
        <f>IF(COUNTIF(M490:M493,M491)&lt;&gt;2,"",IF(COUNTIF(M490:M493,M491)=1,"",IF(AND(COUNTIF(M490:M493,M491)=2,M491=2),IF(M491=M490,IF(Q514=3,1,2),IF(M491=M492,IF(Q510=3,1,2),IF(M491=M493,IF(Q504=3,1,2)))),IF(AND(COUNTIF(M490:M493,M491)=2,M491=1),IF(M491=M490,IF(Q514=3,3,4),IF(M491=M492,IF(Q510=3,3,4),IF(M491=M493,IF(Q504=3,3,4)))),AB496))))</f>
        <v/>
      </c>
      <c r="AC491" s="192"/>
      <c r="AD491" s="192"/>
      <c r="AE491" s="192"/>
      <c r="AF491" s="203"/>
      <c r="AG491" s="203"/>
      <c r="AH491" s="203"/>
      <c r="AI491" s="203"/>
      <c r="AJ491" s="203"/>
      <c r="AK491" s="203"/>
      <c r="AL491" s="203"/>
      <c r="AM491" s="203"/>
      <c r="AN491" s="192"/>
      <c r="AO491" s="192"/>
      <c r="AP491" s="192"/>
      <c r="AQ491" s="192"/>
      <c r="AR491" s="192"/>
      <c r="AS491" s="192"/>
      <c r="AT491" s="192"/>
      <c r="AU491" s="192"/>
      <c r="AV491" s="192"/>
      <c r="AW491" s="192"/>
      <c r="AX491" s="192"/>
    </row>
    <row r="492" spans="2:50" ht="15" customHeight="1" thickBot="1" x14ac:dyDescent="0.35">
      <c r="B492" s="192"/>
      <c r="C492" s="192"/>
      <c r="D492" s="192"/>
      <c r="E492" s="192"/>
      <c r="F492" s="192" t="str">
        <f>IF(I492="","",VLOOKUP(I492,Siembra,2,FALSE))</f>
        <v/>
      </c>
      <c r="G492" s="192" t="str">
        <f>O492</f>
        <v/>
      </c>
      <c r="H492" s="192">
        <v>3</v>
      </c>
      <c r="I492" s="128" t="str">
        <f>IF(K492="","",IF(ISNUMBER(Sorteo!$A$17),VLOOKUP(K492,Draw,2,FALSE),""))</f>
        <v/>
      </c>
      <c r="J492" s="129" t="str">
        <f>O492</f>
        <v/>
      </c>
      <c r="K492" s="136" t="str">
        <f>IF($K$9="","",IF(Group_players=4,IF(Tablas!BU$5="","",Tablas!BU$5),IF(Group_players=3,IF(Tablas!BU$13="","",Tablas!BU$13),"")))</f>
        <v/>
      </c>
      <c r="L492" s="137" t="str">
        <f>IF(K492="","",VLOOKUP(I492,Siembra,3,FALSE))</f>
        <v/>
      </c>
      <c r="M492" s="132" t="str">
        <f>IF(AND(L502="",L501=""),"",IF(I492="","",SUMIFS(E501:E519,I501:I519,I492)))</f>
        <v/>
      </c>
      <c r="N492" s="138" t="str">
        <f>IF(M492="","",IF(I492="","",SUMIFS(F501:F517,I501:I517,I492)))</f>
        <v/>
      </c>
      <c r="O492" s="132" t="str">
        <f>IF(M492="","",IF(COUNTBLANK(I490:I493)=1,IF(M492=2,1,IF(M492=0,3,IF(AND(M492=1,M492&lt;&gt;M490),2,IF(COUNTIF(M490:M493,1)&gt;1,Z492)))),IF(COUNTBLANK(I490:I493)=0,IF(COUNTIF(M490:M493,M492)=1,IF(M492=3,1,IF(M492=2,2,IF(M492=1,3,IF(M492=0,4)))),IF(Group_players=3,Z492,IF(COUNTIF(M490:M493,M492)=2,AB492,IF(AND(M492=M490,M490=M491),AB496,IF(AND(M492=M490,M490=M493),AB498,IF(AND(M492=M491,M491=M493),AB504,"")))))))))</f>
        <v/>
      </c>
      <c r="P492" s="133" t="str">
        <f>IF(COUNT(U489:X500)=3,IF(ISNUMBER(U491),U491,IF(ISNUMBER(V491),V491,IF(ISNUMBER(X491),X491,IF(W491="","")))),IF(COUNT(U489:X500)=6,IF(ISNUMBER(U499),U499,IF(ISNUMBER(V499),V499,IF(ISNUMBER(X499),X499,""))),""))</f>
        <v/>
      </c>
      <c r="Q492" s="138" t="str">
        <f>IF(M492="","",SUMIF(I501:S517,I492,S501:S517))</f>
        <v/>
      </c>
      <c r="R492" s="139" t="str">
        <f>IF(M492="","",L492+Q492)</f>
        <v/>
      </c>
      <c r="S492" s="203"/>
      <c r="T492" s="208">
        <v>4</v>
      </c>
      <c r="U492" s="223"/>
      <c r="V492" s="140" t="str">
        <f>IF(AND(COUNTBLANK(I490:I493)=0,M493=M490,M490=M492),(Q507+Q516)/(Q508+Q517),"")</f>
        <v/>
      </c>
      <c r="W492" s="224" t="str">
        <f>IF(AND(COUNTBLANK(I490:I493)=0,M493=M490,M490=M491),(Q507+Q504)/(Q508+Q505),"")</f>
        <v/>
      </c>
      <c r="X492" s="225" t="str">
        <f>IF(AND(COUNTBLANK(I490:I493)=0,M493=M491,M491=M492),(Q504+Q516)/(Q505+Q517),"")</f>
        <v/>
      </c>
      <c r="Y492" s="226">
        <v>3</v>
      </c>
      <c r="Z492" s="227" t="str">
        <f>IF(U491="","",IF(OR(Group_players=3,AND(Group_players=4,COUNTBLANK(I490:I493)=1)),IF(COUNTIF(M490:M492,M492)=1,"",IF(AND(U491=U489,U491=U490),Z496,IF(AND(U491&lt;&gt;U490,U490&lt;&gt;U489,U491&lt;&gt;U489),(IF(SMALL(U489:U491,1)=U491,1,IF(SMALL(U489:U491,2)=U491,2,IF(SMALL(U489:U491,3)=U491,3)))),IF(AND(U491&lt;U490,U490=U489),1,IF(AND(U491&gt;U490,U490=U489),3,IF(AND(U491=U490,U491&lt;U489),(IF(Q505=3,1,2)),IF(AND(U491=U490,U491&gt;U489),(IF(Q505=3,2,3)),IF(AND(U491=U489,U491&lt;U490),(IF(Q502=3,1,2)),IF(AND(U491=U489,U491&gt;U490),(IF(Q502=3,2,3)),99))))))))),""))</f>
        <v/>
      </c>
      <c r="AA492" s="221">
        <v>3</v>
      </c>
      <c r="AB492" s="222" t="str">
        <f>IF(COUNTIF(M490:M493,M492)&lt;&gt;2,"",IF(COUNTIF(M490:M493,M492)=1,"",IF(AND(COUNTIF(M490:M493,M492)=2,M492=2),IF(M492=M490,IF(Q502=3,1,2),IF(M492=M491,IF(Q511=3,1,2),IF(M492=M493,IF(Q516=3,1,2)))),IF(AND(COUNTIF(M490:M493,M492)=2,M492=1),IF(M492=M490,IF(Q502=3,3,4),IF(M492=M491,IF(Q511=3,3,4),IF(M492=M493,IF(Q516=3,3,4)))),AB496))))</f>
        <v/>
      </c>
      <c r="AC492" s="192"/>
      <c r="AD492" s="192"/>
      <c r="AE492" s="192"/>
      <c r="AF492" s="203"/>
      <c r="AG492" s="203"/>
      <c r="AH492" s="203"/>
      <c r="AI492" s="203"/>
      <c r="AJ492" s="203"/>
      <c r="AK492" s="203"/>
      <c r="AL492" s="203"/>
      <c r="AM492" s="203"/>
      <c r="AN492" s="192"/>
      <c r="AO492" s="192"/>
      <c r="AP492" s="192"/>
      <c r="AQ492" s="192"/>
      <c r="AR492" s="192"/>
      <c r="AS492" s="192"/>
      <c r="AT492" s="192"/>
      <c r="AU492" s="192"/>
      <c r="AV492" s="192"/>
      <c r="AW492" s="192"/>
      <c r="AX492" s="192"/>
    </row>
    <row r="493" spans="2:50" ht="15" customHeight="1" thickTop="1" thickBot="1" x14ac:dyDescent="0.35">
      <c r="B493" s="192"/>
      <c r="C493" s="192"/>
      <c r="D493" s="192"/>
      <c r="E493" s="192"/>
      <c r="F493" s="192" t="str">
        <f>IF(I493="","",VLOOKUP(I493,Siembra,2,FALSE))</f>
        <v/>
      </c>
      <c r="G493" s="192" t="str">
        <f>O493</f>
        <v/>
      </c>
      <c r="H493" s="192">
        <v>4</v>
      </c>
      <c r="I493" s="141" t="str">
        <f>IF(K493="","",IF(ISNUMBER(Sorteo!$A$17),VLOOKUP(K493,Draw,2,FALSE),""))</f>
        <v/>
      </c>
      <c r="J493" s="142" t="str">
        <f>O493</f>
        <v/>
      </c>
      <c r="K493" s="143" t="str">
        <f>IF($K$9="","",IF(Group_players=4,IF(Tablas!BU6="","",Tablas!BU6),""))</f>
        <v/>
      </c>
      <c r="L493" s="144" t="str">
        <f>IF(K493="","",VLOOKUP(I493,Siembra,3,FALSE))</f>
        <v/>
      </c>
      <c r="M493" s="145" t="str">
        <f>IF(AND(Q504="",Q505=""),"",IF(I493="","",SUMIFS(E501:E520,I501:I520,I493)))</f>
        <v/>
      </c>
      <c r="N493" s="145" t="str">
        <f>IF(M493="","",IF(I493="","",SUMIFS(F501:F517,I501:I517,I493)))</f>
        <v/>
      </c>
      <c r="O493" s="145" t="str">
        <f>IF(M493="","",IF(COUNTIF(M490:M493,M493)=1,IF(M493=3,1,IF(M493=2,2,IF(M493=1,3,IF(M493=0,4)))),IF(COUNTIF(M490:M493,M493)=2,AB493,IF(AND(M493=M490,M490=M492),AB499,IF(AND(M493=M490,M490=M491),AB502,IF(AND(M493=M491,M491=M492),AB505,""))))))</f>
        <v/>
      </c>
      <c r="P493" s="146" t="str">
        <f>IF(COUNT(U489:X500)=3,IF(ISNUMBER(V492),V492,IF(ISNUMBER(W492),W492,IF(ISNUMBER(X492),X492,IF(X492="","")))),IF(COUNT(U489:X500)=6,IF(ISNUMBER(V500),V500,IF(ISNUMBER(W500),W500,IF(ISNUMBER(X500),X500,""))),""))</f>
        <v/>
      </c>
      <c r="Q493" s="145" t="str">
        <f>IF(M493="","",SUMIF(I501:S517,I493,S501:$S517))</f>
        <v/>
      </c>
      <c r="R493" s="147" t="str">
        <f>IF(M493="","",L493+Q493)</f>
        <v/>
      </c>
      <c r="S493" s="203"/>
      <c r="T493" s="192"/>
      <c r="U493" s="192"/>
      <c r="V493" s="192"/>
      <c r="W493" s="192"/>
      <c r="X493" s="192"/>
      <c r="Y493" s="230" t="s">
        <v>93</v>
      </c>
      <c r="Z493" s="231" t="s">
        <v>110</v>
      </c>
      <c r="AA493" s="232">
        <v>4</v>
      </c>
      <c r="AB493" s="233" t="str">
        <f>IF(COUNTIF(M490:M493,M493)&lt;&gt;2,"",IF(COUNTIF(M490:M493,M493)=1,"",IF(AND(COUNTIF(M490:M493,M493)=2,M493=2),IF(M493=M490,IF(Q508=3,1,2),IF(M493=M491,IF(Q505=3,1,2),IF(M493=M492,IF(Q517=3,1,2)))),IF(AND(COUNTIF(M490:M493,M493)=2,M493=1),IF(M493=M490,IF(Q508=3,3,4),IF(M493=M491,IF(Q505=3,3,4),IF(M493=M492,IF(Q517=3,3,4)))),AB499))))</f>
        <v/>
      </c>
      <c r="AC493" s="192"/>
      <c r="AD493" s="192"/>
      <c r="AE493" s="192"/>
      <c r="AF493" s="203"/>
      <c r="AG493" s="203"/>
      <c r="AH493" s="203"/>
      <c r="AI493" s="203"/>
      <c r="AJ493" s="203"/>
      <c r="AK493" s="203"/>
      <c r="AL493" s="203"/>
      <c r="AM493" s="203"/>
      <c r="AN493" s="192"/>
      <c r="AO493" s="192"/>
      <c r="AP493" s="192"/>
      <c r="AQ493" s="192"/>
      <c r="AR493" s="192"/>
      <c r="AS493" s="192"/>
      <c r="AT493" s="192"/>
      <c r="AU493" s="192"/>
      <c r="AV493" s="192"/>
      <c r="AW493" s="192"/>
      <c r="AX493" s="192"/>
    </row>
    <row r="494" spans="2:50" ht="15" customHeight="1" thickTop="1" x14ac:dyDescent="0.3">
      <c r="B494" s="192"/>
      <c r="C494" s="192"/>
      <c r="D494" s="192"/>
      <c r="E494" s="192"/>
      <c r="F494" s="192"/>
      <c r="G494" s="192"/>
      <c r="H494" s="192"/>
      <c r="I494" s="192"/>
      <c r="J494" s="192"/>
      <c r="K494" s="192"/>
      <c r="L494" s="192"/>
      <c r="M494" s="192"/>
      <c r="N494" s="192"/>
      <c r="O494" s="192"/>
      <c r="P494" s="192"/>
      <c r="Q494" s="192"/>
      <c r="R494" s="192"/>
      <c r="S494" s="192"/>
      <c r="T494" s="208"/>
      <c r="U494" s="192"/>
      <c r="V494" s="148"/>
      <c r="W494" s="148"/>
      <c r="X494" s="234"/>
      <c r="Y494" s="214">
        <v>1</v>
      </c>
      <c r="Z494" s="215" t="str">
        <f>IF(U497="","",IF(OR(Group_players=3,AND(Group_players=4,COUNTBLANK(I490:I493)=1)),IF(COUNTIF(M490:M492,M490)=1,"",IF(COUNTIF(U489:U491,U489)=3,IF(AND(U497=U498,U498=U499),"Tied",IF(AND(U497&lt;&gt;U498,U497&lt;&gt;U499,U498&lt;&gt;U499),(IF(SMALL(U497:U499,1)=U497,1,IF(SMALL(U497:U499,2)=U497,2,IF(SMALL(U497:U499,3)=U497,3)))),IF(AND(U497&lt;U498,U498=U499),1,IF(AND(U497&gt;U498,U498=U499),3,IF(AND(U497=U498,U497&lt;U499),(IF(Q507=3,1,2)),IF(AND(U497=U498,U497&gt;U499),(IF(Q507=3,2,3)),IF(AND(U497=U499,U497&lt;U498),(IF(Q501=3,1,2)),IF(AND(U497=U499,U497&gt;U498),(IF(Q501=3,2,3)),99)))))))),"")),""))</f>
        <v/>
      </c>
      <c r="AA494" s="208">
        <v>1</v>
      </c>
      <c r="AB494" s="222" t="str">
        <f>IF(AND(COUNTBLANK(I490:I493)=0,Group_players=4,M490=M491,M491=M492),IF(COUNTIF(U489:U492,U489)=3,AB507,IF(AND(COUNTIF(U489:U492,U489)=1,U490&lt;&gt;U491),IF(M490=2,IF(SMALL(U489:U492,1)=U489,1,IF(SMALL(U489:U492,2)=U489,2,IF(SMALL(U489:U492,3)=U489,3))),IF(M490=1,IF(SMALL(U489:U492,1)=U489,2,IF(SMALL(U489:U492,2)=U489,3,IF(SMALL(U489:U492,3)=U489,4))),"")),IF(COUNTIF(U489:U492,U489)=1,IF(U489&lt;U490,IF(M490=2,1,2),IF(M490=2,3,4)),IF(COUNTIF(U489:U492,U489)=2,IF(U489=U490,IF(U489&lt;U491,IF(M490=2,IF(Q513=3,1,2),IF(M490=1,IF(Q513=3,2,3))),IF(U489&gt;U491,IF(M490=2,IF(Q513=3,2,3),IF(M490=1,IF(Q513=3,3,4))))),IF(U489=U491,IF(U489&lt;U490,IF(M490=2,IF(Q501=3,1,2),IF(M490=1,IF(Q501=3,2,3))),IF(U489&gt;U490,IF(M490=2,IF(Q501=3,2,3),IF(M490=1,IF(Q501=3,3,4))))))),"")))),"")</f>
        <v/>
      </c>
      <c r="AC494" s="192"/>
      <c r="AD494" s="192"/>
      <c r="AE494" s="269"/>
      <c r="AF494" s="203"/>
      <c r="AG494" s="203"/>
      <c r="AH494" s="203"/>
      <c r="AI494" s="203"/>
      <c r="AJ494" s="203"/>
      <c r="AK494" s="203"/>
      <c r="AL494" s="203"/>
      <c r="AM494" s="203"/>
      <c r="AN494" s="192"/>
      <c r="AO494" s="192"/>
      <c r="AP494" s="192"/>
      <c r="AQ494" s="192"/>
      <c r="AR494" s="192"/>
      <c r="AS494" s="192"/>
      <c r="AT494" s="192"/>
      <c r="AU494" s="192"/>
      <c r="AV494" s="192"/>
      <c r="AW494" s="192"/>
      <c r="AX494" s="192"/>
    </row>
    <row r="495" spans="2:50" ht="15" customHeight="1" thickBot="1" x14ac:dyDescent="0.35">
      <c r="B495" s="192"/>
      <c r="C495" s="192"/>
      <c r="D495" s="192"/>
      <c r="E495" s="192"/>
      <c r="F495" s="192"/>
      <c r="G495" s="192"/>
      <c r="H495" s="192"/>
      <c r="I495" s="269"/>
      <c r="J495" s="269"/>
      <c r="K495" s="192"/>
      <c r="L495" s="192"/>
      <c r="M495" s="192"/>
      <c r="N495" s="192"/>
      <c r="O495" s="192"/>
      <c r="P495" s="192"/>
      <c r="Q495" s="192"/>
      <c r="R495" s="192"/>
      <c r="S495" s="192"/>
      <c r="T495" s="208"/>
      <c r="U495" s="368" t="s">
        <v>111</v>
      </c>
      <c r="V495" s="369"/>
      <c r="W495" s="369"/>
      <c r="X495" s="369"/>
      <c r="Y495" s="236">
        <v>2</v>
      </c>
      <c r="Z495" s="220" t="str">
        <f>IF(U490="","",IF(OR(Group_players=3,AND(Group_players=4,COUNTBLANK(I490:I493)=1)),IF(COUNTIF(M490:M492,M491)=1,"",IF(COUNTIF(U489:U491,U490)=3,IF(AND(U498=U497,U498=U499),"Tied",IF(AND(U498&lt;&gt;U497,U498&lt;&gt;U499,U497&lt;&gt;U499),(IF(SMALL(U497:U499,1)=U498,1,IF(SMALL(U497:U499,2)=U498,2,IF(SMALL(U497:U499,3)=U498,3)))),IF(AND(U498&lt;U497,U497=U499),1,IF(AND(U498&gt;U497,U497=U499),3,IF(AND(U498=U497,U498&lt;U499),(IF(Q508=3,1,2)),IF(AND(U498=U497,U498&gt;U499),(IF(Q508=3,2,3)),IF(AND(U498=U499,U498&lt;U497),(IF(Q504=3,1,2)),IF(AND(U498=U499,U498&gt;U497),(IF(Q504=3,2,3)),99)))))))),"")),""))</f>
        <v/>
      </c>
      <c r="AA495" s="208">
        <v>2</v>
      </c>
      <c r="AB495" s="222" t="str">
        <f>IF(AND(COUNTBLANK(I490:I493)=0,Group_players=4,M490=M491,M491=M492),IF(COUNTIF(U489:U492,U490)=3,AB508,IF(AND(COUNTIF(U489:U492,U490)=1,U489&lt;&gt;U491),IF(M491=2,IF(SMALL(U489:U492,1)=U490,1,IF(SMALL(U489:U492,2)=U490,2,IF(SMALL(U489:U492,3)=U490,3))),IF(M491=1,IF(SMALL(U489:U492,1)=U490,2,IF(SMALL(U489:U492,2)=U490,3,IF(SMALL(U489:U492,3)=U490,4))),"")),IF(COUNTIF(U489:U491,U490)=1,IF(U490&lt;U489,IF(M491=2,1,2),IF(M491=2,3,99)),IF(COUNTIF(U489:U492,U490)=2,IF(U490=U489,IF(U490&lt;U491,IF(M491=2,IF(Q514=3,1,2),IF(M491=1,IF(Q514=3,2,3))),IF(U490&gt;U491,IF(M491=2,IF(Q514=3,2,3),IF(M491=1,IF(Q514=3,3,4))))),IF(U490=U491,IF(U490&lt;U489,IF(M491=2,IF(Q510=3,1,2),IF(M491=1,IF(Q510=3,2,3))),IF(U490&gt;U489,IF(M491=2,IF(Q510=3,2,3),IF(M491=1,IF(Q510=3,3,4))))))),"")))),"")</f>
        <v/>
      </c>
      <c r="AC495" s="192"/>
      <c r="AD495" s="192"/>
      <c r="AE495" s="192"/>
      <c r="AF495" s="203"/>
      <c r="AG495" s="203"/>
      <c r="AH495" s="203"/>
      <c r="AI495" s="203"/>
      <c r="AJ495" s="203"/>
      <c r="AK495" s="203"/>
      <c r="AL495" s="203"/>
      <c r="AM495" s="203"/>
      <c r="AN495" s="192"/>
      <c r="AO495" s="192"/>
      <c r="AP495" s="192"/>
      <c r="AQ495" s="192"/>
      <c r="AR495" s="192"/>
      <c r="AS495" s="192"/>
      <c r="AT495" s="192"/>
      <c r="AU495" s="192"/>
      <c r="AV495" s="192"/>
      <c r="AW495" s="192"/>
      <c r="AX495" s="192"/>
    </row>
    <row r="496" spans="2:50" ht="15" customHeight="1" thickTop="1" thickBot="1" x14ac:dyDescent="0.35">
      <c r="B496" s="192"/>
      <c r="C496" s="192"/>
      <c r="D496" s="192"/>
      <c r="E496" s="192"/>
      <c r="F496" s="192"/>
      <c r="G496" s="192"/>
      <c r="H496" s="192"/>
      <c r="I496" s="192"/>
      <c r="J496" s="192"/>
      <c r="K496" s="192"/>
      <c r="L496" s="192"/>
      <c r="M496" s="192"/>
      <c r="N496" s="192"/>
      <c r="O496" s="192"/>
      <c r="P496" s="192"/>
      <c r="Q496" s="192"/>
      <c r="R496" s="192"/>
      <c r="S496" s="192"/>
      <c r="T496" s="120"/>
      <c r="U496" s="121" t="s">
        <v>101</v>
      </c>
      <c r="V496" s="122" t="s">
        <v>102</v>
      </c>
      <c r="W496" s="122" t="s">
        <v>103</v>
      </c>
      <c r="X496" s="123" t="s">
        <v>104</v>
      </c>
      <c r="Y496" s="238">
        <v>3</v>
      </c>
      <c r="Z496" s="239" t="str">
        <f>IF(U491="","",IF(OR(Group_players=3,AND(Group_players=4,COUNTBLANK(I490:I493)=1)),IF(COUNTIF(M490:M492,M492)=1,"",IF(COUNTIF(U489:U491,U491)=3,IF(AND(U499=U497,U499=U498),"Tied",IF(AND(U499&lt;&gt;U498,U498&lt;&gt;U497,U499&lt;&gt;U497),(IF(SMALL(U497:U499,1)=U499,1,IF(SMALL(U497:U499,2)=U499,2,IF(SMALL(U497:U499,3)=U499,3)))),IF(AND(U499&lt;U498,U498=U497),1,IF(AND(U499&gt;U498,U498=U497),3,IF(AND(U499=U498,U499&lt;U497),(IF(Q505=3,1,2)),IF(AND(U499=U498,U499&gt;U497),(IF(Q505=3,2,3)),IF(AND(U499=U497,U499&lt;U498),(IF(Q502=3,1,2)),IF(AND(U499=U497,U499&gt;U498),(IF(Q502=3,2,3)),99)))))))),"")),""))</f>
        <v/>
      </c>
      <c r="AA496" s="240">
        <v>3</v>
      </c>
      <c r="AB496" s="241" t="str">
        <f>IF(AND(COUNTBLANK(I490:I493)=0,Group_players=4,M490=M491,M491=M492),IF(COUNTIF(U489:U492,U491)=3,AB509,IF(AND(COUNTIF(U489:U492,U491)=1,U489&lt;&gt;U490),IF(M490=2,IF(SMALL(U489:U492,1)=U491,1,IF(SMALL(U489:U492,2)=U491,2,IF(SMALL(U489:U492,3)=U491,3))),IF(M492=1,IF(SMALL(U489:U492,1)=U491,2,IF(SMALL(U489:U492,2)=U491,3,IF(SMALL(U489:U492,3)=U491,4))),"")),IF(COUNTIF(U489:U492,U491)=1,IF(U491&lt;U490,IF(M492=2,1,2),IF(M492=2,3,4)),IF(COUNTIF(U489:U492,U491)=2,IF(U491=U490,IF(U491&lt;U489,IF(M492=2,IF(Q511=3,1,2),IF(M492=1,IF(Q511=3,2,3))),IF(U491&gt;U489,IF(M492=2,IF(Q511=3,2,3),IF(M492=1,IF(Q511=3,3,4))))),IF(U491=U489,IF(U491&lt;U490,IF(M492=2,IF(Q502=3,1,2),IF(M492=1,IF(Q502=3,2,3))),IF(U491&gt;U490,IF(M492=2,IF(Q502=3,2,3),IF(M492=1,IF(Q502=3,3,4))))))),"")))),"")</f>
        <v/>
      </c>
      <c r="AC496" s="192"/>
      <c r="AD496" s="192"/>
      <c r="AE496" s="192"/>
      <c r="AF496" s="203"/>
      <c r="AG496" s="203"/>
      <c r="AH496" s="203"/>
      <c r="AI496" s="203"/>
      <c r="AJ496" s="203"/>
      <c r="AK496" s="203"/>
      <c r="AL496" s="203"/>
      <c r="AM496" s="203"/>
      <c r="AN496" s="192"/>
      <c r="AO496" s="192"/>
      <c r="AP496" s="192"/>
      <c r="AQ496" s="192"/>
      <c r="AR496" s="192"/>
      <c r="AS496" s="192"/>
      <c r="AT496" s="192"/>
      <c r="AU496" s="192"/>
      <c r="AV496" s="192"/>
      <c r="AW496" s="192"/>
      <c r="AX496" s="192"/>
    </row>
    <row r="497" spans="2:50" ht="15" customHeight="1" thickTop="1" thickBot="1" x14ac:dyDescent="0.35">
      <c r="B497" s="192"/>
      <c r="C497" s="192"/>
      <c r="D497" s="192"/>
      <c r="E497" s="192"/>
      <c r="F497" s="192"/>
      <c r="G497" s="192"/>
      <c r="H497" s="192"/>
      <c r="I497" s="192"/>
      <c r="J497" s="192"/>
      <c r="K497" s="192"/>
      <c r="L497" s="192"/>
      <c r="M497" s="192"/>
      <c r="N497" s="192"/>
      <c r="O497" s="192"/>
      <c r="P497" s="192"/>
      <c r="Q497" s="192"/>
      <c r="R497" s="192"/>
      <c r="S497" s="192"/>
      <c r="T497" s="208">
        <v>1</v>
      </c>
      <c r="U497" s="209" t="str">
        <f>IF(U489="","",IF(OR(U489&lt;&gt;U490,U489&lt;&gt;U491),"",IF(COUNTIF(M490:M492,M490)=1,"",IF(COUNTBLANK(I490:I493)=1,(SUM(L502:P502)+SUM(L508:P508))/(SUM(L501:P501)+SUM(L507:P507)),IF(COUNTBLANK(I490:I493)=0,(SUM(L514:P514)+SUM(L502:P502))/(SUM(L513:P513)+SUM(L501:P501)),"")))))</f>
        <v/>
      </c>
      <c r="V497" s="125" t="str">
        <f>IF(V489="","",IF(OR(V489&lt;&gt;V491,V489&lt;&gt;V492),"",IF(AND(COUNTBLANK(I490:I493)=0,M490=M492,M492=M493),(SUM(L502:P502)+SUM(L508:P508))/(SUM(L501:P501)+SUM(L507:P507)),"")))</f>
        <v/>
      </c>
      <c r="W497" s="210" t="str">
        <f>IF(W489="","",IF(OR(W489&lt;&gt;W490,W489&lt;&gt;W492),"",IF(AND(COUNTBLANK(I490:I493)=0,M490=M491,M491=M493),(SUM(L514:P514)+SUM(L508:P508))/(SUM(L513:P513)+SUM(L507:P507)),"")))</f>
        <v/>
      </c>
      <c r="X497" s="211"/>
      <c r="Y497" s="242"/>
      <c r="Z497" s="242"/>
      <c r="AA497" s="243">
        <v>1</v>
      </c>
      <c r="AB497" s="244" t="str">
        <f>IF(AND(COUNTBLANK(I490:I493)=0,Group_players=4,M490=M492,M492=M493),IF(COUNTIF(V489:V492,V489)=3,AB510,IF(AND(COUNTIF(V489:V492,V489)=1,V491&lt;&gt;U500),IF(M490=2,IF(SMALL(V489:V492,1)=V489,1,IF(SMALL(V489:V492,2)=V489,2,IF(SMALL(V489:V492,3)=V489,3))),IF(M490=1,IF(SMALL(V489:V492,1)=V489,2,IF(SMALL(V489:V492,2)=V489,3,IF(SMALL(V489:V492,3)=V489,4))),"")),IF(COUNTIF(V489:V492,V489)=1,IF(V489&lt;V491,IF(M490=2,1,2),IF(M490=2,3,4)),IF(COUNTIF(V489:V492,V489)=2,IF(V489=V491,IF(V489&lt;V492,IF(M490=2,IF(Q501=3,1,2),IF(M490=1,IF(Q501=3,2,3))),IF(V489&gt;V492,IF(M490=2,IF(Q501=3,2,3),IF(M490=1,IF(Q501=3,3,4))))),IF(V489=V492,IF(V489&lt;V491,IF(M490=2,IF(Q507=3,1,2),IF(M490=1,IF(Q507=3,2,3))),IF(V489&gt;V490,IF(M490=2,IF(Q507=3,2,3),IF(M490=1,IF(Q507=3,3,4))))))),"")))),"")</f>
        <v/>
      </c>
      <c r="AC497" s="192"/>
      <c r="AD497" s="192"/>
      <c r="AE497" s="192"/>
      <c r="AF497" s="203"/>
      <c r="AG497" s="203"/>
      <c r="AH497" s="203"/>
      <c r="AI497" s="203"/>
      <c r="AJ497" s="203"/>
      <c r="AK497" s="203"/>
      <c r="AL497" s="203"/>
      <c r="AM497" s="203"/>
      <c r="AN497" s="192"/>
      <c r="AO497" s="192"/>
      <c r="AP497" s="192"/>
      <c r="AQ497" s="192"/>
      <c r="AR497" s="192"/>
      <c r="AS497" s="192"/>
      <c r="AT497" s="192"/>
      <c r="AU497" s="192"/>
      <c r="AV497" s="192"/>
      <c r="AW497" s="192"/>
      <c r="AX497" s="192"/>
    </row>
    <row r="498" spans="2:50" ht="15" customHeight="1" thickTop="1" thickBot="1" x14ac:dyDescent="0.35">
      <c r="B498" s="192"/>
      <c r="C498" s="192"/>
      <c r="D498" s="192"/>
      <c r="E498" s="117"/>
      <c r="F498" s="117"/>
      <c r="G498" s="117"/>
      <c r="H498" s="192"/>
      <c r="I498" s="192"/>
      <c r="J498" s="192"/>
      <c r="K498" s="192"/>
      <c r="L498" s="192"/>
      <c r="M498" s="192"/>
      <c r="N498" s="192"/>
      <c r="O498" s="192"/>
      <c r="P498" s="192"/>
      <c r="Q498" s="192"/>
      <c r="R498" s="192"/>
      <c r="S498" s="394" t="s">
        <v>112</v>
      </c>
      <c r="T498" s="208">
        <v>2</v>
      </c>
      <c r="U498" s="209" t="str">
        <f>IF(U489="","",IF(OR(U490&lt;&gt;U489,U490&lt;&gt;U491),"",IF(COUNTIF(M490:M492,M491)=1,"",IF(COUNTBLANK(I490:I493)=1,(SUM(L505:P505)+SUM(L507:P507))/(SUM(L504:P504)+SUM(L508:P508)),IF(COUNTBLANK(I490:I493)=0,(SUM(L513:P513)+SUM(L511:P511))/(SUM(L514:P514)+SUM(L510:P510)))))))</f>
        <v/>
      </c>
      <c r="V498" s="135"/>
      <c r="W498" s="212" t="str">
        <f>IF(W489="","",IF(OR(W490&lt;&gt;W489,W490&lt;&gt;W492),"",IF(AND(COUNTBLANK(I490:I493)=0,M490=M491,M491=M493),(SUM(L505:P505)+SUM(L513:P513))/(SUM(L514:P514)+SUM(L504:P504)),"")))</f>
        <v/>
      </c>
      <c r="X498" s="245" t="str">
        <f>IF(X490="","",IF(OR(X490&lt;&gt;X491,X490&lt;&gt;X492),"",IF(AND(COUNTBLANK(I490:I493)=0,M491=M492,M492=M493),(SUM(L511:P511)+SUM(L505:P505))/(SUM(L510:P510)+SUM(L504:P504)),"")))</f>
        <v/>
      </c>
      <c r="Y498" s="242"/>
      <c r="Z498" s="203"/>
      <c r="AA498" s="246">
        <v>3</v>
      </c>
      <c r="AB498" s="222" t="str">
        <f>IF(AND(COUNTBLANK(I490:I493)=0,Group_players=4,M490=M492,M492=M493),IF(COUNTIF(V489:V492,V491)=3,AB511,IF(AND(COUNTIF(V489:V492,V491)=1,V489&lt;&gt;V492),IF(M492=2,IF(SMALL(V489:V492,1)=V491,1,IF(SMALL(V489:V492,2)=V491,2,IF(SMALL(V489:V492,3)=V491,3))),IF(M492=1,IF(SMALL(V489:V492,1)=V491,2,IF(SMALL(V489:V492,2)=V491,3,IF(SMALL(V489:V492,3)=V491,4))),"")),IF(COUNTIF(V489:V492,V491)=1,IF(V491&lt;V489,IF(M492=2,1,2),IF(M492=2,3,4)),IF(COUNTIF(V489:V492,V491)=2,IF(V491=V489,IF(V491&lt;V492,IF(M492=2,IF(Q502=3,1,2),IF(M492=1,IF(Q502=3,2,3))),IF(V491&gt;V492,IF(M492=2,IF(Q502=3,2,3),IF(M492=1,IF(Q502=3,3,4))))),IF(V491=V492,IF(V491&lt;V489,IF(M492=2,IF(Q516=3,1,2),IF(M492=1,IF(Q516=3,2,3))),IF(V491&gt;V489,IF(M492=2,IF(Q516=3,2,3),IF(M492=1,IF(Q516=3,3,4))))))),"")))),"")</f>
        <v/>
      </c>
      <c r="AC498" s="192"/>
      <c r="AD498" s="192"/>
      <c r="AE498" s="192"/>
      <c r="AF498" s="203"/>
      <c r="AG498" s="203"/>
      <c r="AH498" s="203"/>
      <c r="AI498" s="203"/>
      <c r="AJ498" s="203"/>
      <c r="AK498" s="203"/>
      <c r="AL498" s="203"/>
      <c r="AM498" s="203"/>
      <c r="AN498" s="192"/>
      <c r="AO498" s="192"/>
      <c r="AP498" s="192"/>
      <c r="AQ498" s="192"/>
      <c r="AR498" s="192"/>
      <c r="AS498" s="192"/>
      <c r="AT498" s="192"/>
      <c r="AU498" s="192"/>
      <c r="AV498" s="192"/>
      <c r="AW498" s="192"/>
      <c r="AX498" s="192"/>
    </row>
    <row r="499" spans="2:50" ht="15" customHeight="1" thickTop="1" thickBot="1" x14ac:dyDescent="0.35">
      <c r="B499" s="192"/>
      <c r="C499" s="192"/>
      <c r="D499" s="192"/>
      <c r="E499" s="117"/>
      <c r="F499" s="117"/>
      <c r="G499" s="117"/>
      <c r="H499" s="192"/>
      <c r="I499" s="192"/>
      <c r="J499" s="192"/>
      <c r="K499" s="192"/>
      <c r="L499" s="192"/>
      <c r="M499" s="192"/>
      <c r="N499" s="192"/>
      <c r="O499" s="192"/>
      <c r="P499" s="192"/>
      <c r="Q499" s="192"/>
      <c r="R499" s="247"/>
      <c r="S499" s="395"/>
      <c r="T499" s="208">
        <v>3</v>
      </c>
      <c r="U499" s="209" t="str">
        <f>IF(U489="","",IF(OR(U491&lt;&gt;U489,U491&lt;&gt;U490),"",IF(COUNTIF(M490:M492,M492)=1,"",IF(COUNTBLANK(I490:I493)=1,(SUM(L501:P501)+SUM(L504:P504))/(SUM(L502:P502)+SUM(L505:P505)),IF(COUNTBLANK(I490:I493)=0,(SUM(L501:P501)+SUM(L510:P510))/(SUM(L502:P502)+SUM(L511:P511)))))))</f>
        <v/>
      </c>
      <c r="V499" s="125" t="str">
        <f>IF(V489="","",IF(OR(V491&lt;&gt;V489,V491&lt;&gt;V492),"",IF(AND(COUNTBLANK(I490:I493)=0,M490=M492,M492=M493),(SUM(L501:P501)+SUM(L517:P517))/(SUM(L502:P502)+SUM(L516:P516)),"")))</f>
        <v/>
      </c>
      <c r="W499" s="218"/>
      <c r="X499" s="245" t="str">
        <f>IF(X490="","",IF(OR(X491&lt;&gt;X490,X491&lt;&gt;X492),"",IF(AND(COUNTBLANK(I490:I493)=0,M491=M492,M492=M493),(SUM(L510:P510)+SUM(L517:P517))/(SUM(L511:P511)+SUM(L516:P516)),"")))</f>
        <v/>
      </c>
      <c r="Y499" s="208"/>
      <c r="Z499" s="203"/>
      <c r="AA499" s="240">
        <v>4</v>
      </c>
      <c r="AB499" s="222" t="str">
        <f>IF(AND(COUNTBLANK(I490:I493)=0,Group_players=4,M490=M492,M492=M493),IF(COUNTIF(V489:V492,V492)=3,AB512,IF(AND(COUNTIF(V489:V492,V492)=1,V491&lt;&gt;V489),IF(M493=2,IF(SMALL(V489:V492,1)=V492,1,IF(SMALL(V489:V492,2)=V492,2,IF(SMALL(V489:V492,3)=V492,3))),IF(M493=1,IF(SMALL(V489:V492,1)=V492,2,IF(SMALL(V489:V492,2)=V492,3,IF(SMALL(V489:V492,3)=V492,4))),"")),IF(COUNTIF(V489:V492,V492)=1,IF(V492&lt;V489,IF(M493=2,1,2),IF(M493=2,3,4)),IF(COUNTIF(V489:V492,V492)=2,IF(V492=V489,IF(V492&lt;V491,IF(M493=2,IF(Q508=3,1,2),IF(M493=1,IF(Q508=3,2,3))),IF(V492&gt;V491,IF(M493=2,IF(Q508=3,2,3),IF(M493=1,IF(Q508=3,3,4))))),IF(V492=V491,IF(V492&lt;V489,IF(M493=2,IF(Q517=3,1,2),IF(M493=1,IF(Q517=3,2,3))),IF(V492&gt;V489,IF(M493=2,IF(Q517=3,2,3),IF(M493=1,IF(Q517=3,3,4))))))),"")))),"")</f>
        <v/>
      </c>
      <c r="AC499" s="192"/>
      <c r="AD499" s="192"/>
      <c r="AE499" s="192"/>
      <c r="AF499" s="203"/>
      <c r="AG499" s="203"/>
      <c r="AH499" s="203"/>
      <c r="AI499" s="203"/>
      <c r="AJ499" s="203"/>
      <c r="AK499" s="203"/>
      <c r="AL499" s="203"/>
      <c r="AM499" s="203"/>
      <c r="AN499" s="192"/>
      <c r="AO499" s="192"/>
      <c r="AP499" s="192"/>
      <c r="AQ499" s="192"/>
      <c r="AR499" s="192"/>
      <c r="AS499" s="192"/>
      <c r="AT499" s="192"/>
      <c r="AU499" s="192"/>
      <c r="AV499" s="192"/>
      <c r="AW499" s="192"/>
      <c r="AX499" s="192"/>
    </row>
    <row r="500" spans="2:50" ht="15" customHeight="1" thickTop="1" thickBot="1" x14ac:dyDescent="0.35">
      <c r="B500" s="192"/>
      <c r="C500" s="192"/>
      <c r="D500" s="192"/>
      <c r="E500" s="168" t="s">
        <v>113</v>
      </c>
      <c r="F500" s="168" t="s">
        <v>114</v>
      </c>
      <c r="G500" s="117"/>
      <c r="H500" s="192"/>
      <c r="I500" s="249" t="s">
        <v>115</v>
      </c>
      <c r="J500" s="249"/>
      <c r="K500" s="249"/>
      <c r="L500" s="250" t="s">
        <v>115</v>
      </c>
      <c r="M500" s="250" t="s">
        <v>116</v>
      </c>
      <c r="N500" s="250" t="s">
        <v>117</v>
      </c>
      <c r="O500" s="250" t="s">
        <v>118</v>
      </c>
      <c r="P500" s="250" t="s">
        <v>119</v>
      </c>
      <c r="Q500" s="250" t="s">
        <v>120</v>
      </c>
      <c r="R500" s="250"/>
      <c r="S500" s="251"/>
      <c r="T500" s="208">
        <v>4</v>
      </c>
      <c r="U500" s="223"/>
      <c r="V500" s="140" t="str">
        <f>IF(V489="","",IF(OR(V492&lt;&gt;V489,V492&lt;&gt;V491),"",IF(AND(COUNTBLANK(I490:I493)=0,M490=M492,M492=M493),(SUM(L507:P507)+SUM(L516:P516))/(SUM(L508:P508)+SUM(L517:P517)),"")))</f>
        <v/>
      </c>
      <c r="W500" s="224" t="str">
        <f>IF(W489="","",IF(OR(W492&lt;&gt;W489,W492&lt;&gt;W490),"",IF(AND(COUNTBLANK(I490:I493)=0,M490=M491,M491=M493),(SUM(L507:P507)+SUM(L504:P504))/(SUM(L508:P508)+SUM(L505:P505)),"")))</f>
        <v/>
      </c>
      <c r="X500" s="252" t="str">
        <f>IF(X490="","",IF(OR(X492&lt;&gt;X490,X492&lt;&gt;X491),"",IF(AND(COUNTBLANK(I490:I493)=0,M491=M492,M492=M493),(SUM(L504:P504)+SUM(L516:P516))/(SUM(L505:P505)+SUM(L517:P517)),"")))</f>
        <v/>
      </c>
      <c r="Y500" s="192"/>
      <c r="Z500" s="203"/>
      <c r="AA500" s="243">
        <v>1</v>
      </c>
      <c r="AB500" s="151" t="str">
        <f>IF(AND(COUNTBLANK(I490:I493)=0,Group_players=4,M490=M491,M491=M493),IF(COUNTIF(W489:W492,W489)=3,AB513,IF(AND(COUNTIF(W489:W492,W489)=1,W490&lt;&gt;W492),IF(M490=2,IF(SMALL(W489:W492,1)=W489,1,IF(SMALL(W489:W492,2)=W489,2,IF(SMALL(W489:W492,3)=W489,3))),IF(M490=1,IF(SMALL(W489:W492,1)=W489,2,IF(SMALL(W489:W492,2)=W489,3,IF(SMALL(W489:W492,3)=W489,4))),"")),IF(COUNTIF(W489:W492,W489)=1,IF(W489&lt;W490,IF(M490=2,1,2),IF(M490=2,3,4)),IF(COUNTIF(W489:W492,W489)=2,IF(W489=W490,IF(W489&lt;W492,IF(M490=2,IF(Q513=3,1,2),IF(M490=1,IF(Q513=3,2,3))),IF(W489&gt;W492,IF(M490=2,IF(Q513=3,2,3),IF(M490=1,IF(Q513=3,3,4))))),IF(W489=W492,IF(W489&lt;W490,IF(M490=2,IF(Q507=3,1,2),IF(M490=1,IF(Q507=3,2,3))),IF(W489&gt;W490,IF(M490=2,IF(Q507=3,2,3),IF(M490=1,IF(Q507=3,3,4))))))),"")))),"")</f>
        <v/>
      </c>
      <c r="AC500" s="192"/>
      <c r="AD500" s="192"/>
      <c r="AE500" s="192"/>
      <c r="AF500" s="203"/>
      <c r="AG500" s="203"/>
      <c r="AH500" s="203"/>
      <c r="AI500" s="203"/>
      <c r="AJ500" s="203"/>
      <c r="AK500" s="203"/>
      <c r="AL500" s="203"/>
      <c r="AM500" s="203"/>
      <c r="AN500" s="192"/>
      <c r="AO500" s="192"/>
      <c r="AP500" s="192"/>
      <c r="AQ500" s="192"/>
      <c r="AR500" s="192"/>
      <c r="AS500" s="192"/>
      <c r="AT500" s="192"/>
      <c r="AU500" s="192"/>
      <c r="AV500" s="192"/>
      <c r="AW500" s="192"/>
      <c r="AX500" s="192"/>
    </row>
    <row r="501" spans="2:50" ht="15" customHeight="1" thickTop="1" x14ac:dyDescent="0.3">
      <c r="B501" s="192"/>
      <c r="C501" s="192"/>
      <c r="D501" s="192"/>
      <c r="E501" s="164" t="str">
        <f>IF(Q501="","",IF(Q501=3,1,0))</f>
        <v/>
      </c>
      <c r="F501" s="164" t="str">
        <f>IF(Q501="","",IF(Q501&lt;3,1,0))</f>
        <v/>
      </c>
      <c r="G501" s="192"/>
      <c r="H501" s="192" t="str">
        <f>IF(I490="","",1)</f>
        <v/>
      </c>
      <c r="I501" s="192" t="str">
        <f>IF(ISNUMBER(H501),VLOOKUP(H501,H490:I493,2,TRUE),"")</f>
        <v/>
      </c>
      <c r="J501" s="192"/>
      <c r="K501" s="192" t="str">
        <f>VLOOKUP(I501,I490:L493,3,FALSE)</f>
        <v/>
      </c>
      <c r="L501" s="253"/>
      <c r="M501" s="254"/>
      <c r="N501" s="254"/>
      <c r="O501" s="152"/>
      <c r="P501" s="153"/>
      <c r="Q501" s="255" t="str">
        <f>IF(L501="","",IF(AND(L501-L502&gt;1,L501&gt;10),1,0)+IF(AND(M501-M502&gt;1,M501&gt;10),1,0)+IF(AND(N501-N502&gt;1,N501&gt;10),1,0)+IF(AND(O501-O502&gt;1,O501&gt;10),1,0)+IF(AND(P501-P502&gt;1,P501&gt;10),1,0))</f>
        <v/>
      </c>
      <c r="R501" s="203" t="str">
        <f>IF(AND(I501="",I502=""),"",ABS(VLOOKUP(I501,I490:L493,4,FALSE)-VLOOKUP(I502,I490:L493,4,FALSE)))</f>
        <v/>
      </c>
      <c r="S501" s="256" t="str">
        <f>IF(R502="","",IF(Q501=3,+R502,-R502))</f>
        <v/>
      </c>
      <c r="T501" s="257"/>
      <c r="U501" s="258"/>
      <c r="V501" s="258"/>
      <c r="W501" s="258"/>
      <c r="X501" s="258"/>
      <c r="Y501" s="192"/>
      <c r="Z501" s="203"/>
      <c r="AA501" s="246">
        <v>2</v>
      </c>
      <c r="AB501" s="154" t="str">
        <f>IF(AND(COUNTBLANK(I490:I493)=0,Group_players=4,M490=M491,M491=M493),IF(COUNTIF(W489:W492,W490)=3,AB514,IF(AND(COUNTIF(W489:W492,W490)=1,W489&lt;&gt;W491),IF(M491=2,IF(SMALL(W489:W492,1)=W490,1,IF(SMALL(W489:W492,2)=W490,2,IF(SMALL(W489:W492,3)=W490,3))),IF(M491=1,IF(SMALL(W489:W492,1)=W490,2,IF(SMALL(W489:W492,2)=W490,3,IF(SMALL(W489:W492,3)=W490,4))),"")),IF(COUNTIF(W489:W492,W490)=1,IF(W490&lt;W489,IF(M491=2,1,2),IF(M491=2,3,4)),IF(COUNTIF(W489:W492,W490)=2,IF(W490=W489,IF(W490&lt;W492,IF(M491=2,IF(Q514=3,1,2),IF(M491=1,IF(Q514=3,2,3))),IF(W490&gt;W492,IF(M491=2,IF(Q514=3,2,3),IF(M491=1,IF(Q514=3,3,4))))),IF(W490=W492,IF(W490&lt;W489,IF(M491=2,IF(Q504=3,1,2),IF(M491=1,IF(Q504=3,2,3))),IF(W490&gt;W489,IF(M491=2,IF(Q504=3,2,3),IF(M491=1,IF(Q504=3,3,4))))))),"")))),"")</f>
        <v/>
      </c>
      <c r="AC501" s="192"/>
      <c r="AD501" s="192"/>
      <c r="AE501" s="192"/>
      <c r="AF501" s="203"/>
      <c r="AG501" s="203"/>
      <c r="AH501" s="203"/>
      <c r="AI501" s="203"/>
      <c r="AJ501" s="203"/>
      <c r="AK501" s="203"/>
      <c r="AL501" s="203"/>
      <c r="AM501" s="203"/>
      <c r="AN501" s="192"/>
      <c r="AO501" s="192"/>
      <c r="AP501" s="192"/>
      <c r="AQ501" s="192"/>
      <c r="AR501" s="192"/>
      <c r="AS501" s="192"/>
      <c r="AT501" s="192"/>
      <c r="AU501" s="192"/>
      <c r="AV501" s="192"/>
      <c r="AW501" s="192"/>
      <c r="AX501" s="192"/>
    </row>
    <row r="502" spans="2:50" ht="15" customHeight="1" thickBot="1" x14ac:dyDescent="0.35">
      <c r="B502" s="192"/>
      <c r="C502" s="192"/>
      <c r="D502" s="192"/>
      <c r="E502" s="164" t="str">
        <f>IF(Q502="","",IF(Q502=3,1,0))</f>
        <v/>
      </c>
      <c r="F502" s="164" t="str">
        <f>IF(Q502="","",IF(Q502&lt;3,1,0))</f>
        <v/>
      </c>
      <c r="G502" s="192"/>
      <c r="H502" s="192" t="str">
        <f>IF(I491="","",IF(I492="",2,3))</f>
        <v/>
      </c>
      <c r="I502" s="192" t="str">
        <f>IF(ISNUMBER(H502),VLOOKUP(H502,H490:I493,2,TRUE),"")</f>
        <v/>
      </c>
      <c r="J502" s="192"/>
      <c r="K502" s="192" t="str">
        <f>VLOOKUP(I502,I490:L493,3,FALSE)</f>
        <v/>
      </c>
      <c r="L502" s="155"/>
      <c r="M502" s="259"/>
      <c r="N502" s="259"/>
      <c r="O502" s="156"/>
      <c r="P502" s="157"/>
      <c r="Q502" s="260" t="str">
        <f>IF(L502="","",IF(AND(L502-L501&gt;1,L502&gt;10),1,0)+IF(AND(M502-M501&gt;1,M502&gt;10),1,0)+IF(AND(N502-N501&gt;1,N502&gt;10),1,0)+IF(AND(O502-O501&gt;1,O502&gt;10),1,0)+IF(AND(P502-P501&gt;1,P502&gt;10),1,0))</f>
        <v/>
      </c>
      <c r="R502" s="203" t="str">
        <f>IF(AND(Q501&lt;&gt;3,Q502&lt;&gt;3),"",IF(Q501=3,IF(VLOOKUP(I501,I490:L493,4,FALSE)&gt;VLOOKUP(I502,I490:L493,4,FALSE),VLOOKUP(R501,Point_dif,2,FALSE),VLOOKUP(R501,Point_dif,3,FALSE)),IF(Q502=3,IF(VLOOKUP(I502,I490:L493,4,FALSE)&gt;VLOOKUP(I501,I490:L493,4,FALSE),VLOOKUP(R501,Point_dif,2,FALSE),VLOOKUP(R501,Point_dif,3,FALSE)))))</f>
        <v/>
      </c>
      <c r="S502" s="256" t="str">
        <f>IF(R502="","",IF(Q502=3,+R502,-R502))</f>
        <v/>
      </c>
      <c r="T502" s="192"/>
      <c r="U502" s="235"/>
      <c r="V502" s="235"/>
      <c r="W502" s="235"/>
      <c r="X502" s="235"/>
      <c r="Y502" s="235"/>
      <c r="Z502" s="235"/>
      <c r="AA502" s="240">
        <v>4</v>
      </c>
      <c r="AB502" s="158" t="str">
        <f>IF(AND(COUNTBLANK(I490:I493)=0,Group_players=4,M490=M491,M491=M493),IF(COUNTIF(W489:W492,W492)=3,AB515,IF(AND(COUNTIF(W489:W492,W492)=1,W489&lt;&gt;W490),IF(M493=2,IF(SMALL(W489:W492,1)=W492,1,IF(SMALL(W489:W492,2)=W492,2,IF(SMALL(W489:W492,3)=W492,3))),IF(M493=1,IF(SMALL(W489:W492,1)=W492,2,IF(SMALL(W489:W492,2)=W492,3,IF(SMALL(W489:W492,3)=W492,4))),"")),IF(COUNTIF(W489:W492,W492)=1,IF(W492&lt;W489,IF(M493=2,1,2),IF(M493=2,3,4)),IF(COUNTIF(W489:W492,W492)=2,IF(W492=W489,IF(W492&lt;W490,IF(M493=2,IF(Q508=3,1,2),IF(M493=1,IF(Q508=3,2,3))),IF(W492&gt;W491,IF(M493=2,IF(Q508=3,2,3),IF(M493=1,IF(Q508=3,3,4))))),IF(W492=W490,IF(W492&lt;W489,IF(M493=2,IF(Q505=3,1,2),IF(M493=1,IF(Q505=3,2,3))),IF(W492&gt;W489,IF(M493=2,IF(Q505=3,2,3),IF(M493=1,IF(Q505=3,3,4))))))),"")))),"")</f>
        <v/>
      </c>
      <c r="AC502" s="192"/>
      <c r="AD502" s="192"/>
      <c r="AE502" s="192"/>
      <c r="AF502" s="203"/>
      <c r="AG502" s="203"/>
      <c r="AH502" s="203"/>
      <c r="AI502" s="203"/>
      <c r="AJ502" s="203"/>
      <c r="AK502" s="203"/>
      <c r="AL502" s="203"/>
      <c r="AM502" s="203"/>
      <c r="AN502" s="192"/>
      <c r="AO502" s="192"/>
      <c r="AP502" s="192"/>
      <c r="AQ502" s="192"/>
      <c r="AR502" s="192"/>
      <c r="AS502" s="192"/>
      <c r="AT502" s="192"/>
      <c r="AU502" s="192"/>
      <c r="AV502" s="192"/>
      <c r="AW502" s="192"/>
      <c r="AX502" s="192"/>
    </row>
    <row r="503" spans="2:50" ht="15" customHeight="1" thickTop="1" thickBot="1" x14ac:dyDescent="0.35">
      <c r="B503" s="192"/>
      <c r="C503" s="192"/>
      <c r="D503" s="192"/>
      <c r="E503" s="164"/>
      <c r="F503" s="164"/>
      <c r="G503" s="192"/>
      <c r="H503" s="192"/>
      <c r="I503" s="249" t="s">
        <v>116</v>
      </c>
      <c r="J503" s="249"/>
      <c r="K503" s="249"/>
      <c r="L503" s="250" t="s">
        <v>115</v>
      </c>
      <c r="M503" s="250" t="s">
        <v>116</v>
      </c>
      <c r="N503" s="250" t="s">
        <v>117</v>
      </c>
      <c r="O503" s="250" t="s">
        <v>118</v>
      </c>
      <c r="P503" s="250" t="s">
        <v>119</v>
      </c>
      <c r="Q503" s="250" t="s">
        <v>120</v>
      </c>
      <c r="R503" s="250"/>
      <c r="S503" s="251"/>
      <c r="T503" s="192"/>
      <c r="U503" s="235"/>
      <c r="V503" s="235"/>
      <c r="W503" s="235"/>
      <c r="X503" s="235"/>
      <c r="Y503" s="235"/>
      <c r="Z503" s="235"/>
      <c r="AA503" s="243">
        <v>2</v>
      </c>
      <c r="AB503" s="151" t="str">
        <f>IF(AND(COUNTBLANK(I490:I493)=0,Group_players=4,M491=M492,M492=M493),IF(COUNTIF(X489:X492,X490)=3,AB516,IF(AND(COUNTIF(X489:X492,X490)=1,X491&lt;&gt;X492),IF(M491=2,IF(SMALL(X489:X492,1)=X490,1,IF(SMALL(X489:X492,2)=X490,2,IF(SMALL(X489:X492,3)=X490,3))),IF(M491=1,IF(SMALL(X489:X492,1)=X490,2,IF(SMALL(X489:X492,2)=X490,3,IF(SMALL(X489:X492,3)=X490,4))),"")),IF(COUNTIF(X489:X492,X490)=1,IF(X490&lt;X492,IF(M491=2,1,2),IF(M491=1,3,3)),IF(COUNTIF(X489:X492,X490)=2,IF(X490=X491,IF(X490&lt;X492,IF(M491=2,IF(Q510=3,1,2),IF(M491=1,IF(Q510=3,2,3))),IF(X490&gt;X492,IF(M491=2,IF(Q510=3,2,3),IF(M491=1,IF(Q510=3,3,4))))),IF(X490=X492,IF(X490&lt;X491,IF(M491=2,IF(Q504=3,1,2),IF(M491=1,IF(Q504=3,2,3))),IF(X490&gt;X491,IF(M491=2,IF(Q504=3,2,3),IF(M491=1,IF(Q504=3,3,4))))))),"")))),"")</f>
        <v/>
      </c>
      <c r="AC503" s="192"/>
      <c r="AD503" s="192"/>
      <c r="AE503" s="192"/>
      <c r="AF503" s="203"/>
      <c r="AG503" s="203"/>
      <c r="AH503" s="203"/>
      <c r="AI503" s="203"/>
      <c r="AJ503" s="203"/>
      <c r="AK503" s="203"/>
      <c r="AL503" s="203"/>
      <c r="AM503" s="203"/>
      <c r="AN503" s="192"/>
      <c r="AO503" s="192"/>
      <c r="AP503" s="192"/>
      <c r="AQ503" s="192"/>
      <c r="AR503" s="192"/>
      <c r="AS503" s="192"/>
      <c r="AT503" s="192"/>
      <c r="AU503" s="192"/>
      <c r="AV503" s="192"/>
      <c r="AW503" s="192"/>
      <c r="AX503" s="192"/>
    </row>
    <row r="504" spans="2:50" ht="15" customHeight="1" thickTop="1" x14ac:dyDescent="0.3">
      <c r="B504" s="192"/>
      <c r="C504" s="192"/>
      <c r="D504" s="192"/>
      <c r="E504" s="164" t="str">
        <f>IF(Q504="","",IF(Q504=3,1,0))</f>
        <v/>
      </c>
      <c r="F504" s="164" t="str">
        <f>IF(Q504="","",IF(Q504&lt;3,1,0))</f>
        <v/>
      </c>
      <c r="G504" s="192"/>
      <c r="H504" s="192" t="str">
        <f>IF(I492="","",2)</f>
        <v/>
      </c>
      <c r="I504" s="192" t="str">
        <f>IF(ISNUMBER(H504),VLOOKUP(H504,H490:I493,2,TRUE),"")</f>
        <v/>
      </c>
      <c r="J504" s="192"/>
      <c r="K504" s="192" t="str">
        <f>VLOOKUP(I504,I490:L493,3,FALSE)</f>
        <v/>
      </c>
      <c r="L504" s="253"/>
      <c r="M504" s="254"/>
      <c r="N504" s="254"/>
      <c r="O504" s="152"/>
      <c r="P504" s="153"/>
      <c r="Q504" s="255" t="str">
        <f>IF(L504="","",IF(AND(L504-L505&gt;1,L504&gt;10),1,0)+IF(AND(M504-M505&gt;1,M504&gt;10),1,0)+IF(AND(N504-N505&gt;1,N504&gt;10),1,0)+IF(AND(O504-O505&gt;1,O504&gt;10),1,0)+IF(AND(P504-P505&gt;1,P504&gt;10),1,0))</f>
        <v/>
      </c>
      <c r="R504" s="203" t="str">
        <f>IF(AND(I504="",I505=""),"",ABS(VLOOKUP(I504,I490:L493,4,FALSE)-VLOOKUP(I505,I490:L493,4,FALSE)))</f>
        <v/>
      </c>
      <c r="S504" s="256" t="str">
        <f>IF(R505="","",IF(Q504=3,+R505,-R505))</f>
        <v/>
      </c>
      <c r="T504" s="192"/>
      <c r="U504" s="235"/>
      <c r="V504" s="235"/>
      <c r="W504" s="235"/>
      <c r="X504" s="235"/>
      <c r="Y504" s="235"/>
      <c r="Z504" s="235"/>
      <c r="AA504" s="246">
        <v>3</v>
      </c>
      <c r="AB504" s="154" t="str">
        <f>IF(AND(COUNTBLANK(I490:I493)=0,Group_players=4,M491=M492,M492=M493),IF(COUNTIF(X489:X492,X491)=3,AB517,IF(AND(COUNTIF(X489:X492,X491)=1,X490&lt;&gt;X492),IF(M492=2,IF(SMALL(X489:X492,1)=X491,1,IF(SMALL(X489:X492,2)=X491,2,IF(SMALL(X489:X492,3)=X491,3))),IF(M492=1,IF(SMALL(X489:X492,1)=X491,2,IF(SMALL(X489:X492,2)=X491,3,IF(SMALL(X489:X492,3)=X491,4))),"")),IF(COUNTIF(X489:X492,X491)=1,IF(X491&lt;X490,IF(M492=2,1,2),IF(M492=2,3,4)),IF(COUNTIF(X489:X492,X491)=2,IF(X491=X490,IF(X491&lt;X492,IF(M492=2,IF(Q511=3,1,2),IF(M492=1,IF(Q511=3,2,3))),IF(X491&gt;X492,IF(M492=2,IF(Q511=3,2,3),IF(M492=1,IF(Q511=3,3,4))))),IF(X491=X492,IF(X491&lt;X490,IF(M492=2,IF(Q516=3,1,2),IF(M492=1,IF(Q516=3,2,3))),IF(X491&gt;X490,IF(M492=2,IF(Q516=3,2,3),IF(M492=1,IF(Q516=3,3,4))))))),"")))),"")</f>
        <v/>
      </c>
      <c r="AC504" s="192"/>
      <c r="AD504" s="192"/>
      <c r="AE504" s="192"/>
      <c r="AF504" s="203"/>
      <c r="AG504" s="203"/>
      <c r="AH504" s="203"/>
      <c r="AI504" s="203"/>
      <c r="AJ504" s="203"/>
      <c r="AK504" s="203"/>
      <c r="AL504" s="203"/>
      <c r="AM504" s="203"/>
      <c r="AN504" s="192"/>
      <c r="AO504" s="192"/>
      <c r="AP504" s="192"/>
      <c r="AQ504" s="192"/>
      <c r="AR504" s="192"/>
      <c r="AS504" s="192"/>
      <c r="AT504" s="192"/>
      <c r="AU504" s="192"/>
      <c r="AV504" s="192"/>
      <c r="AW504" s="192"/>
      <c r="AX504" s="192"/>
    </row>
    <row r="505" spans="2:50" ht="15" customHeight="1" thickBot="1" x14ac:dyDescent="0.35">
      <c r="B505" s="192"/>
      <c r="C505" s="192"/>
      <c r="D505" s="192"/>
      <c r="E505" s="164" t="str">
        <f>IF(Q505="","",IF(Q505=3,1,0))</f>
        <v/>
      </c>
      <c r="F505" s="164" t="str">
        <f>IF(Q505="","",IF(Q505&lt;3,1,0))</f>
        <v/>
      </c>
      <c r="G505" s="192"/>
      <c r="H505" s="192" t="str">
        <f>IF(I492="","",IF(I493="",3,4))</f>
        <v/>
      </c>
      <c r="I505" s="192" t="str">
        <f>IF(ISNUMBER(H505),VLOOKUP(H505,H490:I493,2,TRUE),"")</f>
        <v/>
      </c>
      <c r="J505" s="192"/>
      <c r="K505" s="192" t="str">
        <f>VLOOKUP(I505,I490:L493,3,FALSE)</f>
        <v/>
      </c>
      <c r="L505" s="155"/>
      <c r="M505" s="259"/>
      <c r="N505" s="259"/>
      <c r="O505" s="156"/>
      <c r="P505" s="157"/>
      <c r="Q505" s="260" t="str">
        <f>IF(L505="","",IF(AND(L505-L504&gt;1,L505&gt;10),1,0)+IF(AND(M505-M504&gt;1,M505&gt;10),1,0)+IF(AND(N505-N504&gt;1,N505&gt;10),1,0)+IF(AND(O505-O504&gt;1,O505&gt;10),1,0)+IF(AND(P505-P504&gt;1,P505&gt;10),1,0))</f>
        <v/>
      </c>
      <c r="R505" s="203" t="str">
        <f>IF(AND(Q504&lt;&gt;3,Q505&lt;&gt;3),"",IF(Q504=3,IF(VLOOKUP(I504,I490:L493,4,FALSE)&gt;VLOOKUP(I505,I490:L493,4,FALSE),VLOOKUP(R504,Point_dif,2,FALSE),VLOOKUP(R504,Point_dif,3,FALSE)),IF(Q505=3,IF(VLOOKUP(I505,I490:L493,4,FALSE)&gt;VLOOKUP(I504,I490:L493,4,FALSE),VLOOKUP(R504,Point_dif,2,FALSE),VLOOKUP(R504,Point_dif,3,FALSE)))))</f>
        <v/>
      </c>
      <c r="S505" s="256" t="str">
        <f>IF(R505="","",IF(Q505=3,+R505,-R505))</f>
        <v/>
      </c>
      <c r="T505" s="192"/>
      <c r="U505" s="235"/>
      <c r="V505" s="235"/>
      <c r="W505" s="235"/>
      <c r="X505" s="235"/>
      <c r="Y505" s="235"/>
      <c r="Z505" s="235"/>
      <c r="AA505" s="261">
        <v>4</v>
      </c>
      <c r="AB505" s="158" t="str">
        <f>IF(AND(COUNTBLANK(I490:I493)=0,Group_players=4,M491=M492,M492=M493),IF(COUNTIF(X489:X492,X492)=3,AB518,IF(AND(COUNTIF(X489:X492,X492)=1,X491&lt;&gt;X490),IF(M493=2,IF(SMALL(X489:X492,1)=X492,1,IF(SMALL(X489:X492,2)=X492,2,IF(SMALL(X489:X492,3)=X492,3))),IF(M493=1,IF(SMALL(X489:X492,1)=X492,2,IF(SMALL(X489:X492,2)=X492,3,IF(SMALL(X489:X492,3)=X492,4))),"")),IF(COUNTIF(X489:X492,X492)=1,IF(X492&lt;X490,IF(M493=2,1,2),IF(M493=2,3,4)),IF(COUNTIF(X489:X492,X492)=2,IF(X492=X490,IF(X492&lt;X491,IF(M493=2,IF(Q505=3,1,2),IF(M493=1,IF(Q505=3,2,3))),IF(X492&gt;X491,IF(M493=2,IF(Q505=3,2,3),IF(M493=1,IF(Q505=3,3,4))))),IF(X492=X491,IF(X492&lt;X490,IF(M493=2,IF(Q517=3,1,2),IF(M493=1,IF(Q517=3,2,3))),IF(X492&gt;X490,IF(M493=2,IF(Q517=3,2,3),IF(M493=1,IF(Q517=3,3,4))))))),"")))),"")</f>
        <v/>
      </c>
      <c r="AC505" s="192"/>
      <c r="AD505" s="192"/>
      <c r="AE505" s="192"/>
      <c r="AF505" s="203"/>
      <c r="AG505" s="203"/>
      <c r="AH505" s="203"/>
      <c r="AI505" s="203"/>
      <c r="AJ505" s="203"/>
      <c r="AK505" s="203"/>
      <c r="AL505" s="203"/>
      <c r="AM505" s="203"/>
      <c r="AN505" s="192"/>
      <c r="AO505" s="192"/>
      <c r="AP505" s="192"/>
      <c r="AQ505" s="192"/>
      <c r="AR505" s="192"/>
      <c r="AS505" s="192"/>
      <c r="AT505" s="192"/>
      <c r="AU505" s="192"/>
      <c r="AV505" s="192"/>
      <c r="AW505" s="192"/>
      <c r="AX505" s="192"/>
    </row>
    <row r="506" spans="2:50" ht="15" customHeight="1" thickTop="1" thickBot="1" x14ac:dyDescent="0.35">
      <c r="B506" s="192"/>
      <c r="C506" s="192"/>
      <c r="D506" s="192"/>
      <c r="E506" s="164"/>
      <c r="F506" s="164"/>
      <c r="G506" s="192"/>
      <c r="H506" s="192"/>
      <c r="I506" s="249" t="s">
        <v>117</v>
      </c>
      <c r="J506" s="249"/>
      <c r="K506" s="249"/>
      <c r="L506" s="250" t="s">
        <v>115</v>
      </c>
      <c r="M506" s="250" t="s">
        <v>116</v>
      </c>
      <c r="N506" s="250" t="s">
        <v>117</v>
      </c>
      <c r="O506" s="250" t="s">
        <v>118</v>
      </c>
      <c r="P506" s="250" t="s">
        <v>119</v>
      </c>
      <c r="Q506" s="250" t="s">
        <v>120</v>
      </c>
      <c r="R506" s="250"/>
      <c r="S506" s="251"/>
      <c r="T506" s="263"/>
      <c r="U506" s="264"/>
      <c r="V506" s="242"/>
      <c r="W506" s="242"/>
      <c r="X506" s="264"/>
      <c r="Y506" s="192"/>
      <c r="Z506" s="203"/>
      <c r="AA506" s="126" t="s">
        <v>93</v>
      </c>
      <c r="AB506" s="265" t="s">
        <v>110</v>
      </c>
      <c r="AC506" s="192"/>
      <c r="AD506" s="192"/>
      <c r="AE506" s="192"/>
      <c r="AF506" s="203"/>
      <c r="AG506" s="203"/>
      <c r="AH506" s="203"/>
      <c r="AI506" s="203"/>
      <c r="AJ506" s="203"/>
      <c r="AK506" s="203"/>
      <c r="AL506" s="203"/>
      <c r="AM506" s="203"/>
      <c r="AN506" s="192"/>
      <c r="AO506" s="192"/>
      <c r="AP506" s="192"/>
      <c r="AQ506" s="192"/>
      <c r="AR506" s="192"/>
      <c r="AS506" s="192"/>
      <c r="AT506" s="192"/>
      <c r="AU506" s="192"/>
      <c r="AV506" s="192"/>
      <c r="AW506" s="192"/>
      <c r="AX506" s="192"/>
    </row>
    <row r="507" spans="2:50" ht="15" customHeight="1" thickTop="1" x14ac:dyDescent="0.3">
      <c r="B507" s="192"/>
      <c r="C507" s="192"/>
      <c r="D507" s="192"/>
      <c r="E507" s="164" t="str">
        <f>IF(Q507="","",IF(Q507=3,1,0))</f>
        <v/>
      </c>
      <c r="F507" s="164" t="str">
        <f>IF(Q507="","",IF(Q507&lt;3,1,0))</f>
        <v/>
      </c>
      <c r="G507" s="192"/>
      <c r="H507" s="192" t="str">
        <f>IF(I492&lt;&gt;"",1,"")</f>
        <v/>
      </c>
      <c r="I507" s="192" t="str">
        <f>IF(ISNUMBER(H507),VLOOKUP(H507,H490:I493,2,TRUE),"")</f>
        <v/>
      </c>
      <c r="J507" s="192"/>
      <c r="K507" s="192" t="str">
        <f>VLOOKUP(I507,I490:L493,3,FALSE)</f>
        <v/>
      </c>
      <c r="L507" s="253"/>
      <c r="M507" s="254"/>
      <c r="N507" s="254"/>
      <c r="O507" s="152"/>
      <c r="P507" s="153"/>
      <c r="Q507" s="255" t="str">
        <f>IF(L507="","",IF(AND(L507-L508&gt;1,L507&gt;10),1,0)+IF(AND(M507-M508&gt;1,M507&gt;10),1,0)+IF(AND(N507-N508&gt;1,N507&gt;10),1,0)+IF(AND(O507-O508&gt;1,O507&gt;10),1,0)+IF(AND(P507-P508&gt;1,P507&gt;10),1,0))</f>
        <v/>
      </c>
      <c r="R507" s="203" t="str">
        <f>IF(AND(I507="",I508=""),"",ABS(VLOOKUP(I507,I490:L493,4,FALSE)-VLOOKUP(I508,I490:L493,4,FALSE)))</f>
        <v/>
      </c>
      <c r="S507" s="256" t="str">
        <f>IF(R508="","",IF(Q507=3,+R508,-R508))</f>
        <v/>
      </c>
      <c r="T507" s="192"/>
      <c r="U507" s="235"/>
      <c r="V507" s="235"/>
      <c r="W507" s="235"/>
      <c r="X507" s="235"/>
      <c r="Y507" s="235"/>
      <c r="Z507" s="235"/>
      <c r="AA507" s="243">
        <v>1</v>
      </c>
      <c r="AB507" s="222" t="str">
        <f>IF(AND(COUNTBLANK(I490:I493)=0,Group_players=4,M490=M491,M491=M492),IF(U497="","",IF(COUNTIF(U497:U500,U497)=3,"Tied",IF(AND(COUNTIF(U497:U500,U497)=1,U498&lt;&gt;U499),IF(M490=2,IF(SMALL(U497:U500,1)=U497,1,IF(SMALL(U497:U500,2)=U497,2,IF(SMALL(U497:U500,3)=U497,3))),IF(M490=1,IF(SMALL(U497:U500,1)=U497,2,IF(SMALL(U497:U500,2)=U497,3,IF(SMALL(U497:U500,3)=U497,4))),"")),IF(COUNTIF(U497:U500,U497)=1,IF(U497&lt;U498,IF(M490=2,1,2),IF(M490=2,3,4)),IF(COUNTIF(U497:U500,U497)=2,IF(U497=U498,IF(U497&lt;U499,IF(M490=2,IF(Q513=3,1,2),IF(M490=1,IF(Q513=3,2,3))),IF(U497&gt;U499,IF(M490=2,IF(Q513=3,2,3),IF(M490=1,IF(Q513=3,3,4))))),IF(U497=U499,IF(U497&lt;U498,IF(M490=2,IF(Q501=3,1,2),IF(M490=1,IF(Q501=3,2,3))),IF(U497&gt;U498,IF(M490=2,IF(Q501=3,2,3),IF(M490=1,IF(Q501=3,3,4)))))))))))),"")</f>
        <v/>
      </c>
      <c r="AC507" s="192"/>
      <c r="AD507" s="192"/>
      <c r="AE507" s="192"/>
      <c r="AF507" s="203"/>
      <c r="AG507" s="203"/>
      <c r="AH507" s="203"/>
      <c r="AI507" s="203"/>
      <c r="AJ507" s="203"/>
      <c r="AK507" s="203"/>
      <c r="AL507" s="203"/>
      <c r="AM507" s="203"/>
      <c r="AN507" s="192"/>
      <c r="AO507" s="192"/>
      <c r="AP507" s="192"/>
      <c r="AQ507" s="192"/>
      <c r="AR507" s="192"/>
      <c r="AS507" s="192"/>
      <c r="AT507" s="192"/>
      <c r="AU507" s="192"/>
      <c r="AV507" s="192"/>
      <c r="AW507" s="192"/>
      <c r="AX507" s="192"/>
    </row>
    <row r="508" spans="2:50" ht="15" customHeight="1" thickBot="1" x14ac:dyDescent="0.35">
      <c r="B508" s="192"/>
      <c r="C508" s="192"/>
      <c r="D508" s="192"/>
      <c r="E508" s="164" t="str">
        <f>IF(Q508="","",IF(Q508=3,1,0))</f>
        <v/>
      </c>
      <c r="F508" s="164" t="str">
        <f>IF(Q508="","",IF(Q508&lt;3,1,0))</f>
        <v/>
      </c>
      <c r="G508" s="192"/>
      <c r="H508" s="192" t="str">
        <f>IF(I492="","",IF(I493&lt;&gt;"",4,2))</f>
        <v/>
      </c>
      <c r="I508" s="192" t="str">
        <f>IF(ISNUMBER(H508),VLOOKUP(H508,H490:I493,2,TRUE),"")</f>
        <v/>
      </c>
      <c r="J508" s="192"/>
      <c r="K508" s="192" t="str">
        <f>VLOOKUP(I508,I490:L493,3,FALSE)</f>
        <v/>
      </c>
      <c r="L508" s="155"/>
      <c r="M508" s="259"/>
      <c r="N508" s="259"/>
      <c r="O508" s="156"/>
      <c r="P508" s="157"/>
      <c r="Q508" s="260" t="str">
        <f>IF(L508="","",IF(AND(L508-L507&gt;1,L508&gt;10),1,0)+IF(AND(M508-M507&gt;1,M508&gt;10),1,0)+IF(AND(N508-N507&gt;1,N508&gt;10),1,0)+IF(AND(O508-O507&gt;1,O508&gt;10),1,0)+IF(AND(P508-P507&gt;1,P508&gt;10),1,0))</f>
        <v/>
      </c>
      <c r="R508" s="203" t="str">
        <f>IF(AND(Q507&lt;&gt;3,Q508&lt;&gt;3),"",IF(Q507=3,IF(VLOOKUP(I507,I490:L493,4,FALSE)&gt;VLOOKUP(I508,I490:L493,4,FALSE),VLOOKUP(R507,Point_dif,2,FALSE),VLOOKUP(R507,Point_dif,3,FALSE)),IF(Q508=3,IF(VLOOKUP(I508,I490:L493,4,FALSE)&gt;VLOOKUP(I507,I490:L493,4,FALSE),VLOOKUP(R507,Point_dif,2,FALSE),VLOOKUP(R507,Point_dif,3,FALSE)))))</f>
        <v/>
      </c>
      <c r="S508" s="256" t="str">
        <f>IF(R508="","",IF(Q508=3,+R508,-R508))</f>
        <v/>
      </c>
      <c r="T508" s="192"/>
      <c r="U508" s="235"/>
      <c r="V508" s="235"/>
      <c r="W508" s="235"/>
      <c r="X508" s="235"/>
      <c r="Y508" s="235"/>
      <c r="Z508" s="235"/>
      <c r="AA508" s="246">
        <v>2</v>
      </c>
      <c r="AB508" s="222" t="str">
        <f>IF(AND(COUNTBLANK(I490:I493)=0,Group_players=4,M490=M491,M491=M492),IF(U498="","",IF(COUNTIF(U497:U500,U498)=3,"Tied",IF(AND(COUNTIF(U497:U500,U498)=1,U497&lt;&gt;U499),IF(M491=2,IF(SMALL(U497:U500,1)=U498,1,IF(SMALL(U497:U500,2)=U498,2,IF(SMALL(U497:U500,3)=U498,3))),IF(M491=1,IF(SMALL(U497:U500,1)=U498,2,IF(SMALL(U497:U500,2)=U498,3,IF(SMALL(U497:U500,3)=U498,4))),"")),IF(COUNTIF(U497:U500,U498)=1,IF(U498&lt;U497,IF(M491=2,1,2),IF(M491=2,3,4)),IF(COUNTIF(U497:U500,U498)=2,IF(U498=U497,IF(U498&lt;U499,IF(M491=2,IF(Q514=3,1,2),IF(M491=1,IF(Q514=3,2,3))),IF(U498&gt;U499,IF(M491=2,IF(Q514=3,2,3),IF(M491=1,IF(Q514=3,3,4))))),IF(U498=U499,IF(U498&lt;U497,IF(M491=2,IF(Q510=3,1,2),IF(M491=1,IF(Q510=3,2,3))),IF(U498&gt;U497,IF(M491=2,IF(Q510=3,2,3),IF(M491=1,IF(Q510=3,3,4)))))))))))),"")</f>
        <v/>
      </c>
      <c r="AC508" s="192"/>
      <c r="AD508" s="192"/>
      <c r="AE508" s="192"/>
      <c r="AF508" s="203"/>
      <c r="AG508" s="203"/>
      <c r="AH508" s="203"/>
      <c r="AI508" s="203"/>
      <c r="AJ508" s="203"/>
      <c r="AK508" s="203"/>
      <c r="AL508" s="203"/>
      <c r="AM508" s="203"/>
      <c r="AN508" s="192"/>
      <c r="AO508" s="192"/>
      <c r="AP508" s="192"/>
      <c r="AQ508" s="192"/>
      <c r="AR508" s="192"/>
      <c r="AS508" s="192"/>
      <c r="AT508" s="192"/>
      <c r="AU508" s="192"/>
      <c r="AV508" s="192"/>
      <c r="AW508" s="192"/>
      <c r="AX508" s="192"/>
    </row>
    <row r="509" spans="2:50" ht="15" customHeight="1" thickTop="1" thickBot="1" x14ac:dyDescent="0.35">
      <c r="B509" s="192"/>
      <c r="C509" s="192"/>
      <c r="D509" s="192"/>
      <c r="E509" s="164"/>
      <c r="F509" s="164"/>
      <c r="G509" s="192"/>
      <c r="H509" s="192"/>
      <c r="I509" s="249" t="s">
        <v>118</v>
      </c>
      <c r="J509" s="249"/>
      <c r="K509" s="249"/>
      <c r="L509" s="250" t="s">
        <v>115</v>
      </c>
      <c r="M509" s="250" t="s">
        <v>116</v>
      </c>
      <c r="N509" s="250" t="s">
        <v>117</v>
      </c>
      <c r="O509" s="250" t="s">
        <v>118</v>
      </c>
      <c r="P509" s="250" t="s">
        <v>119</v>
      </c>
      <c r="Q509" s="250" t="s">
        <v>120</v>
      </c>
      <c r="R509" s="250"/>
      <c r="S509" s="251"/>
      <c r="T509" s="192"/>
      <c r="U509" s="235"/>
      <c r="V509" s="235"/>
      <c r="W509" s="235"/>
      <c r="X509" s="235"/>
      <c r="Y509" s="235"/>
      <c r="Z509" s="235"/>
      <c r="AA509" s="240">
        <v>3</v>
      </c>
      <c r="AB509" s="241" t="str">
        <f>IF(AND(COUNTBLANK(I490:I493)=0,Group_players=4,M490=M491,M491=M492),IF(U499="","",IF(COUNTIF(U497:U500,U499)=3,"Tied",IF(AND(COUNTIF(U497:U500,U499)=1,U497&lt;&gt;U498),IF(M490=2,IF(SMALL(U497:U500,1)=U499,1,IF(SMALL(U497:U500,2)=U499,2,IF(SMALL(U497:U500,3)=U499,3))),IF(M492=1,IF(SMALL(U497:U500,1)=U499,2,IF(SMALL(U497:U500,2)=U499,3,IF(SMALL(U497:U500,3)=U499,4))),"")),IF(COUNTIF(U497:U500,U499)=1,IF(U499&lt;U498,IF(M492=2,1,2),IF(M492=2,3,4)),IF(COUNTIF(U497:U500,U499)=2,IF(U499=U498,IF(U499&lt;U497,IF(M492=2,IF(Q511=3,1,2),IF(M492=1,IF(Q511=3,2,3))),IF(U499&gt;U497,IF(M492=2,IF(Q511=3,2,3),IF(M492=1,IF(Q511=3,3,4))))),IF(U499=U497,IF(U499&lt;U498,IF(M492=2,IF(Q502=3,1,2),IF(M492=1,IF(Q502=3,2,3))),IF(U499&gt;U498,IF(M492=2,IF(Q502=3,2,3),IF(M492=1,IF(Q502=3,3,4)))))))))))),"")</f>
        <v/>
      </c>
      <c r="AC509" s="192"/>
      <c r="AD509" s="192"/>
      <c r="AE509" s="192"/>
      <c r="AF509" s="203"/>
      <c r="AG509" s="203"/>
      <c r="AH509" s="203"/>
      <c r="AI509" s="203"/>
      <c r="AJ509" s="203"/>
      <c r="AK509" s="203"/>
      <c r="AL509" s="203"/>
      <c r="AM509" s="203"/>
      <c r="AN509" s="192"/>
      <c r="AO509" s="192"/>
      <c r="AP509" s="192"/>
      <c r="AQ509" s="192"/>
      <c r="AR509" s="192"/>
      <c r="AS509" s="192"/>
      <c r="AT509" s="192"/>
      <c r="AU509" s="192"/>
      <c r="AV509" s="192"/>
      <c r="AW509" s="192"/>
      <c r="AX509" s="192"/>
    </row>
    <row r="510" spans="2:50" ht="15" customHeight="1" thickTop="1" x14ac:dyDescent="0.3">
      <c r="B510" s="192"/>
      <c r="C510" s="192"/>
      <c r="D510" s="192"/>
      <c r="E510" s="164" t="str">
        <f>IF(Q510="","",IF(Q510=3,1,0))</f>
        <v/>
      </c>
      <c r="F510" s="164" t="str">
        <f>IF(Q510="","",IF(Q510&lt;3,1,0))</f>
        <v/>
      </c>
      <c r="G510" s="192"/>
      <c r="H510" s="192" t="str">
        <f>IF(I493&lt;&gt;"",2,"")</f>
        <v/>
      </c>
      <c r="I510" s="192" t="str">
        <f>IF(ISNUMBER(H510),VLOOKUP(H510,H490:I493,2,TRUE),"")</f>
        <v/>
      </c>
      <c r="J510" s="192"/>
      <c r="K510" s="192" t="str">
        <f>VLOOKUP(I510,I490:L493,3,FALSE)</f>
        <v/>
      </c>
      <c r="L510" s="253"/>
      <c r="M510" s="254"/>
      <c r="N510" s="254"/>
      <c r="O510" s="152"/>
      <c r="P510" s="153"/>
      <c r="Q510" s="255" t="str">
        <f>IF(L510="","",IF(AND(L510-L511&gt;1,L510&gt;10),1,0)+IF(AND(M510-M511&gt;1,M510&gt;10),1,0)+IF(AND(N510-N511&gt;1,N510&gt;10),1,0)+IF(AND(O510-O511&gt;1,O510&gt;10),1,0)+IF(AND(P510-P511&gt;1,P510&gt;10),1,0))</f>
        <v/>
      </c>
      <c r="R510" s="203" t="str">
        <f>IF(AND(I510="",I511=""),"",ABS(VLOOKUP(I510,I490:L493,4,FALSE)-VLOOKUP(I511,I490:L493,4,FALSE)))</f>
        <v/>
      </c>
      <c r="S510" s="256" t="str">
        <f>IF(R511="","",IF(Q510=3,+R511,-R511))</f>
        <v/>
      </c>
      <c r="T510" s="192"/>
      <c r="U510" s="235"/>
      <c r="V510" s="235"/>
      <c r="W510" s="235"/>
      <c r="X510" s="235"/>
      <c r="Y510" s="235"/>
      <c r="Z510" s="235"/>
      <c r="AA510" s="243">
        <v>1</v>
      </c>
      <c r="AB510" s="222" t="str">
        <f>IF(AND(COUNTBLANK(I490:I493)=0,Group_players=4,M490=M492,M492=M493),IF(V497="","",IF(COUNTIF(V497:V500,V497)=3,"Tied",IF(AND(COUNTIF(V497:V500,V497)=1,V499&lt;&gt;U500),IF(M490=2,IF(SMALL(V497:V500,1)=V497,1,IF(SMALL(V497:V500,2)=V497,2,IF(SMALL(V497:V500,3)=V497,3))),IF(M490=1,IF(SMALL(V497:V500,1)=V497,2,IF(SMALL(V497:V500,2)=V497,3,IF(SMALL(V497:V500,3)=V497,4))),"")),IF(COUNTIF(V497:V500,V497)=1,IF(V497&lt;V499,IF(M490=2,1,2),IF(M490=2,3,4)),IF(COUNTIF(V497:V500,V497)=2,IF(V497=V499,IF(V497&lt;V500,IF(M490=2,IF(Q501=3,1,2),IF(M490=1,IF(Q501=3,2,3))),IF(V497&gt;V500,IF(M490=2,IF(Q501=3,2,3),IF(M490=1,IF(Q501=3,3,4))))),IF(V497=V500,IF(V497&lt;V499,IF(M490=2,IF(Q507=3,1,2),IF(M490=1,IF(Q507=3,2,3))),IF(V497&gt;V498,IF(M490=2,IF(Q507=3,2,3),IF(M490=1,IF(Q507=3,3,4)))))))))))),"")</f>
        <v/>
      </c>
      <c r="AC510" s="192"/>
      <c r="AD510" s="192"/>
      <c r="AE510" s="192"/>
      <c r="AF510" s="203"/>
      <c r="AG510" s="203"/>
      <c r="AH510" s="203"/>
      <c r="AI510" s="203"/>
      <c r="AJ510" s="203"/>
      <c r="AK510" s="203"/>
      <c r="AL510" s="203"/>
      <c r="AM510" s="203"/>
      <c r="AN510" s="192"/>
      <c r="AO510" s="192"/>
      <c r="AP510" s="192"/>
      <c r="AQ510" s="192"/>
      <c r="AR510" s="192"/>
      <c r="AS510" s="192"/>
      <c r="AT510" s="192"/>
      <c r="AU510" s="192"/>
      <c r="AV510" s="192"/>
      <c r="AW510" s="192"/>
      <c r="AX510" s="192"/>
    </row>
    <row r="511" spans="2:50" ht="15" customHeight="1" thickBot="1" x14ac:dyDescent="0.35">
      <c r="B511" s="192"/>
      <c r="C511" s="192"/>
      <c r="D511" s="192"/>
      <c r="E511" s="164" t="str">
        <f>IF(Q511="","",IF(Q511=3,1,0))</f>
        <v/>
      </c>
      <c r="F511" s="164" t="str">
        <f>IF(Q511="","",IF(Q511&lt;3,1,0))</f>
        <v/>
      </c>
      <c r="G511" s="192"/>
      <c r="H511" s="192" t="str">
        <f>IF(I493&lt;&gt;"",3,"")</f>
        <v/>
      </c>
      <c r="I511" s="192" t="str">
        <f>IF(ISNUMBER(H511),VLOOKUP(H511,H490:I493,2,TRUE),"")</f>
        <v/>
      </c>
      <c r="J511" s="192"/>
      <c r="K511" s="192" t="str">
        <f>VLOOKUP(I511,I490:L493,3,FALSE)</f>
        <v/>
      </c>
      <c r="L511" s="155"/>
      <c r="M511" s="259"/>
      <c r="N511" s="259"/>
      <c r="O511" s="156"/>
      <c r="P511" s="157"/>
      <c r="Q511" s="260" t="str">
        <f>IF(L511="","",IF(AND(L511-L510&gt;1,L511&gt;10),1,0)+IF(AND(M511-M510&gt;1,M511&gt;10),1,0)+IF(AND(N511-N510&gt;1,N511&gt;10),1,0)+IF(AND(O511-O510&gt;1,O511&gt;10),1,0)+IF(AND(P511-P510&gt;1,P511&gt;10),1,0))</f>
        <v/>
      </c>
      <c r="R511" s="203" t="str">
        <f>IF(AND(Q510&lt;&gt;3,Q511&lt;&gt;3),"",IF(Q510=3,IF(VLOOKUP(I510,I490:L493,4,FALSE)&gt;VLOOKUP(I511,I490:L493,4,FALSE),VLOOKUP(R510,Point_dif,2,FALSE),VLOOKUP(R510,Point_dif,3,FALSE)),IF(Q511=3,IF(VLOOKUP(I511,I490:L493,4,FALSE)&gt;VLOOKUP(I510,I490:L493,4,FALSE),VLOOKUP(R510,Point_dif,2,FALSE),VLOOKUP(R510,Point_dif,3,FALSE)))))</f>
        <v/>
      </c>
      <c r="S511" s="256" t="str">
        <f>IF(R511="","",IF(Q511=3,+R511,-R511))</f>
        <v/>
      </c>
      <c r="T511" s="192"/>
      <c r="U511" s="159"/>
      <c r="V511" s="266"/>
      <c r="W511" s="266"/>
      <c r="X511" s="266"/>
      <c r="Y511" s="192"/>
      <c r="Z511" s="203"/>
      <c r="AA511" s="246">
        <v>3</v>
      </c>
      <c r="AB511" s="222" t="str">
        <f>IF(AND(COUNTBLANK(I490:I493)=0,Group_players=4,M490=M492,M492=M493),IF(V499="","",IF(COUNTIF(V497:V500,V499)=3,"Tied",IF(AND(COUNTIF(V497:V500,V499)=1,V497&lt;&gt;V500),IF(M492=2,IF(SMALL(V497:V500,1)=V499,1,IF(SMALL(V497:V500,2)=V499,2,IF(SMALL(V497:V500,3)=V499,3))),IF(M492=1,IF(SMALL(V497:V500,1)=V499,2,IF(SMALL(V497:V500,2)=V499,3,IF(SMALL(V497:V500,3)=V499,4))),"")),IF(COUNTIF(V497:V500,V499)=1,IF(V499&lt;V497,IF(M492=2,1,2),IF(M492=2,3,4)),IF(COUNTIF(V497:V500,V499)=2,IF(V499=V497,IF(V499&lt;V500,IF(M492=2,IF(Q502=3,1,2),IF(M492=1,IF(Q502=3,2,3))),IF(V499&gt;V500,IF(M492=2,IF(Q502=3,2,3),IF(M492=1,IF(Q502=3,3,4))))),IF(V499=V500,IF(V499&lt;V497,IF(M492=2,IF(Q516=3,1,2),IF(M492=1,IF(Q516=3,2,3))),IF(V499&gt;V497,IF(M492=2,IF(Q516=3,2,3),IF(M492=1,IF(Q516=3,3,4)))))))))))),"")</f>
        <v/>
      </c>
      <c r="AC511" s="192"/>
      <c r="AD511" s="192"/>
      <c r="AE511" s="192"/>
      <c r="AF511" s="203"/>
      <c r="AG511" s="203"/>
      <c r="AH511" s="203"/>
      <c r="AI511" s="203"/>
      <c r="AJ511" s="203"/>
      <c r="AK511" s="203"/>
      <c r="AL511" s="203"/>
      <c r="AM511" s="203"/>
      <c r="AN511" s="192"/>
      <c r="AO511" s="192"/>
      <c r="AP511" s="192"/>
      <c r="AQ511" s="192"/>
      <c r="AR511" s="192"/>
      <c r="AS511" s="192"/>
      <c r="AT511" s="192"/>
      <c r="AU511" s="192"/>
      <c r="AV511" s="192"/>
      <c r="AW511" s="192"/>
      <c r="AX511" s="192"/>
    </row>
    <row r="512" spans="2:50" ht="15" customHeight="1" thickTop="1" thickBot="1" x14ac:dyDescent="0.35">
      <c r="B512" s="192"/>
      <c r="C512" s="192"/>
      <c r="D512" s="192"/>
      <c r="E512" s="164"/>
      <c r="F512" s="164"/>
      <c r="G512" s="192"/>
      <c r="H512" s="192"/>
      <c r="I512" s="249" t="s">
        <v>119</v>
      </c>
      <c r="J512" s="249"/>
      <c r="K512" s="249"/>
      <c r="L512" s="250" t="s">
        <v>115</v>
      </c>
      <c r="M512" s="250" t="s">
        <v>116</v>
      </c>
      <c r="N512" s="250" t="s">
        <v>117</v>
      </c>
      <c r="O512" s="250" t="s">
        <v>118</v>
      </c>
      <c r="P512" s="250" t="s">
        <v>119</v>
      </c>
      <c r="Q512" s="250" t="s">
        <v>120</v>
      </c>
      <c r="R512" s="250"/>
      <c r="S512" s="251"/>
      <c r="T512" s="247"/>
      <c r="U512" s="235"/>
      <c r="V512" s="235"/>
      <c r="W512" s="235"/>
      <c r="X512" s="235"/>
      <c r="Y512" s="235"/>
      <c r="Z512" s="235"/>
      <c r="AA512" s="240">
        <v>4</v>
      </c>
      <c r="AB512" s="241" t="str">
        <f>IF(AND(COUNTBLANK(I490:I493)=0,Group_players=4,M490=M492,M492=M493),IF(V500="","",IF(COUNTIF(V497:V500,V500)=3,"Tied",IF(AND(COUNTIF(V497:V500,V500)=1,V499&lt;&gt;V497),IF(M493=2,IF(SMALL(V497:V500,1)=V500,1,IF(SMALL(V497:V500,2)=V500,2,IF(SMALL(V497:V500,3)=V500,3))),IF(M493=1,IF(SMALL(V497:V500,1)=V500,2,IF(SMALL(V497:V500,2)=V500,3,IF(SMALL(V497:V500,3)=V500,4))),"")),IF(COUNTIF(V497:V500,V500)=1,IF(V500&lt;V497,IF(M493=2,1,2),IF(M493=2,3,4)),IF(COUNTIF(V497:V500,V500)=2,IF(V500=V497,IF(V500&lt;V499,IF(M493=2,IF(Q508=3,1,2),IF(M493=1,IF(Q508=3,2,3))),IF(V500&gt;V499,IF(M493=2,IF(Q508=3,2,3),IF(M493=1,IF(Q508=3,3,4))))),IF(V500=V499,IF(V500&lt;V497,IF(M493=2,IF(Q517=3,1,2),IF(M493=1,IF(Q517=3,2,3))),IF(V500&gt;V497,IF(M493=2,IF(Q517=3,2,3),IF(M493=1,IF(Q517=3,3,4)))))))))))),"")</f>
        <v/>
      </c>
      <c r="AC512" s="192"/>
      <c r="AD512" s="192"/>
      <c r="AE512" s="192"/>
      <c r="AF512" s="203"/>
      <c r="AG512" s="203"/>
      <c r="AH512" s="203"/>
      <c r="AI512" s="203"/>
      <c r="AJ512" s="203"/>
      <c r="AK512" s="203"/>
      <c r="AL512" s="203"/>
      <c r="AM512" s="203"/>
      <c r="AN512" s="192"/>
      <c r="AO512" s="192"/>
      <c r="AP512" s="192"/>
      <c r="AQ512" s="192"/>
      <c r="AR512" s="192"/>
      <c r="AS512" s="192"/>
      <c r="AT512" s="192"/>
      <c r="AU512" s="192"/>
      <c r="AV512" s="192"/>
      <c r="AW512" s="192"/>
      <c r="AX512" s="192"/>
    </row>
    <row r="513" spans="2:50" ht="15" customHeight="1" thickTop="1" x14ac:dyDescent="0.3">
      <c r="B513" s="192"/>
      <c r="C513" s="192"/>
      <c r="D513" s="192"/>
      <c r="E513" s="164" t="str">
        <f>IF(Q513="","",IF(Q513=3,1,0))</f>
        <v/>
      </c>
      <c r="F513" s="164" t="str">
        <f>IF(Q513="","",IF(Q513&lt;3,1,0))</f>
        <v/>
      </c>
      <c r="G513" s="192"/>
      <c r="H513" s="192" t="str">
        <f>IF(I493&lt;&gt;"",1,"")</f>
        <v/>
      </c>
      <c r="I513" s="192" t="str">
        <f>IF(ISNUMBER(H513),VLOOKUP(H513,H490:I493,2,TRUE),"")</f>
        <v/>
      </c>
      <c r="J513" s="192"/>
      <c r="K513" s="192" t="str">
        <f>VLOOKUP(I513,I490:L493,3,FALSE)</f>
        <v/>
      </c>
      <c r="L513" s="253"/>
      <c r="M513" s="254"/>
      <c r="N513" s="254"/>
      <c r="O513" s="152"/>
      <c r="P513" s="153"/>
      <c r="Q513" s="255" t="str">
        <f>IF(L513="","",IF(AND(L513-L514&gt;1,L513&gt;10),1,0)+IF(AND(M513-M514&gt;1,M513&gt;10),1,0)+IF(AND(N513-N514&gt;1,N513&gt;10),1,0)+IF(AND(O513-O514&gt;1,O513&gt;10),1,0)+IF(AND(P513-P514&gt;1,P513&gt;10),1,0))</f>
        <v/>
      </c>
      <c r="R513" s="203" t="str">
        <f>IF(AND(I513="",I514=""),"",ABS(VLOOKUP(I513,I490:L493,4,FALSE)-VLOOKUP(I514,I490:L493,4,FALSE)))</f>
        <v/>
      </c>
      <c r="S513" s="256" t="str">
        <f>IF(R514="","",IF(Q513=3,+R514,-R514))</f>
        <v/>
      </c>
      <c r="T513" s="247"/>
      <c r="U513" s="235"/>
      <c r="V513" s="235"/>
      <c r="W513" s="235"/>
      <c r="X513" s="235"/>
      <c r="Y513" s="235"/>
      <c r="Z513" s="235"/>
      <c r="AA513" s="243">
        <v>1</v>
      </c>
      <c r="AB513" s="222" t="str">
        <f>IF(AND(COUNTBLANK(I490:I493)=0,Group_players=4,M490=M491,M491=M493),IF(W497="","",IF(COUNTIF(W497:W500,W497)=3,"Tied",IF(AND(COUNTIF(W497:W500,W497)=1,W498&lt;&gt;W499),IF(M490=2,IF(SMALL(W497:W500,1)=W497,1,IF(SMALL(W497:W500,2)=W497,2,IF(SMALL(W497:W500,3)=W497,3))),IF(M490=1,IF(SMALL(W497:W500,1)=W497,2,IF(SMALL(W497:W500,2)=W497,3,IF(SMALL(W497:W500,3)=W497,4))),"")),IF(COUNTIF(W497:W500,W497)=1,IF(W497&lt;W498,IF(M490=2,1,2),IF(M490=2,3,4)),IF(COUNTIF(W497:W500,W497)=2,IF(W497=W498,IF(W497&lt;W500,IF(M490=2,IF(Q513=3,1,2),IF(M490=1,IF(Q513=3,2,3))),IF(W497&gt;W500,IF(M490=2,IF(Q513=3,2,3),IF(M490=1,IF(Q513=3,3,4))))),IF(W497=W500,IF(W497&lt;W498,IF(M490=2,IF(Q507=3,1,2),IF(M490=1,IF(Q507=3,2,3))),IF(W497&gt;W498,IF(M490=2,IF(Q507=3,2,3),IF(M490=1,IF(Q507=3,3,4)))))))))))),"")</f>
        <v/>
      </c>
      <c r="AC513" s="192"/>
      <c r="AD513" s="192"/>
      <c r="AE513" s="192"/>
      <c r="AF513" s="203"/>
      <c r="AG513" s="203"/>
      <c r="AH513" s="203"/>
      <c r="AI513" s="203"/>
      <c r="AJ513" s="203"/>
      <c r="AK513" s="203"/>
      <c r="AL513" s="203"/>
      <c r="AM513" s="203"/>
      <c r="AN513" s="192"/>
      <c r="AO513" s="192"/>
      <c r="AP513" s="192"/>
      <c r="AQ513" s="192"/>
      <c r="AR513" s="192"/>
      <c r="AS513" s="192"/>
      <c r="AT513" s="192"/>
      <c r="AU513" s="192"/>
      <c r="AV513" s="192"/>
      <c r="AW513" s="192"/>
      <c r="AX513" s="192"/>
    </row>
    <row r="514" spans="2:50" ht="15" customHeight="1" thickBot="1" x14ac:dyDescent="0.35">
      <c r="B514" s="192"/>
      <c r="C514" s="192"/>
      <c r="D514" s="192"/>
      <c r="E514" s="164" t="str">
        <f>IF(Q514="","",IF(Q514=3,1,0))</f>
        <v/>
      </c>
      <c r="F514" s="164" t="str">
        <f>IF(Q514="","",IF(Q514&lt;3,1,0))</f>
        <v/>
      </c>
      <c r="G514" s="192"/>
      <c r="H514" s="192" t="str">
        <f>IF(I493&lt;&gt;"",2,"")</f>
        <v/>
      </c>
      <c r="I514" s="192" t="str">
        <f>IF(ISNUMBER(H514),VLOOKUP(H514,H490:I493,2,TRUE),"")</f>
        <v/>
      </c>
      <c r="J514" s="192"/>
      <c r="K514" s="192" t="str">
        <f>VLOOKUP(I514,I490:L493,3,FALSE)</f>
        <v/>
      </c>
      <c r="L514" s="155"/>
      <c r="M514" s="259"/>
      <c r="N514" s="259"/>
      <c r="O514" s="156"/>
      <c r="P514" s="157"/>
      <c r="Q514" s="260" t="str">
        <f>IF(L514="","",IF(AND(L514-L513&gt;1,L514&gt;10),1,0)+IF(AND(M514-M513&gt;1,M514&gt;10),1,0)+IF(AND(N514-N513&gt;1,N514&gt;10),1,0)+IF(AND(O514-O513&gt;1,O514&gt;10),1,0)+IF(AND(P514-P513&gt;1,P514&gt;10),1,0))</f>
        <v/>
      </c>
      <c r="R514" s="203" t="str">
        <f>IF(AND(Q513&lt;&gt;3,Q514&lt;&gt;3),"",IF(Q513=3,IF(VLOOKUP(I513,I490:L493,4,FALSE)&gt;VLOOKUP(I514,I490:L493,4,FALSE),VLOOKUP(R513,Point_dif,2,FALSE),VLOOKUP(R513,Point_dif,3,FALSE)),IF(Q514=3,IF(VLOOKUP(I514,I490:L493,4,FALSE)&gt;VLOOKUP(I514,I490:L493,4,FALSE),VLOOKUP(R513,Point_dif,2,FALSE),VLOOKUP(R513,Point_dif,3,FALSE)))))</f>
        <v/>
      </c>
      <c r="S514" s="256" t="str">
        <f>IF(R514="","",IF(Q514=3,+R514,-R514))</f>
        <v/>
      </c>
      <c r="T514" s="247"/>
      <c r="U514" s="235"/>
      <c r="V514" s="235"/>
      <c r="W514" s="235"/>
      <c r="X514" s="235"/>
      <c r="Y514" s="235"/>
      <c r="Z514" s="235"/>
      <c r="AA514" s="246">
        <v>2</v>
      </c>
      <c r="AB514" s="222" t="str">
        <f>IF(AND(COUNTBLANK(I490:I493)=0,Group_players=4,M490=M491,M491=M493),IF(W498="","",IF(COUNTIF(W497:W500,W498)=3,"Tied",IF(AND(COUNTIF(W497:W500,W498)=1,W497&lt;&gt;W499),IF(M491=2,IF(SMALL(W497:W500,1)=W498,1,IF(SMALL(W497:W500,2)=W498,2,IF(SMALL(W497:W500,3)=W498,3))),IF(M491=1,IF(SMALL(W497:W500,1)=W498,2,IF(SMALL(W497:W500,2)=W498,3,IF(SMALL(W497:W500,3)=W498,4))),"")),IF(COUNTIF(W497:W500,W498)=1,IF(W498&lt;W497,IF(M491=2,1,2),IF(M491=2,3,4)),IF(COUNTIF(W497:W500,W498)=2,IF(W498=W497,IF(W498&lt;W500,IF(M491=2,IF(Q514=3,1,2),IF(M491=1,IF(Q514=3,2,3))),IF(W498&gt;W500,IF(M491=2,IF(Q514=3,2,3),IF(M491=1,IF(Q514=3,3,4))))),IF(W498=W500,IF(W498&lt;W497,IF(M491=2,IF(Q504=3,1,2),IF(M491=1,IF(Q504=3,2,3))),IF(W498&gt;W497,IF(M491=2,IF(Q504=3,2,3),IF(M491=1,IF(Q504=3,3,4)))))))))))),"")</f>
        <v/>
      </c>
      <c r="AC514" s="192"/>
      <c r="AD514" s="192"/>
      <c r="AE514" s="192"/>
      <c r="AF514" s="203"/>
      <c r="AG514" s="203"/>
      <c r="AH514" s="203"/>
      <c r="AI514" s="203"/>
      <c r="AJ514" s="203"/>
      <c r="AK514" s="203"/>
      <c r="AL514" s="203"/>
      <c r="AM514" s="203"/>
      <c r="AN514" s="192"/>
      <c r="AO514" s="192"/>
      <c r="AP514" s="192"/>
      <c r="AQ514" s="192"/>
      <c r="AR514" s="192"/>
      <c r="AS514" s="192"/>
      <c r="AT514" s="192"/>
      <c r="AU514" s="192"/>
      <c r="AV514" s="192"/>
      <c r="AW514" s="192"/>
      <c r="AX514" s="192"/>
    </row>
    <row r="515" spans="2:50" ht="15" customHeight="1" thickTop="1" thickBot="1" x14ac:dyDescent="0.35">
      <c r="B515" s="192"/>
      <c r="C515" s="192"/>
      <c r="D515" s="192"/>
      <c r="E515" s="164"/>
      <c r="F515" s="164"/>
      <c r="G515" s="192"/>
      <c r="H515" s="192"/>
      <c r="I515" s="249" t="s">
        <v>121</v>
      </c>
      <c r="J515" s="249"/>
      <c r="K515" s="249"/>
      <c r="L515" s="250" t="s">
        <v>115</v>
      </c>
      <c r="M515" s="250" t="s">
        <v>116</v>
      </c>
      <c r="N515" s="250" t="s">
        <v>117</v>
      </c>
      <c r="O515" s="250" t="s">
        <v>118</v>
      </c>
      <c r="P515" s="250" t="s">
        <v>119</v>
      </c>
      <c r="Q515" s="250" t="s">
        <v>120</v>
      </c>
      <c r="R515" s="250"/>
      <c r="S515" s="251"/>
      <c r="T515" s="247"/>
      <c r="U515" s="235"/>
      <c r="V515" s="235"/>
      <c r="W515" s="235"/>
      <c r="X515" s="235"/>
      <c r="Y515" s="235"/>
      <c r="Z515" s="235"/>
      <c r="AA515" s="240">
        <v>4</v>
      </c>
      <c r="AB515" s="241" t="str">
        <f>IF(AND(COUNTBLANK(I490:I493)=0,Group_players=4,M490=M491,M491=M493),IF(W500="","",IF(COUNTIF(W497:W500,W500)=3,"Tied",IF(AND(COUNTIF(W497:W500,W500)=1,W497&lt;&gt;W498),IF(M493=2,IF(SMALL(W497:W500,1)=W500,1,IF(SMALL(W497:W500,2)=W500,2,IF(SMALL(W497:W500,3)=W500,3))),IF(M493=1,IF(SMALL(W497:W500,1)=W500,2,IF(SMALL(W497:W500,2)=W500,3,IF(SMALL(W497:W500,3)=W500,4))),"")),IF(COUNTIF(W497:W500,W500)=1,IF(W500&lt;W497,IF(M493=2,1,2),IF(M493=2,3,4)),IF(COUNTIF(W497:W500,W500)=2,IF(W500=W497,IF(W500&lt;W498,IF(M493=2,IF(Q508=3,1,2),IF(M493=1,IF(Q508=3,2,3))),IF(W500&gt;W499,IF(M493=2,IF(Q508=3,2,3),IF(M493=1,IF(Q508=3,3,4))))),IF(W500=W498,IF(W500&lt;W497,IF(M493=2,IF(Q505=3,1,2),IF(M493=1,IF(Q505=3,2,3))),IF(W500&gt;W497,IF(M493=2,IF(Q505=3,2,3),IF(M493=1,IF(Q505=3,3,4)))))))))))),"")</f>
        <v/>
      </c>
      <c r="AC515" s="192"/>
      <c r="AD515" s="192"/>
      <c r="AE515" s="192"/>
      <c r="AF515" s="203"/>
      <c r="AG515" s="203"/>
      <c r="AH515" s="203"/>
      <c r="AI515" s="203"/>
      <c r="AJ515" s="203"/>
      <c r="AK515" s="203"/>
      <c r="AL515" s="203"/>
      <c r="AM515" s="203"/>
      <c r="AN515" s="192"/>
      <c r="AO515" s="192"/>
      <c r="AP515" s="192"/>
      <c r="AQ515" s="192"/>
      <c r="AR515" s="192"/>
      <c r="AS515" s="192"/>
      <c r="AT515" s="192"/>
      <c r="AU515" s="192"/>
      <c r="AV515" s="192"/>
      <c r="AW515" s="192"/>
      <c r="AX515" s="192"/>
    </row>
    <row r="516" spans="2:50" ht="15" customHeight="1" thickTop="1" x14ac:dyDescent="0.3">
      <c r="B516" s="192"/>
      <c r="C516" s="192"/>
      <c r="D516" s="192"/>
      <c r="E516" s="164" t="str">
        <f>IF(Q516="","",IF(Q516=3,1,0))</f>
        <v/>
      </c>
      <c r="F516" s="164" t="str">
        <f>IF(Q516="","",IF(Q516&lt;3,1,0))</f>
        <v/>
      </c>
      <c r="G516" s="192"/>
      <c r="H516" s="192" t="str">
        <f>IF(I493&lt;&gt;"",3,"")</f>
        <v/>
      </c>
      <c r="I516" s="192" t="str">
        <f>IF(ISNUMBER(H516),VLOOKUP(H516,H490:I493,2,TRUE),"")</f>
        <v/>
      </c>
      <c r="J516" s="192"/>
      <c r="K516" s="192" t="str">
        <f>VLOOKUP(I516,I490:L493,3,FALSE)</f>
        <v/>
      </c>
      <c r="L516" s="253"/>
      <c r="M516" s="254"/>
      <c r="N516" s="254"/>
      <c r="O516" s="152"/>
      <c r="P516" s="153"/>
      <c r="Q516" s="255" t="str">
        <f>IF(L516="","",IF(AND(L516-L517&gt;1,L516&gt;10),1,0)+IF(AND(M516-M517&gt;1,M516&gt;10),1,0)+IF(AND(N516-N517&gt;1,N516&gt;10),1,0)+IF(AND(O516-O517&gt;1,O516&gt;10),1,0)+IF(AND(P516-P517&gt;1,P516&gt;10),1,0))</f>
        <v/>
      </c>
      <c r="R516" s="203" t="str">
        <f>IF(AND(I516="",I517=""),"",ABS(VLOOKUP(I516,I490:L493,4,FALSE)-VLOOKUP(I517,I490:L493,4,FALSE)))</f>
        <v/>
      </c>
      <c r="S516" s="256" t="str">
        <f>IF(R517="","",IF(Q516=3,+R517,-R517))</f>
        <v/>
      </c>
      <c r="T516" s="247"/>
      <c r="U516" s="264"/>
      <c r="V516" s="242"/>
      <c r="W516" s="192"/>
      <c r="X516" s="264"/>
      <c r="Y516" s="192"/>
      <c r="Z516" s="192"/>
      <c r="AA516" s="243">
        <v>2</v>
      </c>
      <c r="AB516" s="222" t="str">
        <f>IF(AND(COUNTBLANK(I490:I493)=0,Group_players=4,M491=M492,M492=M493),IF(X498="","",IF(COUNTIF(X497:X500,X498)=3,"Tied",IF(AND(COUNTIF(X497:X500,X498)=1,X499&lt;&gt;X500),IF(M491=2,IF(SMALL(X497:X500,1)=X498,1,IF(SMALL(X497:X500,2)=X498,2,IF(SMALL(X497:X500,3)=X498,3))),IF(M491=1,IF(SMALL(X497:X500,1)=X498,2,IF(SMALL(X497:X500,2)=X498,3,IF(SMALL(X497:X500,3)=X498,4))),"")),IF(COUNTIF(X497:X500,X498)=1,IF(X498&lt;X500,IF(M491=2,1,2),IF(M491=1,4)),IF(COUNTIF(X497:X500,X498)=2,IF(X498=X499,IF(X498&lt;X500,IF(M491=2,IF(Q510=3,1,2),IF(M491=1,IF(Q510=3,2,3))),IF(X498&gt;X500,IF(M491=2,IF(Q510=3,2,3),IF(M491=1,IF(Q510=3,3,4))))),IF(X498=X500,IF(X498&lt;X499,IF(M491=2,IF(Q504=3,1,2),IF(M491=1,IF(Q504=3,2,3))),IF(X498&gt;X499,IF(M491=2,IF(Q504=3,2,3),IF(M491=1,IF(Q504=3,3,4)))))))))))),"")</f>
        <v/>
      </c>
      <c r="AC516" s="192"/>
      <c r="AD516" s="192"/>
      <c r="AE516" s="192"/>
      <c r="AF516" s="203"/>
      <c r="AG516" s="203"/>
      <c r="AH516" s="203"/>
      <c r="AI516" s="203"/>
      <c r="AJ516" s="203"/>
      <c r="AK516" s="203"/>
      <c r="AL516" s="203"/>
      <c r="AM516" s="203"/>
      <c r="AN516" s="192"/>
      <c r="AO516" s="192"/>
      <c r="AP516" s="192"/>
      <c r="AQ516" s="192"/>
      <c r="AR516" s="192"/>
      <c r="AS516" s="192"/>
      <c r="AT516" s="192"/>
      <c r="AU516" s="192"/>
      <c r="AV516" s="192"/>
      <c r="AW516" s="192"/>
      <c r="AX516" s="192"/>
    </row>
    <row r="517" spans="2:50" ht="15" customHeight="1" thickBot="1" x14ac:dyDescent="0.35">
      <c r="B517" s="192"/>
      <c r="C517" s="192"/>
      <c r="D517" s="192"/>
      <c r="E517" s="164" t="str">
        <f>IF(Q517="","",IF(Q517=3,1,0))</f>
        <v/>
      </c>
      <c r="F517" s="164" t="str">
        <f>IF(Q517="","",IF(Q517&lt;3,1,0))</f>
        <v/>
      </c>
      <c r="G517" s="192"/>
      <c r="H517" s="192" t="str">
        <f>IF(I493&lt;&gt;"",4,"")</f>
        <v/>
      </c>
      <c r="I517" s="192" t="str">
        <f>IF(ISNUMBER(H517),VLOOKUP(H517,H490:I493,2,TRUE),"")</f>
        <v/>
      </c>
      <c r="J517" s="192"/>
      <c r="K517" s="192" t="str">
        <f>VLOOKUP(I517,I490:L493,3,FALSE)</f>
        <v/>
      </c>
      <c r="L517" s="155"/>
      <c r="M517" s="259"/>
      <c r="N517" s="259"/>
      <c r="O517" s="156"/>
      <c r="P517" s="157"/>
      <c r="Q517" s="260" t="str">
        <f>IF(L517="","",IF(AND(L517-L516&gt;1,L517&gt;10),1,0)+IF(AND(M517-M516&gt;1,M517&gt;10),1,0)+IF(AND(N517-N516&gt;1,N517&gt;10),1,0)+IF(AND(O517-O516&gt;1,O517&gt;10),1,0)+IF(AND(P517-P516&gt;1,P517&gt;10),1,0))</f>
        <v/>
      </c>
      <c r="R517" s="203" t="str">
        <f>IF(AND(Q516&lt;&gt;3,Q517&lt;&gt;3),"",IF(Q516=3,IF(VLOOKUP(I516,I490:L493,4,FALSE)&gt;VLOOKUP(I517,I490:L493,4,FALSE),VLOOKUP(R516,Point_dif,2,FALSE),VLOOKUP(R516,Point_dif,3,FALSE)),IF(Q517=3,IF(VLOOKUP(I517,I490:L493,4,FALSE)&gt;VLOOKUP(I516,I490:L493,4,FALSE),VLOOKUP(R516,Point_dif,2,FALSE),VLOOKUP(R516,Point_dif,3,FALSE)))))</f>
        <v/>
      </c>
      <c r="S517" s="260" t="str">
        <f>IF(R517="","",IF(Q517=3,+R517,-R517))</f>
        <v/>
      </c>
      <c r="T517" s="247"/>
      <c r="U517" s="235"/>
      <c r="V517" s="235"/>
      <c r="W517" s="235"/>
      <c r="X517" s="235"/>
      <c r="Y517" s="235"/>
      <c r="Z517" s="235"/>
      <c r="AA517" s="246">
        <v>3</v>
      </c>
      <c r="AB517" s="222" t="str">
        <f>IF(AND(COUNTBLANK(I490:I493)=0,Group_players=4,Group_players=4,M491=M492,M492=M493),IF(X499="","",IF(COUNTIF(X497:X500,X499)=3,"Tied",IF(AND(COUNTIF(X497:X500,X499)=1,X498&lt;&gt;X500),IF(M492=2,IF(SMALL(X497:X500,1)=X499,1,IF(SMALL(X497:X500,2)=X499,2,IF(SMALL(X497:X500,3)=X499,3))),IF(M492=1,IF(SMALL(X497:X500,1)=X499,2,IF(SMALL(X497:X500,2)=X499,3,IF(SMALL(X497:X500,3)=X499,4))),"")),IF(COUNTIF(X497:X500,X499)=1,IF(X499&lt;X498,IF(M492=2,1,2),IF(M492=2,3,4)),IF(COUNTIF(X497:X500,X499)=2,IF(X499=X498,IF(X499&lt;X500,IF(M492=2,IF(Q511=3,1,2),IF(M492=1,IF(Q511=3,2,3))),IF(X499&gt;X500,IF(M492=2,IF(Q511=3,2,3),IF(M492=1,IF(Q511=3,3,4))))),IF(X499=X500,IF(X499&lt;X498,IF(M492=2,IF(Q516=3,1,2),IF(M492=1,IF(Q516=3,2,3))),IF(X499&gt;X498,IF(M492=2,IF(Q516=3,2,3),IF(M492=1,IF(Q516=3,3,4)))))))))))),"")</f>
        <v/>
      </c>
      <c r="AC517" s="192"/>
      <c r="AD517" s="192"/>
      <c r="AE517" s="192"/>
      <c r="AF517" s="203"/>
      <c r="AG517" s="203"/>
      <c r="AH517" s="203"/>
      <c r="AI517" s="203"/>
      <c r="AJ517" s="203"/>
      <c r="AK517" s="203"/>
      <c r="AL517" s="203"/>
      <c r="AM517" s="203"/>
      <c r="AN517" s="192"/>
      <c r="AO517" s="192"/>
      <c r="AP517" s="192"/>
      <c r="AQ517" s="192"/>
      <c r="AR517" s="192"/>
      <c r="AS517" s="192"/>
      <c r="AT517" s="192"/>
      <c r="AU517" s="192"/>
      <c r="AV517" s="192"/>
      <c r="AW517" s="192"/>
      <c r="AX517" s="192"/>
    </row>
    <row r="518" spans="2:50" ht="15" customHeight="1" thickTop="1" thickBot="1" x14ac:dyDescent="0.35">
      <c r="B518" s="192"/>
      <c r="C518" s="192"/>
      <c r="D518" s="192"/>
      <c r="E518" s="192"/>
      <c r="F518" s="192"/>
      <c r="G518" s="192"/>
      <c r="H518" s="192"/>
      <c r="I518" s="192"/>
      <c r="J518" s="192"/>
      <c r="K518" s="192"/>
      <c r="L518" s="192"/>
      <c r="M518" s="192"/>
      <c r="N518" s="192"/>
      <c r="O518" s="268"/>
      <c r="P518" s="192"/>
      <c r="Q518" s="192"/>
      <c r="R518" s="247"/>
      <c r="S518" s="247"/>
      <c r="T518" s="247"/>
      <c r="U518" s="235"/>
      <c r="V518" s="235"/>
      <c r="W518" s="235"/>
      <c r="X518" s="235"/>
      <c r="Y518" s="235"/>
      <c r="Z518" s="235"/>
      <c r="AA518" s="261">
        <v>4</v>
      </c>
      <c r="AB518" s="233" t="str">
        <f>IF(AND(COUNTBLANK(I490:I493)=0,Group_players=4,M491=M492,M492=M493),IF(X500="","",IF(COUNTIF(X497:X500,X500)=3,"Tied",IF(AND(COUNTIF(X497:X500,X500)=1,X499&lt;&gt;X498),IF(M493=2,IF(SMALL(X497:X500,1)=X500,1,IF(SMALL(X497:X500,2)=X500,2,IF(SMALL(X497:X500,3)=X500,3))),IF(M493=1,IF(SMALL(X497:X500,1)=X500,2,IF(SMALL(X497:X500,2)=X500,3,IF(SMALL(X497:X500,3)=X500,4))),"")),IF(COUNTIF(X497:X500,X500)=1,IF(X500&lt;X498,IF(M493=2,1,2),IF(M493=2,3,4)),IF(COUNTIF(X497:X500,X500)=2,IF(X500=X498,IF(X500&lt;X499,IF(M493=2,IF(Q505=3,1,2),IF(M493=1,IF(Q505=3,2,3))),IF(X500&gt;X499,IF(M493=2,IF(Q505=3,2,3),IF(M493=1,IF(Q505=3,3,4))))),IF(X500=X499,IF(X500&lt;X498,IF(M493=2,IF(Q517=3,1,2),IF(M493=1,IF(Q517=3,2,3))),IF(X500&gt;X498,IF(M493=2,IF(Q517=3,2,3),IF(M493=1,IF(Q517=3,3,4)))))))))))),"")</f>
        <v/>
      </c>
      <c r="AC518" s="192"/>
      <c r="AD518" s="192"/>
      <c r="AE518" s="192"/>
      <c r="AF518" s="203"/>
      <c r="AG518" s="203"/>
      <c r="AH518" s="203"/>
      <c r="AI518" s="203"/>
      <c r="AJ518" s="203"/>
      <c r="AK518" s="203"/>
      <c r="AL518" s="203"/>
      <c r="AM518" s="203"/>
      <c r="AN518" s="192"/>
      <c r="AO518" s="192"/>
      <c r="AP518" s="192"/>
      <c r="AQ518" s="192"/>
      <c r="AR518" s="192"/>
      <c r="AS518" s="192"/>
      <c r="AT518" s="192"/>
      <c r="AU518" s="192"/>
      <c r="AV518" s="192"/>
      <c r="AW518" s="192"/>
      <c r="AX518" s="192"/>
    </row>
    <row r="519" spans="2:50" ht="15" customHeight="1" thickTop="1" x14ac:dyDescent="0.3">
      <c r="B519" s="192"/>
      <c r="C519" s="192"/>
      <c r="D519" s="192"/>
      <c r="E519" s="192"/>
      <c r="F519" s="192"/>
      <c r="G519" s="192"/>
      <c r="H519" s="192"/>
      <c r="I519" s="192"/>
      <c r="J519" s="192"/>
      <c r="K519" s="192"/>
      <c r="L519" s="192"/>
      <c r="M519" s="192"/>
      <c r="N519" s="192"/>
      <c r="O519" s="192"/>
      <c r="P519" s="192"/>
      <c r="Q519" s="192"/>
      <c r="R519" s="192"/>
      <c r="S519" s="192"/>
      <c r="T519" s="203"/>
      <c r="U519" s="192"/>
      <c r="V519" s="192"/>
      <c r="W519" s="192"/>
      <c r="X519" s="192"/>
      <c r="Y519" s="192"/>
      <c r="Z519" s="192"/>
      <c r="AA519" s="192"/>
      <c r="AB519" s="192"/>
      <c r="AC519" s="192"/>
      <c r="AD519" s="192"/>
      <c r="AE519" s="192"/>
      <c r="AF519" s="203"/>
      <c r="AG519" s="203"/>
      <c r="AH519" s="203"/>
      <c r="AI519" s="203"/>
      <c r="AJ519" s="203"/>
      <c r="AK519" s="203"/>
      <c r="AL519" s="203"/>
      <c r="AM519" s="203"/>
      <c r="AN519" s="192"/>
      <c r="AO519" s="192"/>
      <c r="AP519" s="192"/>
      <c r="AQ519" s="192"/>
      <c r="AR519" s="192"/>
      <c r="AS519" s="192"/>
      <c r="AT519" s="192"/>
      <c r="AU519" s="192"/>
      <c r="AV519" s="192"/>
      <c r="AW519" s="192"/>
      <c r="AX519" s="192"/>
    </row>
    <row r="520" spans="2:50" ht="15" customHeight="1" x14ac:dyDescent="0.3">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c r="AA520" s="192"/>
      <c r="AB520" s="192"/>
      <c r="AC520" s="192"/>
      <c r="AD520" s="192"/>
      <c r="AE520" s="192"/>
      <c r="AF520" s="203"/>
      <c r="AG520" s="203"/>
      <c r="AH520" s="203"/>
      <c r="AI520" s="203"/>
      <c r="AJ520" s="203"/>
      <c r="AK520" s="203"/>
      <c r="AL520" s="203"/>
      <c r="AM520" s="203"/>
      <c r="AN520" s="192"/>
      <c r="AO520" s="192"/>
      <c r="AP520" s="192"/>
      <c r="AQ520" s="192"/>
      <c r="AR520" s="192"/>
      <c r="AS520" s="192"/>
      <c r="AT520" s="192"/>
      <c r="AU520" s="192"/>
      <c r="AV520" s="192"/>
      <c r="AW520" s="192"/>
      <c r="AX520" s="192"/>
    </row>
    <row r="521" spans="2:50" ht="15" customHeight="1" x14ac:dyDescent="0.3">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269"/>
      <c r="AA521" s="192"/>
      <c r="AB521" s="192"/>
      <c r="AC521" s="192"/>
      <c r="AD521" s="192"/>
      <c r="AE521" s="192"/>
      <c r="AF521" s="203"/>
      <c r="AG521" s="203"/>
      <c r="AH521" s="203"/>
      <c r="AI521" s="203"/>
      <c r="AJ521" s="203"/>
      <c r="AK521" s="203"/>
      <c r="AL521" s="203"/>
      <c r="AM521" s="203"/>
      <c r="AN521" s="192"/>
      <c r="AO521" s="192"/>
      <c r="AP521" s="192"/>
      <c r="AQ521" s="192"/>
      <c r="AR521" s="192"/>
      <c r="AS521" s="192"/>
      <c r="AT521" s="192"/>
      <c r="AU521" s="192"/>
      <c r="AV521" s="192"/>
      <c r="AW521" s="192"/>
      <c r="AX521" s="192"/>
    </row>
    <row r="522" spans="2:50" ht="15" customHeight="1" x14ac:dyDescent="0.3">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c r="AB522" s="192"/>
      <c r="AC522" s="192"/>
      <c r="AD522" s="192"/>
      <c r="AE522" s="192"/>
      <c r="AF522" s="203"/>
      <c r="AG522" s="203"/>
      <c r="AH522" s="203"/>
      <c r="AI522" s="203"/>
      <c r="AJ522" s="203"/>
      <c r="AK522" s="203"/>
      <c r="AL522" s="203"/>
      <c r="AM522" s="203"/>
      <c r="AN522" s="192"/>
      <c r="AO522" s="192"/>
      <c r="AP522" s="192"/>
      <c r="AQ522" s="192"/>
      <c r="AR522" s="192"/>
      <c r="AS522" s="192"/>
      <c r="AT522" s="192"/>
      <c r="AU522" s="192"/>
      <c r="AV522" s="192"/>
      <c r="AW522" s="192"/>
      <c r="AX522" s="192"/>
    </row>
    <row r="523" spans="2:50" ht="15" customHeight="1" x14ac:dyDescent="0.3">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c r="AA523" s="192"/>
      <c r="AB523" s="192"/>
      <c r="AC523" s="192"/>
      <c r="AD523" s="192"/>
      <c r="AE523" s="192"/>
      <c r="AF523" s="203"/>
      <c r="AG523" s="203"/>
      <c r="AH523" s="203"/>
      <c r="AI523" s="203"/>
      <c r="AJ523" s="203"/>
      <c r="AK523" s="203"/>
      <c r="AL523" s="203"/>
      <c r="AM523" s="203"/>
      <c r="AN523" s="192"/>
      <c r="AO523" s="192"/>
      <c r="AP523" s="192"/>
      <c r="AQ523" s="192"/>
      <c r="AR523" s="192"/>
      <c r="AS523" s="192"/>
      <c r="AT523" s="192"/>
      <c r="AU523" s="192"/>
      <c r="AV523" s="192"/>
      <c r="AW523" s="192"/>
      <c r="AX523" s="192"/>
    </row>
    <row r="524" spans="2:50" ht="15" customHeight="1" thickBot="1" x14ac:dyDescent="0.4">
      <c r="B524" s="192"/>
      <c r="C524" s="192"/>
      <c r="D524" s="192"/>
      <c r="E524" s="192"/>
      <c r="F524" s="192"/>
      <c r="G524" s="192"/>
      <c r="H524" s="192"/>
      <c r="I524" s="383" t="s">
        <v>137</v>
      </c>
      <c r="J524" s="383"/>
      <c r="K524" s="383"/>
      <c r="L524" s="383"/>
      <c r="M524" s="383"/>
      <c r="N524" s="383"/>
      <c r="O524" s="383"/>
      <c r="P524" s="383"/>
      <c r="Q524" s="383"/>
      <c r="R524" s="383"/>
      <c r="S524" s="192"/>
      <c r="T524" s="192"/>
      <c r="U524" s="370" t="s">
        <v>92</v>
      </c>
      <c r="V524" s="371"/>
      <c r="W524" s="371"/>
      <c r="X524" s="372"/>
      <c r="Y524" s="192"/>
      <c r="Z524" s="192"/>
      <c r="AA524" s="192"/>
      <c r="AB524" s="192"/>
      <c r="AC524" s="192"/>
      <c r="AD524" s="192"/>
      <c r="AE524" s="192"/>
      <c r="AF524" s="203"/>
      <c r="AG524" s="203"/>
      <c r="AH524" s="203"/>
      <c r="AI524" s="203"/>
      <c r="AJ524" s="203"/>
      <c r="AK524" s="203"/>
      <c r="AL524" s="203"/>
      <c r="AM524" s="203"/>
      <c r="AN524" s="192"/>
      <c r="AO524" s="192"/>
      <c r="AP524" s="192"/>
      <c r="AQ524" s="192"/>
      <c r="AR524" s="192"/>
      <c r="AS524" s="192"/>
      <c r="AT524" s="192"/>
      <c r="AU524" s="192"/>
      <c r="AV524" s="192"/>
      <c r="AW524" s="192"/>
      <c r="AX524" s="192"/>
    </row>
    <row r="525" spans="2:50" ht="15" customHeight="1" thickTop="1" thickBot="1" x14ac:dyDescent="0.35">
      <c r="B525" s="192"/>
      <c r="C525" s="192"/>
      <c r="D525" s="192"/>
      <c r="E525" s="192"/>
      <c r="F525" s="192"/>
      <c r="G525" s="192"/>
      <c r="H525" s="192"/>
      <c r="I525" s="400" t="s">
        <v>93</v>
      </c>
      <c r="J525" s="160"/>
      <c r="K525" s="396" t="s">
        <v>94</v>
      </c>
      <c r="L525" s="398" t="s">
        <v>95</v>
      </c>
      <c r="M525" s="390" t="s">
        <v>96</v>
      </c>
      <c r="N525" s="390" t="s">
        <v>97</v>
      </c>
      <c r="O525" s="373" t="s">
        <v>98</v>
      </c>
      <c r="P525" s="373" t="str">
        <f>IF(COUNT(U526:X537)=3,"LM/WM Ratio",IF(COUNT(U526:X537)=6,"LP/WP Ratio",""))</f>
        <v/>
      </c>
      <c r="Q525" s="390" t="s">
        <v>99</v>
      </c>
      <c r="R525" s="392" t="s">
        <v>100</v>
      </c>
      <c r="S525" s="192"/>
      <c r="T525" s="120"/>
      <c r="U525" s="121" t="s">
        <v>101</v>
      </c>
      <c r="V525" s="122" t="s">
        <v>102</v>
      </c>
      <c r="W525" s="122" t="s">
        <v>103</v>
      </c>
      <c r="X525" s="123" t="s">
        <v>104</v>
      </c>
      <c r="Y525" s="380" t="s">
        <v>105</v>
      </c>
      <c r="Z525" s="379"/>
      <c r="AA525" s="378" t="s">
        <v>106</v>
      </c>
      <c r="AB525" s="379"/>
      <c r="AC525" s="192"/>
      <c r="AD525" s="192"/>
      <c r="AE525" s="203"/>
      <c r="AF525" s="203"/>
      <c r="AG525" s="203"/>
      <c r="AH525" s="203"/>
      <c r="AI525" s="203"/>
      <c r="AJ525" s="203"/>
      <c r="AK525" s="203"/>
      <c r="AL525" s="203"/>
      <c r="AM525" s="203"/>
      <c r="AN525" s="192"/>
      <c r="AO525" s="192"/>
      <c r="AP525" s="192"/>
      <c r="AQ525" s="192"/>
      <c r="AR525" s="192"/>
      <c r="AS525" s="192"/>
      <c r="AT525" s="192"/>
      <c r="AU525" s="192"/>
      <c r="AV525" s="192"/>
      <c r="AW525" s="192"/>
      <c r="AX525" s="192"/>
    </row>
    <row r="526" spans="2:50" ht="15" customHeight="1" thickTop="1" thickBot="1" x14ac:dyDescent="0.35">
      <c r="B526" s="192"/>
      <c r="C526" s="192"/>
      <c r="D526" s="192"/>
      <c r="E526" s="192"/>
      <c r="F526" s="192"/>
      <c r="G526" s="192"/>
      <c r="H526" s="192"/>
      <c r="I526" s="401"/>
      <c r="J526" s="161"/>
      <c r="K526" s="397"/>
      <c r="L526" s="399"/>
      <c r="M526" s="391"/>
      <c r="N526" s="391"/>
      <c r="O526" s="374"/>
      <c r="P526" s="374"/>
      <c r="Q526" s="391"/>
      <c r="R526" s="393"/>
      <c r="S526" s="192"/>
      <c r="T526" s="208">
        <v>1</v>
      </c>
      <c r="U526" s="209" t="str">
        <f>IF(M527="","",IF(COUNTIF(M527:M529,M527)=3,IF(COUNTBLANK(I527:I530)=1,(Q539+Q545)/(Q538+Q544),IF(COUNTBLANK(I527:I530)=0,(Q551+Q539)/(Q550+Q538),"")),""))</f>
        <v/>
      </c>
      <c r="V526" s="125" t="str">
        <f>IF(AND(COUNTBLANK(I527:I530)=0,M527=M529,M529=M530),(Q539+Q545)/(Q538+Q544),"")</f>
        <v/>
      </c>
      <c r="W526" s="210" t="str">
        <f>IF(AND(COUNTBLANK(I527:I530)=0,M527=M528,M528=M530),(Q551+Q545)/(Q550+Q544),"")</f>
        <v/>
      </c>
      <c r="X526" s="211"/>
      <c r="Y526" s="169" t="s">
        <v>93</v>
      </c>
      <c r="Z526" s="170" t="s">
        <v>107</v>
      </c>
      <c r="AA526" s="169" t="s">
        <v>93</v>
      </c>
      <c r="AB526" s="170" t="s">
        <v>107</v>
      </c>
      <c r="AC526" s="192"/>
      <c r="AD526" s="192"/>
      <c r="AE526" s="192"/>
      <c r="AF526" s="203"/>
      <c r="AG526" s="203"/>
      <c r="AH526" s="203"/>
      <c r="AI526" s="203"/>
      <c r="AJ526" s="203"/>
      <c r="AK526" s="203"/>
      <c r="AL526" s="203"/>
      <c r="AM526" s="203"/>
      <c r="AN526" s="192"/>
      <c r="AO526" s="192"/>
      <c r="AP526" s="192"/>
      <c r="AQ526" s="192"/>
      <c r="AR526" s="192"/>
      <c r="AS526" s="192"/>
      <c r="AT526" s="192"/>
      <c r="AU526" s="192"/>
      <c r="AV526" s="192"/>
      <c r="AW526" s="192"/>
      <c r="AX526" s="192"/>
    </row>
    <row r="527" spans="2:50" ht="15" customHeight="1" thickTop="1" thickBot="1" x14ac:dyDescent="0.35">
      <c r="B527" s="192"/>
      <c r="C527" s="192"/>
      <c r="D527" s="192"/>
      <c r="E527" s="192"/>
      <c r="F527" s="192" t="str">
        <f>IF(I527="","",VLOOKUP(I527,Siembra,2,FALSE))</f>
        <v/>
      </c>
      <c r="G527" s="192" t="str">
        <f>O527</f>
        <v/>
      </c>
      <c r="H527" s="192">
        <v>1</v>
      </c>
      <c r="I527" s="128" t="str">
        <f>IF(K527="","",IF(ISNUMBER(Sorteo!$A$17),VLOOKUP(K527,Draw,2,FALSE),""))</f>
        <v/>
      </c>
      <c r="J527" s="129" t="str">
        <f>O527</f>
        <v/>
      </c>
      <c r="K527" s="130" t="str">
        <f>IF($K$9="","",IF(Group_players=4,IF(Tablas!BV$3="","",Tablas!BV$3),IF(Group_players=3,IF(Tablas!BV$11="","",Tablas!BV$11),"")))</f>
        <v/>
      </c>
      <c r="L527" s="131" t="str">
        <f>IF(K527="","",VLOOKUP(I527,Siembra,3,FALSE))</f>
        <v/>
      </c>
      <c r="M527" s="132" t="str">
        <f>IF(AND(Q538="",Q539=""),"",IF(I527="","",SUMIFS(E538:E554,I538:I554,I527)))</f>
        <v/>
      </c>
      <c r="N527" s="132" t="str">
        <f>IF(M527="","",IF(I527="","",SUMIFS(F538:F554,I538:I554,I527)))</f>
        <v/>
      </c>
      <c r="O527" s="132" t="str">
        <f>IF(M527="","",IF(COUNTBLANK(I527:I530)=1,IF(M527=2,1,IF(M527=0,3,IF(AND(M527=1,M528&lt;&gt;1),2,IF(COUNTIF(M527:M529,1)&gt;1,Z527)))),IF(COUNTBLANK(I527:I530)=0,IF(COUNTIF(M527:M530,M527)=1,IF(M527=3,1,IF(M527=2,2,IF(M527=1,3,IF(M527=0,4)))),IF(Group_players=3,Z527,IF(COUNTIF(M527:M530,M527)=2,AB527,IF(AND(M527=M528,M528=M529),AB531,IF(AND(M527=M529,M529=M530),AB534,IF(AND(M527=M528,M528=M530),AB537,"")))))),99)))</f>
        <v/>
      </c>
      <c r="P527" s="133" t="str">
        <f>IF(COUNT(U526:X537)=3,IF(ISNUMBER(U526),U526,IF(ISNUMBER(V526),V526,IF(ISNUMBER(W526),W526,IF(X526="","")))),IF(COUNT(U526:X537)=6,IF(ISNUMBER(U534),U534,IF(ISNUMBER(V534),V534,IF(ISNUMBER(W534),W534,IF(ISBLANK(X526),"")))),""))</f>
        <v/>
      </c>
      <c r="Q527" s="132" t="str">
        <f>IF(M527="","",SUMIF(I538:S554,I527,S538:S554))</f>
        <v/>
      </c>
      <c r="R527" s="134" t="str">
        <f>IF(M527="","",L527+Q527)</f>
        <v/>
      </c>
      <c r="S527" s="203"/>
      <c r="T527" s="208">
        <v>2</v>
      </c>
      <c r="U527" s="209" t="str">
        <f>IF(M528="","",IF(COUNTIF(M527:M529,M528)=3,IF(COUNTBLANK(I527:I530)=1,(Q542+Q544)/(Q541+Q545),IF(COUNTBLANK(I527:I530)=0,(Q548+Q550)/(Q547+Q551),"")),""))</f>
        <v/>
      </c>
      <c r="V527" s="135"/>
      <c r="W527" s="212" t="str">
        <f>IF(AND(COUNTBLANK(I527:I530)=0,M528=M527,M527=M530),(Q550+Q542)/(Q551+Q541),"")</f>
        <v/>
      </c>
      <c r="X527" s="213" t="str">
        <f>IF(AND(COUNTBLANK(I527:I530)=0,M528=M529,M529=M530),(Q548+Q542)/(Q547+Q541),"")</f>
        <v/>
      </c>
      <c r="Y527" s="214">
        <v>1</v>
      </c>
      <c r="Z527" s="215" t="str">
        <f>IF(U526="","",IF(OR(Group_players=3,AND(Group_players=4,COUNTBLANK(I527:I530)=1)),IF(COUNTIF(M527:M529,M527)=1,"",IF(AND(U526=U527,U527=U528),Z531,IF(AND(U526&lt;&gt;U527,U526&lt;&gt;U528,U527&lt;&gt;U528),(IF(SMALL(U526:U528,1)=U526,1,IF(SMALL(U526:U528,2)=U526,2,IF(SMALL(U526:U528,3)=U526,3)))),IF(AND(U526&lt;U527,U527=U528),1,IF(AND(U526&gt;U527,U527=U528),3,IF(AND(U526=U527,U526&lt;U528),(IF(Q544=3,1,2)),IF(AND(U526=U527,U526&gt;U528),(IF(Q544=3,2,3)),IF(AND(U526=U528,U526&lt;U527),(IF(Q538=3,1,2)),IF(AND(U526=U528,U526&gt;U527),(IF(Q538=3,2,3)),99))))))))),""))</f>
        <v/>
      </c>
      <c r="AA527" s="216">
        <v>1</v>
      </c>
      <c r="AB527" s="217" t="str">
        <f>IF(COUNTIF(M527:M530,M527)&lt;&gt;2,"",IF(COUNTIF(M527:M530,M527)=1,"",IF(AND(COUNTIF(M527:M530,M527)=2,M527=2),IF(M527=M528,IF(Q550=3,1,2),IF(M527=M529,IF(Q538=3,1,2),IF(M527=M530,IF(Q544=3,1,2)))),IF(AND(COUNTIF(M527:M530,M527)=2,M527=1),IF(M527=M528,IF(Q550=3,3,4),IF(M527=M529,IF(Q538=3,3,4),IF(M527=M530,IF(Q544=3,3,4)))),IF(COUNTIF(M527:M530,M527)=3,AB531)))))</f>
        <v/>
      </c>
      <c r="AC527" s="192"/>
      <c r="AD527" s="192"/>
      <c r="AE527" s="192"/>
      <c r="AF527" s="203"/>
      <c r="AG527" s="203"/>
      <c r="AH527" s="203"/>
      <c r="AI527" s="203"/>
      <c r="AJ527" s="203"/>
      <c r="AK527" s="203"/>
      <c r="AL527" s="203"/>
      <c r="AM527" s="203"/>
      <c r="AN527" s="192"/>
      <c r="AO527" s="192"/>
      <c r="AP527" s="192"/>
      <c r="AQ527" s="192"/>
      <c r="AR527" s="192"/>
      <c r="AS527" s="192"/>
      <c r="AT527" s="192"/>
      <c r="AU527" s="192"/>
      <c r="AV527" s="192"/>
      <c r="AW527" s="192"/>
      <c r="AX527" s="192"/>
    </row>
    <row r="528" spans="2:50" ht="15" customHeight="1" thickTop="1" thickBot="1" x14ac:dyDescent="0.35">
      <c r="B528" s="192"/>
      <c r="C528" s="192"/>
      <c r="D528" s="192"/>
      <c r="E528" s="192"/>
      <c r="F528" s="192" t="str">
        <f>IF(I528="","",VLOOKUP(I528,Siembra,2,FALSE))</f>
        <v/>
      </c>
      <c r="G528" s="192" t="str">
        <f>O528</f>
        <v/>
      </c>
      <c r="H528" s="192">
        <v>2</v>
      </c>
      <c r="I528" s="128" t="str">
        <f>IF(K528="","",IF(ISNUMBER(Sorteo!$A$17),VLOOKUP(K528,Draw,2,FALSE),""))</f>
        <v/>
      </c>
      <c r="J528" s="129" t="str">
        <f>O528</f>
        <v/>
      </c>
      <c r="K528" s="136" t="str">
        <f>IF($K$9="","",IF(Group_players=4,IF(Tablas!BV$4="","",Tablas!BV$4),IF(Group_players=3,IF(Tablas!BV$12="","",Tablas!BV$12),"")))</f>
        <v/>
      </c>
      <c r="L528" s="137" t="str">
        <f>IF(K528="","",VLOOKUP(I528,Siembra,3,FALSE))</f>
        <v/>
      </c>
      <c r="M528" s="132" t="str">
        <f>IF(AND(L538="",L539=""),"",IF(I528="","",SUMIFS(E538:E555,I538:I555,I528)))</f>
        <v/>
      </c>
      <c r="N528" s="138" t="str">
        <f>IF(M528="","",IF(I528="","",SUMIFS(F538:F554,I538:I554,I528)))</f>
        <v/>
      </c>
      <c r="O528" s="132" t="str">
        <f>IF(M528="","",IF(COUNTBLANK(I527:I530)=1,IF(M528=2,1,IF(M528=0,3,IF(AND(M528=1,M529&lt;&gt;1),2,IF(COUNTIF(M527:M530,1)&gt;1,Z528)))),IF(COUNTBLANK(I527:I530)=0,IF(COUNTIF(M527:M530,M528)=1,IF(M528=3,1,IF(M528=2,2,IF(M528=1,3,IF(M528=0,4)))),IF(Group_players=3,Z528,IF(COUNTIF(M527:M530,M528)=2,AB528,IF(AND(M528=M527,M527=M529),AB532,IF(AND(M528=M527,M527=M530),AB538,IF(AND(M528=M529,M529=M530),AB540,"")))))))))</f>
        <v/>
      </c>
      <c r="P528" s="133" t="str">
        <f>IF(COUNT(U526:X537)=3,IF(ISNUMBER(U527),U527,IF(ISNUMBER(W527),W527,IF(ISNUMBER(X527),X527,IF(X527="","")))),IF(COUNT(U526:X537)=6,IF(ISNUMBER(U535),U535,IF(ISNUMBER(W535),W535,IF(ISNUMBER(X535),X535,IF(ISBLANK(X534),"")))),""))</f>
        <v/>
      </c>
      <c r="Q528" s="138" t="str">
        <f>IF(M528="","",SUMIF(I538:S554,I528,S538:$S554))</f>
        <v/>
      </c>
      <c r="R528" s="139" t="str">
        <f>IF(M528="","",L528+Q528)</f>
        <v/>
      </c>
      <c r="S528" s="203"/>
      <c r="T528" s="208">
        <v>3</v>
      </c>
      <c r="U528" s="209" t="str">
        <f>IF(M529="","",IF(COUNTIF(M527:M529,M529)=3,IF(COUNTBLANK(I527:I530)=1,(Q538+Q541)/(Q539+Q542),IF(COUNTBLANK(I527:I530)=0,(Q538+Q547)/(Q539+Q548),"")),""))</f>
        <v/>
      </c>
      <c r="V528" s="125" t="str">
        <f>IF(AND(COUNTBLANK(I527:I530)=0,M529=M530,M530=M527),(Q538+Q554)/(Q539+Q553),"")</f>
        <v/>
      </c>
      <c r="W528" s="218"/>
      <c r="X528" s="213" t="str">
        <f>IF(AND(COUNTBLANK(I527:I530)=0,M529=M530,M530=M528),(Q547+Q554)/(Q548+Q553),"")</f>
        <v/>
      </c>
      <c r="Y528" s="219">
        <v>2</v>
      </c>
      <c r="Z528" s="220" t="str">
        <f>IF(U527="","",IF(OR(Group_players=3,AND(Group_players=4,COUNTBLANK(I527:I530)=1)),IF(COUNTIF(M527:M529,M528)=1,"",IF(AND(U527=U526,U527=U528),Z532,IF(AND(U527&lt;&gt;U526,U527&lt;&gt;U528,U526&lt;&gt;U528),(IF(SMALL(U526:U528,1)=U527,1,IF(SMALL(U526:U528,2)=U527,2,IF(SMALL(U526:U528,3)=U527,3)))),IF(AND(U527&lt;U526,U526=U528),1,IF(AND(U527&gt;U526,U526=U528),3,IF(AND(U527=U526,U527&lt;U528),(IF(Q545=3,1,2)),IF(AND(U527=U526,U527&gt;U528),(IF(Q545=3,2,3)),IF(AND(U527=U528,U527&lt;U526),(IF(Q541=3,1,2)),IF(AND(U527=U528,U527&gt;U526),(IF(Q541=3,2,3)),99))))))))),""))</f>
        <v/>
      </c>
      <c r="AA528" s="221">
        <v>2</v>
      </c>
      <c r="AB528" s="222" t="str">
        <f>IF(COUNTIF(M527:M530,M528)&lt;&gt;2,"",IF(COUNTIF(M527:M530,M528)=1,"",IF(AND(COUNTIF(M527:M530,M528)=2,M528=2),IF(M528=M527,IF(Q551=3,1,2),IF(M528=M529,IF(Q547=3,1,2),IF(M528=M530,IF(Q541=3,1,2)))),IF(AND(COUNTIF(M527:M530,M528)=2,M528=1),IF(M528=M527,IF(Q551=3,3,4),IF(M528=M529,IF(Q547=3,3,4),IF(M528=M530,IF(Q541=3,3,4)))),AB533))))</f>
        <v/>
      </c>
      <c r="AC528" s="192"/>
      <c r="AD528" s="192"/>
      <c r="AE528" s="192"/>
      <c r="AF528" s="203"/>
      <c r="AG528" s="203"/>
      <c r="AH528" s="203"/>
      <c r="AI528" s="203"/>
      <c r="AJ528" s="203"/>
      <c r="AK528" s="203"/>
      <c r="AL528" s="203"/>
      <c r="AM528" s="203"/>
      <c r="AN528" s="192"/>
      <c r="AO528" s="192"/>
      <c r="AP528" s="192"/>
      <c r="AQ528" s="192"/>
      <c r="AR528" s="192"/>
      <c r="AS528" s="192"/>
      <c r="AT528" s="192"/>
      <c r="AU528" s="192"/>
      <c r="AV528" s="192"/>
      <c r="AW528" s="192"/>
      <c r="AX528" s="192"/>
    </row>
    <row r="529" spans="2:50" ht="15" customHeight="1" thickBot="1" x14ac:dyDescent="0.35">
      <c r="B529" s="192"/>
      <c r="C529" s="192"/>
      <c r="D529" s="192"/>
      <c r="E529" s="192"/>
      <c r="F529" s="192" t="str">
        <f>IF(I529="","",VLOOKUP(I529,Siembra,2,FALSE))</f>
        <v/>
      </c>
      <c r="G529" s="192" t="str">
        <f>O529</f>
        <v/>
      </c>
      <c r="H529" s="192">
        <v>3</v>
      </c>
      <c r="I529" s="128" t="str">
        <f>IF(K529="","",IF(ISNUMBER(Sorteo!$A$17),VLOOKUP(K529,Draw,2,FALSE),""))</f>
        <v/>
      </c>
      <c r="J529" s="129" t="str">
        <f>O529</f>
        <v/>
      </c>
      <c r="K529" s="136" t="str">
        <f>IF($K$9="","",IF(Group_players=4,IF(Tablas!BV$5="","",Tablas!BV$5),IF(Group_players=3,IF(Tablas!BV$13="","",Tablas!BV$13),"")))</f>
        <v/>
      </c>
      <c r="L529" s="137" t="str">
        <f>IF(K529="","",VLOOKUP(I529,Siembra,3,FALSE))</f>
        <v/>
      </c>
      <c r="M529" s="132" t="str">
        <f>IF(AND(L539="",L538=""),"",IF(I529="","",SUMIFS(E538:E556,I538:I556,I529)))</f>
        <v/>
      </c>
      <c r="N529" s="138" t="str">
        <f>IF(M529="","",IF(I529="","",SUMIFS(F538:F554,I538:I554,I529)))</f>
        <v/>
      </c>
      <c r="O529" s="132" t="str">
        <f>IF(M529="","",IF(COUNTBLANK(I527:I530)=1,IF(M529=2,1,IF(M529=0,3,IF(AND(M529=1,M529&lt;&gt;M527),2,IF(COUNTIF(M527:M530,1)&gt;1,Z529)))),IF(COUNTBLANK(I527:I530)=0,IF(COUNTIF(M527:M530,M529)=1,IF(M529=3,1,IF(M529=2,2,IF(M529=1,3,IF(M529=0,4)))),IF(Group_players=3,Z529,IF(COUNTIF(M527:M530,M529)=2,AB529,IF(AND(M529=M527,M527=M528),AB533,IF(AND(M529=M527,M527=M530),AB535,IF(AND(M529=M528,M528=M530),AB541,"")))))))))</f>
        <v/>
      </c>
      <c r="P529" s="133" t="str">
        <f>IF(COUNT(U526:X537)=3,IF(ISNUMBER(U528),U528,IF(ISNUMBER(V528),V528,IF(ISNUMBER(X528),X528,IF(W528="","")))),IF(COUNT(U526:X537)=6,IF(ISNUMBER(U536),U536,IF(ISNUMBER(V536),V536,IF(ISNUMBER(X536),X536,""))),""))</f>
        <v/>
      </c>
      <c r="Q529" s="138" t="str">
        <f>IF(M529="","",SUMIF(I538:S554,I529,S538:S554))</f>
        <v/>
      </c>
      <c r="R529" s="139" t="str">
        <f>IF(M529="","",L529+Q529)</f>
        <v/>
      </c>
      <c r="S529" s="203"/>
      <c r="T529" s="208">
        <v>4</v>
      </c>
      <c r="U529" s="223"/>
      <c r="V529" s="140" t="str">
        <f>IF(AND(COUNTBLANK(I527:I530)=0,M530=M527,M527=M529),(Q544+Q553)/(Q545+Q554),"")</f>
        <v/>
      </c>
      <c r="W529" s="224" t="str">
        <f>IF(AND(COUNTBLANK(I527:I530)=0,M530=M527,M527=M528),(Q544+Q541)/(Q545+Q542),"")</f>
        <v/>
      </c>
      <c r="X529" s="225" t="str">
        <f>IF(AND(COUNTBLANK(I527:I530)=0,M530=M528,M528=M529),(Q541+Q553)/(Q542+Q554),"")</f>
        <v/>
      </c>
      <c r="Y529" s="226">
        <v>3</v>
      </c>
      <c r="Z529" s="227" t="str">
        <f>IF(U528="","",IF(OR(Group_players=3,AND(Group_players=4,COUNTBLANK(I527:I530)=1)),IF(COUNTIF(M527:M529,M529)=1,"",IF(AND(U528=U526,U528=U527),Z533,IF(AND(U528&lt;&gt;U527,U527&lt;&gt;U526,U528&lt;&gt;U526),(IF(SMALL(U526:U528,1)=U528,1,IF(SMALL(U526:U528,2)=U528,2,IF(SMALL(U526:U528,3)=U528,3)))),IF(AND(U528&lt;U527,U527=U526),1,IF(AND(U528&gt;U527,U527=U526),3,IF(AND(U528=U527,U528&lt;U526),(IF(Q542=3,1,2)),IF(AND(U528=U527,U528&gt;U526),(IF(Q542=3,2,3)),IF(AND(U528=U526,U528&lt;U527),(IF(Q539=3,1,2)),IF(AND(U528=U526,U528&gt;U527),(IF(Q539=3,2,3)),99))))))))),""))</f>
        <v/>
      </c>
      <c r="AA529" s="221">
        <v>3</v>
      </c>
      <c r="AB529" s="222" t="str">
        <f>IF(COUNTIF(M527:M530,M529)&lt;&gt;2,"",IF(COUNTIF(M527:M530,M529)=1,"",IF(AND(COUNTIF(M527:M530,M529)=2,M529=2),IF(M529=M527,IF(Q539=3,1,2),IF(M529=M528,IF(Q548=3,1,2),IF(M529=M530,IF(Q553=3,1,2)))),IF(AND(COUNTIF(M527:M530,M529)=2,M529=1),IF(M529=M527,IF(Q539=3,3,4),IF(M529=M528,IF(Q548=3,3,4),IF(M529=M530,IF(Q553=3,3,4)))),AB533))))</f>
        <v/>
      </c>
      <c r="AC529" s="192"/>
      <c r="AD529" s="192"/>
      <c r="AE529" s="192"/>
      <c r="AF529" s="203"/>
      <c r="AG529" s="203"/>
      <c r="AH529" s="203"/>
      <c r="AI529" s="203"/>
      <c r="AJ529" s="203"/>
      <c r="AK529" s="203"/>
      <c r="AL529" s="203"/>
      <c r="AM529" s="203"/>
      <c r="AN529" s="192"/>
      <c r="AO529" s="192"/>
      <c r="AP529" s="192"/>
      <c r="AQ529" s="192"/>
      <c r="AR529" s="192"/>
      <c r="AS529" s="192"/>
      <c r="AT529" s="192"/>
      <c r="AU529" s="192"/>
      <c r="AV529" s="192"/>
      <c r="AW529" s="192"/>
      <c r="AX529" s="192"/>
    </row>
    <row r="530" spans="2:50" ht="15" customHeight="1" thickTop="1" thickBot="1" x14ac:dyDescent="0.35">
      <c r="B530" s="192"/>
      <c r="C530" s="192"/>
      <c r="D530" s="192"/>
      <c r="E530" s="192"/>
      <c r="F530" s="192" t="str">
        <f>IF(I530="","",VLOOKUP(I530,Siembra,2,FALSE))</f>
        <v/>
      </c>
      <c r="G530" s="192" t="str">
        <f>O530</f>
        <v/>
      </c>
      <c r="H530" s="192">
        <v>4</v>
      </c>
      <c r="I530" s="141" t="str">
        <f>IF(K530="","",IF(ISNUMBER(Sorteo!$A$17),VLOOKUP(K530,Draw,2,FALSE),""))</f>
        <v/>
      </c>
      <c r="J530" s="142" t="str">
        <f>O530</f>
        <v/>
      </c>
      <c r="K530" s="143" t="str">
        <f>IF($K$9="","",IF(Group_players=4,IF(Tablas!BV6="","",Tablas!BV6),""))</f>
        <v/>
      </c>
      <c r="L530" s="144" t="str">
        <f>IF(K530="","",VLOOKUP(I530,Siembra,3,FALSE))</f>
        <v/>
      </c>
      <c r="M530" s="145" t="str">
        <f>IF(AND(Q541="",Q542=""),"",IF(I530="","",SUMIFS(E538:E557,I538:I557,I530)))</f>
        <v/>
      </c>
      <c r="N530" s="145" t="str">
        <f>IF(M530="","",IF(I530="","",SUMIFS(F538:F554,I538:I554,I530)))</f>
        <v/>
      </c>
      <c r="O530" s="145" t="str">
        <f>IF(M530="","",IF(COUNTIF(M527:M530,M530)=1,IF(M530=3,1,IF(M530=2,2,IF(M530=1,3,IF(M530=0,4)))),IF(COUNTIF(M527:M530,M530)=2,AB530,IF(AND(M530=M527,M527=M529),AB536,IF(AND(M530=M527,M527=M528),AB539,IF(AND(M530=M528,M528=M529),AB542,""))))))</f>
        <v/>
      </c>
      <c r="P530" s="146" t="str">
        <f>IF(COUNT(U526:X537)=3,IF(ISNUMBER(V529),V529,IF(ISNUMBER(W529),W529,IF(ISNUMBER(X529),X529,IF(X529="","")))),IF(COUNT(U526:X537)=6,IF(ISNUMBER(V537),V537,IF(ISNUMBER(W537),W537,IF(ISNUMBER(X537),X537,""))),""))</f>
        <v/>
      </c>
      <c r="Q530" s="145" t="str">
        <f>IF(M530="","",SUMIF(I538:S554,I530,S538:$S554))</f>
        <v/>
      </c>
      <c r="R530" s="147" t="str">
        <f>IF(M530="","",L530+Q530)</f>
        <v/>
      </c>
      <c r="S530" s="203"/>
      <c r="T530" s="192"/>
      <c r="U530" s="192"/>
      <c r="V530" s="192"/>
      <c r="W530" s="192"/>
      <c r="X530" s="192"/>
      <c r="Y530" s="230" t="s">
        <v>93</v>
      </c>
      <c r="Z530" s="231" t="s">
        <v>110</v>
      </c>
      <c r="AA530" s="232">
        <v>4</v>
      </c>
      <c r="AB530" s="233" t="str">
        <f>IF(COUNTIF(M527:M530,M530)&lt;&gt;2,"",IF(COUNTIF(M527:M530,M530)=1,"",IF(AND(COUNTIF(M527:M530,M530)=2,M530=2),IF(M530=M527,IF(Q545=3,1,2),IF(M530=M528,IF(Q542=3,1,2),IF(M530=M529,IF(Q554=3,1,2)))),IF(AND(COUNTIF(M527:M530,M530)=2,M530=1),IF(M530=M527,IF(Q545=3,3,4),IF(M530=M528,IF(Q542=3,3,4),IF(M530=M529,IF(Q554=3,3,4)))),AB536))))</f>
        <v/>
      </c>
      <c r="AC530" s="192"/>
      <c r="AD530" s="192"/>
      <c r="AE530" s="192"/>
      <c r="AF530" s="203"/>
      <c r="AG530" s="203"/>
      <c r="AH530" s="203"/>
      <c r="AI530" s="203"/>
      <c r="AJ530" s="203"/>
      <c r="AK530" s="203"/>
      <c r="AL530" s="203"/>
      <c r="AM530" s="203"/>
      <c r="AN530" s="192"/>
      <c r="AO530" s="192"/>
      <c r="AP530" s="192"/>
      <c r="AQ530" s="192"/>
      <c r="AR530" s="192"/>
      <c r="AS530" s="192"/>
      <c r="AT530" s="192"/>
      <c r="AU530" s="192"/>
      <c r="AV530" s="192"/>
      <c r="AW530" s="192"/>
      <c r="AX530" s="192"/>
    </row>
    <row r="531" spans="2:50" ht="15" customHeight="1" thickTop="1" x14ac:dyDescent="0.3">
      <c r="B531" s="192"/>
      <c r="C531" s="192"/>
      <c r="D531" s="192"/>
      <c r="E531" s="192"/>
      <c r="F531" s="192"/>
      <c r="G531" s="192"/>
      <c r="H531" s="192"/>
      <c r="I531" s="192"/>
      <c r="J531" s="192"/>
      <c r="K531" s="192"/>
      <c r="L531" s="192"/>
      <c r="M531" s="192"/>
      <c r="N531" s="192"/>
      <c r="O531" s="192"/>
      <c r="P531" s="192"/>
      <c r="Q531" s="192"/>
      <c r="R531" s="192"/>
      <c r="S531" s="192"/>
      <c r="T531" s="208"/>
      <c r="U531" s="192"/>
      <c r="V531" s="148"/>
      <c r="W531" s="148"/>
      <c r="X531" s="234"/>
      <c r="Y531" s="214">
        <v>1</v>
      </c>
      <c r="Z531" s="215" t="str">
        <f>IF(U534="","",IF(OR(Group_players=3,AND(Group_players=4,COUNTBLANK(I527:I530)=1)),IF(COUNTIF(M527:M529,M527)=1,"",IF(COUNTIF(U526:U528,U526)=3,IF(AND(U534=U535,U535=U536),"Tied",IF(AND(U534&lt;&gt;U535,U534&lt;&gt;U536,U535&lt;&gt;U536),(IF(SMALL(U534:U536,1)=U534,1,IF(SMALL(U534:U536,2)=U534,2,IF(SMALL(U534:U536,3)=U534,3)))),IF(AND(U534&lt;U535,U535=U536),1,IF(AND(U534&gt;U535,U535=U536),3,IF(AND(U534=U535,U534&lt;U536),(IF(Q544=3,1,2)),IF(AND(U534=U535,U534&gt;U536),(IF(Q544=3,2,3)),IF(AND(U534=U536,U534&lt;U535),(IF(Q538=3,1,2)),IF(AND(U534=U536,U534&gt;U535),(IF(Q538=3,2,3)),99)))))))),"")),""))</f>
        <v/>
      </c>
      <c r="AA531" s="208">
        <v>1</v>
      </c>
      <c r="AB531" s="222" t="str">
        <f>IF(AND(COUNTBLANK(I527:I530)=0,Group_players=4,M527=M528,M528=M529),IF(COUNTIF(U526:U529,U526)=3,AB544,IF(AND(COUNTIF(U526:U529,U526)=1,U527&lt;&gt;U528),IF(M527=2,IF(SMALL(U526:U529,1)=U526,1,IF(SMALL(U526:U529,2)=U526,2,IF(SMALL(U526:U529,3)=U526,3))),IF(M527=1,IF(SMALL(U526:U529,1)=U526,2,IF(SMALL(U526:U529,2)=U526,3,IF(SMALL(U526:U529,3)=U526,4))),"")),IF(COUNTIF(U526:U529,U526)=1,IF(U526&lt;U527,IF(M527=2,1,2),IF(M527=2,3,4)),IF(COUNTIF(U526:U529,U526)=2,IF(U526=U527,IF(U526&lt;U528,IF(M527=2,IF(Q550=3,1,2),IF(M527=1,IF(Q550=3,2,3))),IF(U526&gt;U528,IF(M527=2,IF(Q550=3,2,3),IF(M527=1,IF(Q550=3,3,4))))),IF(U526=U528,IF(U526&lt;U527,IF(M527=2,IF(Q538=3,1,2),IF(M527=1,IF(Q538=3,2,3))),IF(U526&gt;U527,IF(M527=2,IF(Q538=3,2,3),IF(M527=1,IF(Q538=3,3,4))))))),"")))),"")</f>
        <v/>
      </c>
      <c r="AC531" s="192"/>
      <c r="AD531" s="192"/>
      <c r="AE531" s="269"/>
      <c r="AF531" s="203"/>
      <c r="AG531" s="203"/>
      <c r="AH531" s="203"/>
      <c r="AI531" s="203"/>
      <c r="AJ531" s="203"/>
      <c r="AK531" s="203"/>
      <c r="AL531" s="203"/>
      <c r="AM531" s="203"/>
      <c r="AN531" s="192"/>
      <c r="AO531" s="192"/>
      <c r="AP531" s="192"/>
      <c r="AQ531" s="192"/>
      <c r="AR531" s="192"/>
      <c r="AS531" s="192"/>
      <c r="AT531" s="192"/>
      <c r="AU531" s="192"/>
      <c r="AV531" s="192"/>
      <c r="AW531" s="192"/>
      <c r="AX531" s="192"/>
    </row>
    <row r="532" spans="2:50" ht="15" customHeight="1" thickBot="1" x14ac:dyDescent="0.35">
      <c r="B532" s="192"/>
      <c r="C532" s="192"/>
      <c r="D532" s="192"/>
      <c r="E532" s="192"/>
      <c r="F532" s="192"/>
      <c r="G532" s="192"/>
      <c r="H532" s="192"/>
      <c r="I532" s="269"/>
      <c r="J532" s="269"/>
      <c r="K532" s="192"/>
      <c r="L532" s="192"/>
      <c r="M532" s="192"/>
      <c r="N532" s="192"/>
      <c r="O532" s="192"/>
      <c r="P532" s="192"/>
      <c r="Q532" s="192"/>
      <c r="R532" s="192"/>
      <c r="S532" s="192"/>
      <c r="T532" s="208"/>
      <c r="U532" s="368" t="s">
        <v>111</v>
      </c>
      <c r="V532" s="369"/>
      <c r="W532" s="369"/>
      <c r="X532" s="369"/>
      <c r="Y532" s="236">
        <v>2</v>
      </c>
      <c r="Z532" s="220" t="str">
        <f>IF(U527="","",IF(OR(Group_players=3,AND(Group_players=4,COUNTBLANK(I527:I530)=1)),IF(COUNTIF(M527:M529,M528)=1,"",IF(COUNTIF(U526:U528,U527)=3,IF(AND(U535=U534,U535=U536),"Tied",IF(AND(U535&lt;&gt;U534,U535&lt;&gt;U536,U534&lt;&gt;U536),(IF(SMALL(U534:U536,1)=U535,1,IF(SMALL(U534:U536,2)=U535,2,IF(SMALL(U534:U536,3)=U535,3)))),IF(AND(U535&lt;U534,U534=U536),1,IF(AND(U535&gt;U534,U534=U536),3,IF(AND(U535=U534,U535&lt;U536),(IF(Q545=3,1,2)),IF(AND(U535=U534,U535&gt;U536),(IF(Q545=3,2,3)),IF(AND(U535=U536,U535&lt;U534),(IF(Q541=3,1,2)),IF(AND(U535=U536,U535&gt;U534),(IF(Q541=3,2,3)),99)))))))),"")),""))</f>
        <v/>
      </c>
      <c r="AA532" s="208">
        <v>2</v>
      </c>
      <c r="AB532" s="222" t="str">
        <f>IF(AND(COUNTBLANK(I527:I530)=0,Group_players=4,M527=M528,M528=M529),IF(COUNTIF(U526:U529,U527)=3,AB545,IF(AND(COUNTIF(U526:U529,U527)=1,U526&lt;&gt;U528),IF(M528=2,IF(SMALL(U526:U529,1)=U527,1,IF(SMALL(U526:U529,2)=U527,2,IF(SMALL(U526:U529,3)=U527,3))),IF(M528=1,IF(SMALL(U526:U529,1)=U527,2,IF(SMALL(U526:U529,2)=U527,3,IF(SMALL(U526:U529,3)=U527,4))),"")),IF(COUNTIF(U526:U528,U527)=1,IF(U527&lt;U526,IF(M528=2,1,2),IF(M528=2,3,99)),IF(COUNTIF(U526:U529,U527)=2,IF(U527=U526,IF(U527&lt;U528,IF(M528=2,IF(Q551=3,1,2),IF(M528=1,IF(Q551=3,2,3))),IF(U527&gt;U528,IF(M528=2,IF(Q551=3,2,3),IF(M528=1,IF(Q551=3,3,4))))),IF(U527=U528,IF(U527&lt;U526,IF(M528=2,IF(Q547=3,1,2),IF(M528=1,IF(Q547=3,2,3))),IF(U527&gt;U526,IF(M528=2,IF(Q547=3,2,3),IF(M528=1,IF(Q547=3,3,4))))))),"")))),"")</f>
        <v/>
      </c>
      <c r="AC532" s="192"/>
      <c r="AD532" s="192"/>
      <c r="AE532" s="192"/>
      <c r="AF532" s="203"/>
      <c r="AG532" s="203"/>
      <c r="AH532" s="203"/>
      <c r="AI532" s="203"/>
      <c r="AJ532" s="203"/>
      <c r="AK532" s="203"/>
      <c r="AL532" s="203"/>
      <c r="AM532" s="203"/>
      <c r="AN532" s="192"/>
      <c r="AO532" s="192"/>
      <c r="AP532" s="192"/>
      <c r="AQ532" s="192"/>
      <c r="AR532" s="192"/>
      <c r="AS532" s="192"/>
      <c r="AT532" s="192"/>
      <c r="AU532" s="192"/>
      <c r="AV532" s="192"/>
      <c r="AW532" s="192"/>
      <c r="AX532" s="192"/>
    </row>
    <row r="533" spans="2:50" ht="15" customHeight="1" thickTop="1" thickBot="1" x14ac:dyDescent="0.35">
      <c r="B533" s="192"/>
      <c r="C533" s="192"/>
      <c r="D533" s="192"/>
      <c r="E533" s="192"/>
      <c r="F533" s="192"/>
      <c r="G533" s="192"/>
      <c r="H533" s="192"/>
      <c r="I533" s="192"/>
      <c r="J533" s="192"/>
      <c r="K533" s="192"/>
      <c r="L533" s="192"/>
      <c r="M533" s="192"/>
      <c r="N533" s="192"/>
      <c r="O533" s="192"/>
      <c r="P533" s="192"/>
      <c r="Q533" s="192"/>
      <c r="R533" s="192"/>
      <c r="S533" s="192"/>
      <c r="T533" s="120"/>
      <c r="U533" s="121" t="s">
        <v>101</v>
      </c>
      <c r="V533" s="122" t="s">
        <v>102</v>
      </c>
      <c r="W533" s="122" t="s">
        <v>103</v>
      </c>
      <c r="X533" s="123" t="s">
        <v>104</v>
      </c>
      <c r="Y533" s="238">
        <v>3</v>
      </c>
      <c r="Z533" s="239" t="str">
        <f>IF(U528="","",IF(OR(Group_players=3,AND(Group_players=4,COUNTBLANK(I527:I530)=1)),IF(COUNTIF(M527:M529,M529)=1,"",IF(COUNTIF(U526:U528,U528)=3,IF(AND(U536=U534,U536=U535),"Tied",IF(AND(U536&lt;&gt;U535,U535&lt;&gt;U534,U536&lt;&gt;U534),(IF(SMALL(U534:U536,1)=U536,1,IF(SMALL(U534:U536,2)=U536,2,IF(SMALL(U534:U536,3)=U536,3)))),IF(AND(U536&lt;U535,U535=U534),1,IF(AND(U536&gt;U535,U535=U534),3,IF(AND(U536=U535,U536&lt;U534),(IF(Q542=3,1,2)),IF(AND(U536=U535,U536&gt;U534),(IF(Q542=3,2,3)),IF(AND(U536=U534,U536&lt;U535),(IF(Q539=3,1,2)),IF(AND(U536=U534,U536&gt;U535),(IF(Q539=3,2,3)),99)))))))),"")),""))</f>
        <v/>
      </c>
      <c r="AA533" s="240">
        <v>3</v>
      </c>
      <c r="AB533" s="241" t="str">
        <f>IF(AND(COUNTBLANK(I527:I530)=0,Group_players=4,M527=M528,M528=M529),IF(COUNTIF(U526:U529,U528)=3,AB546,IF(AND(COUNTIF(U526:U529,U528)=1,U526&lt;&gt;U527),IF(M527=2,IF(SMALL(U526:U529,1)=U528,1,IF(SMALL(U526:U529,2)=U528,2,IF(SMALL(U526:U529,3)=U528,3))),IF(M529=1,IF(SMALL(U526:U529,1)=U528,2,IF(SMALL(U526:U529,2)=U528,3,IF(SMALL(U526:U529,3)=U528,4))),"")),IF(COUNTIF(U526:U529,U528)=1,IF(U528&lt;U527,IF(M529=2,1,2),IF(M529=2,3,4)),IF(COUNTIF(U526:U529,U528)=2,IF(U528=U527,IF(U528&lt;U526,IF(M529=2,IF(Q548=3,1,2),IF(M529=1,IF(Q548=3,2,3))),IF(U528&gt;U526,IF(M529=2,IF(Q548=3,2,3),IF(M529=1,IF(Q548=3,3,4))))),IF(U528=U526,IF(U528&lt;U527,IF(M529=2,IF(Q539=3,1,2),IF(M529=1,IF(Q539=3,2,3))),IF(U528&gt;U527,IF(M529=2,IF(Q539=3,2,3),IF(M529=1,IF(Q539=3,3,4))))))),"")))),"")</f>
        <v/>
      </c>
      <c r="AC533" s="192"/>
      <c r="AD533" s="192"/>
      <c r="AE533" s="192"/>
      <c r="AF533" s="203"/>
      <c r="AG533" s="203"/>
      <c r="AH533" s="203"/>
      <c r="AI533" s="203"/>
      <c r="AJ533" s="203"/>
      <c r="AK533" s="203"/>
      <c r="AL533" s="203"/>
      <c r="AM533" s="203"/>
      <c r="AN533" s="192"/>
      <c r="AO533" s="192"/>
      <c r="AP533" s="192"/>
      <c r="AQ533" s="192"/>
      <c r="AR533" s="192"/>
      <c r="AS533" s="192"/>
      <c r="AT533" s="192"/>
      <c r="AU533" s="192"/>
      <c r="AV533" s="192"/>
      <c r="AW533" s="192"/>
      <c r="AX533" s="192"/>
    </row>
    <row r="534" spans="2:50" ht="15" customHeight="1" thickTop="1" thickBot="1" x14ac:dyDescent="0.35">
      <c r="B534" s="192"/>
      <c r="C534" s="192"/>
      <c r="D534" s="192"/>
      <c r="E534" s="192"/>
      <c r="F534" s="192"/>
      <c r="G534" s="192"/>
      <c r="H534" s="192"/>
      <c r="I534" s="192"/>
      <c r="J534" s="192"/>
      <c r="K534" s="192"/>
      <c r="L534" s="192"/>
      <c r="M534" s="192"/>
      <c r="N534" s="192"/>
      <c r="O534" s="192"/>
      <c r="P534" s="192"/>
      <c r="Q534" s="192"/>
      <c r="R534" s="192"/>
      <c r="S534" s="192"/>
      <c r="T534" s="208">
        <v>1</v>
      </c>
      <c r="U534" s="209" t="str">
        <f>IF(U526="","",IF(OR(U526&lt;&gt;U527,U526&lt;&gt;U528),"",IF(COUNTIF(M527:M529,M527)=1,"",IF(COUNTBLANK(I527:I530)=1,(SUM(L539:P539)+SUM(L545:P545))/(SUM(L538:P538)+SUM(L544:P544)),IF(COUNTBLANK(I527:I530)=0,(SUM(L551:P551)+SUM(L539:P539))/(SUM(L550:P550)+SUM(L538:P538)),"")))))</f>
        <v/>
      </c>
      <c r="V534" s="125" t="str">
        <f>IF(V526="","",IF(OR(V526&lt;&gt;V528,V526&lt;&gt;V529),"",IF(AND(COUNTBLANK(I527:I530)=0,M527=M529,M529=M530),(SUM(L539:P539)+SUM(L545:P545))/(SUM(L538:P538)+SUM(L544:P544)),"")))</f>
        <v/>
      </c>
      <c r="W534" s="210" t="str">
        <f>IF(W526="","",IF(OR(W526&lt;&gt;W527,W526&lt;&gt;W529),"",IF(AND(COUNTBLANK(I527:I530)=0,M527=M528,M528=M530),(SUM(L551:P551)+SUM(L545:P545))/(SUM(L550:P550)+SUM(L544:P544)),"")))</f>
        <v/>
      </c>
      <c r="X534" s="211"/>
      <c r="Y534" s="242"/>
      <c r="Z534" s="242"/>
      <c r="AA534" s="243">
        <v>1</v>
      </c>
      <c r="AB534" s="244" t="str">
        <f>IF(AND(COUNTBLANK(I527:I530)=0,Group_players=4,M527=M529,M529=M530),IF(COUNTIF(V526:V529,V526)=3,AB547,IF(AND(COUNTIF(V526:V529,V526)=1,V528&lt;&gt;U537),IF(M527=2,IF(SMALL(V526:V529,1)=V526,1,IF(SMALL(V526:V529,2)=V526,2,IF(SMALL(V526:V529,3)=V526,3))),IF(M527=1,IF(SMALL(V526:V529,1)=V526,2,IF(SMALL(V526:V529,2)=V526,3,IF(SMALL(V526:V529,3)=V526,4))),"")),IF(COUNTIF(V526:V529,V526)=1,IF(V526&lt;V528,IF(M527=2,1,2),IF(M527=2,3,4)),IF(COUNTIF(V526:V529,V526)=2,IF(V526=V528,IF(V526&lt;V529,IF(M527=2,IF(Q538=3,1,2),IF(M527=1,IF(Q538=3,2,3))),IF(V526&gt;V529,IF(M527=2,IF(Q538=3,2,3),IF(M527=1,IF(Q538=3,3,4))))),IF(V526=V529,IF(V526&lt;V528,IF(M527=2,IF(Q544=3,1,2),IF(M527=1,IF(Q544=3,2,3))),IF(V526&gt;V527,IF(M527=2,IF(Q544=3,2,3),IF(M527=1,IF(Q544=3,3,4))))))),"")))),"")</f>
        <v/>
      </c>
      <c r="AC534" s="192"/>
      <c r="AD534" s="192"/>
      <c r="AE534" s="192"/>
      <c r="AF534" s="203"/>
      <c r="AG534" s="203"/>
      <c r="AH534" s="203"/>
      <c r="AI534" s="203"/>
      <c r="AJ534" s="203"/>
      <c r="AK534" s="203"/>
      <c r="AL534" s="203"/>
      <c r="AM534" s="203"/>
      <c r="AN534" s="192"/>
      <c r="AO534" s="192"/>
      <c r="AP534" s="192"/>
      <c r="AQ534" s="192"/>
      <c r="AR534" s="192"/>
      <c r="AS534" s="192"/>
      <c r="AT534" s="192"/>
      <c r="AU534" s="192"/>
      <c r="AV534" s="192"/>
      <c r="AW534" s="192"/>
      <c r="AX534" s="192"/>
    </row>
    <row r="535" spans="2:50" ht="15" customHeight="1" thickTop="1" thickBot="1" x14ac:dyDescent="0.35">
      <c r="B535" s="192"/>
      <c r="C535" s="192"/>
      <c r="D535" s="192"/>
      <c r="E535" s="117"/>
      <c r="F535" s="117"/>
      <c r="G535" s="117"/>
      <c r="H535" s="192"/>
      <c r="I535" s="192"/>
      <c r="J535" s="192"/>
      <c r="K535" s="192"/>
      <c r="L535" s="192"/>
      <c r="M535" s="192"/>
      <c r="N535" s="192"/>
      <c r="O535" s="192"/>
      <c r="P535" s="192"/>
      <c r="Q535" s="192"/>
      <c r="R535" s="192"/>
      <c r="S535" s="394" t="s">
        <v>112</v>
      </c>
      <c r="T535" s="208">
        <v>2</v>
      </c>
      <c r="U535" s="209" t="str">
        <f>IF(U526="","",IF(OR(U527&lt;&gt;U526,U527&lt;&gt;U528),"",IF(COUNTIF(M527:M529,M528)=1,"",IF(COUNTBLANK(I527:I530)=1,(SUM(L542:P542)+SUM(L544:P544))/(SUM(L541:P541)+SUM(L545:P545)),IF(COUNTBLANK(I527:I530)=0,(SUM(L550:P550)+SUM(L548:P548))/(SUM(L551:P551)+SUM(L547:P547)))))))</f>
        <v/>
      </c>
      <c r="V535" s="135"/>
      <c r="W535" s="212" t="str">
        <f>IF(W526="","",IF(OR(W527&lt;&gt;W526,W527&lt;&gt;W529),"",IF(AND(COUNTBLANK(I527:I530)=0,M527=M528,M528=M530),(SUM(L542:P542)+SUM(L550:P550))/(SUM(L551:P551)+SUM(L541:P541)),"")))</f>
        <v/>
      </c>
      <c r="X535" s="245" t="str">
        <f>IF(X527="","",IF(OR(X527&lt;&gt;X528,X527&lt;&gt;X529),"",IF(AND(COUNTBLANK(I527:I530)=0,M528=M529,M529=M530),(SUM(L548:P548)+SUM(L542:P542))/(SUM(L547:P547)+SUM(L541:P541)),"")))</f>
        <v/>
      </c>
      <c r="Y535" s="242"/>
      <c r="Z535" s="203"/>
      <c r="AA535" s="246">
        <v>3</v>
      </c>
      <c r="AB535" s="222" t="str">
        <f>IF(AND(COUNTBLANK(I527:I530)=0,Group_players=4,M527=M529,M529=M530),IF(COUNTIF(V526:V529,V528)=3,AB548,IF(AND(COUNTIF(V526:V529,V528)=1,V526&lt;&gt;V529),IF(M529=2,IF(SMALL(V526:V529,1)=V528,1,IF(SMALL(V526:V529,2)=V528,2,IF(SMALL(V526:V529,3)=V528,3))),IF(M529=1,IF(SMALL(V526:V529,1)=V528,2,IF(SMALL(V526:V529,2)=V528,3,IF(SMALL(V526:V529,3)=V528,4))),"")),IF(COUNTIF(V526:V529,V528)=1,IF(V528&lt;V526,IF(M529=2,1,2),IF(M529=2,3,4)),IF(COUNTIF(V526:V529,V528)=2,IF(V528=V526,IF(V528&lt;V529,IF(M529=2,IF(Q539=3,1,2),IF(M529=1,IF(Q539=3,2,3))),IF(V528&gt;V529,IF(M529=2,IF(Q539=3,2,3),IF(M529=1,IF(Q539=3,3,4))))),IF(V528=V529,IF(V528&lt;V526,IF(M529=2,IF(Q553=3,1,2),IF(M529=1,IF(Q553=3,2,3))),IF(V528&gt;V526,IF(M529=2,IF(Q553=3,2,3),IF(M529=1,IF(Q553=3,3,4))))))),"")))),"")</f>
        <v/>
      </c>
      <c r="AC535" s="192"/>
      <c r="AD535" s="192"/>
      <c r="AE535" s="192"/>
      <c r="AF535" s="203"/>
      <c r="AG535" s="203"/>
      <c r="AH535" s="203"/>
      <c r="AI535" s="203"/>
      <c r="AJ535" s="203"/>
      <c r="AK535" s="203"/>
      <c r="AL535" s="203"/>
      <c r="AM535" s="203"/>
      <c r="AN535" s="192"/>
      <c r="AO535" s="192"/>
      <c r="AP535" s="192"/>
      <c r="AQ535" s="192"/>
      <c r="AR535" s="192"/>
      <c r="AS535" s="192"/>
      <c r="AT535" s="192"/>
      <c r="AU535" s="192"/>
      <c r="AV535" s="192"/>
      <c r="AW535" s="192"/>
      <c r="AX535" s="192"/>
    </row>
    <row r="536" spans="2:50" ht="15" customHeight="1" thickTop="1" thickBot="1" x14ac:dyDescent="0.35">
      <c r="B536" s="192"/>
      <c r="C536" s="192"/>
      <c r="D536" s="192"/>
      <c r="E536" s="117"/>
      <c r="F536" s="117"/>
      <c r="G536" s="117"/>
      <c r="H536" s="192"/>
      <c r="I536" s="192"/>
      <c r="J536" s="192"/>
      <c r="K536" s="192"/>
      <c r="L536" s="192"/>
      <c r="M536" s="192"/>
      <c r="N536" s="192"/>
      <c r="O536" s="192"/>
      <c r="P536" s="192"/>
      <c r="Q536" s="192"/>
      <c r="R536" s="247"/>
      <c r="S536" s="395"/>
      <c r="T536" s="208">
        <v>3</v>
      </c>
      <c r="U536" s="209" t="str">
        <f>IF(U526="","",IF(OR(U528&lt;&gt;U526,U528&lt;&gt;U527),"",IF(COUNTIF(M527:M529,M529)=1,"",IF(COUNTBLANK(I527:I530)=1,(SUM(L538:P538)+SUM(L541:P541))/(SUM(L539:P539)+SUM(L542:P542)),IF(COUNTBLANK(I527:I530)=0,(SUM(L538:P538)+SUM(L547:P547))/(SUM(L539:P539)+SUM(L548:P548)))))))</f>
        <v/>
      </c>
      <c r="V536" s="125" t="str">
        <f>IF(V526="","",IF(OR(V528&lt;&gt;V526,V528&lt;&gt;V529),"",IF(AND(COUNTBLANK(I527:I530)=0,M527=M529,M529=M530),(SUM(L538:P538)+SUM(L554:P554))/(SUM(L539:P539)+SUM(L553:P553)),"")))</f>
        <v/>
      </c>
      <c r="W536" s="218"/>
      <c r="X536" s="245" t="str">
        <f>IF(X527="","",IF(OR(X528&lt;&gt;X527,X528&lt;&gt;X529),"",IF(AND(COUNTBLANK(I527:I530)=0,M528=M529,M529=M530),(SUM(L547:P547)+SUM(L554:P554))/(SUM(L548:P548)+SUM(L553:P553)),"")))</f>
        <v/>
      </c>
      <c r="Y536" s="208"/>
      <c r="Z536" s="203"/>
      <c r="AA536" s="240">
        <v>4</v>
      </c>
      <c r="AB536" s="222" t="str">
        <f>IF(AND(COUNTBLANK(I527:I530)=0,Group_players=4,M527=M529,M529=M530),IF(COUNTIF(V526:V529,V529)=3,AB549,IF(AND(COUNTIF(V526:V529,V529)=1,V528&lt;&gt;V526),IF(M530=2,IF(SMALL(V526:V529,1)=V529,1,IF(SMALL(V526:V529,2)=V529,2,IF(SMALL(V526:V529,3)=V529,3))),IF(M530=1,IF(SMALL(V526:V529,1)=V529,2,IF(SMALL(V526:V529,2)=V529,3,IF(SMALL(V526:V529,3)=V529,4))),"")),IF(COUNTIF(V526:V529,V529)=1,IF(V529&lt;V526,IF(M530=2,1,2),IF(M530=2,3,4)),IF(COUNTIF(V526:V529,V529)=2,IF(V529=V526,IF(V529&lt;V528,IF(M530=2,IF(Q545=3,1,2),IF(M530=1,IF(Q545=3,2,3))),IF(V529&gt;V528,IF(M530=2,IF(Q545=3,2,3),IF(M530=1,IF(Q545=3,3,4))))),IF(V529=V528,IF(V529&lt;V526,IF(M530=2,IF(Q554=3,1,2),IF(M530=1,IF(Q554=3,2,3))),IF(V529&gt;V526,IF(M530=2,IF(Q554=3,2,3),IF(M530=1,IF(Q554=3,3,4))))))),"")))),"")</f>
        <v/>
      </c>
      <c r="AC536" s="192"/>
      <c r="AD536" s="192"/>
      <c r="AE536" s="192"/>
      <c r="AF536" s="203"/>
      <c r="AG536" s="203"/>
      <c r="AH536" s="203"/>
      <c r="AI536" s="203"/>
      <c r="AJ536" s="203"/>
      <c r="AK536" s="203"/>
      <c r="AL536" s="203"/>
      <c r="AM536" s="203"/>
      <c r="AN536" s="192"/>
      <c r="AO536" s="192"/>
      <c r="AP536" s="192"/>
      <c r="AQ536" s="192"/>
      <c r="AR536" s="192"/>
      <c r="AS536" s="192"/>
      <c r="AT536" s="192"/>
      <c r="AU536" s="192"/>
      <c r="AV536" s="192"/>
      <c r="AW536" s="192"/>
      <c r="AX536" s="192"/>
    </row>
    <row r="537" spans="2:50" ht="15" customHeight="1" thickTop="1" thickBot="1" x14ac:dyDescent="0.35">
      <c r="B537" s="192"/>
      <c r="C537" s="192"/>
      <c r="D537" s="192"/>
      <c r="E537" s="168" t="s">
        <v>113</v>
      </c>
      <c r="F537" s="168" t="s">
        <v>114</v>
      </c>
      <c r="G537" s="117"/>
      <c r="H537" s="192"/>
      <c r="I537" s="249" t="s">
        <v>115</v>
      </c>
      <c r="J537" s="249"/>
      <c r="K537" s="249"/>
      <c r="L537" s="250" t="s">
        <v>115</v>
      </c>
      <c r="M537" s="250" t="s">
        <v>116</v>
      </c>
      <c r="N537" s="250" t="s">
        <v>117</v>
      </c>
      <c r="O537" s="250" t="s">
        <v>118</v>
      </c>
      <c r="P537" s="250" t="s">
        <v>119</v>
      </c>
      <c r="Q537" s="250" t="s">
        <v>120</v>
      </c>
      <c r="R537" s="250"/>
      <c r="S537" s="251"/>
      <c r="T537" s="208">
        <v>4</v>
      </c>
      <c r="U537" s="223"/>
      <c r="V537" s="140" t="str">
        <f>IF(V526="","",IF(OR(V529&lt;&gt;V526,V529&lt;&gt;V528),"",IF(AND(COUNTBLANK(I527:I530)=0,M527=M529,M529=M530),(SUM(L544:P544)+SUM(L553:P553))/(SUM(L545:P545)+SUM(L554:P554)),"")))</f>
        <v/>
      </c>
      <c r="W537" s="224" t="str">
        <f>IF(W526="","",IF(OR(W529&lt;&gt;W526,W529&lt;&gt;W527),"",IF(AND(COUNTBLANK(I527:I530)=0,M527=M528,M528=M530),(SUM(L544:P544)+SUM(L541:P541))/(SUM(L545:P545)+SUM(L542:P542)),"")))</f>
        <v/>
      </c>
      <c r="X537" s="252" t="str">
        <f>IF(X527="","",IF(OR(X529&lt;&gt;X527,X529&lt;&gt;X528),"",IF(AND(COUNTBLANK(I527:I530)=0,M528=M529,M529=M530),(SUM(L541:P541)+SUM(L553:P553))/(SUM(L542:P542)+SUM(L554:P554)),"")))</f>
        <v/>
      </c>
      <c r="Y537" s="192"/>
      <c r="Z537" s="203"/>
      <c r="AA537" s="243">
        <v>1</v>
      </c>
      <c r="AB537" s="151" t="str">
        <f>IF(AND(COUNTBLANK(I527:I530)=0,Group_players=4,M527=M528,M528=M530),IF(COUNTIF(W526:W529,W526)=3,AB550,IF(AND(COUNTIF(W526:W529,W526)=1,W527&lt;&gt;W529),IF(M527=2,IF(SMALL(W526:W529,1)=W526,1,IF(SMALL(W526:W529,2)=W526,2,IF(SMALL(W526:W529,3)=W526,3))),IF(M527=1,IF(SMALL(W526:W529,1)=W526,2,IF(SMALL(W526:W529,2)=W526,3,IF(SMALL(W526:W529,3)=W526,4))),"")),IF(COUNTIF(W526:W529,W526)=1,IF(W526&lt;W527,IF(M527=2,1,2),IF(M527=2,3,4)),IF(COUNTIF(W526:W529,W526)=2,IF(W526=W527,IF(W526&lt;W529,IF(M527=2,IF(Q550=3,1,2),IF(M527=1,IF(Q550=3,2,3))),IF(W526&gt;W529,IF(M527=2,IF(Q550=3,2,3),IF(M527=1,IF(Q550=3,3,4))))),IF(W526=W529,IF(W526&lt;W527,IF(M527=2,IF(Q544=3,1,2),IF(M527=1,IF(Q544=3,2,3))),IF(W526&gt;W527,IF(M527=2,IF(Q544=3,2,3),IF(M527=1,IF(Q544=3,3,4))))))),"")))),"")</f>
        <v/>
      </c>
      <c r="AC537" s="192"/>
      <c r="AD537" s="192"/>
      <c r="AE537" s="192"/>
      <c r="AF537" s="203"/>
      <c r="AG537" s="203"/>
      <c r="AH537" s="203"/>
      <c r="AI537" s="203"/>
      <c r="AJ537" s="203"/>
      <c r="AK537" s="203"/>
      <c r="AL537" s="203"/>
      <c r="AM537" s="203"/>
      <c r="AN537" s="192"/>
      <c r="AO537" s="192"/>
      <c r="AP537" s="192"/>
      <c r="AQ537" s="192"/>
      <c r="AR537" s="192"/>
      <c r="AS537" s="192"/>
      <c r="AT537" s="192"/>
      <c r="AU537" s="192"/>
      <c r="AV537" s="192"/>
      <c r="AW537" s="192"/>
      <c r="AX537" s="192"/>
    </row>
    <row r="538" spans="2:50" ht="15" customHeight="1" thickTop="1" x14ac:dyDescent="0.3">
      <c r="B538" s="192"/>
      <c r="C538" s="192"/>
      <c r="D538" s="192"/>
      <c r="E538" s="164" t="str">
        <f>IF(Q538="","",IF(Q538=3,1,0))</f>
        <v/>
      </c>
      <c r="F538" s="164" t="str">
        <f>IF(Q538="","",IF(Q538&lt;3,1,0))</f>
        <v/>
      </c>
      <c r="G538" s="192"/>
      <c r="H538" s="192" t="str">
        <f>IF(I527="","",1)</f>
        <v/>
      </c>
      <c r="I538" s="192" t="str">
        <f>IF(ISNUMBER(H538),VLOOKUP(H538,H527:I530,2,TRUE),"")</f>
        <v/>
      </c>
      <c r="J538" s="192"/>
      <c r="K538" s="192" t="str">
        <f>VLOOKUP(I538,I527:L530,3,FALSE)</f>
        <v/>
      </c>
      <c r="L538" s="253"/>
      <c r="M538" s="254"/>
      <c r="N538" s="254"/>
      <c r="O538" s="152"/>
      <c r="P538" s="153"/>
      <c r="Q538" s="255" t="str">
        <f>IF(L538="","",IF(AND(L538-L539&gt;1,L538&gt;10),1,0)+IF(AND(M538-M539&gt;1,M538&gt;10),1,0)+IF(AND(N538-N539&gt;1,N538&gt;10),1,0)+IF(AND(O538-O539&gt;1,O538&gt;10),1,0)+IF(AND(P538-P539&gt;1,P538&gt;10),1,0))</f>
        <v/>
      </c>
      <c r="R538" s="203" t="str">
        <f>IF(AND(I538="",I539=""),"",ABS(VLOOKUP(I538,I527:L530,4,FALSE)-VLOOKUP(I539,I527:L530,4,FALSE)))</f>
        <v/>
      </c>
      <c r="S538" s="256" t="str">
        <f>IF(R539="","",IF(Q538=3,+R539,-R539))</f>
        <v/>
      </c>
      <c r="T538" s="257"/>
      <c r="U538" s="258"/>
      <c r="V538" s="258"/>
      <c r="W538" s="258"/>
      <c r="X538" s="258"/>
      <c r="Y538" s="192"/>
      <c r="Z538" s="203"/>
      <c r="AA538" s="246">
        <v>2</v>
      </c>
      <c r="AB538" s="154" t="str">
        <f>IF(AND(COUNTBLANK(I527:I530)=0,Group_players=4,M527=M528,M528=M530),IF(COUNTIF(W526:W529,W527)=3,AB551,IF(AND(COUNTIF(W526:W529,W527)=1,W526&lt;&gt;W528),IF(M528=2,IF(SMALL(W526:W529,1)=W527,1,IF(SMALL(W526:W529,2)=W527,2,IF(SMALL(W526:W529,3)=W527,3))),IF(M528=1,IF(SMALL(W526:W529,1)=W527,2,IF(SMALL(W526:W529,2)=W527,3,IF(SMALL(W526:W529,3)=W527,4))),"")),IF(COUNTIF(W526:W529,W527)=1,IF(W527&lt;W526,IF(M528=2,1,2),IF(M528=2,3,4)),IF(COUNTIF(W526:W529,W527)=2,IF(W527=W526,IF(W527&lt;W529,IF(M528=2,IF(Q551=3,1,2),IF(M528=1,IF(Q551=3,2,3))),IF(W527&gt;W529,IF(M528=2,IF(Q551=3,2,3),IF(M528=1,IF(Q551=3,3,4))))),IF(W527=W529,IF(W527&lt;W526,IF(M528=2,IF(Q541=3,1,2),IF(M528=1,IF(Q541=3,2,3))),IF(W527&gt;W526,IF(M528=2,IF(Q541=3,2,3),IF(M528=1,IF(Q541=3,3,4))))))),"")))),"")</f>
        <v/>
      </c>
      <c r="AC538" s="192"/>
      <c r="AD538" s="192"/>
      <c r="AE538" s="192"/>
      <c r="AF538" s="203"/>
      <c r="AG538" s="203"/>
      <c r="AH538" s="203"/>
      <c r="AI538" s="203"/>
      <c r="AJ538" s="203"/>
      <c r="AK538" s="203"/>
      <c r="AL538" s="203"/>
      <c r="AM538" s="203"/>
      <c r="AN538" s="192"/>
      <c r="AO538" s="192"/>
      <c r="AP538" s="192"/>
      <c r="AQ538" s="192"/>
      <c r="AR538" s="192"/>
      <c r="AS538" s="192"/>
      <c r="AT538" s="192"/>
      <c r="AU538" s="192"/>
      <c r="AV538" s="192"/>
      <c r="AW538" s="192"/>
      <c r="AX538" s="192"/>
    </row>
    <row r="539" spans="2:50" ht="15" customHeight="1" thickBot="1" x14ac:dyDescent="0.35">
      <c r="B539" s="192"/>
      <c r="C539" s="192"/>
      <c r="D539" s="192"/>
      <c r="E539" s="164" t="str">
        <f>IF(Q539="","",IF(Q539=3,1,0))</f>
        <v/>
      </c>
      <c r="F539" s="164" t="str">
        <f>IF(Q539="","",IF(Q539&lt;3,1,0))</f>
        <v/>
      </c>
      <c r="G539" s="192"/>
      <c r="H539" s="192" t="str">
        <f>IF(I528="","",IF(I529="",2,3))</f>
        <v/>
      </c>
      <c r="I539" s="192" t="str">
        <f>IF(ISNUMBER(H539),VLOOKUP(H539,H527:I530,2,TRUE),"")</f>
        <v/>
      </c>
      <c r="J539" s="192"/>
      <c r="K539" s="192" t="str">
        <f>VLOOKUP(I539,I527:L530,3,FALSE)</f>
        <v/>
      </c>
      <c r="L539" s="155"/>
      <c r="M539" s="259"/>
      <c r="N539" s="259"/>
      <c r="O539" s="156"/>
      <c r="P539" s="157"/>
      <c r="Q539" s="260" t="str">
        <f>IF(L539="","",IF(AND(L539-L538&gt;1,L539&gt;10),1,0)+IF(AND(M539-M538&gt;1,M539&gt;10),1,0)+IF(AND(N539-N538&gt;1,N539&gt;10),1,0)+IF(AND(O539-O538&gt;1,O539&gt;10),1,0)+IF(AND(P539-P538&gt;1,P539&gt;10),1,0))</f>
        <v/>
      </c>
      <c r="R539" s="203" t="str">
        <f>IF(AND(Q538&lt;&gt;3,Q539&lt;&gt;3),"",IF(Q538=3,IF(VLOOKUP(I538,I527:L530,4,FALSE)&gt;VLOOKUP(I539,I527:L530,4,FALSE),VLOOKUP(R538,Point_dif,2,FALSE),VLOOKUP(R538,Point_dif,3,FALSE)),IF(Q539=3,IF(VLOOKUP(I539,I527:L530,4,FALSE)&gt;VLOOKUP(I538,I527:L530,4,FALSE),VLOOKUP(R538,Point_dif,2,FALSE),VLOOKUP(R538,Point_dif,3,FALSE)))))</f>
        <v/>
      </c>
      <c r="S539" s="256" t="str">
        <f>IF(R539="","",IF(Q539=3,+R539,-R539))</f>
        <v/>
      </c>
      <c r="T539" s="192"/>
      <c r="U539" s="235"/>
      <c r="V539" s="235"/>
      <c r="W539" s="235"/>
      <c r="X539" s="235"/>
      <c r="Y539" s="235"/>
      <c r="Z539" s="235"/>
      <c r="AA539" s="240">
        <v>4</v>
      </c>
      <c r="AB539" s="158" t="str">
        <f>IF(AND(COUNTBLANK(I527:I530)=0,Group_players=4,M527=M528,M528=M530),IF(COUNTIF(W526:W529,W529)=3,AB552,IF(AND(COUNTIF(W526:W529,W529)=1,W526&lt;&gt;W527),IF(M530=2,IF(SMALL(W526:W529,1)=W529,1,IF(SMALL(W526:W529,2)=W529,2,IF(SMALL(W526:W529,3)=W529,3))),IF(M530=1,IF(SMALL(W526:W529,1)=W529,2,IF(SMALL(W526:W529,2)=W529,3,IF(SMALL(W526:W529,3)=W529,4))),"")),IF(COUNTIF(W526:W529,W529)=1,IF(W529&lt;W526,IF(M530=2,1,2),IF(M530=2,3,4)),IF(COUNTIF(W526:W529,W529)=2,IF(W529=W526,IF(W529&lt;W527,IF(M530=2,IF(Q545=3,1,2),IF(M530=1,IF(Q545=3,2,3))),IF(W529&gt;W528,IF(M530=2,IF(Q545=3,2,3),IF(M530=1,IF(Q545=3,3,4))))),IF(W529=W527,IF(W529&lt;W526,IF(M530=2,IF(Q542=3,1,2),IF(M530=1,IF(Q542=3,2,3))),IF(W529&gt;W526,IF(M530=2,IF(Q542=3,2,3),IF(M530=1,IF(Q542=3,3,4))))))),"")))),"")</f>
        <v/>
      </c>
      <c r="AC539" s="192"/>
      <c r="AD539" s="192"/>
      <c r="AE539" s="192"/>
      <c r="AF539" s="203"/>
      <c r="AG539" s="203"/>
      <c r="AH539" s="203"/>
      <c r="AI539" s="203"/>
      <c r="AJ539" s="203"/>
      <c r="AK539" s="203"/>
      <c r="AL539" s="203"/>
      <c r="AM539" s="203"/>
      <c r="AN539" s="192"/>
      <c r="AO539" s="192"/>
      <c r="AP539" s="192"/>
      <c r="AQ539" s="192"/>
      <c r="AR539" s="192"/>
      <c r="AS539" s="192"/>
      <c r="AT539" s="192"/>
      <c r="AU539" s="192"/>
      <c r="AV539" s="192"/>
      <c r="AW539" s="192"/>
      <c r="AX539" s="192"/>
    </row>
    <row r="540" spans="2:50" ht="15" customHeight="1" thickTop="1" thickBot="1" x14ac:dyDescent="0.35">
      <c r="B540" s="192"/>
      <c r="C540" s="192"/>
      <c r="D540" s="192"/>
      <c r="E540" s="164"/>
      <c r="F540" s="164"/>
      <c r="G540" s="192"/>
      <c r="H540" s="192"/>
      <c r="I540" s="249" t="s">
        <v>116</v>
      </c>
      <c r="J540" s="249"/>
      <c r="K540" s="249"/>
      <c r="L540" s="250" t="s">
        <v>115</v>
      </c>
      <c r="M540" s="250" t="s">
        <v>116</v>
      </c>
      <c r="N540" s="250" t="s">
        <v>117</v>
      </c>
      <c r="O540" s="250" t="s">
        <v>118</v>
      </c>
      <c r="P540" s="250" t="s">
        <v>119</v>
      </c>
      <c r="Q540" s="250" t="s">
        <v>120</v>
      </c>
      <c r="R540" s="250"/>
      <c r="S540" s="251"/>
      <c r="T540" s="192"/>
      <c r="U540" s="235"/>
      <c r="V540" s="235"/>
      <c r="W540" s="235"/>
      <c r="X540" s="235"/>
      <c r="Y540" s="235"/>
      <c r="Z540" s="235"/>
      <c r="AA540" s="243">
        <v>2</v>
      </c>
      <c r="AB540" s="151" t="str">
        <f>IF(AND(COUNTBLANK(I527:I530)=0,Group_players=4,M528=M529,M529=M530),IF(COUNTIF(X526:X529,X527)=3,AB553,IF(AND(COUNTIF(X526:X529,X527)=1,X528&lt;&gt;X529),IF(M528=2,IF(SMALL(X526:X529,1)=X527,1,IF(SMALL(X526:X529,2)=X527,2,IF(SMALL(X526:X529,3)=X527,3))),IF(M528=1,IF(SMALL(X526:X529,1)=X527,2,IF(SMALL(X526:X529,2)=X527,3,IF(SMALL(X526:X529,3)=X527,4))),"")),IF(COUNTIF(X526:X529,X527)=1,IF(X527&lt;X529,IF(M528=2,1,2),IF(M528=1,3,3)),IF(COUNTIF(X526:X529,X527)=2,IF(X527=X528,IF(X527&lt;X529,IF(M528=2,IF(Q547=3,1,2),IF(M528=1,IF(Q547=3,2,3))),IF(X527&gt;X529,IF(M528=2,IF(Q547=3,2,3),IF(M528=1,IF(Q547=3,3,4))))),IF(X527=X529,IF(X527&lt;X528,IF(M528=2,IF(Q541=3,1,2),IF(M528=1,IF(Q541=3,2,3))),IF(X527&gt;X528,IF(M528=2,IF(Q541=3,2,3),IF(M528=1,IF(Q541=3,3,4))))))),"")))),"")</f>
        <v/>
      </c>
      <c r="AC540" s="192"/>
      <c r="AD540" s="192"/>
      <c r="AE540" s="192"/>
      <c r="AF540" s="203"/>
      <c r="AG540" s="203"/>
      <c r="AH540" s="203"/>
      <c r="AI540" s="203"/>
      <c r="AJ540" s="203"/>
      <c r="AK540" s="203"/>
      <c r="AL540" s="203"/>
      <c r="AM540" s="203"/>
      <c r="AN540" s="192"/>
      <c r="AO540" s="192"/>
      <c r="AP540" s="192"/>
      <c r="AQ540" s="192"/>
      <c r="AR540" s="192"/>
      <c r="AS540" s="192"/>
      <c r="AT540" s="192"/>
      <c r="AU540" s="192"/>
      <c r="AV540" s="192"/>
      <c r="AW540" s="192"/>
      <c r="AX540" s="192"/>
    </row>
    <row r="541" spans="2:50" ht="15" customHeight="1" thickTop="1" x14ac:dyDescent="0.3">
      <c r="B541" s="192"/>
      <c r="C541" s="192"/>
      <c r="D541" s="192"/>
      <c r="E541" s="164" t="str">
        <f>IF(Q541="","",IF(Q541=3,1,0))</f>
        <v/>
      </c>
      <c r="F541" s="164" t="str">
        <f>IF(Q541="","",IF(Q541&lt;3,1,0))</f>
        <v/>
      </c>
      <c r="G541" s="192"/>
      <c r="H541" s="192" t="str">
        <f>IF(I529="","",2)</f>
        <v/>
      </c>
      <c r="I541" s="192" t="str">
        <f>IF(ISNUMBER(H541),VLOOKUP(H541,H527:I530,2,TRUE),"")</f>
        <v/>
      </c>
      <c r="J541" s="192"/>
      <c r="K541" s="192" t="str">
        <f>VLOOKUP(I541,I527:L530,3,FALSE)</f>
        <v/>
      </c>
      <c r="L541" s="253"/>
      <c r="M541" s="254"/>
      <c r="N541" s="254"/>
      <c r="O541" s="152"/>
      <c r="P541" s="153"/>
      <c r="Q541" s="255" t="str">
        <f>IF(L541="","",IF(AND(L541-L542&gt;1,L541&gt;10),1,0)+IF(AND(M541-M542&gt;1,M541&gt;10),1,0)+IF(AND(N541-N542&gt;1,N541&gt;10),1,0)+IF(AND(O541-O542&gt;1,O541&gt;10),1,0)+IF(AND(P541-P542&gt;1,P541&gt;10),1,0))</f>
        <v/>
      </c>
      <c r="R541" s="203" t="str">
        <f>IF(AND(I541="",I542=""),"",ABS(VLOOKUP(I541,I527:L530,4,FALSE)-VLOOKUP(I542,I527:L530,4,FALSE)))</f>
        <v/>
      </c>
      <c r="S541" s="256" t="str">
        <f>IF(R542="","",IF(Q541=3,+R542,-R542))</f>
        <v/>
      </c>
      <c r="T541" s="192"/>
      <c r="U541" s="235"/>
      <c r="V541" s="235"/>
      <c r="W541" s="235"/>
      <c r="X541" s="235"/>
      <c r="Y541" s="235"/>
      <c r="Z541" s="235"/>
      <c r="AA541" s="246">
        <v>3</v>
      </c>
      <c r="AB541" s="154" t="str">
        <f>IF(AND(COUNTBLANK(I527:I530)=0,Group_players=4,M528=M529,M529=M530),IF(COUNTIF(X526:X529,X528)=3,AB554,IF(AND(COUNTIF(X526:X529,X528)=1,X527&lt;&gt;X529),IF(M529=2,IF(SMALL(X526:X529,1)=X528,1,IF(SMALL(X526:X529,2)=X528,2,IF(SMALL(X526:X529,3)=X528,3))),IF(M529=1,IF(SMALL(X526:X529,1)=X528,2,IF(SMALL(X526:X529,2)=X528,3,IF(SMALL(X526:X529,3)=X528,4))),"")),IF(COUNTIF(X526:X529,X528)=1,IF(X528&lt;X527,IF(M529=2,1,2),IF(M529=2,3,4)),IF(COUNTIF(X526:X529,X528)=2,IF(X528=X527,IF(X528&lt;X529,IF(M529=2,IF(Q548=3,1,2),IF(M529=1,IF(Q548=3,2,3))),IF(X528&gt;X529,IF(M529=2,IF(Q548=3,2,3),IF(M529=1,IF(Q548=3,3,4))))),IF(X528=X529,IF(X528&lt;X527,IF(M529=2,IF(Q553=3,1,2),IF(M529=1,IF(Q553=3,2,3))),IF(X528&gt;X527,IF(M529=2,IF(Q553=3,2,3),IF(M529=1,IF(Q553=3,3,4))))))),"")))),"")</f>
        <v/>
      </c>
      <c r="AC541" s="192"/>
      <c r="AD541" s="192"/>
      <c r="AE541" s="192"/>
      <c r="AF541" s="203"/>
      <c r="AG541" s="203"/>
      <c r="AH541" s="203"/>
      <c r="AI541" s="203"/>
      <c r="AJ541" s="203"/>
      <c r="AK541" s="203"/>
      <c r="AL541" s="203"/>
      <c r="AM541" s="203"/>
      <c r="AN541" s="192"/>
      <c r="AO541" s="192"/>
      <c r="AP541" s="192"/>
      <c r="AQ541" s="192"/>
      <c r="AR541" s="192"/>
      <c r="AS541" s="192"/>
      <c r="AT541" s="192"/>
      <c r="AU541" s="192"/>
      <c r="AV541" s="192"/>
      <c r="AW541" s="192"/>
      <c r="AX541" s="192"/>
    </row>
    <row r="542" spans="2:50" ht="15" customHeight="1" thickBot="1" x14ac:dyDescent="0.35">
      <c r="B542" s="192"/>
      <c r="C542" s="192"/>
      <c r="D542" s="192"/>
      <c r="E542" s="164" t="str">
        <f>IF(Q542="","",IF(Q542=3,1,0))</f>
        <v/>
      </c>
      <c r="F542" s="164" t="str">
        <f>IF(Q542="","",IF(Q542&lt;3,1,0))</f>
        <v/>
      </c>
      <c r="G542" s="192"/>
      <c r="H542" s="192" t="str">
        <f>IF(I529="","",IF(I530="",3,4))</f>
        <v/>
      </c>
      <c r="I542" s="192" t="str">
        <f>IF(ISNUMBER(H542),VLOOKUP(H542,H527:I530,2,TRUE),"")</f>
        <v/>
      </c>
      <c r="J542" s="192"/>
      <c r="K542" s="192" t="str">
        <f>VLOOKUP(I542,I527:L530,3,FALSE)</f>
        <v/>
      </c>
      <c r="L542" s="155"/>
      <c r="M542" s="259"/>
      <c r="N542" s="259"/>
      <c r="O542" s="156"/>
      <c r="P542" s="157"/>
      <c r="Q542" s="260" t="str">
        <f>IF(L542="","",IF(AND(L542-L541&gt;1,L542&gt;10),1,0)+IF(AND(M542-M541&gt;1,M542&gt;10),1,0)+IF(AND(N542-N541&gt;1,N542&gt;10),1,0)+IF(AND(O542-O541&gt;1,O542&gt;10),1,0)+IF(AND(P542-P541&gt;1,P542&gt;10),1,0))</f>
        <v/>
      </c>
      <c r="R542" s="203" t="str">
        <f>IF(AND(Q541&lt;&gt;3,Q542&lt;&gt;3),"",IF(Q541=3,IF(VLOOKUP(I541,I527:L530,4,FALSE)&gt;VLOOKUP(I542,I527:L530,4,FALSE),VLOOKUP(R541,Point_dif,2,FALSE),VLOOKUP(R541,Point_dif,3,FALSE)),IF(Q542=3,IF(VLOOKUP(I542,I527:L530,4,FALSE)&gt;VLOOKUP(I541,I527:L530,4,FALSE),VLOOKUP(R541,Point_dif,2,FALSE),VLOOKUP(R541,Point_dif,3,FALSE)))))</f>
        <v/>
      </c>
      <c r="S542" s="256" t="str">
        <f>IF(R542="","",IF(Q542=3,+R542,-R542))</f>
        <v/>
      </c>
      <c r="T542" s="192"/>
      <c r="U542" s="235"/>
      <c r="V542" s="235"/>
      <c r="W542" s="235"/>
      <c r="X542" s="235"/>
      <c r="Y542" s="235"/>
      <c r="Z542" s="235"/>
      <c r="AA542" s="261">
        <v>4</v>
      </c>
      <c r="AB542" s="158" t="str">
        <f>IF(AND(COUNTBLANK(I527:I530)=0,Group_players=4,M528=M529,M529=M530),IF(COUNTIF(X526:X529,X529)=3,AB555,IF(AND(COUNTIF(X526:X529,X529)=1,X528&lt;&gt;X527),IF(M530=2,IF(SMALL(X526:X529,1)=X529,1,IF(SMALL(X526:X529,2)=X529,2,IF(SMALL(X526:X529,3)=X529,3))),IF(M530=1,IF(SMALL(X526:X529,1)=X529,2,IF(SMALL(X526:X529,2)=X529,3,IF(SMALL(X526:X529,3)=X529,4))),"")),IF(COUNTIF(X526:X529,X529)=1,IF(X529&lt;X527,IF(M530=2,1,2),IF(M530=2,3,4)),IF(COUNTIF(X526:X529,X529)=2,IF(X529=X527,IF(X529&lt;X528,IF(M530=2,IF(Q542=3,1,2),IF(M530=1,IF(Q542=3,2,3))),IF(X529&gt;X528,IF(M530=2,IF(Q542=3,2,3),IF(M530=1,IF(Q542=3,3,4))))),IF(X529=X528,IF(X529&lt;X527,IF(M530=2,IF(Q554=3,1,2),IF(M530=1,IF(Q554=3,2,3))),IF(X529&gt;X527,IF(M530=2,IF(Q554=3,2,3),IF(M530=1,IF(Q554=3,3,4))))))),"")))),"")</f>
        <v/>
      </c>
      <c r="AC542" s="192"/>
      <c r="AD542" s="192"/>
      <c r="AE542" s="192"/>
      <c r="AF542" s="203"/>
      <c r="AG542" s="203"/>
      <c r="AH542" s="203"/>
      <c r="AI542" s="203"/>
      <c r="AJ542" s="203"/>
      <c r="AK542" s="203"/>
      <c r="AL542" s="203"/>
      <c r="AM542" s="203"/>
      <c r="AN542" s="192"/>
      <c r="AO542" s="192"/>
      <c r="AP542" s="192"/>
      <c r="AQ542" s="192"/>
      <c r="AR542" s="192"/>
      <c r="AS542" s="192"/>
      <c r="AT542" s="192"/>
      <c r="AU542" s="192"/>
      <c r="AV542" s="192"/>
      <c r="AW542" s="192"/>
      <c r="AX542" s="192"/>
    </row>
    <row r="543" spans="2:50" ht="15" customHeight="1" thickTop="1" thickBot="1" x14ac:dyDescent="0.35">
      <c r="B543" s="192"/>
      <c r="C543" s="192"/>
      <c r="D543" s="192"/>
      <c r="E543" s="164"/>
      <c r="F543" s="164"/>
      <c r="G543" s="192"/>
      <c r="H543" s="192"/>
      <c r="I543" s="249" t="s">
        <v>117</v>
      </c>
      <c r="J543" s="249"/>
      <c r="K543" s="249"/>
      <c r="L543" s="250" t="s">
        <v>115</v>
      </c>
      <c r="M543" s="250" t="s">
        <v>116</v>
      </c>
      <c r="N543" s="250" t="s">
        <v>117</v>
      </c>
      <c r="O543" s="250" t="s">
        <v>118</v>
      </c>
      <c r="P543" s="250" t="s">
        <v>119</v>
      </c>
      <c r="Q543" s="250" t="s">
        <v>120</v>
      </c>
      <c r="R543" s="250"/>
      <c r="S543" s="251"/>
      <c r="T543" s="263"/>
      <c r="U543" s="264"/>
      <c r="V543" s="242"/>
      <c r="W543" s="242"/>
      <c r="X543" s="264"/>
      <c r="Y543" s="192"/>
      <c r="Z543" s="203"/>
      <c r="AA543" s="126" t="s">
        <v>93</v>
      </c>
      <c r="AB543" s="265" t="s">
        <v>110</v>
      </c>
      <c r="AC543" s="192"/>
      <c r="AD543" s="192"/>
      <c r="AE543" s="192"/>
      <c r="AF543" s="203"/>
      <c r="AG543" s="203"/>
      <c r="AH543" s="203"/>
      <c r="AI543" s="203"/>
      <c r="AJ543" s="203"/>
      <c r="AK543" s="203"/>
      <c r="AL543" s="203"/>
      <c r="AM543" s="203"/>
      <c r="AN543" s="192"/>
      <c r="AO543" s="192"/>
      <c r="AP543" s="192"/>
      <c r="AQ543" s="192"/>
      <c r="AR543" s="192"/>
      <c r="AS543" s="192"/>
      <c r="AT543" s="192"/>
      <c r="AU543" s="192"/>
      <c r="AV543" s="192"/>
      <c r="AW543" s="192"/>
      <c r="AX543" s="192"/>
    </row>
    <row r="544" spans="2:50" ht="15" customHeight="1" thickTop="1" x14ac:dyDescent="0.3">
      <c r="B544" s="192"/>
      <c r="C544" s="192"/>
      <c r="D544" s="192"/>
      <c r="E544" s="164" t="str">
        <f>IF(Q544="","",IF(Q544=3,1,0))</f>
        <v/>
      </c>
      <c r="F544" s="164" t="str">
        <f>IF(Q544="","",IF(Q544&lt;3,1,0))</f>
        <v/>
      </c>
      <c r="G544" s="192"/>
      <c r="H544" s="192" t="str">
        <f>IF(I529&lt;&gt;"",1,"")</f>
        <v/>
      </c>
      <c r="I544" s="192" t="str">
        <f>IF(ISNUMBER(H544),VLOOKUP(H544,H527:I530,2,TRUE),"")</f>
        <v/>
      </c>
      <c r="J544" s="192"/>
      <c r="K544" s="192" t="str">
        <f>VLOOKUP(I544,I527:L530,3,FALSE)</f>
        <v/>
      </c>
      <c r="L544" s="253"/>
      <c r="M544" s="254"/>
      <c r="N544" s="254"/>
      <c r="O544" s="152"/>
      <c r="P544" s="153"/>
      <c r="Q544" s="255" t="str">
        <f>IF(L544="","",IF(AND(L544-L545&gt;1,L544&gt;10),1,0)+IF(AND(M544-M545&gt;1,M544&gt;10),1,0)+IF(AND(N544-N545&gt;1,N544&gt;10),1,0)+IF(AND(O544-O545&gt;1,O544&gt;10),1,0)+IF(AND(P544-P545&gt;1,P544&gt;10),1,0))</f>
        <v/>
      </c>
      <c r="R544" s="203" t="str">
        <f>IF(AND(I544="",I545=""),"",ABS(VLOOKUP(I544,I527:L530,4,FALSE)-VLOOKUP(I545,I527:L530,4,FALSE)))</f>
        <v/>
      </c>
      <c r="S544" s="256" t="str">
        <f>IF(R545="","",IF(Q544=3,+R545,-R545))</f>
        <v/>
      </c>
      <c r="T544" s="192"/>
      <c r="U544" s="235"/>
      <c r="V544" s="235"/>
      <c r="W544" s="235"/>
      <c r="X544" s="235"/>
      <c r="Y544" s="235"/>
      <c r="Z544" s="235"/>
      <c r="AA544" s="243">
        <v>1</v>
      </c>
      <c r="AB544" s="222" t="str">
        <f>IF(AND(COUNTBLANK(I527:I530)=0,Group_players=4,M527=M528,M528=M529),IF(U534="","",IF(COUNTIF(U534:U537,U534)=3,"Tied",IF(AND(COUNTIF(U534:U537,U534)=1,U535&lt;&gt;U536),IF(M527=2,IF(SMALL(U534:U537,1)=U534,1,IF(SMALL(U534:U537,2)=U534,2,IF(SMALL(U534:U537,3)=U534,3))),IF(M527=1,IF(SMALL(U534:U537,1)=U534,2,IF(SMALL(U534:U537,2)=U534,3,IF(SMALL(U534:U537,3)=U534,4))),"")),IF(COUNTIF(U534:U537,U534)=1,IF(U534&lt;U535,IF(M527=2,1,2),IF(M527=2,3,4)),IF(COUNTIF(U534:U537,U534)=2,IF(U534=U535,IF(U534&lt;U536,IF(M527=2,IF(Q550=3,1,2),IF(M527=1,IF(Q550=3,2,3))),IF(U534&gt;U536,IF(M527=2,IF(Q550=3,2,3),IF(M527=1,IF(Q550=3,3,4))))),IF(U534=U536,IF(U534&lt;U535,IF(M527=2,IF(Q538=3,1,2),IF(M527=1,IF(Q538=3,2,3))),IF(U534&gt;U535,IF(M527=2,IF(Q538=3,2,3),IF(M527=1,IF(Q538=3,3,4)))))))))))),"")</f>
        <v/>
      </c>
      <c r="AC544" s="192"/>
      <c r="AD544" s="192"/>
      <c r="AE544" s="192"/>
      <c r="AF544" s="203"/>
      <c r="AG544" s="203"/>
      <c r="AH544" s="203"/>
      <c r="AI544" s="203"/>
      <c r="AJ544" s="203"/>
      <c r="AK544" s="203"/>
      <c r="AL544" s="203"/>
      <c r="AM544" s="203"/>
      <c r="AN544" s="192"/>
      <c r="AO544" s="192"/>
      <c r="AP544" s="192"/>
      <c r="AQ544" s="192"/>
      <c r="AR544" s="192"/>
      <c r="AS544" s="192"/>
      <c r="AT544" s="192"/>
      <c r="AU544" s="192"/>
      <c r="AV544" s="192"/>
      <c r="AW544" s="192"/>
      <c r="AX544" s="192"/>
    </row>
    <row r="545" spans="2:50" ht="15" customHeight="1" thickBot="1" x14ac:dyDescent="0.35">
      <c r="B545" s="192"/>
      <c r="C545" s="192"/>
      <c r="D545" s="192"/>
      <c r="E545" s="164" t="str">
        <f>IF(Q545="","",IF(Q545=3,1,0))</f>
        <v/>
      </c>
      <c r="F545" s="164" t="str">
        <f>IF(Q545="","",IF(Q545&lt;3,1,0))</f>
        <v/>
      </c>
      <c r="G545" s="192"/>
      <c r="H545" s="192" t="str">
        <f>IF(I529="","",IF(I530&lt;&gt;"",4,2))</f>
        <v/>
      </c>
      <c r="I545" s="192" t="str">
        <f>IF(ISNUMBER(H545),VLOOKUP(H545,H527:I530,2,TRUE),"")</f>
        <v/>
      </c>
      <c r="J545" s="192"/>
      <c r="K545" s="192" t="str">
        <f>VLOOKUP(I545,I527:L530,3,FALSE)</f>
        <v/>
      </c>
      <c r="L545" s="155"/>
      <c r="M545" s="259"/>
      <c r="N545" s="259"/>
      <c r="O545" s="156"/>
      <c r="P545" s="157"/>
      <c r="Q545" s="260" t="str">
        <f>IF(L545="","",IF(AND(L545-L544&gt;1,L545&gt;10),1,0)+IF(AND(M545-M544&gt;1,M545&gt;10),1,0)+IF(AND(N545-N544&gt;1,N545&gt;10),1,0)+IF(AND(O545-O544&gt;1,O545&gt;10),1,0)+IF(AND(P545-P544&gt;1,P545&gt;10),1,0))</f>
        <v/>
      </c>
      <c r="R545" s="203" t="str">
        <f>IF(AND(Q544&lt;&gt;3,Q545&lt;&gt;3),"",IF(Q544=3,IF(VLOOKUP(I544,I527:L530,4,FALSE)&gt;VLOOKUP(I545,I527:L530,4,FALSE),VLOOKUP(R544,Point_dif,2,FALSE),VLOOKUP(R544,Point_dif,3,FALSE)),IF(Q545=3,IF(VLOOKUP(I545,I527:L530,4,FALSE)&gt;VLOOKUP(I544,I527:L530,4,FALSE),VLOOKUP(R544,Point_dif,2,FALSE),VLOOKUP(R544,Point_dif,3,FALSE)))))</f>
        <v/>
      </c>
      <c r="S545" s="256" t="str">
        <f>IF(R545="","",IF(Q545=3,+R545,-R545))</f>
        <v/>
      </c>
      <c r="T545" s="192"/>
      <c r="U545" s="235"/>
      <c r="V545" s="235"/>
      <c r="W545" s="235"/>
      <c r="X545" s="235"/>
      <c r="Y545" s="235"/>
      <c r="Z545" s="235"/>
      <c r="AA545" s="246">
        <v>2</v>
      </c>
      <c r="AB545" s="222" t="str">
        <f>IF(AND(COUNTBLANK(I527:I530)=0,Group_players=4,M527=M528,M528=M529),IF(U535="","",IF(COUNTIF(U534:U537,U535)=3,"Tied",IF(AND(COUNTIF(U534:U537,U535)=1,U534&lt;&gt;U536),IF(M528=2,IF(SMALL(U534:U537,1)=U535,1,IF(SMALL(U534:U537,2)=U535,2,IF(SMALL(U534:U537,3)=U535,3))),IF(M528=1,IF(SMALL(U534:U537,1)=U535,2,IF(SMALL(U534:U537,2)=U535,3,IF(SMALL(U534:U537,3)=U535,4))),"")),IF(COUNTIF(U534:U537,U535)=1,IF(U535&lt;U534,IF(M528=2,1,2),IF(M528=2,3,4)),IF(COUNTIF(U534:U537,U535)=2,IF(U535=U534,IF(U535&lt;U536,IF(M528=2,IF(Q551=3,1,2),IF(M528=1,IF(Q551=3,2,3))),IF(U535&gt;U536,IF(M528=2,IF(Q551=3,2,3),IF(M528=1,IF(Q551=3,3,4))))),IF(U535=U536,IF(U535&lt;U534,IF(M528=2,IF(Q547=3,1,2),IF(M528=1,IF(Q547=3,2,3))),IF(U535&gt;U534,IF(M528=2,IF(Q547=3,2,3),IF(M528=1,IF(Q547=3,3,4)))))))))))),"")</f>
        <v/>
      </c>
      <c r="AC545" s="192"/>
      <c r="AD545" s="192"/>
      <c r="AE545" s="192"/>
      <c r="AF545" s="203"/>
      <c r="AG545" s="203"/>
      <c r="AH545" s="203"/>
      <c r="AI545" s="203"/>
      <c r="AJ545" s="203"/>
      <c r="AK545" s="203"/>
      <c r="AL545" s="203"/>
      <c r="AM545" s="203"/>
      <c r="AN545" s="192"/>
      <c r="AO545" s="192"/>
      <c r="AP545" s="192"/>
      <c r="AQ545" s="192"/>
      <c r="AR545" s="192"/>
      <c r="AS545" s="192"/>
      <c r="AT545" s="192"/>
      <c r="AU545" s="192"/>
      <c r="AV545" s="192"/>
      <c r="AW545" s="192"/>
      <c r="AX545" s="192"/>
    </row>
    <row r="546" spans="2:50" ht="15" customHeight="1" thickTop="1" thickBot="1" x14ac:dyDescent="0.35">
      <c r="B546" s="192"/>
      <c r="C546" s="192"/>
      <c r="D546" s="192"/>
      <c r="E546" s="164"/>
      <c r="F546" s="164"/>
      <c r="G546" s="192"/>
      <c r="H546" s="192"/>
      <c r="I546" s="249" t="s">
        <v>118</v>
      </c>
      <c r="J546" s="249"/>
      <c r="K546" s="249"/>
      <c r="L546" s="250" t="s">
        <v>115</v>
      </c>
      <c r="M546" s="250" t="s">
        <v>116</v>
      </c>
      <c r="N546" s="250" t="s">
        <v>117</v>
      </c>
      <c r="O546" s="250" t="s">
        <v>118</v>
      </c>
      <c r="P546" s="250" t="s">
        <v>119</v>
      </c>
      <c r="Q546" s="250" t="s">
        <v>120</v>
      </c>
      <c r="R546" s="250"/>
      <c r="S546" s="251"/>
      <c r="T546" s="192"/>
      <c r="U546" s="235"/>
      <c r="V546" s="235"/>
      <c r="W546" s="235"/>
      <c r="X546" s="235"/>
      <c r="Y546" s="235"/>
      <c r="Z546" s="235"/>
      <c r="AA546" s="240">
        <v>3</v>
      </c>
      <c r="AB546" s="241" t="str">
        <f>IF(AND(COUNTBLANK(I527:I530)=0,Group_players=4,M527=M528,M528=M529),IF(U536="","",IF(COUNTIF(U534:U537,U536)=3,"Tied",IF(AND(COUNTIF(U534:U537,U536)=1,U534&lt;&gt;U535),IF(M527=2,IF(SMALL(U534:U537,1)=U536,1,IF(SMALL(U534:U537,2)=U536,2,IF(SMALL(U534:U537,3)=U536,3))),IF(M529=1,IF(SMALL(U534:U537,1)=U536,2,IF(SMALL(U534:U537,2)=U536,3,IF(SMALL(U534:U537,3)=U536,4))),"")),IF(COUNTIF(U534:U537,U536)=1,IF(U536&lt;U535,IF(M529=2,1,2),IF(M529=2,3,4)),IF(COUNTIF(U534:U537,U536)=2,IF(U536=U535,IF(U536&lt;U534,IF(M529=2,IF(Q548=3,1,2),IF(M529=1,IF(Q548=3,2,3))),IF(U536&gt;U534,IF(M529=2,IF(Q548=3,2,3),IF(M529=1,IF(Q548=3,3,4))))),IF(U536=U534,IF(U536&lt;U535,IF(M529=2,IF(Q539=3,1,2),IF(M529=1,IF(Q539=3,2,3))),IF(U536&gt;U535,IF(M529=2,IF(Q539=3,2,3),IF(M529=1,IF(Q539=3,3,4)))))))))))),"")</f>
        <v/>
      </c>
      <c r="AC546" s="192"/>
      <c r="AD546" s="192"/>
      <c r="AE546" s="192"/>
      <c r="AF546" s="203"/>
      <c r="AG546" s="203"/>
      <c r="AH546" s="203"/>
      <c r="AI546" s="203"/>
      <c r="AJ546" s="203"/>
      <c r="AK546" s="203"/>
      <c r="AL546" s="203"/>
      <c r="AM546" s="203"/>
      <c r="AN546" s="192"/>
      <c r="AO546" s="192"/>
      <c r="AP546" s="192"/>
      <c r="AQ546" s="192"/>
      <c r="AR546" s="192"/>
      <c r="AS546" s="192"/>
      <c r="AT546" s="192"/>
      <c r="AU546" s="192"/>
      <c r="AV546" s="192"/>
      <c r="AW546" s="192"/>
      <c r="AX546" s="192"/>
    </row>
    <row r="547" spans="2:50" ht="15" customHeight="1" thickTop="1" x14ac:dyDescent="0.3">
      <c r="B547" s="192"/>
      <c r="C547" s="192"/>
      <c r="D547" s="192"/>
      <c r="E547" s="164" t="str">
        <f>IF(Q547="","",IF(Q547=3,1,0))</f>
        <v/>
      </c>
      <c r="F547" s="164" t="str">
        <f>IF(Q547="","",IF(Q547&lt;3,1,0))</f>
        <v/>
      </c>
      <c r="G547" s="192"/>
      <c r="H547" s="192" t="str">
        <f>IF(I530&lt;&gt;"",2,"")</f>
        <v/>
      </c>
      <c r="I547" s="192" t="str">
        <f>IF(ISNUMBER(H547),VLOOKUP(H547,H527:I530,2,TRUE),"")</f>
        <v/>
      </c>
      <c r="J547" s="192"/>
      <c r="K547" s="192" t="str">
        <f>VLOOKUP(I547,I527:L530,3,FALSE)</f>
        <v/>
      </c>
      <c r="L547" s="253"/>
      <c r="M547" s="254"/>
      <c r="N547" s="254"/>
      <c r="O547" s="152"/>
      <c r="P547" s="153"/>
      <c r="Q547" s="255" t="str">
        <f>IF(L547="","",IF(AND(L547-L548&gt;1,L547&gt;10),1,0)+IF(AND(M547-M548&gt;1,M547&gt;10),1,0)+IF(AND(N547-N548&gt;1,N547&gt;10),1,0)+IF(AND(O547-O548&gt;1,O547&gt;10),1,0)+IF(AND(P547-P548&gt;1,P547&gt;10),1,0))</f>
        <v/>
      </c>
      <c r="R547" s="203" t="str">
        <f>IF(AND(I547="",I548=""),"",ABS(VLOOKUP(I547,I527:L530,4,FALSE)-VLOOKUP(I548,I527:L530,4,FALSE)))</f>
        <v/>
      </c>
      <c r="S547" s="256" t="str">
        <f>IF(R548="","",IF(Q547=3,+R548,-R548))</f>
        <v/>
      </c>
      <c r="T547" s="192"/>
      <c r="U547" s="235"/>
      <c r="V547" s="235"/>
      <c r="W547" s="235"/>
      <c r="X547" s="235"/>
      <c r="Y547" s="235"/>
      <c r="Z547" s="235"/>
      <c r="AA547" s="243">
        <v>1</v>
      </c>
      <c r="AB547" s="222" t="str">
        <f>IF(AND(COUNTBLANK(I527:I530)=0,Group_players=4,M527=M529,M529=M530),IF(V534="","",IF(COUNTIF(V534:V537,V534)=3,"Tied",IF(AND(COUNTIF(V534:V537,V534)=1,V536&lt;&gt;U537),IF(M527=2,IF(SMALL(V534:V537,1)=V534,1,IF(SMALL(V534:V537,2)=V534,2,IF(SMALL(V534:V537,3)=V534,3))),IF(M527=1,IF(SMALL(V534:V537,1)=V534,2,IF(SMALL(V534:V537,2)=V534,3,IF(SMALL(V534:V537,3)=V534,4))),"")),IF(COUNTIF(V534:V537,V534)=1,IF(V534&lt;V536,IF(M527=2,1,2),IF(M527=2,3,4)),IF(COUNTIF(V534:V537,V534)=2,IF(V534=V536,IF(V534&lt;V537,IF(M527=2,IF(Q538=3,1,2),IF(M527=1,IF(Q538=3,2,3))),IF(V534&gt;V537,IF(M527=2,IF(Q538=3,2,3),IF(M527=1,IF(Q538=3,3,4))))),IF(V534=V537,IF(V534&lt;V536,IF(M527=2,IF(Q544=3,1,2),IF(M527=1,IF(Q544=3,2,3))),IF(V534&gt;V535,IF(M527=2,IF(Q544=3,2,3),IF(M527=1,IF(Q544=3,3,4)))))))))))),"")</f>
        <v/>
      </c>
      <c r="AC547" s="192"/>
      <c r="AD547" s="192"/>
      <c r="AE547" s="192"/>
      <c r="AF547" s="203"/>
      <c r="AG547" s="203"/>
      <c r="AH547" s="203"/>
      <c r="AI547" s="203"/>
      <c r="AJ547" s="203"/>
      <c r="AK547" s="203"/>
      <c r="AL547" s="203"/>
      <c r="AM547" s="203"/>
      <c r="AN547" s="192"/>
      <c r="AO547" s="192"/>
      <c r="AP547" s="192"/>
      <c r="AQ547" s="192"/>
      <c r="AR547" s="192"/>
      <c r="AS547" s="192"/>
      <c r="AT547" s="192"/>
      <c r="AU547" s="192"/>
      <c r="AV547" s="192"/>
      <c r="AW547" s="192"/>
      <c r="AX547" s="192"/>
    </row>
    <row r="548" spans="2:50" ht="15" customHeight="1" thickBot="1" x14ac:dyDescent="0.35">
      <c r="B548" s="192"/>
      <c r="C548" s="192"/>
      <c r="D548" s="192"/>
      <c r="E548" s="164" t="str">
        <f>IF(Q548="","",IF(Q548=3,1,0))</f>
        <v/>
      </c>
      <c r="F548" s="164" t="str">
        <f>IF(Q548="","",IF(Q548&lt;3,1,0))</f>
        <v/>
      </c>
      <c r="G548" s="192"/>
      <c r="H548" s="192" t="str">
        <f>IF(I530&lt;&gt;"",3,"")</f>
        <v/>
      </c>
      <c r="I548" s="192" t="str">
        <f>IF(ISNUMBER(H548),VLOOKUP(H548,H527:I530,2,TRUE),"")</f>
        <v/>
      </c>
      <c r="J548" s="192"/>
      <c r="K548" s="192" t="str">
        <f>VLOOKUP(I548,I527:L530,3,FALSE)</f>
        <v/>
      </c>
      <c r="L548" s="155"/>
      <c r="M548" s="259"/>
      <c r="N548" s="259"/>
      <c r="O548" s="156"/>
      <c r="P548" s="157"/>
      <c r="Q548" s="260" t="str">
        <f>IF(L548="","",IF(AND(L548-L547&gt;1,L548&gt;10),1,0)+IF(AND(M548-M547&gt;1,M548&gt;10),1,0)+IF(AND(N548-N547&gt;1,N548&gt;10),1,0)+IF(AND(O548-O547&gt;1,O548&gt;10),1,0)+IF(AND(P548-P547&gt;1,P548&gt;10),1,0))</f>
        <v/>
      </c>
      <c r="R548" s="203" t="str">
        <f>IF(AND(Q547&lt;&gt;3,Q548&lt;&gt;3),"",IF(Q547=3,IF(VLOOKUP(I547,I527:L530,4,FALSE)&gt;VLOOKUP(I548,I527:L530,4,FALSE),VLOOKUP(R547,Point_dif,2,FALSE),VLOOKUP(R547,Point_dif,3,FALSE)),IF(Q548=3,IF(VLOOKUP(I548,I527:L530,4,FALSE)&gt;VLOOKUP(I547,I527:L530,4,FALSE),VLOOKUP(R547,Point_dif,2,FALSE),VLOOKUP(R547,Point_dif,3,FALSE)))))</f>
        <v/>
      </c>
      <c r="S548" s="256" t="str">
        <f>IF(R548="","",IF(Q548=3,+R548,-R548))</f>
        <v/>
      </c>
      <c r="T548" s="192"/>
      <c r="U548" s="159"/>
      <c r="V548" s="266"/>
      <c r="W548" s="266"/>
      <c r="X548" s="266"/>
      <c r="Y548" s="192"/>
      <c r="Z548" s="203"/>
      <c r="AA548" s="246">
        <v>3</v>
      </c>
      <c r="AB548" s="222" t="str">
        <f>IF(AND(COUNTBLANK(I527:I530)=0,Group_players=4,M527=M529,M529=M530),IF(V536="","",IF(COUNTIF(V534:V537,V536)=3,"Tied",IF(AND(COUNTIF(V534:V537,V536)=1,V534&lt;&gt;V537),IF(M529=2,IF(SMALL(V534:V537,1)=V536,1,IF(SMALL(V534:V537,2)=V536,2,IF(SMALL(V534:V537,3)=V536,3))),IF(M529=1,IF(SMALL(V534:V537,1)=V536,2,IF(SMALL(V534:V537,2)=V536,3,IF(SMALL(V534:V537,3)=V536,4))),"")),IF(COUNTIF(V534:V537,V536)=1,IF(V536&lt;V534,IF(M529=2,1,2),IF(M529=2,3,4)),IF(COUNTIF(V534:V537,V536)=2,IF(V536=V534,IF(V536&lt;V537,IF(M529=2,IF(Q539=3,1,2),IF(M529=1,IF(Q539=3,2,3))),IF(V536&gt;V537,IF(M529=2,IF(Q539=3,2,3),IF(M529=1,IF(Q539=3,3,4))))),IF(V536=V537,IF(V536&lt;V534,IF(M529=2,IF(Q553=3,1,2),IF(M529=1,IF(Q553=3,2,3))),IF(V536&gt;V534,IF(M529=2,IF(Q553=3,2,3),IF(M529=1,IF(Q553=3,3,4)))))))))))),"")</f>
        <v/>
      </c>
      <c r="AC548" s="192"/>
      <c r="AD548" s="192"/>
      <c r="AE548" s="192"/>
      <c r="AF548" s="203"/>
      <c r="AG548" s="203"/>
      <c r="AH548" s="203"/>
      <c r="AI548" s="203"/>
      <c r="AJ548" s="203"/>
      <c r="AK548" s="203"/>
      <c r="AL548" s="203"/>
      <c r="AM548" s="203"/>
      <c r="AN548" s="192"/>
      <c r="AO548" s="192"/>
      <c r="AP548" s="192"/>
      <c r="AQ548" s="192"/>
      <c r="AR548" s="192"/>
      <c r="AS548" s="192"/>
      <c r="AT548" s="192"/>
      <c r="AU548" s="192"/>
      <c r="AV548" s="192"/>
      <c r="AW548" s="192"/>
      <c r="AX548" s="192"/>
    </row>
    <row r="549" spans="2:50" ht="15" customHeight="1" thickTop="1" thickBot="1" x14ac:dyDescent="0.35">
      <c r="B549" s="192"/>
      <c r="C549" s="192"/>
      <c r="D549" s="192"/>
      <c r="E549" s="164"/>
      <c r="F549" s="164"/>
      <c r="G549" s="192"/>
      <c r="H549" s="192"/>
      <c r="I549" s="249" t="s">
        <v>119</v>
      </c>
      <c r="J549" s="249"/>
      <c r="K549" s="249"/>
      <c r="L549" s="250" t="s">
        <v>115</v>
      </c>
      <c r="M549" s="250" t="s">
        <v>116</v>
      </c>
      <c r="N549" s="250" t="s">
        <v>117</v>
      </c>
      <c r="O549" s="250" t="s">
        <v>118</v>
      </c>
      <c r="P549" s="250" t="s">
        <v>119</v>
      </c>
      <c r="Q549" s="250" t="s">
        <v>120</v>
      </c>
      <c r="R549" s="250"/>
      <c r="S549" s="251"/>
      <c r="T549" s="247"/>
      <c r="U549" s="235"/>
      <c r="V549" s="235"/>
      <c r="W549" s="235"/>
      <c r="X549" s="235"/>
      <c r="Y549" s="235"/>
      <c r="Z549" s="235"/>
      <c r="AA549" s="240">
        <v>4</v>
      </c>
      <c r="AB549" s="241" t="str">
        <f>IF(AND(COUNTBLANK(I527:I530)=0,Group_players=4,M527=M529,M529=M530),IF(V537="","",IF(COUNTIF(V534:V537,V537)=3,"Tied",IF(AND(COUNTIF(V534:V537,V537)=1,V536&lt;&gt;V534),IF(M530=2,IF(SMALL(V534:V537,1)=V537,1,IF(SMALL(V534:V537,2)=V537,2,IF(SMALL(V534:V537,3)=V537,3))),IF(M530=1,IF(SMALL(V534:V537,1)=V537,2,IF(SMALL(V534:V537,2)=V537,3,IF(SMALL(V534:V537,3)=V537,4))),"")),IF(COUNTIF(V534:V537,V537)=1,IF(V537&lt;V534,IF(M530=2,1,2),IF(M530=2,3,4)),IF(COUNTIF(V534:V537,V537)=2,IF(V537=V534,IF(V537&lt;V536,IF(M530=2,IF(Q545=3,1,2),IF(M530=1,IF(Q545=3,2,3))),IF(V537&gt;V536,IF(M530=2,IF(Q545=3,2,3),IF(M530=1,IF(Q545=3,3,4))))),IF(V537=V536,IF(V537&lt;V534,IF(M530=2,IF(Q554=3,1,2),IF(M530=1,IF(Q554=3,2,3))),IF(V537&gt;V534,IF(M530=2,IF(Q554=3,2,3),IF(M530=1,IF(Q554=3,3,4)))))))))))),"")</f>
        <v/>
      </c>
      <c r="AC549" s="192"/>
      <c r="AD549" s="192"/>
      <c r="AE549" s="192"/>
      <c r="AF549" s="203"/>
      <c r="AG549" s="203"/>
      <c r="AH549" s="203"/>
      <c r="AI549" s="203"/>
      <c r="AJ549" s="203"/>
      <c r="AK549" s="203"/>
      <c r="AL549" s="203"/>
      <c r="AM549" s="203"/>
      <c r="AN549" s="192"/>
      <c r="AO549" s="192"/>
      <c r="AP549" s="192"/>
      <c r="AQ549" s="192"/>
      <c r="AR549" s="192"/>
      <c r="AS549" s="192"/>
      <c r="AT549" s="192"/>
      <c r="AU549" s="192"/>
      <c r="AV549" s="192"/>
      <c r="AW549" s="192"/>
      <c r="AX549" s="192"/>
    </row>
    <row r="550" spans="2:50" ht="15" customHeight="1" thickTop="1" x14ac:dyDescent="0.3">
      <c r="B550" s="192"/>
      <c r="C550" s="192"/>
      <c r="D550" s="192"/>
      <c r="E550" s="164" t="str">
        <f>IF(Q550="","",IF(Q550=3,1,0))</f>
        <v/>
      </c>
      <c r="F550" s="164" t="str">
        <f>IF(Q550="","",IF(Q550&lt;3,1,0))</f>
        <v/>
      </c>
      <c r="G550" s="192"/>
      <c r="H550" s="192" t="str">
        <f>IF(I530&lt;&gt;"",1,"")</f>
        <v/>
      </c>
      <c r="I550" s="192" t="str">
        <f>IF(ISNUMBER(H550),VLOOKUP(H550,H527:I530,2,TRUE),"")</f>
        <v/>
      </c>
      <c r="J550" s="192"/>
      <c r="K550" s="192" t="str">
        <f>VLOOKUP(I550,I527:L530,3,FALSE)</f>
        <v/>
      </c>
      <c r="L550" s="253"/>
      <c r="M550" s="254"/>
      <c r="N550" s="254"/>
      <c r="O550" s="152"/>
      <c r="P550" s="153"/>
      <c r="Q550" s="255" t="str">
        <f>IF(L550="","",IF(AND(L550-L551&gt;1,L550&gt;10),1,0)+IF(AND(M550-M551&gt;1,M550&gt;10),1,0)+IF(AND(N550-N551&gt;1,N550&gt;10),1,0)+IF(AND(O550-O551&gt;1,O550&gt;10),1,0)+IF(AND(P550-P551&gt;1,P550&gt;10),1,0))</f>
        <v/>
      </c>
      <c r="R550" s="203" t="str">
        <f>IF(AND(I550="",I551=""),"",ABS(VLOOKUP(I550,I527:L530,4,FALSE)-VLOOKUP(I551,I527:L530,4,FALSE)))</f>
        <v/>
      </c>
      <c r="S550" s="256" t="str">
        <f>IF(R551="","",IF(Q550=3,+R551,-R551))</f>
        <v/>
      </c>
      <c r="T550" s="247"/>
      <c r="U550" s="235"/>
      <c r="V550" s="235"/>
      <c r="W550" s="235"/>
      <c r="X550" s="235"/>
      <c r="Y550" s="235"/>
      <c r="Z550" s="235"/>
      <c r="AA550" s="243">
        <v>1</v>
      </c>
      <c r="AB550" s="222" t="str">
        <f>IF(AND(COUNTBLANK(I527:I530)=0,Group_players=4,M527=M528,M528=M530),IF(W534="","",IF(COUNTIF(W534:W537,W534)=3,"Tied",IF(AND(COUNTIF(W534:W537,W534)=1,W535&lt;&gt;W536),IF(M527=2,IF(SMALL(W534:W537,1)=W534,1,IF(SMALL(W534:W537,2)=W534,2,IF(SMALL(W534:W537,3)=W534,3))),IF(M527=1,IF(SMALL(W534:W537,1)=W534,2,IF(SMALL(W534:W537,2)=W534,3,IF(SMALL(W534:W537,3)=W534,4))),"")),IF(COUNTIF(W534:W537,W534)=1,IF(W534&lt;W535,IF(M527=2,1,2),IF(M527=2,3,4)),IF(COUNTIF(W534:W537,W534)=2,IF(W534=W535,IF(W534&lt;W537,IF(M527=2,IF(Q550=3,1,2),IF(M527=1,IF(Q550=3,2,3))),IF(W534&gt;W537,IF(M527=2,IF(Q550=3,2,3),IF(M527=1,IF(Q550=3,3,4))))),IF(W534=W537,IF(W534&lt;W535,IF(M527=2,IF(Q544=3,1,2),IF(M527=1,IF(Q544=3,2,3))),IF(W534&gt;W535,IF(M527=2,IF(Q544=3,2,3),IF(M527=1,IF(Q544=3,3,4)))))))))))),"")</f>
        <v/>
      </c>
      <c r="AC550" s="192"/>
      <c r="AD550" s="192"/>
      <c r="AE550" s="192"/>
      <c r="AF550" s="203"/>
      <c r="AG550" s="203"/>
      <c r="AH550" s="203"/>
      <c r="AI550" s="203"/>
      <c r="AJ550" s="203"/>
      <c r="AK550" s="203"/>
      <c r="AL550" s="203"/>
      <c r="AM550" s="203"/>
      <c r="AN550" s="192"/>
      <c r="AO550" s="192"/>
      <c r="AP550" s="192"/>
      <c r="AQ550" s="192"/>
      <c r="AR550" s="192"/>
      <c r="AS550" s="192"/>
      <c r="AT550" s="192"/>
      <c r="AU550" s="192"/>
      <c r="AV550" s="192"/>
      <c r="AW550" s="192"/>
      <c r="AX550" s="192"/>
    </row>
    <row r="551" spans="2:50" ht="15" customHeight="1" thickBot="1" x14ac:dyDescent="0.35">
      <c r="B551" s="192"/>
      <c r="C551" s="192"/>
      <c r="D551" s="192"/>
      <c r="E551" s="164" t="str">
        <f>IF(Q551="","",IF(Q551=3,1,0))</f>
        <v/>
      </c>
      <c r="F551" s="164" t="str">
        <f>IF(Q551="","",IF(Q551&lt;3,1,0))</f>
        <v/>
      </c>
      <c r="G551" s="192"/>
      <c r="H551" s="192" t="str">
        <f>IF(I530&lt;&gt;"",2,"")</f>
        <v/>
      </c>
      <c r="I551" s="192" t="str">
        <f>IF(ISNUMBER(H551),VLOOKUP(H551,H527:I530,2,TRUE),"")</f>
        <v/>
      </c>
      <c r="J551" s="192"/>
      <c r="K551" s="192" t="str">
        <f>VLOOKUP(I551,I527:L530,3,FALSE)</f>
        <v/>
      </c>
      <c r="L551" s="155"/>
      <c r="M551" s="259"/>
      <c r="N551" s="259"/>
      <c r="O551" s="156"/>
      <c r="P551" s="157"/>
      <c r="Q551" s="260" t="str">
        <f>IF(L551="","",IF(AND(L551-L550&gt;1,L551&gt;10),1,0)+IF(AND(M551-M550&gt;1,M551&gt;10),1,0)+IF(AND(N551-N550&gt;1,N551&gt;10),1,0)+IF(AND(O551-O550&gt;1,O551&gt;10),1,0)+IF(AND(P551-P550&gt;1,P551&gt;10),1,0))</f>
        <v/>
      </c>
      <c r="R551" s="203" t="str">
        <f>IF(AND(Q550&lt;&gt;3,Q551&lt;&gt;3),"",IF(Q550=3,IF(VLOOKUP(I550,I527:L530,4,FALSE)&gt;VLOOKUP(I551,I527:L530,4,FALSE),VLOOKUP(R550,Point_dif,2,FALSE),VLOOKUP(R550,Point_dif,3,FALSE)),IF(Q551=3,IF(VLOOKUP(I551,I527:L530,4,FALSE)&gt;VLOOKUP(I551,I527:L530,4,FALSE),VLOOKUP(R550,Point_dif,2,FALSE),VLOOKUP(R550,Point_dif,3,FALSE)))))</f>
        <v/>
      </c>
      <c r="S551" s="256" t="str">
        <f>IF(R551="","",IF(Q551=3,+R551,-R551))</f>
        <v/>
      </c>
      <c r="T551" s="247"/>
      <c r="U551" s="235"/>
      <c r="V551" s="235"/>
      <c r="W551" s="235"/>
      <c r="X551" s="235"/>
      <c r="Y551" s="235"/>
      <c r="Z551" s="235"/>
      <c r="AA551" s="246">
        <v>2</v>
      </c>
      <c r="AB551" s="222" t="str">
        <f>IF(AND(COUNTBLANK(I527:I530)=0,Group_players=4,M527=M528,M528=M530),IF(W535="","",IF(COUNTIF(W534:W537,W535)=3,"Tied",IF(AND(COUNTIF(W534:W537,W535)=1,W534&lt;&gt;W536),IF(M528=2,IF(SMALL(W534:W537,1)=W535,1,IF(SMALL(W534:W537,2)=W535,2,IF(SMALL(W534:W537,3)=W535,3))),IF(M528=1,IF(SMALL(W534:W537,1)=W535,2,IF(SMALL(W534:W537,2)=W535,3,IF(SMALL(W534:W537,3)=W535,4))),"")),IF(COUNTIF(W534:W537,W535)=1,IF(W535&lt;W534,IF(M528=2,1,2),IF(M528=2,3,4)),IF(COUNTIF(W534:W537,W535)=2,IF(W535=W534,IF(W535&lt;W537,IF(M528=2,IF(Q551=3,1,2),IF(M528=1,IF(Q551=3,2,3))),IF(W535&gt;W537,IF(M528=2,IF(Q551=3,2,3),IF(M528=1,IF(Q551=3,3,4))))),IF(W535=W537,IF(W535&lt;W534,IF(M528=2,IF(Q541=3,1,2),IF(M528=1,IF(Q541=3,2,3))),IF(W535&gt;W534,IF(M528=2,IF(Q541=3,2,3),IF(M528=1,IF(Q541=3,3,4)))))))))))),"")</f>
        <v/>
      </c>
      <c r="AC551" s="192"/>
      <c r="AD551" s="192"/>
      <c r="AE551" s="192"/>
      <c r="AF551" s="203"/>
      <c r="AG551" s="203"/>
      <c r="AH551" s="203"/>
      <c r="AI551" s="203"/>
      <c r="AJ551" s="203"/>
      <c r="AK551" s="203"/>
      <c r="AL551" s="203"/>
      <c r="AM551" s="203"/>
      <c r="AN551" s="192"/>
      <c r="AO551" s="192"/>
      <c r="AP551" s="192"/>
      <c r="AQ551" s="192"/>
      <c r="AR551" s="192"/>
      <c r="AS551" s="192"/>
      <c r="AT551" s="192"/>
      <c r="AU551" s="192"/>
      <c r="AV551" s="192"/>
      <c r="AW551" s="192"/>
      <c r="AX551" s="192"/>
    </row>
    <row r="552" spans="2:50" ht="15" customHeight="1" thickTop="1" thickBot="1" x14ac:dyDescent="0.35">
      <c r="B552" s="192"/>
      <c r="C552" s="192"/>
      <c r="D552" s="192"/>
      <c r="E552" s="164"/>
      <c r="F552" s="164"/>
      <c r="G552" s="192"/>
      <c r="H552" s="192"/>
      <c r="I552" s="249" t="s">
        <v>121</v>
      </c>
      <c r="J552" s="249"/>
      <c r="K552" s="249"/>
      <c r="L552" s="250" t="s">
        <v>115</v>
      </c>
      <c r="M552" s="250" t="s">
        <v>116</v>
      </c>
      <c r="N552" s="250" t="s">
        <v>117</v>
      </c>
      <c r="O552" s="250" t="s">
        <v>118</v>
      </c>
      <c r="P552" s="250" t="s">
        <v>119</v>
      </c>
      <c r="Q552" s="250" t="s">
        <v>120</v>
      </c>
      <c r="R552" s="250"/>
      <c r="S552" s="251"/>
      <c r="T552" s="247"/>
      <c r="U552" s="235"/>
      <c r="V552" s="235"/>
      <c r="W552" s="235"/>
      <c r="X552" s="235"/>
      <c r="Y552" s="235"/>
      <c r="Z552" s="235"/>
      <c r="AA552" s="240">
        <v>4</v>
      </c>
      <c r="AB552" s="241" t="str">
        <f>IF(AND(COUNTBLANK(I527:I530)=0,Group_players=4,M527=M528,M528=M530),IF(W537="","",IF(COUNTIF(W534:W537,W537)=3,"Tied",IF(AND(COUNTIF(W534:W537,W537)=1,W534&lt;&gt;W535),IF(M530=2,IF(SMALL(W534:W537,1)=W537,1,IF(SMALL(W534:W537,2)=W537,2,IF(SMALL(W534:W537,3)=W537,3))),IF(M530=1,IF(SMALL(W534:W537,1)=W537,2,IF(SMALL(W534:W537,2)=W537,3,IF(SMALL(W534:W537,3)=W537,4))),"")),IF(COUNTIF(W534:W537,W537)=1,IF(W537&lt;W534,IF(M530=2,1,2),IF(M530=2,3,4)),IF(COUNTIF(W534:W537,W537)=2,IF(W537=W534,IF(W537&lt;W535,IF(M530=2,IF(Q545=3,1,2),IF(M530=1,IF(Q545=3,2,3))),IF(W537&gt;W536,IF(M530=2,IF(Q545=3,2,3),IF(M530=1,IF(Q545=3,3,4))))),IF(W537=W535,IF(W537&lt;W534,IF(M530=2,IF(Q542=3,1,2),IF(M530=1,IF(Q542=3,2,3))),IF(W537&gt;W534,IF(M530=2,IF(Q542=3,2,3),IF(M530=1,IF(Q542=3,3,4)))))))))))),"")</f>
        <v/>
      </c>
      <c r="AC552" s="192"/>
      <c r="AD552" s="192"/>
      <c r="AE552" s="192"/>
      <c r="AF552" s="203"/>
      <c r="AG552" s="203"/>
      <c r="AH552" s="203"/>
      <c r="AI552" s="203"/>
      <c r="AJ552" s="203"/>
      <c r="AK552" s="203"/>
      <c r="AL552" s="203"/>
      <c r="AM552" s="203"/>
      <c r="AN552" s="192"/>
      <c r="AO552" s="192"/>
      <c r="AP552" s="192"/>
      <c r="AQ552" s="192"/>
      <c r="AR552" s="192"/>
      <c r="AS552" s="192"/>
      <c r="AT552" s="192"/>
      <c r="AU552" s="192"/>
      <c r="AV552" s="192"/>
      <c r="AW552" s="192"/>
      <c r="AX552" s="192"/>
    </row>
    <row r="553" spans="2:50" ht="15" customHeight="1" thickTop="1" x14ac:dyDescent="0.3">
      <c r="B553" s="192"/>
      <c r="C553" s="192"/>
      <c r="D553" s="192"/>
      <c r="E553" s="164" t="str">
        <f>IF(Q553="","",IF(Q553=3,1,0))</f>
        <v/>
      </c>
      <c r="F553" s="164" t="str">
        <f>IF(Q553="","",IF(Q553&lt;3,1,0))</f>
        <v/>
      </c>
      <c r="G553" s="192"/>
      <c r="H553" s="192" t="str">
        <f>IF(I530&lt;&gt;"",3,"")</f>
        <v/>
      </c>
      <c r="I553" s="192" t="str">
        <f>IF(ISNUMBER(H553),VLOOKUP(H553,H527:I530,2,TRUE),"")</f>
        <v/>
      </c>
      <c r="J553" s="192"/>
      <c r="K553" s="192" t="str">
        <f>VLOOKUP(I553,I527:L530,3,FALSE)</f>
        <v/>
      </c>
      <c r="L553" s="253"/>
      <c r="M553" s="254"/>
      <c r="N553" s="254"/>
      <c r="O553" s="152"/>
      <c r="P553" s="153"/>
      <c r="Q553" s="255" t="str">
        <f>IF(L553="","",IF(AND(L553-L554&gt;1,L553&gt;10),1,0)+IF(AND(M553-M554&gt;1,M553&gt;10),1,0)+IF(AND(N553-N554&gt;1,N553&gt;10),1,0)+IF(AND(O553-O554&gt;1,O553&gt;10),1,0)+IF(AND(P553-P554&gt;1,P553&gt;10),1,0))</f>
        <v/>
      </c>
      <c r="R553" s="203" t="str">
        <f>IF(AND(I553="",I554=""),"",ABS(VLOOKUP(I553,I527:L530,4,FALSE)-VLOOKUP(I554,I527:L530,4,FALSE)))</f>
        <v/>
      </c>
      <c r="S553" s="256" t="str">
        <f>IF(R554="","",IF(Q553=3,+R554,-R554))</f>
        <v/>
      </c>
      <c r="T553" s="247"/>
      <c r="U553" s="264"/>
      <c r="V553" s="242"/>
      <c r="W553" s="192"/>
      <c r="X553" s="264"/>
      <c r="Y553" s="192"/>
      <c r="Z553" s="192"/>
      <c r="AA553" s="243">
        <v>2</v>
      </c>
      <c r="AB553" s="222" t="str">
        <f>IF(AND(COUNTBLANK(I527:I530)=0,Group_players=4,M528=M529,M529=M530),IF(X535="","",IF(COUNTIF(X534:X537,X535)=3,"Tied",IF(AND(COUNTIF(X534:X537,X535)=1,X536&lt;&gt;X537),IF(M528=2,IF(SMALL(X534:X537,1)=X535,1,IF(SMALL(X534:X537,2)=X535,2,IF(SMALL(X534:X537,3)=X535,3))),IF(M528=1,IF(SMALL(X534:X537,1)=X535,2,IF(SMALL(X534:X537,2)=X535,3,IF(SMALL(X534:X537,3)=X535,4))),"")),IF(COUNTIF(X534:X537,X535)=1,IF(X535&lt;X537,IF(M528=2,1,2),IF(M528=1,4)),IF(COUNTIF(X534:X537,X535)=2,IF(X535=X536,IF(X535&lt;X537,IF(M528=2,IF(Q547=3,1,2),IF(M528=1,IF(Q547=3,2,3))),IF(X535&gt;X537,IF(M528=2,IF(Q547=3,2,3),IF(M528=1,IF(Q547=3,3,4))))),IF(X535=X537,IF(X535&lt;X536,IF(M528=2,IF(Q541=3,1,2),IF(M528=1,IF(Q541=3,2,3))),IF(X535&gt;X536,IF(M528=2,IF(Q541=3,2,3),IF(M528=1,IF(Q541=3,3,4)))))))))))),"")</f>
        <v/>
      </c>
      <c r="AC553" s="192"/>
      <c r="AD553" s="192"/>
      <c r="AE553" s="192"/>
      <c r="AF553" s="203"/>
      <c r="AG553" s="203"/>
      <c r="AH553" s="203"/>
      <c r="AI553" s="203"/>
      <c r="AJ553" s="203"/>
      <c r="AK553" s="203"/>
      <c r="AL553" s="203"/>
      <c r="AM553" s="203"/>
      <c r="AN553" s="192"/>
      <c r="AO553" s="192"/>
      <c r="AP553" s="192"/>
      <c r="AQ553" s="192"/>
      <c r="AR553" s="192"/>
      <c r="AS553" s="192"/>
      <c r="AT553" s="192"/>
      <c r="AU553" s="192"/>
      <c r="AV553" s="192"/>
      <c r="AW553" s="192"/>
      <c r="AX553" s="192"/>
    </row>
    <row r="554" spans="2:50" ht="15" customHeight="1" thickBot="1" x14ac:dyDescent="0.35">
      <c r="B554" s="192"/>
      <c r="C554" s="192"/>
      <c r="D554" s="192"/>
      <c r="E554" s="164" t="str">
        <f>IF(Q554="","",IF(Q554=3,1,0))</f>
        <v/>
      </c>
      <c r="F554" s="164" t="str">
        <f>IF(Q554="","",IF(Q554&lt;3,1,0))</f>
        <v/>
      </c>
      <c r="G554" s="192"/>
      <c r="H554" s="192" t="str">
        <f>IF(I530&lt;&gt;"",4,"")</f>
        <v/>
      </c>
      <c r="I554" s="192" t="str">
        <f>IF(ISNUMBER(H554),VLOOKUP(H554,H527:I530,2,TRUE),"")</f>
        <v/>
      </c>
      <c r="J554" s="192"/>
      <c r="K554" s="192" t="str">
        <f>VLOOKUP(I554,I527:L530,3,FALSE)</f>
        <v/>
      </c>
      <c r="L554" s="155"/>
      <c r="M554" s="259"/>
      <c r="N554" s="259"/>
      <c r="O554" s="156"/>
      <c r="P554" s="157"/>
      <c r="Q554" s="260" t="str">
        <f>IF(L554="","",IF(AND(L554-L553&gt;1,L554&gt;10),1,0)+IF(AND(M554-M553&gt;1,M554&gt;10),1,0)+IF(AND(N554-N553&gt;1,N554&gt;10),1,0)+IF(AND(O554-O553&gt;1,O554&gt;10),1,0)+IF(AND(P554-P553&gt;1,P554&gt;10),1,0))</f>
        <v/>
      </c>
      <c r="R554" s="203" t="str">
        <f>IF(AND(Q553&lt;&gt;3,Q554&lt;&gt;3),"",IF(Q553=3,IF(VLOOKUP(I553,I527:L530,4,FALSE)&gt;VLOOKUP(I554,I527:L530,4,FALSE),VLOOKUP(R553,Point_dif,2,FALSE),VLOOKUP(R553,Point_dif,3,FALSE)),IF(Q554=3,IF(VLOOKUP(I554,I527:L530,4,FALSE)&gt;VLOOKUP(I553,I527:L530,4,FALSE),VLOOKUP(R553,Point_dif,2,FALSE),VLOOKUP(R553,Point_dif,3,FALSE)))))</f>
        <v/>
      </c>
      <c r="S554" s="260" t="str">
        <f>IF(R554="","",IF(Q554=3,+R554,-R554))</f>
        <v/>
      </c>
      <c r="T554" s="247"/>
      <c r="U554" s="235"/>
      <c r="V554" s="235"/>
      <c r="W554" s="235"/>
      <c r="X554" s="235"/>
      <c r="Y554" s="235"/>
      <c r="Z554" s="235"/>
      <c r="AA554" s="246">
        <v>3</v>
      </c>
      <c r="AB554" s="222" t="str">
        <f>IF(AND(COUNTBLANK(I527:I530)=0,Group_players=4,Group_players=4,M528=M529,M529=M530),IF(X536="","",IF(COUNTIF(X534:X537,X536)=3,"Tied",IF(AND(COUNTIF(X534:X537,X536)=1,X535&lt;&gt;X537),IF(M529=2,IF(SMALL(X534:X537,1)=X536,1,IF(SMALL(X534:X537,2)=X536,2,IF(SMALL(X534:X537,3)=X536,3))),IF(M529=1,IF(SMALL(X534:X537,1)=X536,2,IF(SMALL(X534:X537,2)=X536,3,IF(SMALL(X534:X537,3)=X536,4))),"")),IF(COUNTIF(X534:X537,X536)=1,IF(X536&lt;X535,IF(M529=2,1,2),IF(M529=2,3,4)),IF(COUNTIF(X534:X537,X536)=2,IF(X536=X535,IF(X536&lt;X537,IF(M529=2,IF(Q548=3,1,2),IF(M529=1,IF(Q548=3,2,3))),IF(X536&gt;X537,IF(M529=2,IF(Q548=3,2,3),IF(M529=1,IF(Q548=3,3,4))))),IF(X536=X537,IF(X536&lt;X535,IF(M529=2,IF(Q553=3,1,2),IF(M529=1,IF(Q553=3,2,3))),IF(X536&gt;X535,IF(M529=2,IF(Q553=3,2,3),IF(M529=1,IF(Q553=3,3,4)))))))))))),"")</f>
        <v/>
      </c>
      <c r="AC554" s="192"/>
      <c r="AD554" s="192"/>
      <c r="AE554" s="192"/>
      <c r="AF554" s="203"/>
      <c r="AG554" s="203"/>
      <c r="AH554" s="203"/>
      <c r="AI554" s="203"/>
      <c r="AJ554" s="203"/>
      <c r="AK554" s="203"/>
      <c r="AL554" s="203"/>
      <c r="AM554" s="203"/>
      <c r="AN554" s="192"/>
      <c r="AO554" s="192"/>
      <c r="AP554" s="192"/>
      <c r="AQ554" s="192"/>
      <c r="AR554" s="192"/>
      <c r="AS554" s="192"/>
      <c r="AT554" s="192"/>
      <c r="AU554" s="192"/>
      <c r="AV554" s="192"/>
      <c r="AW554" s="192"/>
      <c r="AX554" s="192"/>
    </row>
    <row r="555" spans="2:50" ht="15" customHeight="1" thickTop="1" thickBot="1" x14ac:dyDescent="0.35">
      <c r="B555" s="192"/>
      <c r="C555" s="192"/>
      <c r="D555" s="192"/>
      <c r="E555" s="192"/>
      <c r="F555" s="192"/>
      <c r="G555" s="192"/>
      <c r="H555" s="192"/>
      <c r="I555" s="192"/>
      <c r="J555" s="192"/>
      <c r="K555" s="192"/>
      <c r="L555" s="192"/>
      <c r="M555" s="192"/>
      <c r="N555" s="192"/>
      <c r="O555" s="268"/>
      <c r="P555" s="192"/>
      <c r="Q555" s="192"/>
      <c r="R555" s="247"/>
      <c r="S555" s="247"/>
      <c r="T555" s="247"/>
      <c r="U555" s="235"/>
      <c r="V555" s="235"/>
      <c r="W555" s="235"/>
      <c r="X555" s="235"/>
      <c r="Y555" s="235"/>
      <c r="Z555" s="235"/>
      <c r="AA555" s="261">
        <v>4</v>
      </c>
      <c r="AB555" s="233" t="str">
        <f>IF(AND(COUNTBLANK(I527:I530)=0,Group_players=4,M528=M529,M529=M530),IF(X537="","",IF(COUNTIF(X534:X537,X537)=3,"Tied",IF(AND(COUNTIF(X534:X537,X537)=1,X536&lt;&gt;X535),IF(M530=2,IF(SMALL(X534:X537,1)=X537,1,IF(SMALL(X534:X537,2)=X537,2,IF(SMALL(X534:X537,3)=X537,3))),IF(M530=1,IF(SMALL(X534:X537,1)=X537,2,IF(SMALL(X534:X537,2)=X537,3,IF(SMALL(X534:X537,3)=X537,4))),"")),IF(COUNTIF(X534:X537,X537)=1,IF(X537&lt;X535,IF(M530=2,1,2),IF(M530=2,3,4)),IF(COUNTIF(X534:X537,X537)=2,IF(X537=X535,IF(X537&lt;X536,IF(M530=2,IF(Q542=3,1,2),IF(M530=1,IF(Q542=3,2,3))),IF(X537&gt;X536,IF(M530=2,IF(Q542=3,2,3),IF(M530=1,IF(Q542=3,3,4))))),IF(X537=X536,IF(X537&lt;X535,IF(M530=2,IF(Q554=3,1,2),IF(M530=1,IF(Q554=3,2,3))),IF(X537&gt;X535,IF(M530=2,IF(Q554=3,2,3),IF(M530=1,IF(Q554=3,3,4)))))))))))),"")</f>
        <v/>
      </c>
      <c r="AC555" s="192"/>
      <c r="AD555" s="192"/>
      <c r="AE555" s="192"/>
      <c r="AF555" s="203"/>
      <c r="AG555" s="203"/>
      <c r="AH555" s="203"/>
      <c r="AI555" s="203"/>
      <c r="AJ555" s="203"/>
      <c r="AK555" s="203"/>
      <c r="AL555" s="203"/>
      <c r="AM555" s="203"/>
      <c r="AN555" s="192"/>
      <c r="AO555" s="192"/>
      <c r="AP555" s="192"/>
      <c r="AQ555" s="192"/>
      <c r="AR555" s="192"/>
      <c r="AS555" s="192"/>
      <c r="AT555" s="192"/>
      <c r="AU555" s="192"/>
      <c r="AV555" s="192"/>
      <c r="AW555" s="192"/>
      <c r="AX555" s="192"/>
    </row>
    <row r="556" spans="2:50" ht="15" customHeight="1" thickTop="1" x14ac:dyDescent="0.3">
      <c r="B556" s="192"/>
      <c r="C556" s="192"/>
      <c r="D556" s="192"/>
      <c r="E556" s="192"/>
      <c r="F556" s="192"/>
      <c r="G556" s="192"/>
      <c r="H556" s="192"/>
      <c r="I556" s="192"/>
      <c r="J556" s="192"/>
      <c r="K556" s="192"/>
      <c r="L556" s="192"/>
      <c r="M556" s="192"/>
      <c r="N556" s="192"/>
      <c r="O556" s="192"/>
      <c r="P556" s="192"/>
      <c r="Q556" s="192"/>
      <c r="R556" s="192"/>
      <c r="S556" s="192"/>
      <c r="T556" s="203"/>
      <c r="U556" s="192"/>
      <c r="V556" s="192"/>
      <c r="W556" s="192"/>
      <c r="X556" s="192"/>
      <c r="Y556" s="192"/>
      <c r="Z556" s="192"/>
      <c r="AA556" s="192"/>
      <c r="AB556" s="192"/>
      <c r="AC556" s="192"/>
      <c r="AD556" s="192"/>
      <c r="AE556" s="192"/>
      <c r="AF556" s="203"/>
      <c r="AG556" s="203"/>
      <c r="AH556" s="203"/>
      <c r="AI556" s="203"/>
      <c r="AJ556" s="203"/>
      <c r="AK556" s="203"/>
      <c r="AL556" s="203"/>
      <c r="AM556" s="203"/>
      <c r="AN556" s="192"/>
      <c r="AO556" s="192"/>
      <c r="AP556" s="192"/>
      <c r="AQ556" s="192"/>
      <c r="AR556" s="192"/>
      <c r="AS556" s="192"/>
      <c r="AT556" s="192"/>
      <c r="AU556" s="192"/>
      <c r="AV556" s="192"/>
      <c r="AW556" s="192"/>
      <c r="AX556" s="192"/>
    </row>
    <row r="557" spans="2:50" ht="15" customHeight="1" x14ac:dyDescent="0.3">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c r="AA557" s="192"/>
      <c r="AB557" s="192"/>
      <c r="AC557" s="192"/>
      <c r="AD557" s="192"/>
      <c r="AE557" s="192"/>
      <c r="AF557" s="203"/>
      <c r="AG557" s="203"/>
      <c r="AH557" s="203"/>
      <c r="AI557" s="203"/>
      <c r="AJ557" s="203"/>
      <c r="AK557" s="203"/>
      <c r="AL557" s="203"/>
      <c r="AM557" s="203"/>
      <c r="AN557" s="192"/>
      <c r="AO557" s="192"/>
      <c r="AP557" s="192"/>
      <c r="AQ557" s="192"/>
      <c r="AR557" s="192"/>
      <c r="AS557" s="192"/>
      <c r="AT557" s="192"/>
      <c r="AU557" s="192"/>
      <c r="AV557" s="192"/>
      <c r="AW557" s="192"/>
      <c r="AX557" s="192"/>
    </row>
    <row r="558" spans="2:50" ht="15" customHeight="1" x14ac:dyDescent="0.3">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269"/>
      <c r="AA558" s="192"/>
      <c r="AB558" s="192"/>
      <c r="AC558" s="192"/>
      <c r="AD558" s="192"/>
      <c r="AE558" s="192"/>
      <c r="AF558" s="203"/>
      <c r="AG558" s="203"/>
      <c r="AH558" s="203"/>
      <c r="AI558" s="203"/>
      <c r="AJ558" s="203"/>
      <c r="AK558" s="203"/>
      <c r="AL558" s="203"/>
      <c r="AM558" s="203"/>
      <c r="AN558" s="192"/>
      <c r="AO558" s="192"/>
      <c r="AP558" s="192"/>
      <c r="AQ558" s="192"/>
      <c r="AR558" s="192"/>
      <c r="AS558" s="192"/>
      <c r="AT558" s="192"/>
      <c r="AU558" s="192"/>
      <c r="AV558" s="192"/>
      <c r="AW558" s="192"/>
      <c r="AX558" s="192"/>
    </row>
    <row r="559" spans="2:50" ht="15" customHeight="1" x14ac:dyDescent="0.3">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c r="AA559" s="192"/>
      <c r="AB559" s="192"/>
      <c r="AC559" s="192"/>
      <c r="AD559" s="192"/>
      <c r="AE559" s="192"/>
      <c r="AF559" s="203"/>
      <c r="AG559" s="203"/>
      <c r="AH559" s="203"/>
      <c r="AI559" s="203"/>
      <c r="AJ559" s="203"/>
      <c r="AK559" s="203"/>
      <c r="AL559" s="203"/>
      <c r="AM559" s="203"/>
      <c r="AN559" s="192"/>
      <c r="AO559" s="192"/>
      <c r="AP559" s="192"/>
      <c r="AQ559" s="192"/>
      <c r="AR559" s="192"/>
      <c r="AS559" s="192"/>
      <c r="AT559" s="192"/>
      <c r="AU559" s="192"/>
      <c r="AV559" s="192"/>
      <c r="AW559" s="192"/>
      <c r="AX559" s="192"/>
    </row>
    <row r="560" spans="2:50" ht="15" customHeight="1" x14ac:dyDescent="0.3">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c r="AA560" s="192"/>
      <c r="AB560" s="192"/>
      <c r="AC560" s="192"/>
      <c r="AD560" s="192"/>
      <c r="AE560" s="192"/>
      <c r="AF560" s="203"/>
      <c r="AG560" s="203"/>
      <c r="AH560" s="203"/>
      <c r="AI560" s="203"/>
      <c r="AJ560" s="203"/>
      <c r="AK560" s="203"/>
      <c r="AL560" s="203"/>
      <c r="AM560" s="203"/>
      <c r="AN560" s="192"/>
      <c r="AO560" s="192"/>
      <c r="AP560" s="192"/>
      <c r="AQ560" s="192"/>
      <c r="AR560" s="192"/>
      <c r="AS560" s="192"/>
      <c r="AT560" s="192"/>
      <c r="AU560" s="192"/>
      <c r="AV560" s="192"/>
      <c r="AW560" s="192"/>
      <c r="AX560" s="192"/>
    </row>
    <row r="561" spans="2:50" ht="15" customHeight="1" thickBot="1" x14ac:dyDescent="0.4">
      <c r="B561" s="192"/>
      <c r="C561" s="192"/>
      <c r="D561" s="192"/>
      <c r="E561" s="192"/>
      <c r="F561" s="192"/>
      <c r="G561" s="192"/>
      <c r="H561" s="192"/>
      <c r="I561" s="383" t="s">
        <v>138</v>
      </c>
      <c r="J561" s="383"/>
      <c r="K561" s="383"/>
      <c r="L561" s="383"/>
      <c r="M561" s="383"/>
      <c r="N561" s="383"/>
      <c r="O561" s="383"/>
      <c r="P561" s="383"/>
      <c r="Q561" s="383"/>
      <c r="R561" s="383"/>
      <c r="S561" s="192"/>
      <c r="T561" s="192"/>
      <c r="U561" s="370" t="s">
        <v>92</v>
      </c>
      <c r="V561" s="371"/>
      <c r="W561" s="371"/>
      <c r="X561" s="372"/>
      <c r="Y561" s="192"/>
      <c r="Z561" s="192"/>
      <c r="AA561" s="192"/>
      <c r="AB561" s="192"/>
      <c r="AC561" s="192"/>
      <c r="AD561" s="192"/>
      <c r="AE561" s="192"/>
      <c r="AF561" s="203"/>
      <c r="AG561" s="203"/>
      <c r="AH561" s="203"/>
      <c r="AI561" s="203"/>
      <c r="AJ561" s="203"/>
      <c r="AK561" s="203"/>
      <c r="AL561" s="203"/>
      <c r="AM561" s="203"/>
      <c r="AN561" s="192"/>
      <c r="AO561" s="192"/>
      <c r="AP561" s="192"/>
      <c r="AQ561" s="192"/>
      <c r="AR561" s="192"/>
      <c r="AS561" s="192"/>
      <c r="AT561" s="192"/>
      <c r="AU561" s="192"/>
      <c r="AV561" s="192"/>
      <c r="AW561" s="192"/>
      <c r="AX561" s="192"/>
    </row>
    <row r="562" spans="2:50" ht="15" customHeight="1" thickTop="1" thickBot="1" x14ac:dyDescent="0.35">
      <c r="B562" s="192"/>
      <c r="C562" s="192"/>
      <c r="D562" s="192"/>
      <c r="E562" s="192"/>
      <c r="F562" s="192"/>
      <c r="G562" s="192"/>
      <c r="H562" s="192"/>
      <c r="I562" s="400" t="s">
        <v>93</v>
      </c>
      <c r="J562" s="160"/>
      <c r="K562" s="396" t="s">
        <v>94</v>
      </c>
      <c r="L562" s="398" t="s">
        <v>95</v>
      </c>
      <c r="M562" s="390" t="s">
        <v>96</v>
      </c>
      <c r="N562" s="390" t="s">
        <v>97</v>
      </c>
      <c r="O562" s="373" t="s">
        <v>98</v>
      </c>
      <c r="P562" s="373" t="str">
        <f>IF(COUNT(U563:X574)=3,"LM/WM Ratio",IF(COUNT(U563:X574)=6,"LP/WP Ratio",""))</f>
        <v/>
      </c>
      <c r="Q562" s="390" t="s">
        <v>99</v>
      </c>
      <c r="R562" s="392" t="s">
        <v>100</v>
      </c>
      <c r="S562" s="192"/>
      <c r="T562" s="120"/>
      <c r="U562" s="121" t="s">
        <v>101</v>
      </c>
      <c r="V562" s="122" t="s">
        <v>102</v>
      </c>
      <c r="W562" s="122" t="s">
        <v>103</v>
      </c>
      <c r="X562" s="123" t="s">
        <v>104</v>
      </c>
      <c r="Y562" s="380" t="s">
        <v>105</v>
      </c>
      <c r="Z562" s="379"/>
      <c r="AA562" s="378" t="s">
        <v>106</v>
      </c>
      <c r="AB562" s="379"/>
      <c r="AC562" s="192"/>
      <c r="AD562" s="192"/>
      <c r="AE562" s="203"/>
      <c r="AF562" s="203"/>
      <c r="AG562" s="203"/>
      <c r="AH562" s="203"/>
      <c r="AI562" s="203"/>
      <c r="AJ562" s="203"/>
      <c r="AK562" s="203"/>
      <c r="AL562" s="203"/>
      <c r="AM562" s="203"/>
      <c r="AN562" s="192"/>
      <c r="AO562" s="192"/>
      <c r="AP562" s="192"/>
      <c r="AQ562" s="192"/>
      <c r="AR562" s="192"/>
      <c r="AS562" s="192"/>
      <c r="AT562" s="192"/>
      <c r="AU562" s="192"/>
      <c r="AV562" s="192"/>
      <c r="AW562" s="192"/>
      <c r="AX562" s="192"/>
    </row>
    <row r="563" spans="2:50" ht="15" customHeight="1" thickTop="1" thickBot="1" x14ac:dyDescent="0.35">
      <c r="B563" s="192"/>
      <c r="C563" s="192"/>
      <c r="D563" s="192"/>
      <c r="E563" s="192"/>
      <c r="F563" s="192"/>
      <c r="G563" s="192"/>
      <c r="H563" s="192"/>
      <c r="I563" s="401"/>
      <c r="J563" s="161"/>
      <c r="K563" s="397"/>
      <c r="L563" s="399"/>
      <c r="M563" s="391"/>
      <c r="N563" s="391"/>
      <c r="O563" s="374"/>
      <c r="P563" s="374"/>
      <c r="Q563" s="391"/>
      <c r="R563" s="393"/>
      <c r="S563" s="192"/>
      <c r="T563" s="208">
        <v>1</v>
      </c>
      <c r="U563" s="209" t="str">
        <f>IF(M564="","",IF(COUNTIF(M564:M566,M564)=3,IF(COUNTBLANK(I564:I567)=1,(Q576+Q582)/(Q575+Q581),IF(COUNTBLANK(I564:I567)=0,(Q588+Q576)/(Q587+Q575),"")),""))</f>
        <v/>
      </c>
      <c r="V563" s="125" t="str">
        <f>IF(AND(COUNTBLANK(I564:I567)=0,M564=M566,M566=M567),(Q576+Q582)/(Q575+Q581),"")</f>
        <v/>
      </c>
      <c r="W563" s="210" t="str">
        <f>IF(AND(COUNTBLANK(I564:I567)=0,M564=M565,M565=M567),(Q588+Q582)/(Q587+Q581),"")</f>
        <v/>
      </c>
      <c r="X563" s="211"/>
      <c r="Y563" s="169" t="s">
        <v>93</v>
      </c>
      <c r="Z563" s="170" t="s">
        <v>107</v>
      </c>
      <c r="AA563" s="169" t="s">
        <v>93</v>
      </c>
      <c r="AB563" s="170" t="s">
        <v>107</v>
      </c>
      <c r="AC563" s="192"/>
      <c r="AD563" s="192"/>
      <c r="AE563" s="192"/>
      <c r="AF563" s="203"/>
      <c r="AG563" s="203"/>
      <c r="AH563" s="203"/>
      <c r="AI563" s="203"/>
      <c r="AJ563" s="203"/>
      <c r="AK563" s="203"/>
      <c r="AL563" s="203"/>
      <c r="AM563" s="203"/>
      <c r="AN563" s="192"/>
      <c r="AO563" s="192"/>
      <c r="AP563" s="192"/>
      <c r="AQ563" s="192"/>
      <c r="AR563" s="192"/>
      <c r="AS563" s="192"/>
      <c r="AT563" s="192"/>
      <c r="AU563" s="192"/>
      <c r="AV563" s="192"/>
      <c r="AW563" s="192"/>
      <c r="AX563" s="192"/>
    </row>
    <row r="564" spans="2:50" ht="15" customHeight="1" thickTop="1" thickBot="1" x14ac:dyDescent="0.35">
      <c r="B564" s="192"/>
      <c r="C564" s="192"/>
      <c r="D564" s="192"/>
      <c r="E564" s="192"/>
      <c r="F564" s="192" t="str">
        <f>IF(I564="","",VLOOKUP(I564,Siembra,2,FALSE))</f>
        <v/>
      </c>
      <c r="G564" s="192" t="str">
        <f>O564</f>
        <v/>
      </c>
      <c r="H564" s="192">
        <v>1</v>
      </c>
      <c r="I564" s="128" t="str">
        <f>IF(K564="","",IF(ISNUMBER(Sorteo!$A$17),VLOOKUP(K564,Draw,2,FALSE),""))</f>
        <v/>
      </c>
      <c r="J564" s="129" t="str">
        <f>O564</f>
        <v/>
      </c>
      <c r="K564" s="130" t="str">
        <f>IF($K$9="","",IF(Group_players=4,IF(Tablas!BW$3="","",Tablas!BW$3),IF(Group_players=3,IF(Tablas!BW$11="","",Tablas!BW$11),"")))</f>
        <v/>
      </c>
      <c r="L564" s="131" t="str">
        <f>IF(K564="","",VLOOKUP(I564,Siembra,3,FALSE))</f>
        <v/>
      </c>
      <c r="M564" s="132" t="str">
        <f>IF(AND(Q575="",Q576=""),"",IF(I564="","",SUMIFS(E575:E591,I575:I591,I564)))</f>
        <v/>
      </c>
      <c r="N564" s="132" t="str">
        <f>IF(M564="","",IF(I564="","",SUMIFS(F575:F591,I575:I591,I564)))</f>
        <v/>
      </c>
      <c r="O564" s="132" t="str">
        <f>IF(M564="","",IF(COUNTBLANK(I564:I567)=1,IF(M564=2,1,IF(M564=0,3,IF(AND(M564=1,M565&lt;&gt;1),2,IF(COUNTIF(M564:M566,1)&gt;1,Z564)))),IF(COUNTBLANK(I564:I567)=0,IF(COUNTIF(M564:M567,M564)=1,IF(M564=3,1,IF(M564=2,2,IF(M564=1,3,IF(M564=0,4)))),IF(Group_players=3,Z564,IF(COUNTIF(M564:M567,M564)=2,AB564,IF(AND(M564=M565,M565=M566),AB568,IF(AND(M564=M566,M566=M567),AB571,IF(AND(M564=M565,M565=M567),AB574,"")))))),99)))</f>
        <v/>
      </c>
      <c r="P564" s="133" t="str">
        <f>IF(COUNT(U563:X574)=3,IF(ISNUMBER(U563),U563,IF(ISNUMBER(V563),V563,IF(ISNUMBER(W563),W563,IF(X563="","")))),IF(COUNT(U563:X574)=6,IF(ISNUMBER(U571),U571,IF(ISNUMBER(V571),V571,IF(ISNUMBER(W571),W571,IF(ISBLANK(X563),"")))),""))</f>
        <v/>
      </c>
      <c r="Q564" s="132" t="str">
        <f>IF(M564="","",SUMIF(I575:S591,I564,S575:S591))</f>
        <v/>
      </c>
      <c r="R564" s="134" t="str">
        <f>IF(M564="","",L564+Q564)</f>
        <v/>
      </c>
      <c r="S564" s="203"/>
      <c r="T564" s="208">
        <v>2</v>
      </c>
      <c r="U564" s="209" t="str">
        <f>IF(M565="","",IF(COUNTIF(M564:M566,M565)=3,IF(COUNTBLANK(I564:I567)=1,(Q579+Q581)/(Q578+Q582),IF(COUNTBLANK(I564:I567)=0,(Q585+Q587)/(Q584+Q588),"")),""))</f>
        <v/>
      </c>
      <c r="V564" s="135"/>
      <c r="W564" s="212" t="str">
        <f>IF(AND(COUNTBLANK(I564:I567)=0,M565=M564,M564=M567),(Q587+Q579)/(Q588+Q578),"")</f>
        <v/>
      </c>
      <c r="X564" s="213" t="str">
        <f>IF(AND(COUNTBLANK(I564:I567)=0,M565=M566,M566=M567),(Q585+Q579)/(Q584+Q578),"")</f>
        <v/>
      </c>
      <c r="Y564" s="214">
        <v>1</v>
      </c>
      <c r="Z564" s="215" t="str">
        <f>IF(U563="","",IF(OR(Group_players=3,AND(Group_players=4,COUNTBLANK(I564:I567)=1)),IF(COUNTIF(M564:M566,M564)=1,"",IF(AND(U563=U564,U564=U565),Z568,IF(AND(U563&lt;&gt;U564,U563&lt;&gt;U565,U564&lt;&gt;U565),(IF(SMALL(U563:U565,1)=U563,1,IF(SMALL(U563:U565,2)=U563,2,IF(SMALL(U563:U565,3)=U563,3)))),IF(AND(U563&lt;U564,U564=U565),1,IF(AND(U563&gt;U564,U564=U565),3,IF(AND(U563=U564,U563&lt;U565),(IF(Q581=3,1,2)),IF(AND(U563=U564,U563&gt;U565),(IF(Q581=3,2,3)),IF(AND(U563=U565,U563&lt;U564),(IF(Q575=3,1,2)),IF(AND(U563=U565,U563&gt;U564),(IF(Q575=3,2,3)),99))))))))),""))</f>
        <v/>
      </c>
      <c r="AA564" s="216">
        <v>1</v>
      </c>
      <c r="AB564" s="217" t="str">
        <f>IF(COUNTIF(M564:M567,M564)&lt;&gt;2,"",IF(COUNTIF(M564:M567,M564)=1,"",IF(AND(COUNTIF(M564:M567,M564)=2,M564=2),IF(M564=M565,IF(Q587=3,1,2),IF(M564=M566,IF(Q575=3,1,2),IF(M564=M567,IF(Q581=3,1,2)))),IF(AND(COUNTIF(M564:M567,M564)=2,M564=1),IF(M564=M565,IF(Q587=3,3,4),IF(M564=M566,IF(Q575=3,3,4),IF(M564=M567,IF(Q581=3,3,4)))),IF(COUNTIF(M564:M567,M564)=3,AB568)))))</f>
        <v/>
      </c>
      <c r="AC564" s="192"/>
      <c r="AD564" s="192"/>
      <c r="AE564" s="192"/>
      <c r="AF564" s="203"/>
      <c r="AG564" s="203"/>
      <c r="AH564" s="203"/>
      <c r="AI564" s="203"/>
      <c r="AJ564" s="203"/>
      <c r="AK564" s="203"/>
      <c r="AL564" s="203"/>
      <c r="AM564" s="203"/>
      <c r="AN564" s="192"/>
      <c r="AO564" s="192"/>
      <c r="AP564" s="192"/>
      <c r="AQ564" s="192"/>
      <c r="AR564" s="192"/>
      <c r="AS564" s="192"/>
      <c r="AT564" s="192"/>
      <c r="AU564" s="192"/>
      <c r="AV564" s="192"/>
      <c r="AW564" s="192"/>
      <c r="AX564" s="192"/>
    </row>
    <row r="565" spans="2:50" ht="15" customHeight="1" thickTop="1" thickBot="1" x14ac:dyDescent="0.35">
      <c r="B565" s="192"/>
      <c r="C565" s="192"/>
      <c r="D565" s="192"/>
      <c r="E565" s="192"/>
      <c r="F565" s="192" t="str">
        <f>IF(I565="","",VLOOKUP(I565,Siembra,2,FALSE))</f>
        <v/>
      </c>
      <c r="G565" s="192" t="str">
        <f>O565</f>
        <v/>
      </c>
      <c r="H565" s="192">
        <v>2</v>
      </c>
      <c r="I565" s="128" t="str">
        <f>IF(K565="","",IF(ISNUMBER(Sorteo!$A$17),VLOOKUP(K565,Draw,2,FALSE),""))</f>
        <v/>
      </c>
      <c r="J565" s="129" t="str">
        <f>O565</f>
        <v/>
      </c>
      <c r="K565" s="136" t="str">
        <f>IF($K$9="","",IF(Group_players=4,IF(Tablas!BW$4="","",Tablas!BW$4),IF(Group_players=3,IF(Tablas!BW$12="","",Tablas!BW$12),"")))</f>
        <v/>
      </c>
      <c r="L565" s="137" t="str">
        <f>IF(K565="","",VLOOKUP(I565,Siembra,3,FALSE))</f>
        <v/>
      </c>
      <c r="M565" s="132" t="str">
        <f>IF(AND(L575="",L576=""),"",IF(I565="","",SUMIFS(E575:E592,I575:I592,I565)))</f>
        <v/>
      </c>
      <c r="N565" s="138" t="str">
        <f>IF(M565="","",IF(I565="","",SUMIFS(F575:F591,I575:I591,I565)))</f>
        <v/>
      </c>
      <c r="O565" s="132" t="str">
        <f>IF(M565="","",IF(COUNTBLANK(I564:I567)=1,IF(M565=2,1,IF(M565=0,3,IF(AND(M565=1,M566&lt;&gt;1),2,IF(COUNTIF(M564:M567,1)&gt;1,Z565)))),IF(COUNTBLANK(I564:I567)=0,IF(COUNTIF(M564:M567,M565)=1,IF(M565=3,1,IF(M565=2,2,IF(M565=1,3,IF(M565=0,4)))),IF(Group_players=3,Z565,IF(COUNTIF(M564:M567,M565)=2,AB565,IF(AND(M565=M564,M564=M566),AB569,IF(AND(M565=M564,M564=M567),AB575,IF(AND(M565=M566,M566=M567),AB577,"")))))))))</f>
        <v/>
      </c>
      <c r="P565" s="133" t="str">
        <f>IF(COUNT(U563:X574)=3,IF(ISNUMBER(U564),U564,IF(ISNUMBER(W564),W564,IF(ISNUMBER(X564),X564,IF(X564="","")))),IF(COUNT(U563:X574)=6,IF(ISNUMBER(U572),U572,IF(ISNUMBER(W572),W572,IF(ISNUMBER(X572),X572,IF(ISBLANK(X571),"")))),""))</f>
        <v/>
      </c>
      <c r="Q565" s="138" t="str">
        <f>IF(M565="","",SUMIF(I575:S591,I565,S575:$S591))</f>
        <v/>
      </c>
      <c r="R565" s="139" t="str">
        <f>IF(M565="","",L565+Q565)</f>
        <v/>
      </c>
      <c r="S565" s="203"/>
      <c r="T565" s="208">
        <v>3</v>
      </c>
      <c r="U565" s="209" t="str">
        <f>IF(M566="","",IF(COUNTIF(M564:M566,M566)=3,IF(COUNTBLANK(I564:I567)=1,(Q575+Q578)/(Q576+Q579),IF(COUNTBLANK(I564:I567)=0,(Q575+Q584)/(Q576+Q585),"")),""))</f>
        <v/>
      </c>
      <c r="V565" s="125" t="str">
        <f>IF(AND(COUNTBLANK(I564:I567)=0,M566=M567,M567=M564),(Q575+Q591)/(Q576+Q590),"")</f>
        <v/>
      </c>
      <c r="W565" s="218"/>
      <c r="X565" s="213" t="str">
        <f>IF(AND(COUNTBLANK(I564:I567)=0,M566=M567,M567=M565),(Q584+Q591)/(Q585+Q590),"")</f>
        <v/>
      </c>
      <c r="Y565" s="219">
        <v>2</v>
      </c>
      <c r="Z565" s="220" t="str">
        <f>IF(U564="","",IF(OR(Group_players=3,AND(Group_players=4,COUNTBLANK(I564:I567)=1)),IF(COUNTIF(M564:M566,M565)=1,"",IF(AND(U564=U563,U564=U565),Z569,IF(AND(U564&lt;&gt;U563,U564&lt;&gt;U565,U563&lt;&gt;U565),(IF(SMALL(U563:U565,1)=U564,1,IF(SMALL(U563:U565,2)=U564,2,IF(SMALL(U563:U565,3)=U564,3)))),IF(AND(U564&lt;U563,U563=U565),1,IF(AND(U564&gt;U563,U563=U565),3,IF(AND(U564=U563,U564&lt;U565),(IF(Q582=3,1,2)),IF(AND(U564=U563,U564&gt;U565),(IF(Q582=3,2,3)),IF(AND(U564=U565,U564&lt;U563),(IF(Q578=3,1,2)),IF(AND(U564=U565,U564&gt;U563),(IF(Q578=3,2,3)),99))))))))),""))</f>
        <v/>
      </c>
      <c r="AA565" s="221">
        <v>2</v>
      </c>
      <c r="AB565" s="222" t="str">
        <f>IF(COUNTIF(M564:M567,M565)&lt;&gt;2,"",IF(COUNTIF(M564:M567,M565)=1,"",IF(AND(COUNTIF(M564:M567,M565)=2,M565=2),IF(M565=M564,IF(Q588=3,1,2),IF(M565=M566,IF(Q584=3,1,2),IF(M565=M567,IF(Q578=3,1,2)))),IF(AND(COUNTIF(M564:M567,M565)=2,M565=1),IF(M565=M564,IF(Q588=3,3,4),IF(M565=M566,IF(Q584=3,3,4),IF(M565=M567,IF(Q578=3,3,4)))),AB570))))</f>
        <v/>
      </c>
      <c r="AC565" s="192"/>
      <c r="AD565" s="192"/>
      <c r="AE565" s="192"/>
      <c r="AF565" s="203"/>
      <c r="AG565" s="203"/>
      <c r="AH565" s="203"/>
      <c r="AI565" s="203"/>
      <c r="AJ565" s="203"/>
      <c r="AK565" s="203"/>
      <c r="AL565" s="203"/>
      <c r="AM565" s="203"/>
      <c r="AN565" s="192"/>
      <c r="AO565" s="192"/>
      <c r="AP565" s="192"/>
      <c r="AQ565" s="192"/>
      <c r="AR565" s="192"/>
      <c r="AS565" s="192"/>
      <c r="AT565" s="192"/>
      <c r="AU565" s="192"/>
      <c r="AV565" s="192"/>
      <c r="AW565" s="192"/>
      <c r="AX565" s="192"/>
    </row>
    <row r="566" spans="2:50" ht="15" customHeight="1" thickBot="1" x14ac:dyDescent="0.35">
      <c r="B566" s="192"/>
      <c r="C566" s="192"/>
      <c r="D566" s="192"/>
      <c r="E566" s="192"/>
      <c r="F566" s="192" t="str">
        <f>IF(I566="","",VLOOKUP(I566,Siembra,2,FALSE))</f>
        <v/>
      </c>
      <c r="G566" s="192" t="str">
        <f>O566</f>
        <v/>
      </c>
      <c r="H566" s="192">
        <v>3</v>
      </c>
      <c r="I566" s="128" t="str">
        <f>IF(K566="","",IF(ISNUMBER(Sorteo!$A$17),VLOOKUP(K566,Draw,2,FALSE),""))</f>
        <v/>
      </c>
      <c r="J566" s="129" t="str">
        <f>O566</f>
        <v/>
      </c>
      <c r="K566" s="136" t="str">
        <f>IF($K$9="","",IF(Group_players=4,IF(Tablas!BW$5="","",Tablas!BW$5),IF(Group_players=3,IF(Tablas!BW$13="","",Tablas!BW$13),"")))</f>
        <v/>
      </c>
      <c r="L566" s="137" t="str">
        <f>IF(K566="","",VLOOKUP(I566,Siembra,3,FALSE))</f>
        <v/>
      </c>
      <c r="M566" s="132" t="str">
        <f>IF(AND(L576="",L575=""),"",IF(I566="","",SUMIFS(E575:E593,I575:I593,I566)))</f>
        <v/>
      </c>
      <c r="N566" s="138" t="str">
        <f>IF(M566="","",IF(I566="","",SUMIFS(F575:F591,I575:I591,I566)))</f>
        <v/>
      </c>
      <c r="O566" s="132" t="str">
        <f>IF(M566="","",IF(COUNTBLANK(I564:I567)=1,IF(M566=2,1,IF(M566=0,3,IF(AND(M566=1,M566&lt;&gt;M564),2,IF(COUNTIF(M564:M567,1)&gt;1,Z566)))),IF(COUNTBLANK(I564:I567)=0,IF(COUNTIF(M564:M567,M566)=1,IF(M566=3,1,IF(M566=2,2,IF(M566=1,3,IF(M566=0,4)))),IF(Group_players=3,Z566,IF(COUNTIF(M564:M567,M566)=2,AB566,IF(AND(M566=M564,M564=M565),AB570,IF(AND(M566=M564,M564=M567),AB572,IF(AND(M566=M565,M565=M567),AB578,"")))))))))</f>
        <v/>
      </c>
      <c r="P566" s="133" t="str">
        <f>IF(COUNT(U563:X574)=3,IF(ISNUMBER(U565),U565,IF(ISNUMBER(V565),V565,IF(ISNUMBER(X565),X565,IF(W565="","")))),IF(COUNT(U563:X574)=6,IF(ISNUMBER(U573),U573,IF(ISNUMBER(V573),V573,IF(ISNUMBER(X573),X573,""))),""))</f>
        <v/>
      </c>
      <c r="Q566" s="138" t="str">
        <f>IF(M566="","",SUMIF(I575:S591,I566,S575:S591))</f>
        <v/>
      </c>
      <c r="R566" s="139" t="str">
        <f>IF(M566="","",L566+Q566)</f>
        <v/>
      </c>
      <c r="S566" s="203"/>
      <c r="T566" s="208">
        <v>4</v>
      </c>
      <c r="U566" s="223"/>
      <c r="V566" s="140" t="str">
        <f>IF(AND(COUNTBLANK(I564:I567)=0,M567=M564,M564=M566),(Q581+Q590)/(Q582+Q591),"")</f>
        <v/>
      </c>
      <c r="W566" s="224" t="str">
        <f>IF(AND(COUNTBLANK(I564:I567)=0,M567=M564,M564=M565),(Q581+Q578)/(Q582+Q579),"")</f>
        <v/>
      </c>
      <c r="X566" s="225" t="str">
        <f>IF(AND(COUNTBLANK(I564:I567)=0,M567=M565,M565=M566),(Q578+Q590)/(Q579+Q591),"")</f>
        <v/>
      </c>
      <c r="Y566" s="226">
        <v>3</v>
      </c>
      <c r="Z566" s="227" t="str">
        <f>IF(U565="","",IF(OR(Group_players=3,AND(Group_players=4,COUNTBLANK(I564:I567)=1)),IF(COUNTIF(M564:M566,M566)=1,"",IF(AND(U565=U563,U565=U564),Z570,IF(AND(U565&lt;&gt;U564,U564&lt;&gt;U563,U565&lt;&gt;U563),(IF(SMALL(U563:U565,1)=U565,1,IF(SMALL(U563:U565,2)=U565,2,IF(SMALL(U563:U565,3)=U565,3)))),IF(AND(U565&lt;U564,U564=U563),1,IF(AND(U565&gt;U564,U564=U563),3,IF(AND(U565=U564,U565&lt;U563),(IF(Q579=3,1,2)),IF(AND(U565=U564,U565&gt;U563),(IF(Q579=3,2,3)),IF(AND(U565=U563,U565&lt;U564),(IF(Q576=3,1,2)),IF(AND(U565=U563,U565&gt;U564),(IF(Q576=3,2,3)),99))))))))),""))</f>
        <v/>
      </c>
      <c r="AA566" s="221">
        <v>3</v>
      </c>
      <c r="AB566" s="222" t="str">
        <f>IF(COUNTIF(M564:M567,M566)&lt;&gt;2,"",IF(COUNTIF(M564:M567,M566)=1,"",IF(AND(COUNTIF(M564:M567,M566)=2,M566=2),IF(M566=M564,IF(Q576=3,1,2),IF(M566=M565,IF(Q585=3,1,2),IF(M566=M567,IF(Q590=3,1,2)))),IF(AND(COUNTIF(M564:M567,M566)=2,M566=1),IF(M566=M564,IF(Q576=3,3,4),IF(M566=M565,IF(Q585=3,3,4),IF(M566=M567,IF(Q590=3,3,4)))),AB570))))</f>
        <v/>
      </c>
      <c r="AC566" s="192"/>
      <c r="AD566" s="192"/>
      <c r="AE566" s="192"/>
      <c r="AF566" s="203"/>
      <c r="AG566" s="203"/>
      <c r="AH566" s="203"/>
      <c r="AI566" s="203"/>
      <c r="AJ566" s="203"/>
      <c r="AK566" s="203"/>
      <c r="AL566" s="203"/>
      <c r="AM566" s="203"/>
      <c r="AN566" s="192"/>
      <c r="AO566" s="192"/>
      <c r="AP566" s="192"/>
      <c r="AQ566" s="192"/>
      <c r="AR566" s="192"/>
      <c r="AS566" s="192"/>
      <c r="AT566" s="192"/>
      <c r="AU566" s="192"/>
      <c r="AV566" s="192"/>
      <c r="AW566" s="192"/>
      <c r="AX566" s="192"/>
    </row>
    <row r="567" spans="2:50" ht="15" customHeight="1" thickTop="1" thickBot="1" x14ac:dyDescent="0.35">
      <c r="B567" s="192"/>
      <c r="C567" s="192"/>
      <c r="D567" s="192"/>
      <c r="E567" s="192"/>
      <c r="F567" s="192" t="str">
        <f>IF(I567="","",VLOOKUP(I567,Siembra,2,FALSE))</f>
        <v/>
      </c>
      <c r="G567" s="192" t="str">
        <f>O567</f>
        <v/>
      </c>
      <c r="H567" s="192">
        <v>4</v>
      </c>
      <c r="I567" s="141" t="str">
        <f>IF(K567="","",IF(ISNUMBER(Sorteo!$A$17),VLOOKUP(K567,Draw,2,FALSE),""))</f>
        <v/>
      </c>
      <c r="J567" s="142" t="str">
        <f>O567</f>
        <v/>
      </c>
      <c r="K567" s="143" t="str">
        <f>IF($K$9="","",IF(Group_players=4,IF(Tablas!BW6="","",Tablas!BW6),""))</f>
        <v/>
      </c>
      <c r="L567" s="144" t="str">
        <f>IF(K567="","",VLOOKUP(I567,Siembra,3,FALSE))</f>
        <v/>
      </c>
      <c r="M567" s="145" t="str">
        <f>IF(AND(Q578="",Q579=""),"",IF(I567="","",SUMIFS(E575:E594,I575:I594,I567)))</f>
        <v/>
      </c>
      <c r="N567" s="145" t="str">
        <f>IF(M567="","",IF(I567="","",SUMIFS(F575:F591,I575:I591,I567)))</f>
        <v/>
      </c>
      <c r="O567" s="145" t="str">
        <f>IF(M567="","",IF(COUNTIF(M564:M567,M567)=1,IF(M567=3,1,IF(M567=2,2,IF(M567=1,3,IF(M567=0,4)))),IF(COUNTIF(M564:M567,M567)=2,AB567,IF(AND(M567=M564,M564=M566),AB573,IF(AND(M567=M564,M564=M565),AB576,IF(AND(M567=M565,M565=M566),AB579,""))))))</f>
        <v/>
      </c>
      <c r="P567" s="146" t="str">
        <f>IF(COUNT(U563:X574)=3,IF(ISNUMBER(V566),V566,IF(ISNUMBER(W566),W566,IF(ISNUMBER(X566),X566,IF(X566="","")))),IF(COUNT(U563:X574)=6,IF(ISNUMBER(V574),V574,IF(ISNUMBER(W574),W574,IF(ISNUMBER(X574),X574,""))),""))</f>
        <v/>
      </c>
      <c r="Q567" s="145" t="str">
        <f>IF(M567="","",SUMIF(I575:S591,I567,S575:$S591))</f>
        <v/>
      </c>
      <c r="R567" s="147" t="str">
        <f>IF(M567="","",L567+Q567)</f>
        <v/>
      </c>
      <c r="S567" s="203"/>
      <c r="T567" s="192"/>
      <c r="U567" s="192"/>
      <c r="V567" s="192"/>
      <c r="W567" s="192"/>
      <c r="X567" s="192"/>
      <c r="Y567" s="230" t="s">
        <v>93</v>
      </c>
      <c r="Z567" s="231" t="s">
        <v>110</v>
      </c>
      <c r="AA567" s="232">
        <v>4</v>
      </c>
      <c r="AB567" s="233" t="str">
        <f>IF(COUNTIF(M564:M567,M567)&lt;&gt;2,"",IF(COUNTIF(M564:M567,M567)=1,"",IF(AND(COUNTIF(M564:M567,M567)=2,M567=2),IF(M567=M564,IF(Q582=3,1,2),IF(M567=M565,IF(Q579=3,1,2),IF(M567=M566,IF(Q591=3,1,2)))),IF(AND(COUNTIF(M564:M567,M567)=2,M567=1),IF(M567=M564,IF(Q582=3,3,4),IF(M567=M565,IF(Q579=3,3,4),IF(M567=M566,IF(Q591=3,3,4)))),AB573))))</f>
        <v/>
      </c>
      <c r="AC567" s="192"/>
      <c r="AD567" s="192"/>
      <c r="AE567" s="192"/>
      <c r="AF567" s="203"/>
      <c r="AG567" s="203"/>
      <c r="AH567" s="203"/>
      <c r="AI567" s="203"/>
      <c r="AJ567" s="203"/>
      <c r="AK567" s="203"/>
      <c r="AL567" s="203"/>
      <c r="AM567" s="203"/>
      <c r="AN567" s="192"/>
      <c r="AO567" s="192"/>
      <c r="AP567" s="192"/>
      <c r="AQ567" s="192"/>
      <c r="AR567" s="192"/>
      <c r="AS567" s="192"/>
      <c r="AT567" s="192"/>
      <c r="AU567" s="192"/>
      <c r="AV567" s="192"/>
      <c r="AW567" s="192"/>
      <c r="AX567" s="192"/>
    </row>
    <row r="568" spans="2:50" ht="15" customHeight="1" thickTop="1" x14ac:dyDescent="0.3">
      <c r="B568" s="192"/>
      <c r="C568" s="192"/>
      <c r="D568" s="192"/>
      <c r="E568" s="192"/>
      <c r="F568" s="192"/>
      <c r="G568" s="192"/>
      <c r="H568" s="192"/>
      <c r="I568" s="192"/>
      <c r="J568" s="192"/>
      <c r="K568" s="192"/>
      <c r="L568" s="192"/>
      <c r="M568" s="192"/>
      <c r="N568" s="192"/>
      <c r="O568" s="192"/>
      <c r="P568" s="192"/>
      <c r="Q568" s="192"/>
      <c r="R568" s="192"/>
      <c r="S568" s="192"/>
      <c r="T568" s="208"/>
      <c r="U568" s="192"/>
      <c r="V568" s="148"/>
      <c r="W568" s="148"/>
      <c r="X568" s="234"/>
      <c r="Y568" s="214">
        <v>1</v>
      </c>
      <c r="Z568" s="215" t="str">
        <f>IF(U571="","",IF(OR(Group_players=3,AND(Group_players=4,COUNTBLANK(I564:I567)=1)),IF(COUNTIF(M564:M566,M564)=1,"",IF(COUNTIF(U563:U565,U563)=3,IF(AND(U571=U572,U572=U573),"Tied",IF(AND(U571&lt;&gt;U572,U571&lt;&gt;U573,U572&lt;&gt;U573),(IF(SMALL(U571:U573,1)=U571,1,IF(SMALL(U571:U573,2)=U571,2,IF(SMALL(U571:U573,3)=U571,3)))),IF(AND(U571&lt;U572,U572=U573),1,IF(AND(U571&gt;U572,U572=U573),3,IF(AND(U571=U572,U571&lt;U573),(IF(Q581=3,1,2)),IF(AND(U571=U572,U571&gt;U573),(IF(Q581=3,2,3)),IF(AND(U571=U573,U571&lt;U572),(IF(Q575=3,1,2)),IF(AND(U571=U573,U571&gt;U572),(IF(Q575=3,2,3)),99)))))))),"")),""))</f>
        <v/>
      </c>
      <c r="AA568" s="208">
        <v>1</v>
      </c>
      <c r="AB568" s="222" t="str">
        <f>IF(AND(COUNTBLANK(I564:I567)=0,Group_players=4,M564=M565,M565=M566),IF(COUNTIF(U563:U566,U563)=3,AB581,IF(AND(COUNTIF(U563:U566,U563)=1,U564&lt;&gt;U565),IF(M564=2,IF(SMALL(U563:U566,1)=U563,1,IF(SMALL(U563:U566,2)=U563,2,IF(SMALL(U563:U566,3)=U563,3))),IF(M564=1,IF(SMALL(U563:U566,1)=U563,2,IF(SMALL(U563:U566,2)=U563,3,IF(SMALL(U563:U566,3)=U563,4))),"")),IF(COUNTIF(U563:U566,U563)=1,IF(U563&lt;U564,IF(M564=2,1,2),IF(M564=2,3,4)),IF(COUNTIF(U563:U566,U563)=2,IF(U563=U564,IF(U563&lt;U565,IF(M564=2,IF(Q587=3,1,2),IF(M564=1,IF(Q587=3,2,3))),IF(U563&gt;U565,IF(M564=2,IF(Q587=3,2,3),IF(M564=1,IF(Q587=3,3,4))))),IF(U563=U565,IF(U563&lt;U564,IF(M564=2,IF(Q575=3,1,2),IF(M564=1,IF(Q575=3,2,3))),IF(U563&gt;U564,IF(M564=2,IF(Q575=3,2,3),IF(M564=1,IF(Q575=3,3,4))))))),"")))),"")</f>
        <v/>
      </c>
      <c r="AC568" s="192"/>
      <c r="AD568" s="192"/>
      <c r="AE568" s="269"/>
      <c r="AF568" s="203"/>
      <c r="AG568" s="203"/>
      <c r="AH568" s="203"/>
      <c r="AI568" s="203"/>
      <c r="AJ568" s="203"/>
      <c r="AK568" s="203"/>
      <c r="AL568" s="203"/>
      <c r="AM568" s="203"/>
      <c r="AN568" s="192"/>
      <c r="AO568" s="192"/>
      <c r="AP568" s="192"/>
      <c r="AQ568" s="192"/>
      <c r="AR568" s="192"/>
      <c r="AS568" s="192"/>
      <c r="AT568" s="192"/>
      <c r="AU568" s="192"/>
      <c r="AV568" s="192"/>
      <c r="AW568" s="192"/>
      <c r="AX568" s="192"/>
    </row>
    <row r="569" spans="2:50" ht="15" customHeight="1" thickBot="1" x14ac:dyDescent="0.35">
      <c r="B569" s="192"/>
      <c r="C569" s="192"/>
      <c r="D569" s="192"/>
      <c r="E569" s="192"/>
      <c r="F569" s="192"/>
      <c r="G569" s="192"/>
      <c r="H569" s="192"/>
      <c r="I569" s="269"/>
      <c r="J569" s="269"/>
      <c r="K569" s="192"/>
      <c r="L569" s="192"/>
      <c r="M569" s="192"/>
      <c r="N569" s="192"/>
      <c r="O569" s="192"/>
      <c r="P569" s="192"/>
      <c r="Q569" s="192"/>
      <c r="R569" s="192"/>
      <c r="S569" s="192"/>
      <c r="T569" s="208"/>
      <c r="U569" s="368" t="s">
        <v>111</v>
      </c>
      <c r="V569" s="369"/>
      <c r="W569" s="369"/>
      <c r="X569" s="369"/>
      <c r="Y569" s="236">
        <v>2</v>
      </c>
      <c r="Z569" s="220" t="str">
        <f>IF(U564="","",IF(OR(Group_players=3,AND(Group_players=4,COUNTBLANK(I564:I567)=1)),IF(COUNTIF(M564:M566,M565)=1,"",IF(COUNTIF(U563:U565,U564)=3,IF(AND(U572=U571,U572=U573),"Tied",IF(AND(U572&lt;&gt;U571,U572&lt;&gt;U573,U571&lt;&gt;U573),(IF(SMALL(U571:U573,1)=U572,1,IF(SMALL(U571:U573,2)=U572,2,IF(SMALL(U571:U573,3)=U572,3)))),IF(AND(U572&lt;U571,U571=U573),1,IF(AND(U572&gt;U571,U571=U573),3,IF(AND(U572=U571,U572&lt;U573),(IF(Q582=3,1,2)),IF(AND(U572=U571,U572&gt;U573),(IF(Q582=3,2,3)),IF(AND(U572=U573,U572&lt;U571),(IF(Q578=3,1,2)),IF(AND(U572=U573,U572&gt;U571),(IF(Q578=3,2,3)),99)))))))),"")),""))</f>
        <v/>
      </c>
      <c r="AA569" s="208">
        <v>2</v>
      </c>
      <c r="AB569" s="222" t="str">
        <f>IF(AND(COUNTBLANK(I564:I567)=0,Group_players=4,M564=M565,M565=M566),IF(COUNTIF(U563:U566,U564)=3,AB582,IF(AND(COUNTIF(U563:U566,U564)=1,U563&lt;&gt;U565),IF(M565=2,IF(SMALL(U563:U566,1)=U564,1,IF(SMALL(U563:U566,2)=U564,2,IF(SMALL(U563:U566,3)=U564,3))),IF(M565=1,IF(SMALL(U563:U566,1)=U564,2,IF(SMALL(U563:U566,2)=U564,3,IF(SMALL(U563:U566,3)=U564,4))),"")),IF(COUNTIF(U563:U565,U564)=1,IF(U564&lt;U563,IF(M565=2,1,2),IF(M565=2,3,99)),IF(COUNTIF(U563:U566,U564)=2,IF(U564=U563,IF(U564&lt;U565,IF(M565=2,IF(Q588=3,1,2),IF(M565=1,IF(Q588=3,2,3))),IF(U564&gt;U565,IF(M565=2,IF(Q588=3,2,3),IF(M565=1,IF(Q588=3,3,4))))),IF(U564=U565,IF(U564&lt;U563,IF(M565=2,IF(Q584=3,1,2),IF(M565=1,IF(Q584=3,2,3))),IF(U564&gt;U563,IF(M565=2,IF(Q584=3,2,3),IF(M565=1,IF(Q584=3,3,4))))))),"")))),"")</f>
        <v/>
      </c>
      <c r="AC569" s="192"/>
      <c r="AD569" s="192"/>
      <c r="AE569" s="192"/>
      <c r="AF569" s="203"/>
      <c r="AG569" s="203"/>
      <c r="AH569" s="203"/>
      <c r="AI569" s="203"/>
      <c r="AJ569" s="203"/>
      <c r="AK569" s="203"/>
      <c r="AL569" s="203"/>
      <c r="AM569" s="203"/>
      <c r="AN569" s="192"/>
      <c r="AO569" s="192"/>
      <c r="AP569" s="192"/>
      <c r="AQ569" s="192"/>
      <c r="AR569" s="192"/>
      <c r="AS569" s="192"/>
      <c r="AT569" s="192"/>
      <c r="AU569" s="192"/>
      <c r="AV569" s="192"/>
      <c r="AW569" s="192"/>
      <c r="AX569" s="192"/>
    </row>
    <row r="570" spans="2:50" ht="15" customHeight="1" thickTop="1" thickBot="1" x14ac:dyDescent="0.35">
      <c r="B570" s="192"/>
      <c r="C570" s="192"/>
      <c r="D570" s="192"/>
      <c r="E570" s="192"/>
      <c r="F570" s="192"/>
      <c r="G570" s="192"/>
      <c r="H570" s="192"/>
      <c r="I570" s="192"/>
      <c r="J570" s="192"/>
      <c r="K570" s="192"/>
      <c r="L570" s="192"/>
      <c r="M570" s="192"/>
      <c r="N570" s="192"/>
      <c r="O570" s="192"/>
      <c r="P570" s="192"/>
      <c r="Q570" s="192"/>
      <c r="R570" s="192"/>
      <c r="S570" s="192"/>
      <c r="T570" s="120"/>
      <c r="U570" s="121" t="s">
        <v>101</v>
      </c>
      <c r="V570" s="122" t="s">
        <v>102</v>
      </c>
      <c r="W570" s="122" t="s">
        <v>103</v>
      </c>
      <c r="X570" s="123" t="s">
        <v>104</v>
      </c>
      <c r="Y570" s="238">
        <v>3</v>
      </c>
      <c r="Z570" s="239" t="str">
        <f>IF(U565="","",IF(OR(Group_players=3,AND(Group_players=4,COUNTBLANK(I564:I567)=1)),IF(COUNTIF(M564:M566,M566)=1,"",IF(COUNTIF(U563:U565,U565)=3,IF(AND(U573=U571,U573=U572),"Tied",IF(AND(U573&lt;&gt;U572,U572&lt;&gt;U571,U573&lt;&gt;U571),(IF(SMALL(U571:U573,1)=U573,1,IF(SMALL(U571:U573,2)=U573,2,IF(SMALL(U571:U573,3)=U573,3)))),IF(AND(U573&lt;U572,U572=U571),1,IF(AND(U573&gt;U572,U572=U571),3,IF(AND(U573=U572,U573&lt;U571),(IF(Q579=3,1,2)),IF(AND(U573=U572,U573&gt;U571),(IF(Q579=3,2,3)),IF(AND(U573=U571,U573&lt;U572),(IF(Q576=3,1,2)),IF(AND(U573=U571,U573&gt;U572),(IF(Q576=3,2,3)),99)))))))),"")),""))</f>
        <v/>
      </c>
      <c r="AA570" s="240">
        <v>3</v>
      </c>
      <c r="AB570" s="241" t="str">
        <f>IF(AND(COUNTBLANK(I564:I567)=0,Group_players=4,M564=M565,M565=M566),IF(COUNTIF(U563:U566,U565)=3,AB583,IF(AND(COUNTIF(U563:U566,U565)=1,U563&lt;&gt;U564),IF(M564=2,IF(SMALL(U563:U566,1)=U565,1,IF(SMALL(U563:U566,2)=U565,2,IF(SMALL(U563:U566,3)=U565,3))),IF(M566=1,IF(SMALL(U563:U566,1)=U565,2,IF(SMALL(U563:U566,2)=U565,3,IF(SMALL(U563:U566,3)=U565,4))),"")),IF(COUNTIF(U563:U566,U565)=1,IF(U565&lt;U564,IF(M566=2,1,2),IF(M566=2,3,4)),IF(COUNTIF(U563:U566,U565)=2,IF(U565=U564,IF(U565&lt;U563,IF(M566=2,IF(Q585=3,1,2),IF(M566=1,IF(Q585=3,2,3))),IF(U565&gt;U563,IF(M566=2,IF(Q585=3,2,3),IF(M566=1,IF(Q585=3,3,4))))),IF(U565=U563,IF(U565&lt;U564,IF(M566=2,IF(Q576=3,1,2),IF(M566=1,IF(Q576=3,2,3))),IF(U565&gt;U564,IF(M566=2,IF(Q576=3,2,3),IF(M566=1,IF(Q576=3,3,4))))))),"")))),"")</f>
        <v/>
      </c>
      <c r="AC570" s="192"/>
      <c r="AD570" s="192"/>
      <c r="AE570" s="192"/>
      <c r="AF570" s="203"/>
      <c r="AG570" s="203"/>
      <c r="AH570" s="203"/>
      <c r="AI570" s="203"/>
      <c r="AJ570" s="203"/>
      <c r="AK570" s="203"/>
      <c r="AL570" s="203"/>
      <c r="AM570" s="203"/>
      <c r="AN570" s="192"/>
      <c r="AO570" s="192"/>
      <c r="AP570" s="192"/>
      <c r="AQ570" s="192"/>
      <c r="AR570" s="192"/>
      <c r="AS570" s="192"/>
      <c r="AT570" s="192"/>
      <c r="AU570" s="192"/>
      <c r="AV570" s="192"/>
      <c r="AW570" s="192"/>
      <c r="AX570" s="192"/>
    </row>
    <row r="571" spans="2:50" ht="15" customHeight="1" thickTop="1" thickBot="1" x14ac:dyDescent="0.35">
      <c r="B571" s="192"/>
      <c r="C571" s="192"/>
      <c r="D571" s="192"/>
      <c r="E571" s="192"/>
      <c r="F571" s="192"/>
      <c r="G571" s="192"/>
      <c r="H571" s="192"/>
      <c r="I571" s="192"/>
      <c r="J571" s="192"/>
      <c r="K571" s="192"/>
      <c r="L571" s="192"/>
      <c r="M571" s="192"/>
      <c r="N571" s="192"/>
      <c r="O571" s="192"/>
      <c r="P571" s="192"/>
      <c r="Q571" s="192"/>
      <c r="R571" s="192"/>
      <c r="S571" s="192"/>
      <c r="T571" s="208">
        <v>1</v>
      </c>
      <c r="U571" s="209" t="str">
        <f>IF(U563="","",IF(OR(U563&lt;&gt;U564,U563&lt;&gt;U565),"",IF(COUNTIF(M564:M566,M564)=1,"",IF(COUNTBLANK(I564:I567)=1,(SUM(L576:P576)+SUM(L582:P582))/(SUM(L575:P575)+SUM(L581:P581)),IF(COUNTBLANK(I564:I567)=0,(SUM(L588:P588)+SUM(L576:P576))/(SUM(L587:P587)+SUM(L575:P575)),"")))))</f>
        <v/>
      </c>
      <c r="V571" s="125" t="str">
        <f>IF(V563="","",IF(OR(V563&lt;&gt;V565,V563&lt;&gt;V566),"",IF(AND(COUNTBLANK(I564:I567)=0,M564=M566,M566=M567),(SUM(L576:P576)+SUM(L582:P582))/(SUM(L575:P575)+SUM(L581:P581)),"")))</f>
        <v/>
      </c>
      <c r="W571" s="210" t="str">
        <f>IF(W563="","",IF(OR(W563&lt;&gt;W564,W563&lt;&gt;W566),"",IF(AND(COUNTBLANK(I564:I567)=0,M564=M565,M565=M567),(SUM(L588:P588)+SUM(L582:P582))/(SUM(L587:P587)+SUM(L581:P581)),"")))</f>
        <v/>
      </c>
      <c r="X571" s="211"/>
      <c r="Y571" s="242"/>
      <c r="Z571" s="242"/>
      <c r="AA571" s="243">
        <v>1</v>
      </c>
      <c r="AB571" s="244" t="str">
        <f>IF(AND(COUNTBLANK(I564:I567)=0,Group_players=4,M564=M566,M566=M567),IF(COUNTIF(V563:V566,V563)=3,AB584,IF(AND(COUNTIF(V563:V566,V563)=1,V565&lt;&gt;U574),IF(M564=2,IF(SMALL(V563:V566,1)=V563,1,IF(SMALL(V563:V566,2)=V563,2,IF(SMALL(V563:V566,3)=V563,3))),IF(M564=1,IF(SMALL(V563:V566,1)=V563,2,IF(SMALL(V563:V566,2)=V563,3,IF(SMALL(V563:V566,3)=V563,4))),"")),IF(COUNTIF(V563:V566,V563)=1,IF(V563&lt;V565,IF(M564=2,1,2),IF(M564=2,3,4)),IF(COUNTIF(V563:V566,V563)=2,IF(V563=V565,IF(V563&lt;V566,IF(M564=2,IF(Q575=3,1,2),IF(M564=1,IF(Q575=3,2,3))),IF(V563&gt;V566,IF(M564=2,IF(Q575=3,2,3),IF(M564=1,IF(Q575=3,3,4))))),IF(V563=V566,IF(V563&lt;V565,IF(M564=2,IF(Q581=3,1,2),IF(M564=1,IF(Q581=3,2,3))),IF(V563&gt;V564,IF(M564=2,IF(Q581=3,2,3),IF(M564=1,IF(Q581=3,3,4))))))),"")))),"")</f>
        <v/>
      </c>
      <c r="AC571" s="192"/>
      <c r="AD571" s="192"/>
      <c r="AE571" s="192"/>
      <c r="AF571" s="203"/>
      <c r="AG571" s="203"/>
      <c r="AH571" s="203"/>
      <c r="AI571" s="203"/>
      <c r="AJ571" s="203"/>
      <c r="AK571" s="203"/>
      <c r="AL571" s="203"/>
      <c r="AM571" s="203"/>
      <c r="AN571" s="192"/>
      <c r="AO571" s="192"/>
      <c r="AP571" s="192"/>
      <c r="AQ571" s="192"/>
      <c r="AR571" s="192"/>
      <c r="AS571" s="192"/>
      <c r="AT571" s="192"/>
      <c r="AU571" s="192"/>
      <c r="AV571" s="192"/>
      <c r="AW571" s="192"/>
      <c r="AX571" s="192"/>
    </row>
    <row r="572" spans="2:50" ht="15" customHeight="1" thickTop="1" thickBot="1" x14ac:dyDescent="0.35">
      <c r="B572" s="192"/>
      <c r="C572" s="192"/>
      <c r="D572" s="192"/>
      <c r="E572" s="117"/>
      <c r="F572" s="117"/>
      <c r="G572" s="117"/>
      <c r="H572" s="192"/>
      <c r="I572" s="192"/>
      <c r="J572" s="192"/>
      <c r="K572" s="192"/>
      <c r="L572" s="192"/>
      <c r="M572" s="192"/>
      <c r="N572" s="192"/>
      <c r="O572" s="192"/>
      <c r="P572" s="192"/>
      <c r="Q572" s="192"/>
      <c r="R572" s="192"/>
      <c r="S572" s="394" t="s">
        <v>112</v>
      </c>
      <c r="T572" s="208">
        <v>2</v>
      </c>
      <c r="U572" s="209" t="str">
        <f>IF(U563="","",IF(OR(U564&lt;&gt;U563,U564&lt;&gt;U565),"",IF(COUNTIF(M564:M566,M565)=1,"",IF(COUNTBLANK(I564:I567)=1,(SUM(L579:P579)+SUM(L581:P581))/(SUM(L578:P578)+SUM(L582:P582)),IF(COUNTBLANK(I564:I567)=0,(SUM(L587:P587)+SUM(L585:P585))/(SUM(L588:P588)+SUM(L584:P584)))))))</f>
        <v/>
      </c>
      <c r="V572" s="135"/>
      <c r="W572" s="212" t="str">
        <f>IF(W563="","",IF(OR(W564&lt;&gt;W563,W564&lt;&gt;W566),"",IF(AND(COUNTBLANK(I564:I567)=0,M564=M565,M565=M567),(SUM(L579:P579)+SUM(L587:P587))/(SUM(L588:P588)+SUM(L578:P578)),"")))</f>
        <v/>
      </c>
      <c r="X572" s="245" t="str">
        <f>IF(X564="","",IF(OR(X564&lt;&gt;X565,X564&lt;&gt;X566),"",IF(AND(COUNTBLANK(I564:I567)=0,M565=M566,M566=M567),(SUM(L585:P585)+SUM(L579:P579))/(SUM(L584:P584)+SUM(L578:P578)),"")))</f>
        <v/>
      </c>
      <c r="Y572" s="242"/>
      <c r="Z572" s="203"/>
      <c r="AA572" s="246">
        <v>3</v>
      </c>
      <c r="AB572" s="222" t="str">
        <f>IF(AND(COUNTBLANK(I564:I567)=0,Group_players=4,M564=M566,M566=M567),IF(COUNTIF(V563:V566,V565)=3,AB585,IF(AND(COUNTIF(V563:V566,V565)=1,V563&lt;&gt;V566),IF(M566=2,IF(SMALL(V563:V566,1)=V565,1,IF(SMALL(V563:V566,2)=V565,2,IF(SMALL(V563:V566,3)=V565,3))),IF(M566=1,IF(SMALL(V563:V566,1)=V565,2,IF(SMALL(V563:V566,2)=V565,3,IF(SMALL(V563:V566,3)=V565,4))),"")),IF(COUNTIF(V563:V566,V565)=1,IF(V565&lt;V563,IF(M566=2,1,2),IF(M566=2,3,4)),IF(COUNTIF(V563:V566,V565)=2,IF(V565=V563,IF(V565&lt;V566,IF(M566=2,IF(Q576=3,1,2),IF(M566=1,IF(Q576=3,2,3))),IF(V565&gt;V566,IF(M566=2,IF(Q576=3,2,3),IF(M566=1,IF(Q576=3,3,4))))),IF(V565=V566,IF(V565&lt;V563,IF(M566=2,IF(Q590=3,1,2),IF(M566=1,IF(Q590=3,2,3))),IF(V565&gt;V563,IF(M566=2,IF(Q590=3,2,3),IF(M566=1,IF(Q590=3,3,4))))))),"")))),"")</f>
        <v/>
      </c>
      <c r="AC572" s="192"/>
      <c r="AD572" s="192"/>
      <c r="AE572" s="192"/>
      <c r="AF572" s="203"/>
      <c r="AG572" s="203"/>
      <c r="AH572" s="203"/>
      <c r="AI572" s="203"/>
      <c r="AJ572" s="203"/>
      <c r="AK572" s="203"/>
      <c r="AL572" s="203"/>
      <c r="AM572" s="203"/>
      <c r="AN572" s="192"/>
      <c r="AO572" s="192"/>
      <c r="AP572" s="192"/>
      <c r="AQ572" s="192"/>
      <c r="AR572" s="192"/>
      <c r="AS572" s="192"/>
      <c r="AT572" s="192"/>
      <c r="AU572" s="192"/>
      <c r="AV572" s="192"/>
      <c r="AW572" s="192"/>
      <c r="AX572" s="192"/>
    </row>
    <row r="573" spans="2:50" ht="15" customHeight="1" thickTop="1" thickBot="1" x14ac:dyDescent="0.35">
      <c r="B573" s="192"/>
      <c r="C573" s="192"/>
      <c r="D573" s="192"/>
      <c r="E573" s="117"/>
      <c r="F573" s="117"/>
      <c r="G573" s="117"/>
      <c r="H573" s="192"/>
      <c r="I573" s="192"/>
      <c r="J573" s="192"/>
      <c r="K573" s="192"/>
      <c r="L573" s="192"/>
      <c r="M573" s="192"/>
      <c r="N573" s="192"/>
      <c r="O573" s="192"/>
      <c r="P573" s="192"/>
      <c r="Q573" s="192"/>
      <c r="R573" s="247"/>
      <c r="S573" s="395"/>
      <c r="T573" s="208">
        <v>3</v>
      </c>
      <c r="U573" s="209" t="str">
        <f>IF(U563="","",IF(OR(U565&lt;&gt;U563,U565&lt;&gt;U564),"",IF(COUNTIF(M564:M566,M566)=1,"",IF(COUNTBLANK(I564:I567)=1,(SUM(L575:P575)+SUM(L578:P578))/(SUM(L576:P576)+SUM(L579:P579)),IF(COUNTBLANK(I564:I567)=0,(SUM(L575:P575)+SUM(L584:P584))/(SUM(L576:P576)+SUM(L585:P585)))))))</f>
        <v/>
      </c>
      <c r="V573" s="125" t="str">
        <f>IF(V563="","",IF(OR(V565&lt;&gt;V563,V565&lt;&gt;V566),"",IF(AND(COUNTBLANK(I564:I567)=0,M564=M566,M566=M567),(SUM(L575:P575)+SUM(L591:P591))/(SUM(L576:P576)+SUM(L590:P590)),"")))</f>
        <v/>
      </c>
      <c r="W573" s="218"/>
      <c r="X573" s="245" t="str">
        <f>IF(X564="","",IF(OR(X565&lt;&gt;X564,X565&lt;&gt;X566),"",IF(AND(COUNTBLANK(I564:I567)=0,M565=M566,M566=M567),(SUM(L584:P584)+SUM(L591:P591))/(SUM(L585:P585)+SUM(L590:P590)),"")))</f>
        <v/>
      </c>
      <c r="Y573" s="208"/>
      <c r="Z573" s="203"/>
      <c r="AA573" s="240">
        <v>4</v>
      </c>
      <c r="AB573" s="222" t="str">
        <f>IF(AND(COUNTBLANK(I564:I567)=0,Group_players=4,M564=M566,M566=M567),IF(COUNTIF(V563:V566,V566)=3,AB586,IF(AND(COUNTIF(V563:V566,V566)=1,V565&lt;&gt;V563),IF(M567=2,IF(SMALL(V563:V566,1)=V566,1,IF(SMALL(V563:V566,2)=V566,2,IF(SMALL(V563:V566,3)=V566,3))),IF(M567=1,IF(SMALL(V563:V566,1)=V566,2,IF(SMALL(V563:V566,2)=V566,3,IF(SMALL(V563:V566,3)=V566,4))),"")),IF(COUNTIF(V563:V566,V566)=1,IF(V566&lt;V563,IF(M567=2,1,2),IF(M567=2,3,4)),IF(COUNTIF(V563:V566,V566)=2,IF(V566=V563,IF(V566&lt;V565,IF(M567=2,IF(Q582=3,1,2),IF(M567=1,IF(Q582=3,2,3))),IF(V566&gt;V565,IF(M567=2,IF(Q582=3,2,3),IF(M567=1,IF(Q582=3,3,4))))),IF(V566=V565,IF(V566&lt;V563,IF(M567=2,IF(Q591=3,1,2),IF(M567=1,IF(Q591=3,2,3))),IF(V566&gt;V563,IF(M567=2,IF(Q591=3,2,3),IF(M567=1,IF(Q591=3,3,4))))))),"")))),"")</f>
        <v/>
      </c>
      <c r="AC573" s="192"/>
      <c r="AD573" s="192"/>
      <c r="AE573" s="192"/>
      <c r="AF573" s="203"/>
      <c r="AG573" s="203"/>
      <c r="AH573" s="203"/>
      <c r="AI573" s="203"/>
      <c r="AJ573" s="203"/>
      <c r="AK573" s="203"/>
      <c r="AL573" s="203"/>
      <c r="AM573" s="203"/>
      <c r="AN573" s="192"/>
      <c r="AO573" s="192"/>
      <c r="AP573" s="192"/>
      <c r="AQ573" s="192"/>
      <c r="AR573" s="192"/>
      <c r="AS573" s="192"/>
      <c r="AT573" s="192"/>
      <c r="AU573" s="192"/>
      <c r="AV573" s="192"/>
      <c r="AW573" s="192"/>
      <c r="AX573" s="192"/>
    </row>
    <row r="574" spans="2:50" ht="15" customHeight="1" thickTop="1" thickBot="1" x14ac:dyDescent="0.35">
      <c r="B574" s="192"/>
      <c r="C574" s="192"/>
      <c r="D574" s="192"/>
      <c r="E574" s="168" t="s">
        <v>113</v>
      </c>
      <c r="F574" s="168" t="s">
        <v>114</v>
      </c>
      <c r="G574" s="117"/>
      <c r="H574" s="192"/>
      <c r="I574" s="249" t="s">
        <v>115</v>
      </c>
      <c r="J574" s="249"/>
      <c r="K574" s="249"/>
      <c r="L574" s="250" t="s">
        <v>115</v>
      </c>
      <c r="M574" s="250" t="s">
        <v>116</v>
      </c>
      <c r="N574" s="250" t="s">
        <v>117</v>
      </c>
      <c r="O574" s="250" t="s">
        <v>118</v>
      </c>
      <c r="P574" s="250" t="s">
        <v>119</v>
      </c>
      <c r="Q574" s="250" t="s">
        <v>120</v>
      </c>
      <c r="R574" s="250"/>
      <c r="S574" s="251"/>
      <c r="T574" s="208">
        <v>4</v>
      </c>
      <c r="U574" s="223"/>
      <c r="V574" s="140" t="str">
        <f>IF(V563="","",IF(OR(V566&lt;&gt;V563,V566&lt;&gt;V565),"",IF(AND(COUNTBLANK(I564:I567)=0,M564=M566,M566=M567),(SUM(L581:P581)+SUM(L590:P590))/(SUM(L582:P582)+SUM(L591:P591)),"")))</f>
        <v/>
      </c>
      <c r="W574" s="224" t="str">
        <f>IF(W563="","",IF(OR(W566&lt;&gt;W563,W566&lt;&gt;W564),"",IF(AND(COUNTBLANK(I564:I567)=0,M564=M565,M565=M567),(SUM(L581:P581)+SUM(L578:P578))/(SUM(L582:P582)+SUM(L579:P579)),"")))</f>
        <v/>
      </c>
      <c r="X574" s="252" t="str">
        <f>IF(X564="","",IF(OR(X566&lt;&gt;X564,X566&lt;&gt;X565),"",IF(AND(COUNTBLANK(I564:I567)=0,M565=M566,M566=M567),(SUM(L578:P578)+SUM(L590:P590))/(SUM(L579:P579)+SUM(L591:P591)),"")))</f>
        <v/>
      </c>
      <c r="Y574" s="192"/>
      <c r="Z574" s="203"/>
      <c r="AA574" s="243">
        <v>1</v>
      </c>
      <c r="AB574" s="151" t="str">
        <f>IF(AND(COUNTBLANK(I564:I567)=0,Group_players=4,M564=M565,M565=M567),IF(COUNTIF(W563:W566,W563)=3,AB587,IF(AND(COUNTIF(W563:W566,W563)=1,W564&lt;&gt;W566),IF(M564=2,IF(SMALL(W563:W566,1)=W563,1,IF(SMALL(W563:W566,2)=W563,2,IF(SMALL(W563:W566,3)=W563,3))),IF(M564=1,IF(SMALL(W563:W566,1)=W563,2,IF(SMALL(W563:W566,2)=W563,3,IF(SMALL(W563:W566,3)=W563,4))),"")),IF(COUNTIF(W563:W566,W563)=1,IF(W563&lt;W564,IF(M564=2,1,2),IF(M564=2,3,4)),IF(COUNTIF(W563:W566,W563)=2,IF(W563=W564,IF(W563&lt;W566,IF(M564=2,IF(Q587=3,1,2),IF(M564=1,IF(Q587=3,2,3))),IF(W563&gt;W566,IF(M564=2,IF(Q587=3,2,3),IF(M564=1,IF(Q587=3,3,4))))),IF(W563=W566,IF(W563&lt;W564,IF(M564=2,IF(Q581=3,1,2),IF(M564=1,IF(Q581=3,2,3))),IF(W563&gt;W564,IF(M564=2,IF(Q581=3,2,3),IF(M564=1,IF(Q581=3,3,4))))))),"")))),"")</f>
        <v/>
      </c>
      <c r="AC574" s="192"/>
      <c r="AD574" s="192"/>
      <c r="AE574" s="192"/>
      <c r="AF574" s="203"/>
      <c r="AG574" s="203"/>
      <c r="AH574" s="203"/>
      <c r="AI574" s="203"/>
      <c r="AJ574" s="203"/>
      <c r="AK574" s="203"/>
      <c r="AL574" s="203"/>
      <c r="AM574" s="203"/>
      <c r="AN574" s="192"/>
      <c r="AO574" s="192"/>
      <c r="AP574" s="192"/>
      <c r="AQ574" s="192"/>
      <c r="AR574" s="192"/>
      <c r="AS574" s="192"/>
      <c r="AT574" s="192"/>
      <c r="AU574" s="192"/>
      <c r="AV574" s="192"/>
      <c r="AW574" s="192"/>
      <c r="AX574" s="192"/>
    </row>
    <row r="575" spans="2:50" ht="15" customHeight="1" thickTop="1" x14ac:dyDescent="0.3">
      <c r="B575" s="192"/>
      <c r="C575" s="192"/>
      <c r="D575" s="192"/>
      <c r="E575" s="164" t="str">
        <f>IF(Q575="","",IF(Q575=3,1,0))</f>
        <v/>
      </c>
      <c r="F575" s="164" t="str">
        <f>IF(Q575="","",IF(Q575&lt;3,1,0))</f>
        <v/>
      </c>
      <c r="G575" s="192"/>
      <c r="H575" s="192" t="str">
        <f>IF(I564="","",1)</f>
        <v/>
      </c>
      <c r="I575" s="192" t="str">
        <f>IF(ISNUMBER(H575),VLOOKUP(H575,H564:I567,2,TRUE),"")</f>
        <v/>
      </c>
      <c r="J575" s="192"/>
      <c r="K575" s="192" t="str">
        <f>VLOOKUP(I575,I564:L567,3,FALSE)</f>
        <v/>
      </c>
      <c r="L575" s="253"/>
      <c r="M575" s="254"/>
      <c r="N575" s="254"/>
      <c r="O575" s="152"/>
      <c r="P575" s="153"/>
      <c r="Q575" s="255" t="str">
        <f>IF(L575="","",IF(AND(L575-L576&gt;1,L575&gt;10),1,0)+IF(AND(M575-M576&gt;1,M575&gt;10),1,0)+IF(AND(N575-N576&gt;1,N575&gt;10),1,0)+IF(AND(O575-O576&gt;1,O575&gt;10),1,0)+IF(AND(P575-P576&gt;1,P575&gt;10),1,0))</f>
        <v/>
      </c>
      <c r="R575" s="203" t="str">
        <f>IF(AND(I575="",I576=""),"",ABS(VLOOKUP(I575,I564:L567,4,FALSE)-VLOOKUP(I576,I564:L567,4,FALSE)))</f>
        <v/>
      </c>
      <c r="S575" s="256" t="str">
        <f>IF(R576="","",IF(Q575=3,+R576,-R576))</f>
        <v/>
      </c>
      <c r="T575" s="257"/>
      <c r="U575" s="258"/>
      <c r="V575" s="258"/>
      <c r="W575" s="258"/>
      <c r="X575" s="258"/>
      <c r="Y575" s="192"/>
      <c r="Z575" s="203"/>
      <c r="AA575" s="246">
        <v>2</v>
      </c>
      <c r="AB575" s="154" t="str">
        <f>IF(AND(COUNTBLANK(I564:I567)=0,Group_players=4,M564=M565,M565=M567),IF(COUNTIF(W563:W566,W564)=3,AB588,IF(AND(COUNTIF(W563:W566,W564)=1,W563&lt;&gt;W565),IF(M565=2,IF(SMALL(W563:W566,1)=W564,1,IF(SMALL(W563:W566,2)=W564,2,IF(SMALL(W563:W566,3)=W564,3))),IF(M565=1,IF(SMALL(W563:W566,1)=W564,2,IF(SMALL(W563:W566,2)=W564,3,IF(SMALL(W563:W566,3)=W564,4))),"")),IF(COUNTIF(W563:W566,W564)=1,IF(W564&lt;W563,IF(M565=2,1,2),IF(M565=2,3,4)),IF(COUNTIF(W563:W566,W564)=2,IF(W564=W563,IF(W564&lt;W566,IF(M565=2,IF(Q588=3,1,2),IF(M565=1,IF(Q588=3,2,3))),IF(W564&gt;W566,IF(M565=2,IF(Q588=3,2,3),IF(M565=1,IF(Q588=3,3,4))))),IF(W564=W566,IF(W564&lt;W563,IF(M565=2,IF(Q578=3,1,2),IF(M565=1,IF(Q578=3,2,3))),IF(W564&gt;W563,IF(M565=2,IF(Q578=3,2,3),IF(M565=1,IF(Q578=3,3,4))))))),"")))),"")</f>
        <v/>
      </c>
      <c r="AC575" s="192"/>
      <c r="AD575" s="192"/>
      <c r="AE575" s="192"/>
      <c r="AF575" s="203"/>
      <c r="AG575" s="203"/>
      <c r="AH575" s="203"/>
      <c r="AI575" s="203"/>
      <c r="AJ575" s="203"/>
      <c r="AK575" s="203"/>
      <c r="AL575" s="203"/>
      <c r="AM575" s="203"/>
      <c r="AN575" s="192"/>
      <c r="AO575" s="192"/>
      <c r="AP575" s="192"/>
      <c r="AQ575" s="192"/>
      <c r="AR575" s="192"/>
      <c r="AS575" s="192"/>
      <c r="AT575" s="192"/>
      <c r="AU575" s="192"/>
      <c r="AV575" s="192"/>
      <c r="AW575" s="192"/>
      <c r="AX575" s="192"/>
    </row>
    <row r="576" spans="2:50" ht="15" customHeight="1" thickBot="1" x14ac:dyDescent="0.35">
      <c r="B576" s="192"/>
      <c r="C576" s="192"/>
      <c r="D576" s="192"/>
      <c r="E576" s="164" t="str">
        <f>IF(Q576="","",IF(Q576=3,1,0))</f>
        <v/>
      </c>
      <c r="F576" s="164" t="str">
        <f>IF(Q576="","",IF(Q576&lt;3,1,0))</f>
        <v/>
      </c>
      <c r="G576" s="192"/>
      <c r="H576" s="192" t="str">
        <f>IF(I565="","",IF(I566="",2,3))</f>
        <v/>
      </c>
      <c r="I576" s="192" t="str">
        <f>IF(ISNUMBER(H576),VLOOKUP(H576,H564:I567,2,TRUE),"")</f>
        <v/>
      </c>
      <c r="J576" s="192"/>
      <c r="K576" s="192" t="str">
        <f>VLOOKUP(I576,I564:L567,3,FALSE)</f>
        <v/>
      </c>
      <c r="L576" s="155"/>
      <c r="M576" s="259"/>
      <c r="N576" s="259"/>
      <c r="O576" s="156"/>
      <c r="P576" s="157"/>
      <c r="Q576" s="260" t="str">
        <f>IF(L576="","",IF(AND(L576-L575&gt;1,L576&gt;10),1,0)+IF(AND(M576-M575&gt;1,M576&gt;10),1,0)+IF(AND(N576-N575&gt;1,N576&gt;10),1,0)+IF(AND(O576-O575&gt;1,O576&gt;10),1,0)+IF(AND(P576-P575&gt;1,P576&gt;10),1,0))</f>
        <v/>
      </c>
      <c r="R576" s="203" t="str">
        <f>IF(AND(Q575&lt;&gt;3,Q576&lt;&gt;3),"",IF(Q575=3,IF(VLOOKUP(I575,I564:L567,4,FALSE)&gt;VLOOKUP(I576,I564:L567,4,FALSE),VLOOKUP(R575,Point_dif,2,FALSE),VLOOKUP(R575,Point_dif,3,FALSE)),IF(Q576=3,IF(VLOOKUP(I576,I564:L567,4,FALSE)&gt;VLOOKUP(I575,I564:L567,4,FALSE),VLOOKUP(R575,Point_dif,2,FALSE),VLOOKUP(R575,Point_dif,3,FALSE)))))</f>
        <v/>
      </c>
      <c r="S576" s="256" t="str">
        <f>IF(R576="","",IF(Q576=3,+R576,-R576))</f>
        <v/>
      </c>
      <c r="T576" s="192"/>
      <c r="U576" s="235"/>
      <c r="V576" s="235"/>
      <c r="W576" s="235"/>
      <c r="X576" s="235"/>
      <c r="Y576" s="235"/>
      <c r="Z576" s="235"/>
      <c r="AA576" s="240">
        <v>4</v>
      </c>
      <c r="AB576" s="158" t="str">
        <f>IF(AND(COUNTBLANK(I564:I567)=0,Group_players=4,M564=M565,M565=M567),IF(COUNTIF(W563:W566,W566)=3,AB589,IF(AND(COUNTIF(W563:W566,W566)=1,W563&lt;&gt;W564),IF(M567=2,IF(SMALL(W563:W566,1)=W566,1,IF(SMALL(W563:W566,2)=W566,2,IF(SMALL(W563:W566,3)=W566,3))),IF(M567=1,IF(SMALL(W563:W566,1)=W566,2,IF(SMALL(W563:W566,2)=W566,3,IF(SMALL(W563:W566,3)=W566,4))),"")),IF(COUNTIF(W563:W566,W566)=1,IF(W566&lt;W563,IF(M567=2,1,2),IF(M567=2,3,4)),IF(COUNTIF(W563:W566,W566)=2,IF(W566=W563,IF(W566&lt;W564,IF(M567=2,IF(Q582=3,1,2),IF(M567=1,IF(Q582=3,2,3))),IF(W566&gt;W565,IF(M567=2,IF(Q582=3,2,3),IF(M567=1,IF(Q582=3,3,4))))),IF(W566=W564,IF(W566&lt;W563,IF(M567=2,IF(Q579=3,1,2),IF(M567=1,IF(Q579=3,2,3))),IF(W566&gt;W563,IF(M567=2,IF(Q579=3,2,3),IF(M567=1,IF(Q579=3,3,4))))))),"")))),"")</f>
        <v/>
      </c>
      <c r="AC576" s="192"/>
      <c r="AD576" s="192"/>
      <c r="AE576" s="192"/>
      <c r="AF576" s="203"/>
      <c r="AG576" s="203"/>
      <c r="AH576" s="203"/>
      <c r="AI576" s="203"/>
      <c r="AJ576" s="203"/>
      <c r="AK576" s="203"/>
      <c r="AL576" s="203"/>
      <c r="AM576" s="203"/>
      <c r="AN576" s="192"/>
      <c r="AO576" s="192"/>
      <c r="AP576" s="192"/>
      <c r="AQ576" s="192"/>
      <c r="AR576" s="192"/>
      <c r="AS576" s="192"/>
      <c r="AT576" s="192"/>
      <c r="AU576" s="192"/>
      <c r="AV576" s="192"/>
      <c r="AW576" s="192"/>
      <c r="AX576" s="192"/>
    </row>
    <row r="577" spans="2:50" ht="15" customHeight="1" thickTop="1" thickBot="1" x14ac:dyDescent="0.35">
      <c r="B577" s="192"/>
      <c r="C577" s="192"/>
      <c r="D577" s="192"/>
      <c r="E577" s="164"/>
      <c r="F577" s="164"/>
      <c r="G577" s="192"/>
      <c r="H577" s="192"/>
      <c r="I577" s="249" t="s">
        <v>116</v>
      </c>
      <c r="J577" s="249"/>
      <c r="K577" s="249"/>
      <c r="L577" s="250" t="s">
        <v>115</v>
      </c>
      <c r="M577" s="250" t="s">
        <v>116</v>
      </c>
      <c r="N577" s="250" t="s">
        <v>117</v>
      </c>
      <c r="O577" s="250" t="s">
        <v>118</v>
      </c>
      <c r="P577" s="250" t="s">
        <v>119</v>
      </c>
      <c r="Q577" s="250" t="s">
        <v>120</v>
      </c>
      <c r="R577" s="250"/>
      <c r="S577" s="251"/>
      <c r="T577" s="192"/>
      <c r="U577" s="235"/>
      <c r="V577" s="235"/>
      <c r="W577" s="235"/>
      <c r="X577" s="235"/>
      <c r="Y577" s="235"/>
      <c r="Z577" s="235"/>
      <c r="AA577" s="243">
        <v>2</v>
      </c>
      <c r="AB577" s="151" t="str">
        <f>IF(AND(COUNTBLANK(I564:I567)=0,Group_players=4,M565=M566,M566=M567),IF(COUNTIF(X563:X566,X564)=3,AB590,IF(AND(COUNTIF(X563:X566,X564)=1,X565&lt;&gt;X566),IF(M565=2,IF(SMALL(X563:X566,1)=X564,1,IF(SMALL(X563:X566,2)=X564,2,IF(SMALL(X563:X566,3)=X564,3))),IF(M565=1,IF(SMALL(X563:X566,1)=X564,2,IF(SMALL(X563:X566,2)=X564,3,IF(SMALL(X563:X566,3)=X564,4))),"")),IF(COUNTIF(X563:X566,X564)=1,IF(X564&lt;X566,IF(M565=2,1,2),IF(M565=1,3,3)),IF(COUNTIF(X563:X566,X564)=2,IF(X564=X565,IF(X564&lt;X566,IF(M565=2,IF(Q584=3,1,2),IF(M565=1,IF(Q584=3,2,3))),IF(X564&gt;X566,IF(M565=2,IF(Q584=3,2,3),IF(M565=1,IF(Q584=3,3,4))))),IF(X564=X566,IF(X564&lt;X565,IF(M565=2,IF(Q578=3,1,2),IF(M565=1,IF(Q578=3,2,3))),IF(X564&gt;X565,IF(M565=2,IF(Q578=3,2,3),IF(M565=1,IF(Q578=3,3,4))))))),"")))),"")</f>
        <v/>
      </c>
      <c r="AC577" s="192"/>
      <c r="AD577" s="192"/>
      <c r="AE577" s="192"/>
      <c r="AF577" s="203"/>
      <c r="AG577" s="203"/>
      <c r="AH577" s="203"/>
      <c r="AI577" s="203"/>
      <c r="AJ577" s="203"/>
      <c r="AK577" s="203"/>
      <c r="AL577" s="203"/>
      <c r="AM577" s="203"/>
      <c r="AN577" s="192"/>
      <c r="AO577" s="192"/>
      <c r="AP577" s="192"/>
      <c r="AQ577" s="192"/>
      <c r="AR577" s="192"/>
      <c r="AS577" s="192"/>
      <c r="AT577" s="192"/>
      <c r="AU577" s="192"/>
      <c r="AV577" s="192"/>
      <c r="AW577" s="192"/>
      <c r="AX577" s="192"/>
    </row>
    <row r="578" spans="2:50" ht="15" customHeight="1" thickTop="1" x14ac:dyDescent="0.3">
      <c r="B578" s="192"/>
      <c r="C578" s="192"/>
      <c r="D578" s="192"/>
      <c r="E578" s="164" t="str">
        <f>IF(Q578="","",IF(Q578=3,1,0))</f>
        <v/>
      </c>
      <c r="F578" s="164" t="str">
        <f>IF(Q578="","",IF(Q578&lt;3,1,0))</f>
        <v/>
      </c>
      <c r="G578" s="192"/>
      <c r="H578" s="192" t="str">
        <f>IF(I566="","",2)</f>
        <v/>
      </c>
      <c r="I578" s="192" t="str">
        <f>IF(ISNUMBER(H578),VLOOKUP(H578,H564:I567,2,TRUE),"")</f>
        <v/>
      </c>
      <c r="J578" s="192"/>
      <c r="K578" s="192" t="str">
        <f>VLOOKUP(I578,I564:L567,3,FALSE)</f>
        <v/>
      </c>
      <c r="L578" s="253"/>
      <c r="M578" s="254"/>
      <c r="N578" s="254"/>
      <c r="O578" s="152"/>
      <c r="P578" s="153"/>
      <c r="Q578" s="255" t="str">
        <f>IF(L578="","",IF(AND(L578-L579&gt;1,L578&gt;10),1,0)+IF(AND(M578-M579&gt;1,M578&gt;10),1,0)+IF(AND(N578-N579&gt;1,N578&gt;10),1,0)+IF(AND(O578-O579&gt;1,O578&gt;10),1,0)+IF(AND(P578-P579&gt;1,P578&gt;10),1,0))</f>
        <v/>
      </c>
      <c r="R578" s="203" t="str">
        <f>IF(AND(I578="",I579=""),"",ABS(VLOOKUP(I578,I564:L567,4,FALSE)-VLOOKUP(I579,I564:L567,4,FALSE)))</f>
        <v/>
      </c>
      <c r="S578" s="256" t="str">
        <f>IF(R579="","",IF(Q578=3,+R579,-R579))</f>
        <v/>
      </c>
      <c r="T578" s="192"/>
      <c r="U578" s="235"/>
      <c r="V578" s="235"/>
      <c r="W578" s="235"/>
      <c r="X578" s="235"/>
      <c r="Y578" s="235"/>
      <c r="Z578" s="235"/>
      <c r="AA578" s="246">
        <v>3</v>
      </c>
      <c r="AB578" s="154" t="str">
        <f>IF(AND(COUNTBLANK(I564:I567)=0,Group_players=4,M565=M566,M566=M567),IF(COUNTIF(X563:X566,X565)=3,AB591,IF(AND(COUNTIF(X563:X566,X565)=1,X564&lt;&gt;X566),IF(M566=2,IF(SMALL(X563:X566,1)=X565,1,IF(SMALL(X563:X566,2)=X565,2,IF(SMALL(X563:X566,3)=X565,3))),IF(M566=1,IF(SMALL(X563:X566,1)=X565,2,IF(SMALL(X563:X566,2)=X565,3,IF(SMALL(X563:X566,3)=X565,4))),"")),IF(COUNTIF(X563:X566,X565)=1,IF(X565&lt;X564,IF(M566=2,1,2),IF(M566=2,3,4)),IF(COUNTIF(X563:X566,X565)=2,IF(X565=X564,IF(X565&lt;X566,IF(M566=2,IF(Q585=3,1,2),IF(M566=1,IF(Q585=3,2,3))),IF(X565&gt;X566,IF(M566=2,IF(Q585=3,2,3),IF(M566=1,IF(Q585=3,3,4))))),IF(X565=X566,IF(X565&lt;X564,IF(M566=2,IF(Q590=3,1,2),IF(M566=1,IF(Q590=3,2,3))),IF(X565&gt;X564,IF(M566=2,IF(Q590=3,2,3),IF(M566=1,IF(Q590=3,3,4))))))),"")))),"")</f>
        <v/>
      </c>
      <c r="AC578" s="192"/>
      <c r="AD578" s="192"/>
      <c r="AE578" s="192"/>
      <c r="AF578" s="203"/>
      <c r="AG578" s="203"/>
      <c r="AH578" s="203"/>
      <c r="AI578" s="203"/>
      <c r="AJ578" s="203"/>
      <c r="AK578" s="203"/>
      <c r="AL578" s="203"/>
      <c r="AM578" s="203"/>
      <c r="AN578" s="192"/>
      <c r="AO578" s="192"/>
      <c r="AP578" s="192"/>
      <c r="AQ578" s="192"/>
      <c r="AR578" s="192"/>
      <c r="AS578" s="192"/>
      <c r="AT578" s="192"/>
      <c r="AU578" s="192"/>
      <c r="AV578" s="192"/>
      <c r="AW578" s="192"/>
      <c r="AX578" s="192"/>
    </row>
    <row r="579" spans="2:50" ht="15" customHeight="1" thickBot="1" x14ac:dyDescent="0.35">
      <c r="B579" s="192"/>
      <c r="C579" s="192"/>
      <c r="D579" s="192"/>
      <c r="E579" s="164" t="str">
        <f>IF(Q579="","",IF(Q579=3,1,0))</f>
        <v/>
      </c>
      <c r="F579" s="164" t="str">
        <f>IF(Q579="","",IF(Q579&lt;3,1,0))</f>
        <v/>
      </c>
      <c r="G579" s="192"/>
      <c r="H579" s="192" t="str">
        <f>IF(I566="","",IF(I567="",3,4))</f>
        <v/>
      </c>
      <c r="I579" s="192" t="str">
        <f>IF(ISNUMBER(H579),VLOOKUP(H579,H564:I567,2,TRUE),"")</f>
        <v/>
      </c>
      <c r="J579" s="192"/>
      <c r="K579" s="192" t="str">
        <f>VLOOKUP(I579,I564:L567,3,FALSE)</f>
        <v/>
      </c>
      <c r="L579" s="155"/>
      <c r="M579" s="259"/>
      <c r="N579" s="259"/>
      <c r="O579" s="156"/>
      <c r="P579" s="157"/>
      <c r="Q579" s="260" t="str">
        <f>IF(L579="","",IF(AND(L579-L578&gt;1,L579&gt;10),1,0)+IF(AND(M579-M578&gt;1,M579&gt;10),1,0)+IF(AND(N579-N578&gt;1,N579&gt;10),1,0)+IF(AND(O579-O578&gt;1,O579&gt;10),1,0)+IF(AND(P579-P578&gt;1,P579&gt;10),1,0))</f>
        <v/>
      </c>
      <c r="R579" s="203" t="str">
        <f>IF(AND(Q578&lt;&gt;3,Q579&lt;&gt;3),"",IF(Q578=3,IF(VLOOKUP(I578,I564:L567,4,FALSE)&gt;VLOOKUP(I579,I564:L567,4,FALSE),VLOOKUP(R578,Point_dif,2,FALSE),VLOOKUP(R578,Point_dif,3,FALSE)),IF(Q579=3,IF(VLOOKUP(I579,I564:L567,4,FALSE)&gt;VLOOKUP(I578,I564:L567,4,FALSE),VLOOKUP(R578,Point_dif,2,FALSE),VLOOKUP(R578,Point_dif,3,FALSE)))))</f>
        <v/>
      </c>
      <c r="S579" s="256" t="str">
        <f>IF(R579="","",IF(Q579=3,+R579,-R579))</f>
        <v/>
      </c>
      <c r="T579" s="192"/>
      <c r="U579" s="235"/>
      <c r="V579" s="235"/>
      <c r="W579" s="235"/>
      <c r="X579" s="235"/>
      <c r="Y579" s="235"/>
      <c r="Z579" s="235"/>
      <c r="AA579" s="261">
        <v>4</v>
      </c>
      <c r="AB579" s="158" t="str">
        <f>IF(AND(COUNTBLANK(I564:I567)=0,Group_players=4,M565=M566,M566=M567),IF(COUNTIF(X563:X566,X566)=3,AB592,IF(AND(COUNTIF(X563:X566,X566)=1,X565&lt;&gt;X564),IF(M567=2,IF(SMALL(X563:X566,1)=X566,1,IF(SMALL(X563:X566,2)=X566,2,IF(SMALL(X563:X566,3)=X566,3))),IF(M567=1,IF(SMALL(X563:X566,1)=X566,2,IF(SMALL(X563:X566,2)=X566,3,IF(SMALL(X563:X566,3)=X566,4))),"")),IF(COUNTIF(X563:X566,X566)=1,IF(X566&lt;X564,IF(M567=2,1,2),IF(M567=2,3,4)),IF(COUNTIF(X563:X566,X566)=2,IF(X566=X564,IF(X566&lt;X565,IF(M567=2,IF(Q579=3,1,2),IF(M567=1,IF(Q579=3,2,3))),IF(X566&gt;X565,IF(M567=2,IF(Q579=3,2,3),IF(M567=1,IF(Q579=3,3,4))))),IF(X566=X565,IF(X566&lt;X564,IF(M567=2,IF(Q591=3,1,2),IF(M567=1,IF(Q591=3,2,3))),IF(X566&gt;X564,IF(M567=2,IF(Q591=3,2,3),IF(M567=1,IF(Q591=3,3,4))))))),"")))),"")</f>
        <v/>
      </c>
      <c r="AC579" s="192"/>
      <c r="AD579" s="192"/>
      <c r="AE579" s="192"/>
      <c r="AF579" s="203"/>
      <c r="AG579" s="203"/>
      <c r="AH579" s="203"/>
      <c r="AI579" s="203"/>
      <c r="AJ579" s="203"/>
      <c r="AK579" s="203"/>
      <c r="AL579" s="203"/>
      <c r="AM579" s="203"/>
      <c r="AN579" s="192"/>
      <c r="AO579" s="192"/>
      <c r="AP579" s="192"/>
      <c r="AQ579" s="192"/>
      <c r="AR579" s="192"/>
      <c r="AS579" s="192"/>
      <c r="AT579" s="192"/>
      <c r="AU579" s="192"/>
      <c r="AV579" s="192"/>
      <c r="AW579" s="192"/>
      <c r="AX579" s="192"/>
    </row>
    <row r="580" spans="2:50" ht="15" customHeight="1" thickTop="1" thickBot="1" x14ac:dyDescent="0.35">
      <c r="B580" s="192"/>
      <c r="C580" s="192"/>
      <c r="D580" s="192"/>
      <c r="E580" s="164"/>
      <c r="F580" s="164"/>
      <c r="G580" s="192"/>
      <c r="H580" s="192"/>
      <c r="I580" s="249" t="s">
        <v>117</v>
      </c>
      <c r="J580" s="249"/>
      <c r="K580" s="249"/>
      <c r="L580" s="250" t="s">
        <v>115</v>
      </c>
      <c r="M580" s="250" t="s">
        <v>116</v>
      </c>
      <c r="N580" s="250" t="s">
        <v>117</v>
      </c>
      <c r="O580" s="250" t="s">
        <v>118</v>
      </c>
      <c r="P580" s="250" t="s">
        <v>119</v>
      </c>
      <c r="Q580" s="250" t="s">
        <v>120</v>
      </c>
      <c r="R580" s="250"/>
      <c r="S580" s="251"/>
      <c r="T580" s="263"/>
      <c r="U580" s="264"/>
      <c r="V580" s="242"/>
      <c r="W580" s="242"/>
      <c r="X580" s="264"/>
      <c r="Y580" s="192"/>
      <c r="Z580" s="203"/>
      <c r="AA580" s="126" t="s">
        <v>93</v>
      </c>
      <c r="AB580" s="265" t="s">
        <v>110</v>
      </c>
      <c r="AC580" s="192"/>
      <c r="AD580" s="192"/>
      <c r="AE580" s="192"/>
      <c r="AF580" s="203"/>
      <c r="AG580" s="203"/>
      <c r="AH580" s="203"/>
      <c r="AI580" s="203"/>
      <c r="AJ580" s="203"/>
      <c r="AK580" s="203"/>
      <c r="AL580" s="203"/>
      <c r="AM580" s="203"/>
      <c r="AN580" s="192"/>
      <c r="AO580" s="192"/>
      <c r="AP580" s="192"/>
      <c r="AQ580" s="192"/>
      <c r="AR580" s="192"/>
      <c r="AS580" s="192"/>
      <c r="AT580" s="192"/>
      <c r="AU580" s="192"/>
      <c r="AV580" s="192"/>
      <c r="AW580" s="192"/>
      <c r="AX580" s="192"/>
    </row>
    <row r="581" spans="2:50" ht="15" customHeight="1" thickTop="1" x14ac:dyDescent="0.3">
      <c r="B581" s="192"/>
      <c r="C581" s="192"/>
      <c r="D581" s="192"/>
      <c r="E581" s="164" t="str">
        <f>IF(Q581="","",IF(Q581=3,1,0))</f>
        <v/>
      </c>
      <c r="F581" s="164" t="str">
        <f>IF(Q581="","",IF(Q581&lt;3,1,0))</f>
        <v/>
      </c>
      <c r="G581" s="192"/>
      <c r="H581" s="192" t="str">
        <f>IF(I566&lt;&gt;"",1,"")</f>
        <v/>
      </c>
      <c r="I581" s="192" t="str">
        <f>IF(ISNUMBER(H581),VLOOKUP(H581,H564:I567,2,TRUE),"")</f>
        <v/>
      </c>
      <c r="J581" s="192"/>
      <c r="K581" s="192" t="str">
        <f>VLOOKUP(I581,I564:L567,3,FALSE)</f>
        <v/>
      </c>
      <c r="L581" s="253"/>
      <c r="M581" s="254"/>
      <c r="N581" s="254"/>
      <c r="O581" s="152"/>
      <c r="P581" s="153"/>
      <c r="Q581" s="255" t="str">
        <f>IF(L581="","",IF(AND(L581-L582&gt;1,L581&gt;10),1,0)+IF(AND(M581-M582&gt;1,M581&gt;10),1,0)+IF(AND(N581-N582&gt;1,N581&gt;10),1,0)+IF(AND(O581-O582&gt;1,O581&gt;10),1,0)+IF(AND(P581-P582&gt;1,P581&gt;10),1,0))</f>
        <v/>
      </c>
      <c r="R581" s="203" t="str">
        <f>IF(AND(I581="",I582=""),"",ABS(VLOOKUP(I581,I564:L567,4,FALSE)-VLOOKUP(I582,I564:L567,4,FALSE)))</f>
        <v/>
      </c>
      <c r="S581" s="256" t="str">
        <f>IF(R582="","",IF(Q581=3,+R582,-R582))</f>
        <v/>
      </c>
      <c r="T581" s="192"/>
      <c r="U581" s="235"/>
      <c r="V581" s="235"/>
      <c r="W581" s="235"/>
      <c r="X581" s="235"/>
      <c r="Y581" s="235"/>
      <c r="Z581" s="235"/>
      <c r="AA581" s="243">
        <v>1</v>
      </c>
      <c r="AB581" s="222" t="str">
        <f>IF(AND(COUNTBLANK(I564:I567)=0,Group_players=4,M564=M565,M565=M566),IF(U571="","",IF(COUNTIF(U571:U574,U571)=3,"Tied",IF(AND(COUNTIF(U571:U574,U571)=1,U572&lt;&gt;U573),IF(M564=2,IF(SMALL(U571:U574,1)=U571,1,IF(SMALL(U571:U574,2)=U571,2,IF(SMALL(U571:U574,3)=U571,3))),IF(M564=1,IF(SMALL(U571:U574,1)=U571,2,IF(SMALL(U571:U574,2)=U571,3,IF(SMALL(U571:U574,3)=U571,4))),"")),IF(COUNTIF(U571:U574,U571)=1,IF(U571&lt;U572,IF(M564=2,1,2),IF(M564=2,3,4)),IF(COUNTIF(U571:U574,U571)=2,IF(U571=U572,IF(U571&lt;U573,IF(M564=2,IF(Q587=3,1,2),IF(M564=1,IF(Q587=3,2,3))),IF(U571&gt;U573,IF(M564=2,IF(Q587=3,2,3),IF(M564=1,IF(Q587=3,3,4))))),IF(U571=U573,IF(U571&lt;U572,IF(M564=2,IF(Q575=3,1,2),IF(M564=1,IF(Q575=3,2,3))),IF(U571&gt;U572,IF(M564=2,IF(Q575=3,2,3),IF(M564=1,IF(Q575=3,3,4)))))))))))),"")</f>
        <v/>
      </c>
      <c r="AC581" s="192"/>
      <c r="AD581" s="192"/>
      <c r="AE581" s="192"/>
      <c r="AF581" s="203"/>
      <c r="AG581" s="203"/>
      <c r="AH581" s="203"/>
      <c r="AI581" s="203"/>
      <c r="AJ581" s="203"/>
      <c r="AK581" s="203"/>
      <c r="AL581" s="203"/>
      <c r="AM581" s="203"/>
      <c r="AN581" s="192"/>
      <c r="AO581" s="192"/>
      <c r="AP581" s="192"/>
      <c r="AQ581" s="192"/>
      <c r="AR581" s="192"/>
      <c r="AS581" s="192"/>
      <c r="AT581" s="192"/>
      <c r="AU581" s="192"/>
      <c r="AV581" s="192"/>
      <c r="AW581" s="192"/>
      <c r="AX581" s="192"/>
    </row>
    <row r="582" spans="2:50" ht="15" customHeight="1" thickBot="1" x14ac:dyDescent="0.35">
      <c r="B582" s="192"/>
      <c r="C582" s="192"/>
      <c r="D582" s="192"/>
      <c r="E582" s="164" t="str">
        <f>IF(Q582="","",IF(Q582=3,1,0))</f>
        <v/>
      </c>
      <c r="F582" s="164" t="str">
        <f>IF(Q582="","",IF(Q582&lt;3,1,0))</f>
        <v/>
      </c>
      <c r="G582" s="192"/>
      <c r="H582" s="192" t="str">
        <f>IF(I566="","",IF(I567&lt;&gt;"",4,2))</f>
        <v/>
      </c>
      <c r="I582" s="192" t="str">
        <f>IF(ISNUMBER(H582),VLOOKUP(H582,H564:I567,2,TRUE),"")</f>
        <v/>
      </c>
      <c r="J582" s="192"/>
      <c r="K582" s="192" t="str">
        <f>VLOOKUP(I582,I564:L567,3,FALSE)</f>
        <v/>
      </c>
      <c r="L582" s="155"/>
      <c r="M582" s="259"/>
      <c r="N582" s="259"/>
      <c r="O582" s="156"/>
      <c r="P582" s="157"/>
      <c r="Q582" s="260" t="str">
        <f>IF(L582="","",IF(AND(L582-L581&gt;1,L582&gt;10),1,0)+IF(AND(M582-M581&gt;1,M582&gt;10),1,0)+IF(AND(N582-N581&gt;1,N582&gt;10),1,0)+IF(AND(O582-O581&gt;1,O582&gt;10),1,0)+IF(AND(P582-P581&gt;1,P582&gt;10),1,0))</f>
        <v/>
      </c>
      <c r="R582" s="203" t="str">
        <f>IF(AND(Q581&lt;&gt;3,Q582&lt;&gt;3),"",IF(Q581=3,IF(VLOOKUP(I581,I564:L567,4,FALSE)&gt;VLOOKUP(I582,I564:L567,4,FALSE),VLOOKUP(R581,Point_dif,2,FALSE),VLOOKUP(R581,Point_dif,3,FALSE)),IF(Q582=3,IF(VLOOKUP(I582,I564:L567,4,FALSE)&gt;VLOOKUP(I581,I564:L567,4,FALSE),VLOOKUP(R581,Point_dif,2,FALSE),VLOOKUP(R581,Point_dif,3,FALSE)))))</f>
        <v/>
      </c>
      <c r="S582" s="256" t="str">
        <f>IF(R582="","",IF(Q582=3,+R582,-R582))</f>
        <v/>
      </c>
      <c r="T582" s="192"/>
      <c r="U582" s="235"/>
      <c r="V582" s="235"/>
      <c r="W582" s="235"/>
      <c r="X582" s="235"/>
      <c r="Y582" s="235"/>
      <c r="Z582" s="235"/>
      <c r="AA582" s="246">
        <v>2</v>
      </c>
      <c r="AB582" s="222" t="str">
        <f>IF(AND(COUNTBLANK(I564:I567)=0,Group_players=4,M564=M565,M565=M566),IF(U572="","",IF(COUNTIF(U571:U574,U572)=3,"Tied",IF(AND(COUNTIF(U571:U574,U572)=1,U571&lt;&gt;U573),IF(M565=2,IF(SMALL(U571:U574,1)=U572,1,IF(SMALL(U571:U574,2)=U572,2,IF(SMALL(U571:U574,3)=U572,3))),IF(M565=1,IF(SMALL(U571:U574,1)=U572,2,IF(SMALL(U571:U574,2)=U572,3,IF(SMALL(U571:U574,3)=U572,4))),"")),IF(COUNTIF(U571:U574,U572)=1,IF(U572&lt;U571,IF(M565=2,1,2),IF(M565=2,3,4)),IF(COUNTIF(U571:U574,U572)=2,IF(U572=U571,IF(U572&lt;U573,IF(M565=2,IF(Q588=3,1,2),IF(M565=1,IF(Q588=3,2,3))),IF(U572&gt;U573,IF(M565=2,IF(Q588=3,2,3),IF(M565=1,IF(Q588=3,3,4))))),IF(U572=U573,IF(U572&lt;U571,IF(M565=2,IF(Q584=3,1,2),IF(M565=1,IF(Q584=3,2,3))),IF(U572&gt;U571,IF(M565=2,IF(Q584=3,2,3),IF(M565=1,IF(Q584=3,3,4)))))))))))),"")</f>
        <v/>
      </c>
      <c r="AC582" s="192"/>
      <c r="AD582" s="192"/>
      <c r="AE582" s="192"/>
      <c r="AF582" s="203"/>
      <c r="AG582" s="203"/>
      <c r="AH582" s="203"/>
      <c r="AI582" s="203"/>
      <c r="AJ582" s="203"/>
      <c r="AK582" s="203"/>
      <c r="AL582" s="203"/>
      <c r="AM582" s="203"/>
      <c r="AN582" s="192"/>
      <c r="AO582" s="192"/>
      <c r="AP582" s="192"/>
      <c r="AQ582" s="192"/>
      <c r="AR582" s="192"/>
      <c r="AS582" s="192"/>
      <c r="AT582" s="192"/>
      <c r="AU582" s="192"/>
      <c r="AV582" s="192"/>
      <c r="AW582" s="192"/>
      <c r="AX582" s="192"/>
    </row>
    <row r="583" spans="2:50" ht="15" customHeight="1" thickTop="1" thickBot="1" x14ac:dyDescent="0.35">
      <c r="B583" s="192"/>
      <c r="C583" s="192"/>
      <c r="D583" s="192"/>
      <c r="E583" s="164"/>
      <c r="F583" s="164"/>
      <c r="G583" s="192"/>
      <c r="H583" s="192"/>
      <c r="I583" s="249" t="s">
        <v>118</v>
      </c>
      <c r="J583" s="249"/>
      <c r="K583" s="249"/>
      <c r="L583" s="250" t="s">
        <v>115</v>
      </c>
      <c r="M583" s="250" t="s">
        <v>116</v>
      </c>
      <c r="N583" s="250" t="s">
        <v>117</v>
      </c>
      <c r="O583" s="250" t="s">
        <v>118</v>
      </c>
      <c r="P583" s="250" t="s">
        <v>119</v>
      </c>
      <c r="Q583" s="250" t="s">
        <v>120</v>
      </c>
      <c r="R583" s="250"/>
      <c r="S583" s="251"/>
      <c r="T583" s="192"/>
      <c r="U583" s="235"/>
      <c r="V583" s="235"/>
      <c r="W583" s="235"/>
      <c r="X583" s="235"/>
      <c r="Y583" s="235"/>
      <c r="Z583" s="235"/>
      <c r="AA583" s="240">
        <v>3</v>
      </c>
      <c r="AB583" s="241" t="str">
        <f>IF(AND(COUNTBLANK(I564:I567)=0,Group_players=4,M564=M565,M565=M566),IF(U573="","",IF(COUNTIF(U571:U574,U573)=3,"Tied",IF(AND(COUNTIF(U571:U574,U573)=1,U571&lt;&gt;U572),IF(M564=2,IF(SMALL(U571:U574,1)=U573,1,IF(SMALL(U571:U574,2)=U573,2,IF(SMALL(U571:U574,3)=U573,3))),IF(M566=1,IF(SMALL(U571:U574,1)=U573,2,IF(SMALL(U571:U574,2)=U573,3,IF(SMALL(U571:U574,3)=U573,4))),"")),IF(COUNTIF(U571:U574,U573)=1,IF(U573&lt;U572,IF(M566=2,1,2),IF(M566=2,3,4)),IF(COUNTIF(U571:U574,U573)=2,IF(U573=U572,IF(U573&lt;U571,IF(M566=2,IF(Q585=3,1,2),IF(M566=1,IF(Q585=3,2,3))),IF(U573&gt;U571,IF(M566=2,IF(Q585=3,2,3),IF(M566=1,IF(Q585=3,3,4))))),IF(U573=U571,IF(U573&lt;U572,IF(M566=2,IF(Q576=3,1,2),IF(M566=1,IF(Q576=3,2,3))),IF(U573&gt;U572,IF(M566=2,IF(Q576=3,2,3),IF(M566=1,IF(Q576=3,3,4)))))))))))),"")</f>
        <v/>
      </c>
      <c r="AC583" s="192"/>
      <c r="AD583" s="192"/>
      <c r="AE583" s="192"/>
      <c r="AF583" s="203"/>
      <c r="AG583" s="203"/>
      <c r="AH583" s="203"/>
      <c r="AI583" s="203"/>
      <c r="AJ583" s="203"/>
      <c r="AK583" s="203"/>
      <c r="AL583" s="203"/>
      <c r="AM583" s="203"/>
      <c r="AN583" s="192"/>
      <c r="AO583" s="192"/>
      <c r="AP583" s="192"/>
      <c r="AQ583" s="192"/>
      <c r="AR583" s="192"/>
      <c r="AS583" s="192"/>
      <c r="AT583" s="192"/>
      <c r="AU583" s="192"/>
      <c r="AV583" s="192"/>
      <c r="AW583" s="192"/>
      <c r="AX583" s="192"/>
    </row>
    <row r="584" spans="2:50" ht="15" customHeight="1" thickTop="1" x14ac:dyDescent="0.3">
      <c r="B584" s="192"/>
      <c r="C584" s="192"/>
      <c r="D584" s="192"/>
      <c r="E584" s="164" t="str">
        <f>IF(Q584="","",IF(Q584=3,1,0))</f>
        <v/>
      </c>
      <c r="F584" s="164" t="str">
        <f>IF(Q584="","",IF(Q584&lt;3,1,0))</f>
        <v/>
      </c>
      <c r="G584" s="192"/>
      <c r="H584" s="192" t="str">
        <f>IF(I567&lt;&gt;"",2,"")</f>
        <v/>
      </c>
      <c r="I584" s="192" t="str">
        <f>IF(ISNUMBER(H584),VLOOKUP(H584,H564:I567,2,TRUE),"")</f>
        <v/>
      </c>
      <c r="J584" s="192"/>
      <c r="K584" s="192" t="str">
        <f>VLOOKUP(I584,I564:L567,3,FALSE)</f>
        <v/>
      </c>
      <c r="L584" s="253"/>
      <c r="M584" s="254"/>
      <c r="N584" s="254"/>
      <c r="O584" s="152"/>
      <c r="P584" s="153"/>
      <c r="Q584" s="255" t="str">
        <f>IF(L584="","",IF(AND(L584-L585&gt;1,L584&gt;10),1,0)+IF(AND(M584-M585&gt;1,M584&gt;10),1,0)+IF(AND(N584-N585&gt;1,N584&gt;10),1,0)+IF(AND(O584-O585&gt;1,O584&gt;10),1,0)+IF(AND(P584-P585&gt;1,P584&gt;10),1,0))</f>
        <v/>
      </c>
      <c r="R584" s="203" t="str">
        <f>IF(AND(I584="",I585=""),"",ABS(VLOOKUP(I584,I564:L567,4,FALSE)-VLOOKUP(I585,I564:L567,4,FALSE)))</f>
        <v/>
      </c>
      <c r="S584" s="256" t="str">
        <f>IF(R585="","",IF(Q584=3,+R585,-R585))</f>
        <v/>
      </c>
      <c r="T584" s="192"/>
      <c r="U584" s="235"/>
      <c r="V584" s="235"/>
      <c r="W584" s="235"/>
      <c r="X584" s="235"/>
      <c r="Y584" s="235"/>
      <c r="Z584" s="235"/>
      <c r="AA584" s="243">
        <v>1</v>
      </c>
      <c r="AB584" s="222" t="str">
        <f>IF(AND(COUNTBLANK(I564:I567)=0,Group_players=4,M564=M566,M566=M567),IF(V571="","",IF(COUNTIF(V571:V574,V571)=3,"Tied",IF(AND(COUNTIF(V571:V574,V571)=1,V573&lt;&gt;U574),IF(M564=2,IF(SMALL(V571:V574,1)=V571,1,IF(SMALL(V571:V574,2)=V571,2,IF(SMALL(V571:V574,3)=V571,3))),IF(M564=1,IF(SMALL(V571:V574,1)=V571,2,IF(SMALL(V571:V574,2)=V571,3,IF(SMALL(V571:V574,3)=V571,4))),"")),IF(COUNTIF(V571:V574,V571)=1,IF(V571&lt;V573,IF(M564=2,1,2),IF(M564=2,3,4)),IF(COUNTIF(V571:V574,V571)=2,IF(V571=V573,IF(V571&lt;V574,IF(M564=2,IF(Q575=3,1,2),IF(M564=1,IF(Q575=3,2,3))),IF(V571&gt;V574,IF(M564=2,IF(Q575=3,2,3),IF(M564=1,IF(Q575=3,3,4))))),IF(V571=V574,IF(V571&lt;V573,IF(M564=2,IF(Q581=3,1,2),IF(M564=1,IF(Q581=3,2,3))),IF(V571&gt;V572,IF(M564=2,IF(Q581=3,2,3),IF(M564=1,IF(Q581=3,3,4)))))))))))),"")</f>
        <v/>
      </c>
      <c r="AC584" s="192"/>
      <c r="AD584" s="192"/>
      <c r="AE584" s="192"/>
      <c r="AF584" s="203"/>
      <c r="AG584" s="203"/>
      <c r="AH584" s="203"/>
      <c r="AI584" s="203"/>
      <c r="AJ584" s="203"/>
      <c r="AK584" s="203"/>
      <c r="AL584" s="203"/>
      <c r="AM584" s="203"/>
      <c r="AN584" s="192"/>
      <c r="AO584" s="192"/>
      <c r="AP584" s="192"/>
      <c r="AQ584" s="192"/>
      <c r="AR584" s="192"/>
      <c r="AS584" s="192"/>
      <c r="AT584" s="192"/>
      <c r="AU584" s="192"/>
      <c r="AV584" s="192"/>
      <c r="AW584" s="192"/>
      <c r="AX584" s="192"/>
    </row>
    <row r="585" spans="2:50" ht="15" customHeight="1" thickBot="1" x14ac:dyDescent="0.35">
      <c r="B585" s="192"/>
      <c r="C585" s="192"/>
      <c r="D585" s="192"/>
      <c r="E585" s="164" t="str">
        <f>IF(Q585="","",IF(Q585=3,1,0))</f>
        <v/>
      </c>
      <c r="F585" s="164" t="str">
        <f>IF(Q585="","",IF(Q585&lt;3,1,0))</f>
        <v/>
      </c>
      <c r="G585" s="192"/>
      <c r="H585" s="192" t="str">
        <f>IF(I567&lt;&gt;"",3,"")</f>
        <v/>
      </c>
      <c r="I585" s="192" t="str">
        <f>IF(ISNUMBER(H585),VLOOKUP(H585,H564:I567,2,TRUE),"")</f>
        <v/>
      </c>
      <c r="J585" s="192"/>
      <c r="K585" s="192" t="str">
        <f>VLOOKUP(I585,I564:L567,3,FALSE)</f>
        <v/>
      </c>
      <c r="L585" s="155"/>
      <c r="M585" s="259"/>
      <c r="N585" s="259"/>
      <c r="O585" s="156"/>
      <c r="P585" s="157"/>
      <c r="Q585" s="260" t="str">
        <f>IF(L585="","",IF(AND(L585-L584&gt;1,L585&gt;10),1,0)+IF(AND(M585-M584&gt;1,M585&gt;10),1,0)+IF(AND(N585-N584&gt;1,N585&gt;10),1,0)+IF(AND(O585-O584&gt;1,O585&gt;10),1,0)+IF(AND(P585-P584&gt;1,P585&gt;10),1,0))</f>
        <v/>
      </c>
      <c r="R585" s="203" t="str">
        <f>IF(AND(Q584&lt;&gt;3,Q585&lt;&gt;3),"",IF(Q584=3,IF(VLOOKUP(I584,I564:L567,4,FALSE)&gt;VLOOKUP(I585,I564:L567,4,FALSE),VLOOKUP(R584,Point_dif,2,FALSE),VLOOKUP(R584,Point_dif,3,FALSE)),IF(Q585=3,IF(VLOOKUP(I585,I564:L567,4,FALSE)&gt;VLOOKUP(I584,I564:L567,4,FALSE),VLOOKUP(R584,Point_dif,2,FALSE),VLOOKUP(R584,Point_dif,3,FALSE)))))</f>
        <v/>
      </c>
      <c r="S585" s="256" t="str">
        <f>IF(R585="","",IF(Q585=3,+R585,-R585))</f>
        <v/>
      </c>
      <c r="T585" s="192"/>
      <c r="U585" s="159"/>
      <c r="V585" s="266"/>
      <c r="W585" s="266"/>
      <c r="X585" s="266"/>
      <c r="Y585" s="192"/>
      <c r="Z585" s="203"/>
      <c r="AA585" s="246">
        <v>3</v>
      </c>
      <c r="AB585" s="222" t="str">
        <f>IF(AND(COUNTBLANK(I564:I567)=0,Group_players=4,M564=M566,M566=M567),IF(V573="","",IF(COUNTIF(V571:V574,V573)=3,"Tied",IF(AND(COUNTIF(V571:V574,V573)=1,V571&lt;&gt;V574),IF(M566=2,IF(SMALL(V571:V574,1)=V573,1,IF(SMALL(V571:V574,2)=V573,2,IF(SMALL(V571:V574,3)=V573,3))),IF(M566=1,IF(SMALL(V571:V574,1)=V573,2,IF(SMALL(V571:V574,2)=V573,3,IF(SMALL(V571:V574,3)=V573,4))),"")),IF(COUNTIF(V571:V574,V573)=1,IF(V573&lt;V571,IF(M566=2,1,2),IF(M566=2,3,4)),IF(COUNTIF(V571:V574,V573)=2,IF(V573=V571,IF(V573&lt;V574,IF(M566=2,IF(Q576=3,1,2),IF(M566=1,IF(Q576=3,2,3))),IF(V573&gt;V574,IF(M566=2,IF(Q576=3,2,3),IF(M566=1,IF(Q576=3,3,4))))),IF(V573=V574,IF(V573&lt;V571,IF(M566=2,IF(Q590=3,1,2),IF(M566=1,IF(Q590=3,2,3))),IF(V573&gt;V571,IF(M566=2,IF(Q590=3,2,3),IF(M566=1,IF(Q590=3,3,4)))))))))))),"")</f>
        <v/>
      </c>
      <c r="AC585" s="192"/>
      <c r="AD585" s="192"/>
      <c r="AE585" s="192"/>
      <c r="AF585" s="203"/>
      <c r="AG585" s="203"/>
      <c r="AH585" s="203"/>
      <c r="AI585" s="203"/>
      <c r="AJ585" s="203"/>
      <c r="AK585" s="203"/>
      <c r="AL585" s="203"/>
      <c r="AM585" s="203"/>
      <c r="AN585" s="192"/>
      <c r="AO585" s="192"/>
      <c r="AP585" s="192"/>
      <c r="AQ585" s="192"/>
      <c r="AR585" s="192"/>
      <c r="AS585" s="192"/>
      <c r="AT585" s="192"/>
      <c r="AU585" s="192"/>
      <c r="AV585" s="192"/>
      <c r="AW585" s="192"/>
      <c r="AX585" s="192"/>
    </row>
    <row r="586" spans="2:50" ht="15" customHeight="1" thickTop="1" thickBot="1" x14ac:dyDescent="0.35">
      <c r="B586" s="192"/>
      <c r="C586" s="192"/>
      <c r="D586" s="192"/>
      <c r="E586" s="164"/>
      <c r="F586" s="164"/>
      <c r="G586" s="192"/>
      <c r="H586" s="192"/>
      <c r="I586" s="249" t="s">
        <v>119</v>
      </c>
      <c r="J586" s="249"/>
      <c r="K586" s="249"/>
      <c r="L586" s="250" t="s">
        <v>115</v>
      </c>
      <c r="M586" s="250" t="s">
        <v>116</v>
      </c>
      <c r="N586" s="250" t="s">
        <v>117</v>
      </c>
      <c r="O586" s="250" t="s">
        <v>118</v>
      </c>
      <c r="P586" s="250" t="s">
        <v>119</v>
      </c>
      <c r="Q586" s="250" t="s">
        <v>120</v>
      </c>
      <c r="R586" s="250"/>
      <c r="S586" s="251"/>
      <c r="T586" s="247"/>
      <c r="U586" s="235"/>
      <c r="V586" s="235"/>
      <c r="W586" s="235"/>
      <c r="X586" s="235"/>
      <c r="Y586" s="235"/>
      <c r="Z586" s="235"/>
      <c r="AA586" s="240">
        <v>4</v>
      </c>
      <c r="AB586" s="241" t="str">
        <f>IF(AND(COUNTBLANK(I564:I567)=0,Group_players=4,M564=M566,M566=M567),IF(V574="","",IF(COUNTIF(V571:V574,V574)=3,"Tied",IF(AND(COUNTIF(V571:V574,V574)=1,V573&lt;&gt;V571),IF(M567=2,IF(SMALL(V571:V574,1)=V574,1,IF(SMALL(V571:V574,2)=V574,2,IF(SMALL(V571:V574,3)=V574,3))),IF(M567=1,IF(SMALL(V571:V574,1)=V574,2,IF(SMALL(V571:V574,2)=V574,3,IF(SMALL(V571:V574,3)=V574,4))),"")),IF(COUNTIF(V571:V574,V574)=1,IF(V574&lt;V571,IF(M567=2,1,2),IF(M567=2,3,4)),IF(COUNTIF(V571:V574,V574)=2,IF(V574=V571,IF(V574&lt;V573,IF(M567=2,IF(Q582=3,1,2),IF(M567=1,IF(Q582=3,2,3))),IF(V574&gt;V573,IF(M567=2,IF(Q582=3,2,3),IF(M567=1,IF(Q582=3,3,4))))),IF(V574=V573,IF(V574&lt;V571,IF(M567=2,IF(Q591=3,1,2),IF(M567=1,IF(Q591=3,2,3))),IF(V574&gt;V571,IF(M567=2,IF(Q591=3,2,3),IF(M567=1,IF(Q591=3,3,4)))))))))))),"")</f>
        <v/>
      </c>
      <c r="AC586" s="192"/>
      <c r="AD586" s="192"/>
      <c r="AE586" s="192"/>
      <c r="AF586" s="203"/>
      <c r="AG586" s="203"/>
      <c r="AH586" s="203"/>
      <c r="AI586" s="203"/>
      <c r="AJ586" s="203"/>
      <c r="AK586" s="203"/>
      <c r="AL586" s="203"/>
      <c r="AM586" s="203"/>
      <c r="AN586" s="192"/>
      <c r="AO586" s="192"/>
      <c r="AP586" s="192"/>
      <c r="AQ586" s="192"/>
      <c r="AR586" s="192"/>
      <c r="AS586" s="192"/>
      <c r="AT586" s="192"/>
      <c r="AU586" s="192"/>
      <c r="AV586" s="192"/>
      <c r="AW586" s="192"/>
      <c r="AX586" s="192"/>
    </row>
    <row r="587" spans="2:50" ht="15" customHeight="1" thickTop="1" x14ac:dyDescent="0.3">
      <c r="B587" s="192"/>
      <c r="C587" s="192"/>
      <c r="D587" s="192"/>
      <c r="E587" s="164" t="str">
        <f>IF(Q587="","",IF(Q587=3,1,0))</f>
        <v/>
      </c>
      <c r="F587" s="164" t="str">
        <f>IF(Q587="","",IF(Q587&lt;3,1,0))</f>
        <v/>
      </c>
      <c r="G587" s="192"/>
      <c r="H587" s="192" t="str">
        <f>IF(I567&lt;&gt;"",1,"")</f>
        <v/>
      </c>
      <c r="I587" s="192" t="str">
        <f>IF(ISNUMBER(H587),VLOOKUP(H587,H564:I567,2,TRUE),"")</f>
        <v/>
      </c>
      <c r="J587" s="192"/>
      <c r="K587" s="192" t="str">
        <f>VLOOKUP(I587,I564:L567,3,FALSE)</f>
        <v/>
      </c>
      <c r="L587" s="253"/>
      <c r="M587" s="254"/>
      <c r="N587" s="254"/>
      <c r="O587" s="152"/>
      <c r="P587" s="153"/>
      <c r="Q587" s="255" t="str">
        <f>IF(L587="","",IF(AND(L587-L588&gt;1,L587&gt;10),1,0)+IF(AND(M587-M588&gt;1,M587&gt;10),1,0)+IF(AND(N587-N588&gt;1,N587&gt;10),1,0)+IF(AND(O587-O588&gt;1,O587&gt;10),1,0)+IF(AND(P587-P588&gt;1,P587&gt;10),1,0))</f>
        <v/>
      </c>
      <c r="R587" s="203" t="str">
        <f>IF(AND(I587="",I588=""),"",ABS(VLOOKUP(I587,I564:L567,4,FALSE)-VLOOKUP(I588,I564:L567,4,FALSE)))</f>
        <v/>
      </c>
      <c r="S587" s="256" t="str">
        <f>IF(R588="","",IF(Q587=3,+R588,-R588))</f>
        <v/>
      </c>
      <c r="T587" s="247"/>
      <c r="U587" s="235"/>
      <c r="V587" s="235"/>
      <c r="W587" s="235"/>
      <c r="X587" s="235"/>
      <c r="Y587" s="235"/>
      <c r="Z587" s="235"/>
      <c r="AA587" s="243">
        <v>1</v>
      </c>
      <c r="AB587" s="222" t="str">
        <f>IF(AND(COUNTBLANK(I564:I567)=0,Group_players=4,M564=M565,M565=M567),IF(W571="","",IF(COUNTIF(W571:W574,W571)=3,"Tied",IF(AND(COUNTIF(W571:W574,W571)=1,W572&lt;&gt;W573),IF(M564=2,IF(SMALL(W571:W574,1)=W571,1,IF(SMALL(W571:W574,2)=W571,2,IF(SMALL(W571:W574,3)=W571,3))),IF(M564=1,IF(SMALL(W571:W574,1)=W571,2,IF(SMALL(W571:W574,2)=W571,3,IF(SMALL(W571:W574,3)=W571,4))),"")),IF(COUNTIF(W571:W574,W571)=1,IF(W571&lt;W572,IF(M564=2,1,2),IF(M564=2,3,4)),IF(COUNTIF(W571:W574,W571)=2,IF(W571=W572,IF(W571&lt;W574,IF(M564=2,IF(Q587=3,1,2),IF(M564=1,IF(Q587=3,2,3))),IF(W571&gt;W574,IF(M564=2,IF(Q587=3,2,3),IF(M564=1,IF(Q587=3,3,4))))),IF(W571=W574,IF(W571&lt;W572,IF(M564=2,IF(Q581=3,1,2),IF(M564=1,IF(Q581=3,2,3))),IF(W571&gt;W572,IF(M564=2,IF(Q581=3,2,3),IF(M564=1,IF(Q581=3,3,4)))))))))))),"")</f>
        <v/>
      </c>
      <c r="AC587" s="192"/>
      <c r="AD587" s="192"/>
      <c r="AE587" s="192"/>
      <c r="AF587" s="203"/>
      <c r="AG587" s="203"/>
      <c r="AH587" s="203"/>
      <c r="AI587" s="203"/>
      <c r="AJ587" s="203"/>
      <c r="AK587" s="203"/>
      <c r="AL587" s="203"/>
      <c r="AM587" s="203"/>
      <c r="AN587" s="192"/>
      <c r="AO587" s="192"/>
      <c r="AP587" s="192"/>
      <c r="AQ587" s="192"/>
      <c r="AR587" s="192"/>
      <c r="AS587" s="192"/>
      <c r="AT587" s="192"/>
      <c r="AU587" s="192"/>
      <c r="AV587" s="192"/>
      <c r="AW587" s="192"/>
      <c r="AX587" s="192"/>
    </row>
    <row r="588" spans="2:50" ht="15" customHeight="1" thickBot="1" x14ac:dyDescent="0.35">
      <c r="B588" s="192"/>
      <c r="C588" s="192"/>
      <c r="D588" s="192"/>
      <c r="E588" s="164" t="str">
        <f>IF(Q588="","",IF(Q588=3,1,0))</f>
        <v/>
      </c>
      <c r="F588" s="164" t="str">
        <f>IF(Q588="","",IF(Q588&lt;3,1,0))</f>
        <v/>
      </c>
      <c r="G588" s="192"/>
      <c r="H588" s="192" t="str">
        <f>IF(I567&lt;&gt;"",2,"")</f>
        <v/>
      </c>
      <c r="I588" s="192" t="str">
        <f>IF(ISNUMBER(H588),VLOOKUP(H588,H564:I567,2,TRUE),"")</f>
        <v/>
      </c>
      <c r="J588" s="192"/>
      <c r="K588" s="192" t="str">
        <f>VLOOKUP(I588,I564:L567,3,FALSE)</f>
        <v/>
      </c>
      <c r="L588" s="155"/>
      <c r="M588" s="259"/>
      <c r="N588" s="259"/>
      <c r="O588" s="156"/>
      <c r="P588" s="157"/>
      <c r="Q588" s="260" t="str">
        <f>IF(L588="","",IF(AND(L588-L587&gt;1,L588&gt;10),1,0)+IF(AND(M588-M587&gt;1,M588&gt;10),1,0)+IF(AND(N588-N587&gt;1,N588&gt;10),1,0)+IF(AND(O588-O587&gt;1,O588&gt;10),1,0)+IF(AND(P588-P587&gt;1,P588&gt;10),1,0))</f>
        <v/>
      </c>
      <c r="R588" s="203" t="str">
        <f>IF(AND(Q587&lt;&gt;3,Q588&lt;&gt;3),"",IF(Q587=3,IF(VLOOKUP(I587,I564:L567,4,FALSE)&gt;VLOOKUP(I588,I564:L567,4,FALSE),VLOOKUP(R587,Point_dif,2,FALSE),VLOOKUP(R587,Point_dif,3,FALSE)),IF(Q588=3,IF(VLOOKUP(I588,I564:L567,4,FALSE)&gt;VLOOKUP(I588,I564:L567,4,FALSE),VLOOKUP(R587,Point_dif,2,FALSE),VLOOKUP(R587,Point_dif,3,FALSE)))))</f>
        <v/>
      </c>
      <c r="S588" s="256" t="str">
        <f>IF(R588="","",IF(Q588=3,+R588,-R588))</f>
        <v/>
      </c>
      <c r="T588" s="247"/>
      <c r="U588" s="235"/>
      <c r="V588" s="235"/>
      <c r="W588" s="235"/>
      <c r="X588" s="235"/>
      <c r="Y588" s="235"/>
      <c r="Z588" s="235"/>
      <c r="AA588" s="246">
        <v>2</v>
      </c>
      <c r="AB588" s="222" t="str">
        <f>IF(AND(COUNTBLANK(I564:I567)=0,Group_players=4,M564=M565,M565=M567),IF(W572="","",IF(COUNTIF(W571:W574,W572)=3,"Tied",IF(AND(COUNTIF(W571:W574,W572)=1,W571&lt;&gt;W573),IF(M565=2,IF(SMALL(W571:W574,1)=W572,1,IF(SMALL(W571:W574,2)=W572,2,IF(SMALL(W571:W574,3)=W572,3))),IF(M565=1,IF(SMALL(W571:W574,1)=W572,2,IF(SMALL(W571:W574,2)=W572,3,IF(SMALL(W571:W574,3)=W572,4))),"")),IF(COUNTIF(W571:W574,W572)=1,IF(W572&lt;W571,IF(M565=2,1,2),IF(M565=2,3,4)),IF(COUNTIF(W571:W574,W572)=2,IF(W572=W571,IF(W572&lt;W574,IF(M565=2,IF(Q588=3,1,2),IF(M565=1,IF(Q588=3,2,3))),IF(W572&gt;W574,IF(M565=2,IF(Q588=3,2,3),IF(M565=1,IF(Q588=3,3,4))))),IF(W572=W574,IF(W572&lt;W571,IF(M565=2,IF(Q578=3,1,2),IF(M565=1,IF(Q578=3,2,3))),IF(W572&gt;W571,IF(M565=2,IF(Q578=3,2,3),IF(M565=1,IF(Q578=3,3,4)))))))))))),"")</f>
        <v/>
      </c>
      <c r="AC588" s="192"/>
      <c r="AD588" s="192"/>
      <c r="AE588" s="192"/>
      <c r="AF588" s="203"/>
      <c r="AG588" s="203"/>
      <c r="AH588" s="203"/>
      <c r="AI588" s="203"/>
      <c r="AJ588" s="203"/>
      <c r="AK588" s="203"/>
      <c r="AL588" s="203"/>
      <c r="AM588" s="203"/>
      <c r="AN588" s="192"/>
      <c r="AO588" s="192"/>
      <c r="AP588" s="192"/>
      <c r="AQ588" s="192"/>
      <c r="AR588" s="192"/>
      <c r="AS588" s="192"/>
      <c r="AT588" s="192"/>
      <c r="AU588" s="192"/>
      <c r="AV588" s="192"/>
      <c r="AW588" s="192"/>
      <c r="AX588" s="192"/>
    </row>
    <row r="589" spans="2:50" ht="15" customHeight="1" thickTop="1" thickBot="1" x14ac:dyDescent="0.35">
      <c r="B589" s="192"/>
      <c r="C589" s="192"/>
      <c r="D589" s="192"/>
      <c r="E589" s="164"/>
      <c r="F589" s="164"/>
      <c r="G589" s="192"/>
      <c r="H589" s="192"/>
      <c r="I589" s="249" t="s">
        <v>121</v>
      </c>
      <c r="J589" s="249"/>
      <c r="K589" s="249"/>
      <c r="L589" s="250" t="s">
        <v>115</v>
      </c>
      <c r="M589" s="250" t="s">
        <v>116</v>
      </c>
      <c r="N589" s="250" t="s">
        <v>117</v>
      </c>
      <c r="O589" s="250" t="s">
        <v>118</v>
      </c>
      <c r="P589" s="250" t="s">
        <v>119</v>
      </c>
      <c r="Q589" s="250" t="s">
        <v>120</v>
      </c>
      <c r="R589" s="250"/>
      <c r="S589" s="251"/>
      <c r="T589" s="247"/>
      <c r="U589" s="235"/>
      <c r="V589" s="235"/>
      <c r="W589" s="235"/>
      <c r="X589" s="235"/>
      <c r="Y589" s="235"/>
      <c r="Z589" s="235"/>
      <c r="AA589" s="240">
        <v>4</v>
      </c>
      <c r="AB589" s="241" t="str">
        <f>IF(AND(COUNTBLANK(I564:I567)=0,Group_players=4,M564=M565,M565=M567),IF(W574="","",IF(COUNTIF(W571:W574,W574)=3,"Tied",IF(AND(COUNTIF(W571:W574,W574)=1,W571&lt;&gt;W572),IF(M567=2,IF(SMALL(W571:W574,1)=W574,1,IF(SMALL(W571:W574,2)=W574,2,IF(SMALL(W571:W574,3)=W574,3))),IF(M567=1,IF(SMALL(W571:W574,1)=W574,2,IF(SMALL(W571:W574,2)=W574,3,IF(SMALL(W571:W574,3)=W574,4))),"")),IF(COUNTIF(W571:W574,W574)=1,IF(W574&lt;W571,IF(M567=2,1,2),IF(M567=2,3,4)),IF(COUNTIF(W571:W574,W574)=2,IF(W574=W571,IF(W574&lt;W572,IF(M567=2,IF(Q582=3,1,2),IF(M567=1,IF(Q582=3,2,3))),IF(W574&gt;W573,IF(M567=2,IF(Q582=3,2,3),IF(M567=1,IF(Q582=3,3,4))))),IF(W574=W572,IF(W574&lt;W571,IF(M567=2,IF(Q579=3,1,2),IF(M567=1,IF(Q579=3,2,3))),IF(W574&gt;W571,IF(M567=2,IF(Q579=3,2,3),IF(M567=1,IF(Q579=3,3,4)))))))))))),"")</f>
        <v/>
      </c>
      <c r="AC589" s="192"/>
      <c r="AD589" s="192"/>
      <c r="AE589" s="192"/>
      <c r="AF589" s="203"/>
      <c r="AG589" s="203"/>
      <c r="AH589" s="203"/>
      <c r="AI589" s="203"/>
      <c r="AJ589" s="203"/>
      <c r="AK589" s="203"/>
      <c r="AL589" s="203"/>
      <c r="AM589" s="203"/>
      <c r="AN589" s="192"/>
      <c r="AO589" s="192"/>
      <c r="AP589" s="192"/>
      <c r="AQ589" s="192"/>
      <c r="AR589" s="192"/>
      <c r="AS589" s="192"/>
      <c r="AT589" s="192"/>
      <c r="AU589" s="192"/>
      <c r="AV589" s="192"/>
      <c r="AW589" s="192"/>
      <c r="AX589" s="192"/>
    </row>
    <row r="590" spans="2:50" ht="15" customHeight="1" thickTop="1" x14ac:dyDescent="0.3">
      <c r="B590" s="192"/>
      <c r="C590" s="192"/>
      <c r="D590" s="192"/>
      <c r="E590" s="164" t="str">
        <f>IF(Q590="","",IF(Q590=3,1,0))</f>
        <v/>
      </c>
      <c r="F590" s="164" t="str">
        <f>IF(Q590="","",IF(Q590&lt;3,1,0))</f>
        <v/>
      </c>
      <c r="G590" s="192"/>
      <c r="H590" s="192" t="str">
        <f>IF(I567&lt;&gt;"",3,"")</f>
        <v/>
      </c>
      <c r="I590" s="192" t="str">
        <f>IF(ISNUMBER(H590),VLOOKUP(H590,H564:I567,2,TRUE),"")</f>
        <v/>
      </c>
      <c r="J590" s="192"/>
      <c r="K590" s="192" t="str">
        <f>VLOOKUP(I590,I564:L567,3,FALSE)</f>
        <v/>
      </c>
      <c r="L590" s="253"/>
      <c r="M590" s="254"/>
      <c r="N590" s="254"/>
      <c r="O590" s="152"/>
      <c r="P590" s="153"/>
      <c r="Q590" s="255" t="str">
        <f>IF(L590="","",IF(AND(L590-L591&gt;1,L590&gt;10),1,0)+IF(AND(M590-M591&gt;1,M590&gt;10),1,0)+IF(AND(N590-N591&gt;1,N590&gt;10),1,0)+IF(AND(O590-O591&gt;1,O590&gt;10),1,0)+IF(AND(P590-P591&gt;1,P590&gt;10),1,0))</f>
        <v/>
      </c>
      <c r="R590" s="203" t="str">
        <f>IF(AND(I590="",I591=""),"",ABS(VLOOKUP(I590,I564:L567,4,FALSE)-VLOOKUP(I591,I564:L567,4,FALSE)))</f>
        <v/>
      </c>
      <c r="S590" s="256" t="str">
        <f>IF(R591="","",IF(Q590=3,+R591,-R591))</f>
        <v/>
      </c>
      <c r="T590" s="247"/>
      <c r="U590" s="264"/>
      <c r="V590" s="242"/>
      <c r="W590" s="192"/>
      <c r="X590" s="264"/>
      <c r="Y590" s="192"/>
      <c r="Z590" s="192"/>
      <c r="AA590" s="243">
        <v>2</v>
      </c>
      <c r="AB590" s="222" t="str">
        <f>IF(AND(COUNTBLANK(I564:I567)=0,Group_players=4,M565=M566,M566=M567),IF(X572="","",IF(COUNTIF(X571:X574,X572)=3,"Tied",IF(AND(COUNTIF(X571:X574,X572)=1,X573&lt;&gt;X574),IF(M565=2,IF(SMALL(X571:X574,1)=X572,1,IF(SMALL(X571:X574,2)=X572,2,IF(SMALL(X571:X574,3)=X572,3))),IF(M565=1,IF(SMALL(X571:X574,1)=X572,2,IF(SMALL(X571:X574,2)=X572,3,IF(SMALL(X571:X574,3)=X572,4))),"")),IF(COUNTIF(X571:X574,X572)=1,IF(X572&lt;X574,IF(M565=2,1,2),IF(M565=1,4)),IF(COUNTIF(X571:X574,X572)=2,IF(X572=X573,IF(X572&lt;X574,IF(M565=2,IF(Q584=3,1,2),IF(M565=1,IF(Q584=3,2,3))),IF(X572&gt;X574,IF(M565=2,IF(Q584=3,2,3),IF(M565=1,IF(Q584=3,3,4))))),IF(X572=X574,IF(X572&lt;X573,IF(M565=2,IF(Q578=3,1,2),IF(M565=1,IF(Q578=3,2,3))),IF(X572&gt;X573,IF(M565=2,IF(Q578=3,2,3),IF(M565=1,IF(Q578=3,3,4)))))))))))),"")</f>
        <v/>
      </c>
      <c r="AC590" s="192"/>
      <c r="AD590" s="192"/>
      <c r="AE590" s="192"/>
      <c r="AF590" s="203"/>
      <c r="AG590" s="203"/>
      <c r="AH590" s="203"/>
      <c r="AI590" s="203"/>
      <c r="AJ590" s="203"/>
      <c r="AK590" s="203"/>
      <c r="AL590" s="203"/>
      <c r="AM590" s="203"/>
      <c r="AN590" s="192"/>
      <c r="AO590" s="192"/>
      <c r="AP590" s="192"/>
      <c r="AQ590" s="192"/>
      <c r="AR590" s="192"/>
      <c r="AS590" s="192"/>
      <c r="AT590" s="192"/>
      <c r="AU590" s="192"/>
      <c r="AV590" s="192"/>
      <c r="AW590" s="192"/>
      <c r="AX590" s="192"/>
    </row>
    <row r="591" spans="2:50" ht="15" customHeight="1" thickBot="1" x14ac:dyDescent="0.35">
      <c r="B591" s="192"/>
      <c r="C591" s="192"/>
      <c r="D591" s="192"/>
      <c r="E591" s="164" t="str">
        <f>IF(Q591="","",IF(Q591=3,1,0))</f>
        <v/>
      </c>
      <c r="F591" s="164" t="str">
        <f>IF(Q591="","",IF(Q591&lt;3,1,0))</f>
        <v/>
      </c>
      <c r="G591" s="192"/>
      <c r="H591" s="192" t="str">
        <f>IF(I567&lt;&gt;"",4,"")</f>
        <v/>
      </c>
      <c r="I591" s="192" t="str">
        <f>IF(ISNUMBER(H591),VLOOKUP(H591,H564:I567,2,TRUE),"")</f>
        <v/>
      </c>
      <c r="J591" s="192"/>
      <c r="K591" s="192" t="str">
        <f>VLOOKUP(I591,I564:L567,3,FALSE)</f>
        <v/>
      </c>
      <c r="L591" s="155"/>
      <c r="M591" s="259"/>
      <c r="N591" s="259"/>
      <c r="O591" s="156"/>
      <c r="P591" s="157"/>
      <c r="Q591" s="260" t="str">
        <f>IF(L591="","",IF(AND(L591-L590&gt;1,L591&gt;10),1,0)+IF(AND(M591-M590&gt;1,M591&gt;10),1,0)+IF(AND(N591-N590&gt;1,N591&gt;10),1,0)+IF(AND(O591-O590&gt;1,O591&gt;10),1,0)+IF(AND(P591-P590&gt;1,P591&gt;10),1,0))</f>
        <v/>
      </c>
      <c r="R591" s="203" t="str">
        <f>IF(AND(Q590&lt;&gt;3,Q591&lt;&gt;3),"",IF(Q590=3,IF(VLOOKUP(I590,I564:L567,4,FALSE)&gt;VLOOKUP(I591,I564:L567,4,FALSE),VLOOKUP(R590,Point_dif,2,FALSE),VLOOKUP(R590,Point_dif,3,FALSE)),IF(Q591=3,IF(VLOOKUP(I591,I564:L567,4,FALSE)&gt;VLOOKUP(I590,I564:L567,4,FALSE),VLOOKUP(R590,Point_dif,2,FALSE),VLOOKUP(R590,Point_dif,3,FALSE)))))</f>
        <v/>
      </c>
      <c r="S591" s="260" t="str">
        <f>IF(R591="","",IF(Q591=3,+R591,-R591))</f>
        <v/>
      </c>
      <c r="T591" s="247"/>
      <c r="U591" s="235"/>
      <c r="V591" s="235"/>
      <c r="W591" s="235"/>
      <c r="X591" s="235"/>
      <c r="Y591" s="235"/>
      <c r="Z591" s="235"/>
      <c r="AA591" s="246">
        <v>3</v>
      </c>
      <c r="AB591" s="222" t="str">
        <f>IF(AND(COUNTBLANK(I564:I567)=0,Group_players=4,Group_players=4,M565=M566,M566=M567),IF(X573="","",IF(COUNTIF(X571:X574,X573)=3,"Tied",IF(AND(COUNTIF(X571:X574,X573)=1,X572&lt;&gt;X574),IF(M566=2,IF(SMALL(X571:X574,1)=X573,1,IF(SMALL(X571:X574,2)=X573,2,IF(SMALL(X571:X574,3)=X573,3))),IF(M566=1,IF(SMALL(X571:X574,1)=X573,2,IF(SMALL(X571:X574,2)=X573,3,IF(SMALL(X571:X574,3)=X573,4))),"")),IF(COUNTIF(X571:X574,X573)=1,IF(X573&lt;X572,IF(M566=2,1,2),IF(M566=2,3,4)),IF(COUNTIF(X571:X574,X573)=2,IF(X573=X572,IF(X573&lt;X574,IF(M566=2,IF(Q585=3,1,2),IF(M566=1,IF(Q585=3,2,3))),IF(X573&gt;X574,IF(M566=2,IF(Q585=3,2,3),IF(M566=1,IF(Q585=3,3,4))))),IF(X573=X574,IF(X573&lt;X572,IF(M566=2,IF(Q590=3,1,2),IF(M566=1,IF(Q590=3,2,3))),IF(X573&gt;X572,IF(M566=2,IF(Q590=3,2,3),IF(M566=1,IF(Q590=3,3,4)))))))))))),"")</f>
        <v/>
      </c>
      <c r="AC591" s="192"/>
      <c r="AD591" s="192"/>
      <c r="AE591" s="192"/>
      <c r="AF591" s="203"/>
      <c r="AG591" s="203"/>
      <c r="AH591" s="203"/>
      <c r="AI591" s="203"/>
      <c r="AJ591" s="203"/>
      <c r="AK591" s="203"/>
      <c r="AL591" s="203"/>
      <c r="AM591" s="203"/>
      <c r="AN591" s="192"/>
      <c r="AO591" s="192"/>
      <c r="AP591" s="192"/>
      <c r="AQ591" s="192"/>
      <c r="AR591" s="192"/>
      <c r="AS591" s="192"/>
      <c r="AT591" s="192"/>
      <c r="AU591" s="192"/>
      <c r="AV591" s="192"/>
      <c r="AW591" s="192"/>
      <c r="AX591" s="192"/>
    </row>
    <row r="592" spans="2:50" ht="15" customHeight="1" thickTop="1" thickBot="1" x14ac:dyDescent="0.35">
      <c r="B592" s="192"/>
      <c r="C592" s="192"/>
      <c r="D592" s="192"/>
      <c r="E592" s="192"/>
      <c r="F592" s="192"/>
      <c r="G592" s="192"/>
      <c r="H592" s="192"/>
      <c r="I592" s="192"/>
      <c r="J592" s="192"/>
      <c r="K592" s="192"/>
      <c r="L592" s="192"/>
      <c r="M592" s="192"/>
      <c r="N592" s="192"/>
      <c r="O592" s="268"/>
      <c r="P592" s="192"/>
      <c r="Q592" s="192"/>
      <c r="R592" s="247"/>
      <c r="S592" s="247"/>
      <c r="T592" s="247"/>
      <c r="U592" s="235"/>
      <c r="V592" s="235"/>
      <c r="W592" s="235"/>
      <c r="X592" s="235"/>
      <c r="Y592" s="235"/>
      <c r="Z592" s="235"/>
      <c r="AA592" s="261">
        <v>4</v>
      </c>
      <c r="AB592" s="233" t="str">
        <f>IF(AND(COUNTBLANK(I564:I567)=0,Group_players=4,M565=M566,M566=M567),IF(X574="","",IF(COUNTIF(X571:X574,X574)=3,"Tied",IF(AND(COUNTIF(X571:X574,X574)=1,X573&lt;&gt;X572),IF(M567=2,IF(SMALL(X571:X574,1)=X574,1,IF(SMALL(X571:X574,2)=X574,2,IF(SMALL(X571:X574,3)=X574,3))),IF(M567=1,IF(SMALL(X571:X574,1)=X574,2,IF(SMALL(X571:X574,2)=X574,3,IF(SMALL(X571:X574,3)=X574,4))),"")),IF(COUNTIF(X571:X574,X574)=1,IF(X574&lt;X572,IF(M567=2,1,2),IF(M567=2,3,4)),IF(COUNTIF(X571:X574,X574)=2,IF(X574=X572,IF(X574&lt;X573,IF(M567=2,IF(Q579=3,1,2),IF(M567=1,IF(Q579=3,2,3))),IF(X574&gt;X573,IF(M567=2,IF(Q579=3,2,3),IF(M567=1,IF(Q579=3,3,4))))),IF(X574=X573,IF(X574&lt;X572,IF(M567=2,IF(Q591=3,1,2),IF(M567=1,IF(Q591=3,2,3))),IF(X574&gt;X572,IF(M567=2,IF(Q591=3,2,3),IF(M567=1,IF(Q591=3,3,4)))))))))))),"")</f>
        <v/>
      </c>
      <c r="AC592" s="192"/>
      <c r="AD592" s="192"/>
      <c r="AE592" s="192"/>
      <c r="AF592" s="203"/>
      <c r="AG592" s="203"/>
      <c r="AH592" s="203"/>
      <c r="AI592" s="203"/>
      <c r="AJ592" s="203"/>
      <c r="AK592" s="203"/>
      <c r="AL592" s="203"/>
      <c r="AM592" s="203"/>
      <c r="AN592" s="192"/>
      <c r="AO592" s="192"/>
      <c r="AP592" s="192"/>
      <c r="AQ592" s="192"/>
      <c r="AR592" s="192"/>
      <c r="AS592" s="192"/>
      <c r="AT592" s="192"/>
      <c r="AU592" s="192"/>
      <c r="AV592" s="192"/>
      <c r="AW592" s="192"/>
      <c r="AX592" s="192"/>
    </row>
    <row r="593" spans="2:50" ht="15" customHeight="1" thickTop="1" x14ac:dyDescent="0.3">
      <c r="B593" s="192"/>
      <c r="C593" s="192"/>
      <c r="D593" s="192"/>
      <c r="E593" s="192"/>
      <c r="F593" s="192"/>
      <c r="G593" s="192"/>
      <c r="H593" s="192"/>
      <c r="I593" s="192"/>
      <c r="J593" s="192"/>
      <c r="K593" s="192"/>
      <c r="L593" s="192"/>
      <c r="M593" s="192"/>
      <c r="N593" s="192"/>
      <c r="O593" s="192"/>
      <c r="P593" s="192"/>
      <c r="Q593" s="192"/>
      <c r="R593" s="192"/>
      <c r="S593" s="192"/>
      <c r="T593" s="203"/>
      <c r="U593" s="192"/>
      <c r="V593" s="192"/>
      <c r="W593" s="192"/>
      <c r="X593" s="192"/>
      <c r="Y593" s="192"/>
      <c r="Z593" s="192"/>
      <c r="AA593" s="192"/>
      <c r="AB593" s="192"/>
      <c r="AC593" s="192"/>
      <c r="AD593" s="192"/>
      <c r="AE593" s="192"/>
      <c r="AF593" s="203"/>
      <c r="AG593" s="203"/>
      <c r="AH593" s="203"/>
      <c r="AI593" s="203"/>
      <c r="AJ593" s="203"/>
      <c r="AK593" s="203"/>
      <c r="AL593" s="203"/>
      <c r="AM593" s="203"/>
      <c r="AN593" s="192"/>
      <c r="AO593" s="192"/>
      <c r="AP593" s="192"/>
      <c r="AQ593" s="192"/>
      <c r="AR593" s="192"/>
      <c r="AS593" s="192"/>
      <c r="AT593" s="192"/>
      <c r="AU593" s="192"/>
      <c r="AV593" s="192"/>
      <c r="AW593" s="192"/>
      <c r="AX593" s="192"/>
    </row>
    <row r="594" spans="2:50" ht="15" customHeight="1" x14ac:dyDescent="0.3">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c r="AA594" s="192"/>
      <c r="AB594" s="192"/>
      <c r="AC594" s="192"/>
      <c r="AD594" s="192"/>
      <c r="AE594" s="192"/>
      <c r="AF594" s="203"/>
      <c r="AG594" s="203"/>
      <c r="AH594" s="203"/>
      <c r="AI594" s="203"/>
      <c r="AJ594" s="203"/>
      <c r="AK594" s="203"/>
      <c r="AL594" s="203"/>
      <c r="AM594" s="203"/>
      <c r="AN594" s="192"/>
      <c r="AO594" s="192"/>
      <c r="AP594" s="192"/>
      <c r="AQ594" s="192"/>
      <c r="AR594" s="192"/>
      <c r="AS594" s="192"/>
      <c r="AT594" s="192"/>
      <c r="AU594" s="192"/>
      <c r="AV594" s="192"/>
      <c r="AW594" s="192"/>
      <c r="AX594" s="192"/>
    </row>
    <row r="595" spans="2:50" ht="15" customHeight="1" x14ac:dyDescent="0.3">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269"/>
      <c r="AA595" s="192"/>
      <c r="AB595" s="192"/>
      <c r="AC595" s="192"/>
      <c r="AD595" s="192"/>
      <c r="AE595" s="192"/>
      <c r="AF595" s="203"/>
      <c r="AG595" s="203"/>
      <c r="AH595" s="203"/>
      <c r="AI595" s="203"/>
      <c r="AJ595" s="203"/>
      <c r="AK595" s="203"/>
      <c r="AL595" s="203"/>
      <c r="AM595" s="203"/>
      <c r="AN595" s="192"/>
      <c r="AO595" s="192"/>
      <c r="AP595" s="192"/>
      <c r="AQ595" s="192"/>
      <c r="AR595" s="192"/>
      <c r="AS595" s="192"/>
      <c r="AT595" s="192"/>
      <c r="AU595" s="192"/>
      <c r="AV595" s="192"/>
      <c r="AW595" s="192"/>
      <c r="AX595" s="192"/>
    </row>
    <row r="596" spans="2:50" ht="15" customHeight="1" x14ac:dyDescent="0.3">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c r="AA596" s="192"/>
      <c r="AB596" s="192"/>
      <c r="AC596" s="192"/>
      <c r="AD596" s="192"/>
      <c r="AE596" s="192"/>
      <c r="AF596" s="203"/>
      <c r="AG596" s="203"/>
      <c r="AH596" s="203"/>
      <c r="AI596" s="203"/>
      <c r="AJ596" s="203"/>
      <c r="AK596" s="203"/>
      <c r="AL596" s="203"/>
      <c r="AM596" s="203"/>
      <c r="AN596" s="192"/>
      <c r="AO596" s="192"/>
      <c r="AP596" s="192"/>
      <c r="AQ596" s="192"/>
      <c r="AR596" s="192"/>
      <c r="AS596" s="192"/>
      <c r="AT596" s="192"/>
      <c r="AU596" s="192"/>
      <c r="AV596" s="192"/>
      <c r="AW596" s="192"/>
      <c r="AX596" s="192"/>
    </row>
    <row r="597" spans="2:50" ht="15" customHeight="1" x14ac:dyDescent="0.3">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c r="AA597" s="192"/>
      <c r="AB597" s="192"/>
      <c r="AC597" s="192"/>
      <c r="AD597" s="192"/>
      <c r="AE597" s="192"/>
      <c r="AF597" s="203"/>
      <c r="AG597" s="203"/>
      <c r="AH597" s="203"/>
      <c r="AI597" s="203"/>
      <c r="AJ597" s="203"/>
      <c r="AK597" s="203"/>
      <c r="AL597" s="203"/>
      <c r="AM597" s="203"/>
      <c r="AN597" s="192"/>
      <c r="AO597" s="192"/>
      <c r="AP597" s="192"/>
      <c r="AQ597" s="192"/>
      <c r="AR597" s="192"/>
      <c r="AS597" s="192"/>
      <c r="AT597" s="192"/>
      <c r="AU597" s="192"/>
      <c r="AV597" s="192"/>
      <c r="AW597" s="192"/>
      <c r="AX597" s="192"/>
    </row>
    <row r="598" spans="2:50" ht="15" customHeight="1" x14ac:dyDescent="0.3">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c r="AA598" s="192"/>
      <c r="AB598" s="192"/>
      <c r="AC598" s="192"/>
      <c r="AD598" s="192"/>
      <c r="AE598" s="192"/>
      <c r="AF598" s="203"/>
      <c r="AG598" s="203"/>
      <c r="AH598" s="203"/>
      <c r="AI598" s="203"/>
      <c r="AJ598" s="203"/>
      <c r="AK598" s="203"/>
      <c r="AL598" s="203"/>
      <c r="AM598" s="203"/>
      <c r="AN598" s="192"/>
      <c r="AO598" s="192"/>
      <c r="AP598" s="192"/>
      <c r="AQ598" s="192"/>
      <c r="AR598" s="192"/>
      <c r="AS598" s="192"/>
      <c r="AT598" s="192"/>
      <c r="AU598" s="192"/>
      <c r="AV598" s="192"/>
      <c r="AW598" s="192"/>
      <c r="AX598" s="192"/>
    </row>
    <row r="599" spans="2:50" ht="15" customHeight="1" thickBot="1" x14ac:dyDescent="0.4">
      <c r="B599" s="192"/>
      <c r="C599" s="192"/>
      <c r="D599" s="192"/>
      <c r="E599" s="192"/>
      <c r="F599" s="192"/>
      <c r="G599" s="192"/>
      <c r="H599" s="192"/>
      <c r="I599" s="383" t="s">
        <v>139</v>
      </c>
      <c r="J599" s="383"/>
      <c r="K599" s="383"/>
      <c r="L599" s="383"/>
      <c r="M599" s="383"/>
      <c r="N599" s="383"/>
      <c r="O599" s="383"/>
      <c r="P599" s="383"/>
      <c r="Q599" s="383"/>
      <c r="R599" s="383"/>
      <c r="S599" s="192"/>
      <c r="T599" s="192"/>
      <c r="U599" s="370" t="s">
        <v>92</v>
      </c>
      <c r="V599" s="371"/>
      <c r="W599" s="371"/>
      <c r="X599" s="372"/>
      <c r="Y599" s="192"/>
      <c r="Z599" s="192"/>
      <c r="AA599" s="192"/>
      <c r="AB599" s="192"/>
      <c r="AC599" s="192"/>
      <c r="AD599" s="192"/>
      <c r="AE599" s="192"/>
      <c r="AF599" s="203"/>
      <c r="AG599" s="203"/>
      <c r="AH599" s="203"/>
      <c r="AI599" s="203"/>
      <c r="AJ599" s="203"/>
      <c r="AK599" s="203"/>
      <c r="AL599" s="203"/>
      <c r="AM599" s="203"/>
      <c r="AN599" s="192"/>
      <c r="AO599" s="192"/>
      <c r="AP599" s="192"/>
      <c r="AQ599" s="192"/>
      <c r="AR599" s="192"/>
      <c r="AS599" s="192"/>
      <c r="AT599" s="192"/>
      <c r="AU599" s="192"/>
      <c r="AV599" s="192"/>
      <c r="AW599" s="192"/>
      <c r="AX599" s="192"/>
    </row>
    <row r="600" spans="2:50" ht="15" customHeight="1" thickTop="1" thickBot="1" x14ac:dyDescent="0.35">
      <c r="B600" s="192"/>
      <c r="C600" s="192"/>
      <c r="D600" s="192"/>
      <c r="E600" s="192"/>
      <c r="F600" s="192"/>
      <c r="G600" s="192"/>
      <c r="H600" s="192"/>
      <c r="I600" s="400" t="s">
        <v>93</v>
      </c>
      <c r="J600" s="160"/>
      <c r="K600" s="396" t="s">
        <v>94</v>
      </c>
      <c r="L600" s="398" t="s">
        <v>95</v>
      </c>
      <c r="M600" s="390" t="s">
        <v>96</v>
      </c>
      <c r="N600" s="390" t="s">
        <v>97</v>
      </c>
      <c r="O600" s="373" t="s">
        <v>98</v>
      </c>
      <c r="P600" s="373" t="str">
        <f>IF(COUNT(U601:X612)=3,"LM/WM Ratio",IF(COUNT(U601:X612)=6,"LP/WP Ratio",""))</f>
        <v/>
      </c>
      <c r="Q600" s="390" t="s">
        <v>99</v>
      </c>
      <c r="R600" s="392" t="s">
        <v>100</v>
      </c>
      <c r="S600" s="192"/>
      <c r="T600" s="120"/>
      <c r="U600" s="121" t="s">
        <v>101</v>
      </c>
      <c r="V600" s="122" t="s">
        <v>102</v>
      </c>
      <c r="W600" s="122" t="s">
        <v>103</v>
      </c>
      <c r="X600" s="123" t="s">
        <v>104</v>
      </c>
      <c r="Y600" s="380" t="s">
        <v>105</v>
      </c>
      <c r="Z600" s="379"/>
      <c r="AA600" s="378" t="s">
        <v>106</v>
      </c>
      <c r="AB600" s="379"/>
      <c r="AC600" s="192"/>
      <c r="AD600" s="192"/>
      <c r="AE600" s="203"/>
      <c r="AF600" s="203"/>
      <c r="AG600" s="203"/>
      <c r="AH600" s="203"/>
      <c r="AI600" s="203"/>
      <c r="AJ600" s="203"/>
      <c r="AK600" s="203"/>
      <c r="AL600" s="203"/>
      <c r="AM600" s="203"/>
      <c r="AN600" s="192"/>
      <c r="AO600" s="192"/>
      <c r="AP600" s="192"/>
      <c r="AQ600" s="192"/>
      <c r="AR600" s="192"/>
      <c r="AS600" s="192"/>
      <c r="AT600" s="192"/>
      <c r="AU600" s="192"/>
      <c r="AV600" s="192"/>
      <c r="AW600" s="192"/>
      <c r="AX600" s="192"/>
    </row>
    <row r="601" spans="2:50" ht="15" customHeight="1" thickTop="1" thickBot="1" x14ac:dyDescent="0.35">
      <c r="B601" s="192"/>
      <c r="C601" s="192"/>
      <c r="D601" s="192"/>
      <c r="E601" s="192"/>
      <c r="F601" s="192"/>
      <c r="G601" s="192"/>
      <c r="H601" s="192"/>
      <c r="I601" s="401"/>
      <c r="J601" s="161"/>
      <c r="K601" s="397"/>
      <c r="L601" s="399"/>
      <c r="M601" s="391"/>
      <c r="N601" s="391"/>
      <c r="O601" s="374"/>
      <c r="P601" s="374"/>
      <c r="Q601" s="391"/>
      <c r="R601" s="393"/>
      <c r="S601" s="192"/>
      <c r="T601" s="208">
        <v>1</v>
      </c>
      <c r="U601" s="209" t="str">
        <f>IF(M602="","",IF(COUNTIF(M602:M604,M602)=3,IF(COUNTBLANK(I602:I605)=1,(Q614+Q620)/(Q613+Q619),IF(COUNTBLANK(I602:I605)=0,(Q626+Q614)/(Q625+Q613),"")),""))</f>
        <v/>
      </c>
      <c r="V601" s="125" t="str">
        <f>IF(AND(COUNTBLANK(I602:I605)=0,M602=M604,M604=M605),(Q614+Q620)/(Q613+Q619),"")</f>
        <v/>
      </c>
      <c r="W601" s="210" t="str">
        <f>IF(AND(COUNTBLANK(I602:I605)=0,M602=M603,M603=M605),(Q626+Q620)/(Q625+Q619),"")</f>
        <v/>
      </c>
      <c r="X601" s="211"/>
      <c r="Y601" s="169" t="s">
        <v>93</v>
      </c>
      <c r="Z601" s="170" t="s">
        <v>107</v>
      </c>
      <c r="AA601" s="169" t="s">
        <v>93</v>
      </c>
      <c r="AB601" s="170" t="s">
        <v>107</v>
      </c>
      <c r="AC601" s="192"/>
      <c r="AD601" s="192"/>
      <c r="AE601" s="192"/>
      <c r="AF601" s="203"/>
      <c r="AG601" s="203"/>
      <c r="AH601" s="203"/>
      <c r="AI601" s="203"/>
      <c r="AJ601" s="203"/>
      <c r="AK601" s="203"/>
      <c r="AL601" s="203"/>
      <c r="AM601" s="203"/>
      <c r="AN601" s="192"/>
      <c r="AO601" s="192"/>
      <c r="AP601" s="192"/>
      <c r="AQ601" s="192"/>
      <c r="AR601" s="192"/>
      <c r="AS601" s="192"/>
      <c r="AT601" s="192"/>
      <c r="AU601" s="192"/>
      <c r="AV601" s="192"/>
      <c r="AW601" s="192"/>
      <c r="AX601" s="192"/>
    </row>
    <row r="602" spans="2:50" ht="15" customHeight="1" thickTop="1" thickBot="1" x14ac:dyDescent="0.35">
      <c r="B602" s="192"/>
      <c r="C602" s="192"/>
      <c r="D602" s="192"/>
      <c r="E602" s="192"/>
      <c r="F602" s="192" t="str">
        <f>IF(I602="","",VLOOKUP(I602,Siembra,2,FALSE))</f>
        <v/>
      </c>
      <c r="G602" s="192" t="str">
        <f>O602</f>
        <v/>
      </c>
      <c r="H602" s="192">
        <v>1</v>
      </c>
      <c r="I602" s="128" t="str">
        <f>IF(K602="","",IF(ISNUMBER(Sorteo!$A$17),VLOOKUP(K602,Draw,2,FALSE),""))</f>
        <v/>
      </c>
      <c r="J602" s="129" t="str">
        <f>O602</f>
        <v/>
      </c>
      <c r="K602" s="130" t="str">
        <f>IF($K$9="","",IF(Group_players=4,IF(Tablas!BX$3="","",Tablas!BX$3),IF(Group_players=3,IF(Tablas!BX$11="","",Tablas!BX$11),"")))</f>
        <v/>
      </c>
      <c r="L602" s="131" t="str">
        <f>IF(K602="","",VLOOKUP(I602,Siembra,3,FALSE))</f>
        <v/>
      </c>
      <c r="M602" s="132" t="str">
        <f>IF(AND(Q613="",Q614=""),"",IF(I602="","",SUMIFS(E613:E629,I613:I629,I602)))</f>
        <v/>
      </c>
      <c r="N602" s="132" t="str">
        <f>IF(M602="","",IF(I602="","",SUMIFS(F613:F629,I613:I629,I602)))</f>
        <v/>
      </c>
      <c r="O602" s="132" t="str">
        <f>IF(M602="","",IF(COUNTBLANK(I602:I605)=1,IF(M602=2,1,IF(M602=0,3,IF(AND(M602=1,M603&lt;&gt;1),2,IF(COUNTIF(M602:M604,1)&gt;1,Z602)))),IF(COUNTBLANK(I602:I605)=0,IF(COUNTIF(M602:M605,M602)=1,IF(M602=3,1,IF(M602=2,2,IF(M602=1,3,IF(M602=0,4)))),IF(Group_players=3,Z602,IF(COUNTIF(M602:M605,M602)=2,AB602,IF(AND(M602=M603,M603=M604),AB606,IF(AND(M602=M604,M604=M605),AB609,IF(AND(M602=M603,M603=M605),AB612,"")))))),99)))</f>
        <v/>
      </c>
      <c r="P602" s="133" t="str">
        <f>IF(COUNT(U601:X612)=3,IF(ISNUMBER(U601),U601,IF(ISNUMBER(V601),V601,IF(ISNUMBER(W601),W601,IF(X601="","")))),IF(COUNT(U601:X612)=6,IF(ISNUMBER(U609),U609,IF(ISNUMBER(V609),V609,IF(ISNUMBER(W609),W609,IF(ISBLANK(X601),"")))),""))</f>
        <v/>
      </c>
      <c r="Q602" s="132" t="str">
        <f>IF(M602="","",SUMIF(I613:S629,I602,S613:S629))</f>
        <v/>
      </c>
      <c r="R602" s="134" t="str">
        <f>IF(M602="","",L602+Q602)</f>
        <v/>
      </c>
      <c r="S602" s="203"/>
      <c r="T602" s="208">
        <v>2</v>
      </c>
      <c r="U602" s="209" t="str">
        <f>IF(M603="","",IF(COUNTIF(M602:M604,M603)=3,IF(COUNTBLANK(I602:I605)=1,(Q617+Q619)/(Q616+Q620),IF(COUNTBLANK(I602:I605)=0,(Q623+Q625)/(Q622+Q626),"")),""))</f>
        <v/>
      </c>
      <c r="V602" s="135"/>
      <c r="W602" s="212" t="str">
        <f>IF(AND(COUNTBLANK(I602:I605)=0,M603=M602,M602=M605),(Q625+Q617)/(Q626+Q616),"")</f>
        <v/>
      </c>
      <c r="X602" s="213" t="str">
        <f>IF(AND(COUNTBLANK(I602:I605)=0,M603=M604,M604=M605),(Q623+Q617)/(Q622+Q616),"")</f>
        <v/>
      </c>
      <c r="Y602" s="214">
        <v>1</v>
      </c>
      <c r="Z602" s="215" t="str">
        <f>IF(U601="","",IF(OR(Group_players=3,AND(Group_players=4,COUNTBLANK(I602:I605)=1)),IF(COUNTIF(M602:M604,M602)=1,"",IF(AND(U601=U602,U602=U603),Z606,IF(AND(U601&lt;&gt;U602,U601&lt;&gt;U603,U602&lt;&gt;U603),(IF(SMALL(U601:U603,1)=U601,1,IF(SMALL(U601:U603,2)=U601,2,IF(SMALL(U601:U603,3)=U601,3)))),IF(AND(U601&lt;U602,U602=U603),1,IF(AND(U601&gt;U602,U602=U603),3,IF(AND(U601=U602,U601&lt;U603),(IF(Q619=3,1,2)),IF(AND(U601=U602,U601&gt;U603),(IF(Q619=3,2,3)),IF(AND(U601=U603,U601&lt;U602),(IF(Q613=3,1,2)),IF(AND(U601=U603,U601&gt;U602),(IF(Q613=3,2,3)),99))))))))),""))</f>
        <v/>
      </c>
      <c r="AA602" s="216">
        <v>1</v>
      </c>
      <c r="AB602" s="217" t="str">
        <f>IF(COUNTIF(M602:M605,M602)&lt;&gt;2,"",IF(COUNTIF(M602:M605,M602)=1,"",IF(AND(COUNTIF(M602:M605,M602)=2,M602=2),IF(M602=M603,IF(Q625=3,1,2),IF(M602=M604,IF(Q613=3,1,2),IF(M602=M605,IF(Q619=3,1,2)))),IF(AND(COUNTIF(M602:M605,M602)=2,M602=1),IF(M602=M603,IF(Q625=3,3,4),IF(M602=M604,IF(Q613=3,3,4),IF(M602=M605,IF(Q619=3,3,4)))),IF(COUNTIF(M602:M605,M602)=3,AB606)))))</f>
        <v/>
      </c>
      <c r="AC602" s="192"/>
      <c r="AD602" s="192"/>
      <c r="AE602" s="192"/>
      <c r="AF602" s="203"/>
      <c r="AG602" s="203"/>
      <c r="AH602" s="203"/>
      <c r="AI602" s="203"/>
      <c r="AJ602" s="203"/>
      <c r="AK602" s="203"/>
      <c r="AL602" s="203"/>
      <c r="AM602" s="203"/>
      <c r="AN602" s="192"/>
      <c r="AO602" s="192"/>
      <c r="AP602" s="192"/>
      <c r="AQ602" s="192"/>
      <c r="AR602" s="192"/>
      <c r="AS602" s="192"/>
      <c r="AT602" s="192"/>
      <c r="AU602" s="192"/>
      <c r="AV602" s="192"/>
      <c r="AW602" s="192"/>
      <c r="AX602" s="192"/>
    </row>
    <row r="603" spans="2:50" ht="15" customHeight="1" thickTop="1" thickBot="1" x14ac:dyDescent="0.35">
      <c r="B603" s="192"/>
      <c r="C603" s="192"/>
      <c r="D603" s="192"/>
      <c r="E603" s="192"/>
      <c r="F603" s="192" t="str">
        <f>IF(I603="","",VLOOKUP(I603,Siembra,2,FALSE))</f>
        <v/>
      </c>
      <c r="G603" s="192" t="str">
        <f>O603</f>
        <v/>
      </c>
      <c r="H603" s="192">
        <v>2</v>
      </c>
      <c r="I603" s="128" t="str">
        <f>IF(K603="","",IF(ISNUMBER(Sorteo!$A$17),VLOOKUP(K603,Draw,2,FALSE),""))</f>
        <v/>
      </c>
      <c r="J603" s="129" t="str">
        <f>O603</f>
        <v/>
      </c>
      <c r="K603" s="136" t="str">
        <f>IF($K$9="","",IF(Group_players=4,IF(Tablas!BX$4="","",Tablas!BX$4),IF(Group_players=3,IF(Tablas!BX$12="","",Tablas!BX$12),"")))</f>
        <v/>
      </c>
      <c r="L603" s="137" t="str">
        <f>IF(K603="","",VLOOKUP(I603,Siembra,3,FALSE))</f>
        <v/>
      </c>
      <c r="M603" s="132" t="str">
        <f>IF(AND(L613="",L614=""),"",IF(I603="","",SUMIFS(E613:E630,I613:I630,I603)))</f>
        <v/>
      </c>
      <c r="N603" s="138" t="str">
        <f>IF(M603="","",IF(I603="","",SUMIFS(F613:F629,I613:I629,I603)))</f>
        <v/>
      </c>
      <c r="O603" s="132" t="str">
        <f>IF(M603="","",IF(COUNTBLANK(I602:I605)=1,IF(M603=2,1,IF(M603=0,3,IF(AND(M603=1,M604&lt;&gt;1),2,IF(COUNTIF(M602:M605,1)&gt;1,Z603)))),IF(COUNTBLANK(I602:I605)=0,IF(COUNTIF(M602:M605,M603)=1,IF(M603=3,1,IF(M603=2,2,IF(M603=1,3,IF(M603=0,4)))),IF(Group_players=3,Z603,IF(COUNTIF(M602:M605,M603)=2,AB603,IF(AND(M603=M602,M602=M604),AB607,IF(AND(M603=M602,M602=M605),AB613,IF(AND(M603=M604,M604=M605),AB615,"")))))))))</f>
        <v/>
      </c>
      <c r="P603" s="133" t="str">
        <f>IF(COUNT(U601:X612)=3,IF(ISNUMBER(U602),U602,IF(ISNUMBER(W602),W602,IF(ISNUMBER(X602),X602,IF(X602="","")))),IF(COUNT(U601:X612)=6,IF(ISNUMBER(U610),U610,IF(ISNUMBER(W610),W610,IF(ISNUMBER(X610),X610,IF(ISBLANK(X609),"")))),""))</f>
        <v/>
      </c>
      <c r="Q603" s="138" t="str">
        <f>IF(M603="","",SUMIF(I613:S629,I603,S613:$S629))</f>
        <v/>
      </c>
      <c r="R603" s="139" t="str">
        <f>IF(M603="","",L603+Q603)</f>
        <v/>
      </c>
      <c r="S603" s="203"/>
      <c r="T603" s="208">
        <v>3</v>
      </c>
      <c r="U603" s="209" t="str">
        <f>IF(M604="","",IF(COUNTIF(M602:M604,M604)=3,IF(COUNTBLANK(I602:I605)=1,(Q613+Q616)/(Q614+Q617),IF(COUNTBLANK(I602:I605)=0,(Q613+Q622)/(Q614+Q623),"")),""))</f>
        <v/>
      </c>
      <c r="V603" s="125" t="str">
        <f>IF(AND(COUNTBLANK(I602:I605)=0,M604=M605,M605=M602),(Q613+Q629)/(Q614+Q628),"")</f>
        <v/>
      </c>
      <c r="W603" s="218"/>
      <c r="X603" s="213" t="str">
        <f>IF(AND(COUNTBLANK(I602:I605)=0,M604=M605,M605=M603),(Q622+Q629)/(Q623+Q628),"")</f>
        <v/>
      </c>
      <c r="Y603" s="219">
        <v>2</v>
      </c>
      <c r="Z603" s="220" t="str">
        <f>IF(U602="","",IF(OR(Group_players=3,AND(Group_players=4,COUNTBLANK(I602:I605)=1)),IF(COUNTIF(M602:M604,M603)=1,"",IF(AND(U602=U601,U602=U603),Z607,IF(AND(U602&lt;&gt;U601,U602&lt;&gt;U603,U601&lt;&gt;U603),(IF(SMALL(U601:U603,1)=U602,1,IF(SMALL(U601:U603,2)=U602,2,IF(SMALL(U601:U603,3)=U602,3)))),IF(AND(U602&lt;U601,U601=U603),1,IF(AND(U602&gt;U601,U601=U603),3,IF(AND(U602=U601,U602&lt;U603),(IF(Q620=3,1,2)),IF(AND(U602=U601,U602&gt;U603),(IF(Q620=3,2,3)),IF(AND(U602=U603,U602&lt;U601),(IF(Q616=3,1,2)),IF(AND(U602=U603,U602&gt;U601),(IF(Q616=3,2,3)),99))))))))),""))</f>
        <v/>
      </c>
      <c r="AA603" s="221">
        <v>2</v>
      </c>
      <c r="AB603" s="222" t="str">
        <f>IF(COUNTIF(M602:M605,M603)&lt;&gt;2,"",IF(COUNTIF(M602:M605,M603)=1,"",IF(AND(COUNTIF(M602:M605,M603)=2,M603=2),IF(M603=M602,IF(Q626=3,1,2),IF(M603=M604,IF(Q622=3,1,2),IF(M603=M605,IF(Q616=3,1,2)))),IF(AND(COUNTIF(M602:M605,M603)=2,M603=1),IF(M603=M602,IF(Q626=3,3,4),IF(M603=M604,IF(Q622=3,3,4),IF(M603=M605,IF(Q616=3,3,4)))),AB608))))</f>
        <v/>
      </c>
      <c r="AC603" s="192"/>
      <c r="AD603" s="192"/>
      <c r="AE603" s="192"/>
      <c r="AF603" s="203"/>
      <c r="AG603" s="203"/>
      <c r="AH603" s="203"/>
      <c r="AI603" s="203"/>
      <c r="AJ603" s="203"/>
      <c r="AK603" s="203"/>
      <c r="AL603" s="203"/>
      <c r="AM603" s="203"/>
      <c r="AN603" s="192"/>
      <c r="AO603" s="192"/>
      <c r="AP603" s="192"/>
      <c r="AQ603" s="192"/>
      <c r="AR603" s="192"/>
      <c r="AS603" s="192"/>
      <c r="AT603" s="192"/>
      <c r="AU603" s="192"/>
      <c r="AV603" s="192"/>
      <c r="AW603" s="192"/>
      <c r="AX603" s="192"/>
    </row>
    <row r="604" spans="2:50" ht="15" customHeight="1" thickBot="1" x14ac:dyDescent="0.35">
      <c r="B604" s="192"/>
      <c r="C604" s="192"/>
      <c r="D604" s="192"/>
      <c r="E604" s="192"/>
      <c r="F604" s="192" t="str">
        <f>IF(I604="","",VLOOKUP(I604,Siembra,2,FALSE))</f>
        <v/>
      </c>
      <c r="G604" s="192" t="str">
        <f>O604</f>
        <v/>
      </c>
      <c r="H604" s="192">
        <v>3</v>
      </c>
      <c r="I604" s="128" t="str">
        <f>IF(K604="","",IF(ISNUMBER(Sorteo!$A$17),VLOOKUP(K604,Draw,2,FALSE),""))</f>
        <v/>
      </c>
      <c r="J604" s="129" t="str">
        <f>O604</f>
        <v/>
      </c>
      <c r="K604" s="136" t="str">
        <f>IF($K$9="","",IF(Group_players=4,IF(Tablas!BX$5="","",Tablas!BX$5),IF(Group_players=3,IF(Tablas!BX$13="","",Tablas!BX$13),"")))</f>
        <v/>
      </c>
      <c r="L604" s="137" t="str">
        <f>IF(K604="","",VLOOKUP(I604,Siembra,3,FALSE))</f>
        <v/>
      </c>
      <c r="M604" s="132" t="str">
        <f>IF(AND(L614="",L613=""),"",IF(I604="","",SUMIFS(E613:E631,I613:I631,I604)))</f>
        <v/>
      </c>
      <c r="N604" s="138" t="str">
        <f>IF(M604="","",IF(I604="","",SUMIFS(F613:F629,I613:I629,I604)))</f>
        <v/>
      </c>
      <c r="O604" s="132" t="str">
        <f>IF(M604="","",IF(COUNTBLANK(I602:I605)=1,IF(M604=2,1,IF(M604=0,3,IF(AND(M604=1,M604&lt;&gt;M602),2,IF(COUNTIF(M602:M605,1)&gt;1,Z604)))),IF(COUNTBLANK(I602:I605)=0,IF(COUNTIF(M602:M605,M604)=1,IF(M604=3,1,IF(M604=2,2,IF(M604=1,3,IF(M604=0,4)))),IF(Group_players=3,Z604,IF(COUNTIF(M602:M605,M604)=2,AB604,IF(AND(M604=M602,M602=M603),AB608,IF(AND(M604=M602,M602=M605),AB610,IF(AND(M604=M603,M603=M605),AB616,"")))))))))</f>
        <v/>
      </c>
      <c r="P604" s="133" t="str">
        <f>IF(COUNT(U601:X612)=3,IF(ISNUMBER(U603),U603,IF(ISNUMBER(V603),V603,IF(ISNUMBER(X603),X603,IF(W603="","")))),IF(COUNT(U601:X612)=6,IF(ISNUMBER(U611),U611,IF(ISNUMBER(V611),V611,IF(ISNUMBER(X611),X611,""))),""))</f>
        <v/>
      </c>
      <c r="Q604" s="138" t="str">
        <f>IF(M604="","",SUMIF(I613:S629,I604,S613:S629))</f>
        <v/>
      </c>
      <c r="R604" s="139" t="str">
        <f>IF(M604="","",L604+Q604)</f>
        <v/>
      </c>
      <c r="S604" s="203"/>
      <c r="T604" s="208">
        <v>4</v>
      </c>
      <c r="U604" s="223"/>
      <c r="V604" s="140" t="str">
        <f>IF(AND(COUNTBLANK(I602:I605)=0,M605=M602,M602=M604),(Q619+Q628)/(Q620+Q629),"")</f>
        <v/>
      </c>
      <c r="W604" s="224" t="str">
        <f>IF(AND(COUNTBLANK(I602:I605)=0,M605=M602,M602=M603),(Q619+Q616)/(Q620+Q617),"")</f>
        <v/>
      </c>
      <c r="X604" s="225" t="str">
        <f>IF(AND(COUNTBLANK(I602:I605)=0,M605=M603,M603=M604),(Q616+Q628)/(Q617+Q629),"")</f>
        <v/>
      </c>
      <c r="Y604" s="226">
        <v>3</v>
      </c>
      <c r="Z604" s="227" t="str">
        <f>IF(U603="","",IF(OR(Group_players=3,AND(Group_players=4,COUNTBLANK(I602:I605)=1)),IF(COUNTIF(M602:M604,M604)=1,"",IF(AND(U603=U601,U603=U602),Z608,IF(AND(U603&lt;&gt;U602,U602&lt;&gt;U601,U603&lt;&gt;U601),(IF(SMALL(U601:U603,1)=U603,1,IF(SMALL(U601:U603,2)=U603,2,IF(SMALL(U601:U603,3)=U603,3)))),IF(AND(U603&lt;U602,U602=U601),1,IF(AND(U603&gt;U602,U602=U601),3,IF(AND(U603=U602,U603&lt;U601),(IF(Q617=3,1,2)),IF(AND(U603=U602,U603&gt;U601),(IF(Q617=3,2,3)),IF(AND(U603=U601,U603&lt;U602),(IF(Q614=3,1,2)),IF(AND(U603=U601,U603&gt;U602),(IF(Q614=3,2,3)),99))))))))),""))</f>
        <v/>
      </c>
      <c r="AA604" s="221">
        <v>3</v>
      </c>
      <c r="AB604" s="222" t="str">
        <f>IF(COUNTIF(M602:M605,M604)&lt;&gt;2,"",IF(COUNTIF(M602:M605,M604)=1,"",IF(AND(COUNTIF(M602:M605,M604)=2,M604=2),IF(M604=M602,IF(Q614=3,1,2),IF(M604=M603,IF(Q623=3,1,2),IF(M604=M605,IF(Q628=3,1,2)))),IF(AND(COUNTIF(M602:M605,M604)=2,M604=1),IF(M604=M602,IF(Q614=3,3,4),IF(M604=M603,IF(Q623=3,3,4),IF(M604=M605,IF(Q628=3,3,4)))),AB608))))</f>
        <v/>
      </c>
      <c r="AC604" s="192"/>
      <c r="AD604" s="192"/>
      <c r="AE604" s="192"/>
      <c r="AF604" s="203"/>
      <c r="AG604" s="203"/>
      <c r="AH604" s="203"/>
      <c r="AI604" s="203"/>
      <c r="AJ604" s="203"/>
      <c r="AK604" s="203"/>
      <c r="AL604" s="203"/>
      <c r="AM604" s="203"/>
      <c r="AN604" s="192"/>
      <c r="AO604" s="192"/>
      <c r="AP604" s="192"/>
      <c r="AQ604" s="192"/>
      <c r="AR604" s="192"/>
      <c r="AS604" s="192"/>
      <c r="AT604" s="192"/>
      <c r="AU604" s="192"/>
      <c r="AV604" s="192"/>
      <c r="AW604" s="192"/>
      <c r="AX604" s="192"/>
    </row>
    <row r="605" spans="2:50" ht="15" customHeight="1" thickTop="1" thickBot="1" x14ac:dyDescent="0.35">
      <c r="B605" s="192"/>
      <c r="C605" s="192"/>
      <c r="D605" s="192"/>
      <c r="E605" s="192"/>
      <c r="F605" s="192" t="str">
        <f>IF(I605="","",VLOOKUP(I605,Siembra,2,FALSE))</f>
        <v/>
      </c>
      <c r="G605" s="192" t="str">
        <f>O605</f>
        <v/>
      </c>
      <c r="H605" s="192">
        <v>4</v>
      </c>
      <c r="I605" s="141" t="str">
        <f>IF(K605="","",IF(ISNUMBER(Sorteo!$A$17),VLOOKUP(K605,Draw,2,FALSE),""))</f>
        <v/>
      </c>
      <c r="J605" s="142" t="str">
        <f>O605</f>
        <v/>
      </c>
      <c r="K605" s="143" t="str">
        <f>IF($K$9="","",IF(Group_players=4,IF(Tablas!BX6="","",Tablas!BX6),""))</f>
        <v/>
      </c>
      <c r="L605" s="144" t="str">
        <f>IF(K605="","",VLOOKUP(I605,Siembra,3,FALSE))</f>
        <v/>
      </c>
      <c r="M605" s="145" t="str">
        <f>IF(AND(Q616="",Q617=""),"",IF(I605="","",SUMIFS(E613:E632,I613:I632,I605)))</f>
        <v/>
      </c>
      <c r="N605" s="145" t="str">
        <f>IF(M605="","",IF(I605="","",SUMIFS(F613:F629,I613:I629,I605)))</f>
        <v/>
      </c>
      <c r="O605" s="145" t="str">
        <f>IF(M605="","",IF(COUNTIF(M602:M605,M605)=1,IF(M605=3,1,IF(M605=2,2,IF(M605=1,3,IF(M605=0,4)))),IF(COUNTIF(M602:M605,M605)=2,AB605,IF(AND(M605=M602,M602=M604),AB611,IF(AND(M605=M602,M602=M603),AB614,IF(AND(M605=M603,M603=M604),AB617,""))))))</f>
        <v/>
      </c>
      <c r="P605" s="146" t="str">
        <f>IF(COUNT(U601:X612)=3,IF(ISNUMBER(V604),V604,IF(ISNUMBER(W604),W604,IF(ISNUMBER(X604),X604,IF(X604="","")))),IF(COUNT(U601:X612)=6,IF(ISNUMBER(V612),V612,IF(ISNUMBER(W612),W612,IF(ISNUMBER(X612),X612,""))),""))</f>
        <v/>
      </c>
      <c r="Q605" s="145" t="str">
        <f>IF(M605="","",SUMIF(I613:S629,I605,S613:$S629))</f>
        <v/>
      </c>
      <c r="R605" s="147" t="str">
        <f>IF(M605="","",L605+Q605)</f>
        <v/>
      </c>
      <c r="S605" s="203"/>
      <c r="T605" s="192"/>
      <c r="U605" s="192"/>
      <c r="V605" s="192"/>
      <c r="W605" s="192"/>
      <c r="X605" s="192"/>
      <c r="Y605" s="230" t="s">
        <v>93</v>
      </c>
      <c r="Z605" s="231" t="s">
        <v>110</v>
      </c>
      <c r="AA605" s="232">
        <v>4</v>
      </c>
      <c r="AB605" s="233" t="str">
        <f>IF(COUNTIF(M602:M605,M605)&lt;&gt;2,"",IF(COUNTIF(M602:M605,M605)=1,"",IF(AND(COUNTIF(M602:M605,M605)=2,M605=2),IF(M605=M602,IF(Q620=3,1,2),IF(M605=M603,IF(Q617=3,1,2),IF(M605=M604,IF(Q629=3,1,2)))),IF(AND(COUNTIF(M602:M605,M605)=2,M605=1),IF(M605=M602,IF(Q620=3,3,4),IF(M605=M603,IF(Q617=3,3,4),IF(M605=M604,IF(Q629=3,3,4)))),AB611))))</f>
        <v/>
      </c>
      <c r="AC605" s="192"/>
      <c r="AD605" s="192"/>
      <c r="AE605" s="192"/>
      <c r="AF605" s="203"/>
      <c r="AG605" s="203"/>
      <c r="AH605" s="203"/>
      <c r="AI605" s="203"/>
      <c r="AJ605" s="203"/>
      <c r="AK605" s="203"/>
      <c r="AL605" s="203"/>
      <c r="AM605" s="203"/>
      <c r="AN605" s="192"/>
      <c r="AO605" s="192"/>
      <c r="AP605" s="192"/>
      <c r="AQ605" s="192"/>
      <c r="AR605" s="192"/>
      <c r="AS605" s="192"/>
      <c r="AT605" s="192"/>
      <c r="AU605" s="192"/>
      <c r="AV605" s="192"/>
      <c r="AW605" s="192"/>
      <c r="AX605" s="192"/>
    </row>
    <row r="606" spans="2:50" ht="15" customHeight="1" thickTop="1" x14ac:dyDescent="0.3">
      <c r="B606" s="192"/>
      <c r="C606" s="192"/>
      <c r="D606" s="192"/>
      <c r="E606" s="192"/>
      <c r="F606" s="192"/>
      <c r="G606" s="192"/>
      <c r="H606" s="192"/>
      <c r="I606" s="192"/>
      <c r="J606" s="192"/>
      <c r="K606" s="192"/>
      <c r="L606" s="192"/>
      <c r="M606" s="192"/>
      <c r="N606" s="192"/>
      <c r="O606" s="192"/>
      <c r="P606" s="192"/>
      <c r="Q606" s="192"/>
      <c r="R606" s="192"/>
      <c r="S606" s="192"/>
      <c r="T606" s="208"/>
      <c r="U606" s="192"/>
      <c r="V606" s="148"/>
      <c r="W606" s="148"/>
      <c r="X606" s="234"/>
      <c r="Y606" s="214">
        <v>1</v>
      </c>
      <c r="Z606" s="215" t="str">
        <f>IF(U609="","",IF(OR(Group_players=3,AND(Group_players=4,COUNTBLANK(I602:I605)=1)),IF(COUNTIF(M602:M604,M602)=1,"",IF(COUNTIF(U601:U603,U601)=3,IF(AND(U609=U610,U610=U611),"Tied",IF(AND(U609&lt;&gt;U610,U609&lt;&gt;U611,U610&lt;&gt;U611),(IF(SMALL(U609:U611,1)=U609,1,IF(SMALL(U609:U611,2)=U609,2,IF(SMALL(U609:U611,3)=U609,3)))),IF(AND(U609&lt;U610,U610=U611),1,IF(AND(U609&gt;U610,U610=U611),3,IF(AND(U609=U610,U609&lt;U611),(IF(Q619=3,1,2)),IF(AND(U609=U610,U609&gt;U611),(IF(Q619=3,2,3)),IF(AND(U609=U611,U609&lt;U610),(IF(Q613=3,1,2)),IF(AND(U609=U611,U609&gt;U610),(IF(Q613=3,2,3)),99)))))))),"")),""))</f>
        <v/>
      </c>
      <c r="AA606" s="208">
        <v>1</v>
      </c>
      <c r="AB606" s="222" t="str">
        <f>IF(AND(COUNTBLANK(I602:I605)=0,Group_players=4,M602=M603,M603=M604),IF(COUNTIF(U601:U604,U601)=3,AB619,IF(AND(COUNTIF(U601:U604,U601)=1,U602&lt;&gt;U603),IF(M602=2,IF(SMALL(U601:U604,1)=U601,1,IF(SMALL(U601:U604,2)=U601,2,IF(SMALL(U601:U604,3)=U601,3))),IF(M602=1,IF(SMALL(U601:U604,1)=U601,2,IF(SMALL(U601:U604,2)=U601,3,IF(SMALL(U601:U604,3)=U601,4))),"")),IF(COUNTIF(U601:U604,U601)=1,IF(U601&lt;U602,IF(M602=2,1,2),IF(M602=2,3,4)),IF(COUNTIF(U601:U604,U601)=2,IF(U601=U602,IF(U601&lt;U603,IF(M602=2,IF(Q625=3,1,2),IF(M602=1,IF(Q625=3,2,3))),IF(U601&gt;U603,IF(M602=2,IF(Q625=3,2,3),IF(M602=1,IF(Q625=3,3,4))))),IF(U601=U603,IF(U601&lt;U602,IF(M602=2,IF(Q613=3,1,2),IF(M602=1,IF(Q613=3,2,3))),IF(U601&gt;U602,IF(M602=2,IF(Q613=3,2,3),IF(M602=1,IF(Q613=3,3,4))))))),"")))),"")</f>
        <v/>
      </c>
      <c r="AC606" s="192"/>
      <c r="AD606" s="192"/>
      <c r="AE606" s="269"/>
      <c r="AF606" s="203"/>
      <c r="AG606" s="203"/>
      <c r="AH606" s="203"/>
      <c r="AI606" s="203"/>
      <c r="AJ606" s="203"/>
      <c r="AK606" s="203"/>
      <c r="AL606" s="203"/>
      <c r="AM606" s="203"/>
      <c r="AN606" s="192"/>
      <c r="AO606" s="192"/>
      <c r="AP606" s="192"/>
      <c r="AQ606" s="192"/>
      <c r="AR606" s="192"/>
      <c r="AS606" s="192"/>
      <c r="AT606" s="192"/>
      <c r="AU606" s="192"/>
      <c r="AV606" s="192"/>
      <c r="AW606" s="192"/>
      <c r="AX606" s="192"/>
    </row>
    <row r="607" spans="2:50" ht="15" customHeight="1" thickBot="1" x14ac:dyDescent="0.35">
      <c r="B607" s="192"/>
      <c r="C607" s="192"/>
      <c r="D607" s="192"/>
      <c r="E607" s="192"/>
      <c r="F607" s="192"/>
      <c r="G607" s="192"/>
      <c r="H607" s="192"/>
      <c r="I607" s="269"/>
      <c r="J607" s="269"/>
      <c r="K607" s="192"/>
      <c r="L607" s="192"/>
      <c r="M607" s="192"/>
      <c r="N607" s="192"/>
      <c r="O607" s="192"/>
      <c r="P607" s="192"/>
      <c r="Q607" s="192"/>
      <c r="R607" s="192"/>
      <c r="S607" s="192"/>
      <c r="T607" s="208"/>
      <c r="U607" s="368" t="s">
        <v>111</v>
      </c>
      <c r="V607" s="369"/>
      <c r="W607" s="369"/>
      <c r="X607" s="369"/>
      <c r="Y607" s="236">
        <v>2</v>
      </c>
      <c r="Z607" s="220" t="str">
        <f>IF(U602="","",IF(OR(Group_players=3,AND(Group_players=4,COUNTBLANK(I602:I605)=1)),IF(COUNTIF(M602:M604,M603)=1,"",IF(COUNTIF(U601:U603,U602)=3,IF(AND(U610=U609,U610=U611),"Tied",IF(AND(U610&lt;&gt;U609,U610&lt;&gt;U611,U609&lt;&gt;U611),(IF(SMALL(U609:U611,1)=U610,1,IF(SMALL(U609:U611,2)=U610,2,IF(SMALL(U609:U611,3)=U610,3)))),IF(AND(U610&lt;U609,U609=U611),1,IF(AND(U610&gt;U609,U609=U611),3,IF(AND(U610=U609,U610&lt;U611),(IF(Q620=3,1,2)),IF(AND(U610=U609,U610&gt;U611),(IF(Q620=3,2,3)),IF(AND(U610=U611,U610&lt;U609),(IF(Q616=3,1,2)),IF(AND(U610=U611,U610&gt;U609),(IF(Q616=3,2,3)),99)))))))),"")),""))</f>
        <v/>
      </c>
      <c r="AA607" s="208">
        <v>2</v>
      </c>
      <c r="AB607" s="222" t="str">
        <f>IF(AND(COUNTBLANK(I602:I605)=0,Group_players=4,M602=M603,M603=M604),IF(COUNTIF(U601:U604,U602)=3,AB620,IF(AND(COUNTIF(U601:U604,U602)=1,U601&lt;&gt;U603),IF(M603=2,IF(SMALL(U601:U604,1)=U602,1,IF(SMALL(U601:U604,2)=U602,2,IF(SMALL(U601:U604,3)=U602,3))),IF(M603=1,IF(SMALL(U601:U604,1)=U602,2,IF(SMALL(U601:U604,2)=U602,3,IF(SMALL(U601:U604,3)=U602,4))),"")),IF(COUNTIF(U601:U603,U602)=1,IF(U602&lt;U601,IF(M603=2,1,2),IF(M603=2,3,99)),IF(COUNTIF(U601:U604,U602)=2,IF(U602=U601,IF(U602&lt;U603,IF(M603=2,IF(Q626=3,1,2),IF(M603=1,IF(Q626=3,2,3))),IF(U602&gt;U603,IF(M603=2,IF(Q626=3,2,3),IF(M603=1,IF(Q626=3,3,4))))),IF(U602=U603,IF(U602&lt;U601,IF(M603=2,IF(Q622=3,1,2),IF(M603=1,IF(Q622=3,2,3))),IF(U602&gt;U601,IF(M603=2,IF(Q622=3,2,3),IF(M603=1,IF(Q622=3,3,4))))))),"")))),"")</f>
        <v/>
      </c>
      <c r="AC607" s="192"/>
      <c r="AD607" s="192"/>
      <c r="AE607" s="192"/>
      <c r="AF607" s="203"/>
      <c r="AG607" s="203"/>
      <c r="AH607" s="203"/>
      <c r="AI607" s="203"/>
      <c r="AJ607" s="203"/>
      <c r="AK607" s="203"/>
      <c r="AL607" s="203"/>
      <c r="AM607" s="203"/>
      <c r="AN607" s="192"/>
      <c r="AO607" s="192"/>
      <c r="AP607" s="192"/>
      <c r="AQ607" s="192"/>
      <c r="AR607" s="192"/>
      <c r="AS607" s="192"/>
      <c r="AT607" s="192"/>
      <c r="AU607" s="192"/>
      <c r="AV607" s="192"/>
      <c r="AW607" s="192"/>
      <c r="AX607" s="192"/>
    </row>
    <row r="608" spans="2:50" ht="15" customHeight="1" thickTop="1" thickBot="1" x14ac:dyDescent="0.35">
      <c r="B608" s="192"/>
      <c r="C608" s="192"/>
      <c r="D608" s="192"/>
      <c r="E608" s="192"/>
      <c r="F608" s="192"/>
      <c r="G608" s="192"/>
      <c r="H608" s="192"/>
      <c r="I608" s="192"/>
      <c r="J608" s="192"/>
      <c r="K608" s="192"/>
      <c r="L608" s="192"/>
      <c r="M608" s="192"/>
      <c r="N608" s="192"/>
      <c r="O608" s="192"/>
      <c r="P608" s="192"/>
      <c r="Q608" s="192"/>
      <c r="R608" s="192"/>
      <c r="S608" s="192"/>
      <c r="T608" s="120"/>
      <c r="U608" s="121" t="s">
        <v>101</v>
      </c>
      <c r="V608" s="122" t="s">
        <v>102</v>
      </c>
      <c r="W608" s="122" t="s">
        <v>103</v>
      </c>
      <c r="X608" s="123" t="s">
        <v>104</v>
      </c>
      <c r="Y608" s="238">
        <v>3</v>
      </c>
      <c r="Z608" s="239" t="str">
        <f>IF(U603="","",IF(OR(Group_players=3,AND(Group_players=4,COUNTBLANK(I602:I605)=1)),IF(COUNTIF(M602:M604,M604)=1,"",IF(COUNTIF(U601:U603,U603)=3,IF(AND(U611=U609,U611=U610),"Tied",IF(AND(U611&lt;&gt;U610,U610&lt;&gt;U609,U611&lt;&gt;U609),(IF(SMALL(U609:U611,1)=U611,1,IF(SMALL(U609:U611,2)=U611,2,IF(SMALL(U609:U611,3)=U611,3)))),IF(AND(U611&lt;U610,U610=U609),1,IF(AND(U611&gt;U610,U610=U609),3,IF(AND(U611=U610,U611&lt;U609),(IF(Q617=3,1,2)),IF(AND(U611=U610,U611&gt;U609),(IF(Q617=3,2,3)),IF(AND(U611=U609,U611&lt;U610),(IF(Q614=3,1,2)),IF(AND(U611=U609,U611&gt;U610),(IF(Q614=3,2,3)),99)))))))),"")),""))</f>
        <v/>
      </c>
      <c r="AA608" s="240">
        <v>3</v>
      </c>
      <c r="AB608" s="241" t="str">
        <f>IF(AND(COUNTBLANK(I602:I605)=0,Group_players=4,M602=M603,M603=M604),IF(COUNTIF(U601:U604,U603)=3,AB621,IF(AND(COUNTIF(U601:U604,U603)=1,U601&lt;&gt;U602),IF(M602=2,IF(SMALL(U601:U604,1)=U603,1,IF(SMALL(U601:U604,2)=U603,2,IF(SMALL(U601:U604,3)=U603,3))),IF(M604=1,IF(SMALL(U601:U604,1)=U603,2,IF(SMALL(U601:U604,2)=U603,3,IF(SMALL(U601:U604,3)=U603,4))),"")),IF(COUNTIF(U601:U604,U603)=1,IF(U603&lt;U602,IF(M604=2,1,2),IF(M604=2,3,4)),IF(COUNTIF(U601:U604,U603)=2,IF(U603=U602,IF(U603&lt;U601,IF(M604=2,IF(Q623=3,1,2),IF(M604=1,IF(Q623=3,2,3))),IF(U603&gt;U601,IF(M604=2,IF(Q623=3,2,3),IF(M604=1,IF(Q623=3,3,4))))),IF(U603=U601,IF(U603&lt;U602,IF(M604=2,IF(Q614=3,1,2),IF(M604=1,IF(Q614=3,2,3))),IF(U603&gt;U602,IF(M604=2,IF(Q614=3,2,3),IF(M604=1,IF(Q614=3,3,4))))))),"")))),"")</f>
        <v/>
      </c>
      <c r="AC608" s="192"/>
      <c r="AD608" s="192"/>
      <c r="AE608" s="192"/>
      <c r="AF608" s="203"/>
      <c r="AG608" s="203"/>
      <c r="AH608" s="203"/>
      <c r="AI608" s="203"/>
      <c r="AJ608" s="203"/>
      <c r="AK608" s="203"/>
      <c r="AL608" s="203"/>
      <c r="AM608" s="203"/>
      <c r="AN608" s="192"/>
      <c r="AO608" s="192"/>
      <c r="AP608" s="192"/>
      <c r="AQ608" s="192"/>
      <c r="AR608" s="192"/>
      <c r="AS608" s="192"/>
      <c r="AT608" s="192"/>
      <c r="AU608" s="192"/>
      <c r="AV608" s="192"/>
      <c r="AW608" s="192"/>
      <c r="AX608" s="192"/>
    </row>
    <row r="609" spans="2:50" ht="15" customHeight="1" thickTop="1" thickBot="1" x14ac:dyDescent="0.35">
      <c r="B609" s="192"/>
      <c r="C609" s="192"/>
      <c r="D609" s="192"/>
      <c r="E609" s="192"/>
      <c r="F609" s="192"/>
      <c r="G609" s="192"/>
      <c r="H609" s="192"/>
      <c r="I609" s="192"/>
      <c r="J609" s="192"/>
      <c r="K609" s="192"/>
      <c r="L609" s="192"/>
      <c r="M609" s="192"/>
      <c r="N609" s="192"/>
      <c r="O609" s="192"/>
      <c r="P609" s="192"/>
      <c r="Q609" s="192"/>
      <c r="R609" s="192"/>
      <c r="S609" s="192"/>
      <c r="T609" s="208">
        <v>1</v>
      </c>
      <c r="U609" s="209" t="str">
        <f>IF(U601="","",IF(OR(U601&lt;&gt;U602,U601&lt;&gt;U603),"",IF(COUNTIF(M602:M604,M602)=1,"",IF(COUNTBLANK(I602:I605)=1,(SUM(L614:P614)+SUM(L620:P620))/(SUM(L613:P613)+SUM(L619:P619)),IF(COUNTBLANK(I602:I605)=0,(SUM(L626:P626)+SUM(L614:P614))/(SUM(L625:P625)+SUM(L613:P613)),"")))))</f>
        <v/>
      </c>
      <c r="V609" s="125" t="str">
        <f>IF(V601="","",IF(OR(V601&lt;&gt;V603,V601&lt;&gt;V604),"",IF(AND(COUNTBLANK(I602:I605)=0,M602=M604,M604=M605),(SUM(L614:P614)+SUM(L620:P620))/(SUM(L613:P613)+SUM(L619:P619)),"")))</f>
        <v/>
      </c>
      <c r="W609" s="210" t="str">
        <f>IF(W601="","",IF(OR(W601&lt;&gt;W602,W601&lt;&gt;W604),"",IF(AND(COUNTBLANK(I602:I605)=0,M602=M603,M603=M605),(SUM(L626:P626)+SUM(L620:P620))/(SUM(L625:P625)+SUM(L619:P619)),"")))</f>
        <v/>
      </c>
      <c r="X609" s="211"/>
      <c r="Y609" s="242"/>
      <c r="Z609" s="242"/>
      <c r="AA609" s="243">
        <v>1</v>
      </c>
      <c r="AB609" s="244" t="str">
        <f>IF(AND(COUNTBLANK(I602:I605)=0,Group_players=4,M602=M604,M604=M605),IF(COUNTIF(V601:V604,V601)=3,AB622,IF(AND(COUNTIF(V601:V604,V601)=1,V603&lt;&gt;U612),IF(M602=2,IF(SMALL(V601:V604,1)=V601,1,IF(SMALL(V601:V604,2)=V601,2,IF(SMALL(V601:V604,3)=V601,3))),IF(M602=1,IF(SMALL(V601:V604,1)=V601,2,IF(SMALL(V601:V604,2)=V601,3,IF(SMALL(V601:V604,3)=V601,4))),"")),IF(COUNTIF(V601:V604,V601)=1,IF(V601&lt;V603,IF(M602=2,1,2),IF(M602=2,3,4)),IF(COUNTIF(V601:V604,V601)=2,IF(V601=V603,IF(V601&lt;V604,IF(M602=2,IF(Q613=3,1,2),IF(M602=1,IF(Q613=3,2,3))),IF(V601&gt;V604,IF(M602=2,IF(Q613=3,2,3),IF(M602=1,IF(Q613=3,3,4))))),IF(V601=V604,IF(V601&lt;V603,IF(M602=2,IF(Q619=3,1,2),IF(M602=1,IF(Q619=3,2,3))),IF(V601&gt;V602,IF(M602=2,IF(Q619=3,2,3),IF(M602=1,IF(Q619=3,3,4))))))),"")))),"")</f>
        <v/>
      </c>
      <c r="AC609" s="192"/>
      <c r="AD609" s="192"/>
      <c r="AE609" s="192"/>
      <c r="AF609" s="203"/>
      <c r="AG609" s="203"/>
      <c r="AH609" s="203"/>
      <c r="AI609" s="203"/>
      <c r="AJ609" s="203"/>
      <c r="AK609" s="203"/>
      <c r="AL609" s="203"/>
      <c r="AM609" s="203"/>
      <c r="AN609" s="192"/>
      <c r="AO609" s="192"/>
      <c r="AP609" s="192"/>
      <c r="AQ609" s="192"/>
      <c r="AR609" s="192"/>
      <c r="AS609" s="192"/>
      <c r="AT609" s="192"/>
      <c r="AU609" s="192"/>
      <c r="AV609" s="192"/>
      <c r="AW609" s="192"/>
      <c r="AX609" s="192"/>
    </row>
    <row r="610" spans="2:50" ht="15" customHeight="1" thickTop="1" thickBot="1" x14ac:dyDescent="0.35">
      <c r="B610" s="192"/>
      <c r="C610" s="192"/>
      <c r="D610" s="192"/>
      <c r="E610" s="117"/>
      <c r="F610" s="117"/>
      <c r="G610" s="117"/>
      <c r="H610" s="192"/>
      <c r="I610" s="192"/>
      <c r="J610" s="192"/>
      <c r="K610" s="192"/>
      <c r="L610" s="192"/>
      <c r="M610" s="192"/>
      <c r="N610" s="192"/>
      <c r="O610" s="192"/>
      <c r="P610" s="192"/>
      <c r="Q610" s="192"/>
      <c r="R610" s="192"/>
      <c r="S610" s="394" t="s">
        <v>112</v>
      </c>
      <c r="T610" s="208">
        <v>2</v>
      </c>
      <c r="U610" s="209" t="str">
        <f>IF(U601="","",IF(OR(U602&lt;&gt;U601,U602&lt;&gt;U603),"",IF(COUNTIF(M602:M604,M603)=1,"",IF(COUNTBLANK(I602:I605)=1,(SUM(L617:P617)+SUM(L619:P619))/(SUM(L616:P616)+SUM(L620:P620)),IF(COUNTBLANK(I602:I605)=0,(SUM(L625:P625)+SUM(L623:P623))/(SUM(L626:P626)+SUM(L622:P622)))))))</f>
        <v/>
      </c>
      <c r="V610" s="135"/>
      <c r="W610" s="212" t="str">
        <f>IF(W601="","",IF(OR(W602&lt;&gt;W601,W602&lt;&gt;W604),"",IF(AND(COUNTBLANK(I602:I605)=0,M602=M603,M603=M605),(SUM(L617:P617)+SUM(L625:P625))/(SUM(L626:P626)+SUM(L616:P616)),"")))</f>
        <v/>
      </c>
      <c r="X610" s="245" t="str">
        <f>IF(X602="","",IF(OR(X602&lt;&gt;X603,X602&lt;&gt;X604),"",IF(AND(COUNTBLANK(I602:I605)=0,M603=M604,M604=M605),(SUM(L623:P623)+SUM(L617:P617))/(SUM(L622:P622)+SUM(L616:P616)),"")))</f>
        <v/>
      </c>
      <c r="Y610" s="242"/>
      <c r="Z610" s="203"/>
      <c r="AA610" s="246">
        <v>3</v>
      </c>
      <c r="AB610" s="222" t="str">
        <f>IF(AND(COUNTBLANK(I602:I605)=0,Group_players=4,M602=M604,M604=M605),IF(COUNTIF(V601:V604,V603)=3,AB623,IF(AND(COUNTIF(V601:V604,V603)=1,V601&lt;&gt;V604),IF(M604=2,IF(SMALL(V601:V604,1)=V603,1,IF(SMALL(V601:V604,2)=V603,2,IF(SMALL(V601:V604,3)=V603,3))),IF(M604=1,IF(SMALL(V601:V604,1)=V603,2,IF(SMALL(V601:V604,2)=V603,3,IF(SMALL(V601:V604,3)=V603,4))),"")),IF(COUNTIF(V601:V604,V603)=1,IF(V603&lt;V601,IF(M604=2,1,2),IF(M604=2,3,4)),IF(COUNTIF(V601:V604,V603)=2,IF(V603=V601,IF(V603&lt;V604,IF(M604=2,IF(Q614=3,1,2),IF(M604=1,IF(Q614=3,2,3))),IF(V603&gt;V604,IF(M604=2,IF(Q614=3,2,3),IF(M604=1,IF(Q614=3,3,4))))),IF(V603=V604,IF(V603&lt;V601,IF(M604=2,IF(Q628=3,1,2),IF(M604=1,IF(Q628=3,2,3))),IF(V603&gt;V601,IF(M604=2,IF(Q628=3,2,3),IF(M604=1,IF(Q628=3,3,4))))))),"")))),"")</f>
        <v/>
      </c>
      <c r="AC610" s="192"/>
      <c r="AD610" s="192"/>
      <c r="AE610" s="192"/>
      <c r="AF610" s="203"/>
      <c r="AG610" s="203"/>
      <c r="AH610" s="203"/>
      <c r="AI610" s="203"/>
      <c r="AJ610" s="203"/>
      <c r="AK610" s="203"/>
      <c r="AL610" s="203"/>
      <c r="AM610" s="203"/>
      <c r="AN610" s="192"/>
      <c r="AO610" s="192"/>
      <c r="AP610" s="192"/>
      <c r="AQ610" s="192"/>
      <c r="AR610" s="192"/>
      <c r="AS610" s="192"/>
      <c r="AT610" s="192"/>
      <c r="AU610" s="192"/>
      <c r="AV610" s="192"/>
      <c r="AW610" s="192"/>
      <c r="AX610" s="192"/>
    </row>
    <row r="611" spans="2:50" ht="15" customHeight="1" thickTop="1" thickBot="1" x14ac:dyDescent="0.35">
      <c r="B611" s="192"/>
      <c r="C611" s="192"/>
      <c r="D611" s="192"/>
      <c r="E611" s="117"/>
      <c r="F611" s="117"/>
      <c r="G611" s="117"/>
      <c r="H611" s="192"/>
      <c r="I611" s="192"/>
      <c r="J611" s="192"/>
      <c r="K611" s="192"/>
      <c r="L611" s="192"/>
      <c r="M611" s="192"/>
      <c r="N611" s="192"/>
      <c r="O611" s="192"/>
      <c r="P611" s="192"/>
      <c r="Q611" s="192"/>
      <c r="R611" s="247"/>
      <c r="S611" s="395"/>
      <c r="T611" s="208">
        <v>3</v>
      </c>
      <c r="U611" s="209" t="str">
        <f>IF(U601="","",IF(OR(U603&lt;&gt;U601,U603&lt;&gt;U602),"",IF(COUNTIF(M602:M604,M604)=1,"",IF(COUNTBLANK(I602:I605)=1,(SUM(L613:P613)+SUM(L616:P616))/(SUM(L614:P614)+SUM(L617:P617)),IF(COUNTBLANK(I602:I605)=0,(SUM(L613:P613)+SUM(L622:P622))/(SUM(L614:P614)+SUM(L623:P623)))))))</f>
        <v/>
      </c>
      <c r="V611" s="125" t="str">
        <f>IF(V601="","",IF(OR(V603&lt;&gt;V601,V603&lt;&gt;V604),"",IF(AND(COUNTBLANK(I602:I605)=0,M602=M604,M604=M605),(SUM(L613:P613)+SUM(L629:P629))/(SUM(L614:P614)+SUM(L628:P628)),"")))</f>
        <v/>
      </c>
      <c r="W611" s="218"/>
      <c r="X611" s="245" t="str">
        <f>IF(X602="","",IF(OR(X603&lt;&gt;X602,X603&lt;&gt;X604),"",IF(AND(COUNTBLANK(I602:I605)=0,M603=M604,M604=M605),(SUM(L622:P622)+SUM(L629:P629))/(SUM(L623:P623)+SUM(L628:P628)),"")))</f>
        <v/>
      </c>
      <c r="Y611" s="208"/>
      <c r="Z611" s="203"/>
      <c r="AA611" s="240">
        <v>4</v>
      </c>
      <c r="AB611" s="222" t="str">
        <f>IF(AND(COUNTBLANK(I602:I605)=0,Group_players=4,M602=M604,M604=M605),IF(COUNTIF(V601:V604,V604)=3,AB624,IF(AND(COUNTIF(V601:V604,V604)=1,V603&lt;&gt;V601),IF(M605=2,IF(SMALL(V601:V604,1)=V604,1,IF(SMALL(V601:V604,2)=V604,2,IF(SMALL(V601:V604,3)=V604,3))),IF(M605=1,IF(SMALL(V601:V604,1)=V604,2,IF(SMALL(V601:V604,2)=V604,3,IF(SMALL(V601:V604,3)=V604,4))),"")),IF(COUNTIF(V601:V604,V604)=1,IF(V604&lt;V601,IF(M605=2,1,2),IF(M605=2,3,4)),IF(COUNTIF(V601:V604,V604)=2,IF(V604=V601,IF(V604&lt;V603,IF(M605=2,IF(Q620=3,1,2),IF(M605=1,IF(Q620=3,2,3))),IF(V604&gt;V603,IF(M605=2,IF(Q620=3,2,3),IF(M605=1,IF(Q620=3,3,4))))),IF(V604=V603,IF(V604&lt;V601,IF(M605=2,IF(Q629=3,1,2),IF(M605=1,IF(Q629=3,2,3))),IF(V604&gt;V601,IF(M605=2,IF(Q629=3,2,3),IF(M605=1,IF(Q629=3,3,4))))))),"")))),"")</f>
        <v/>
      </c>
      <c r="AC611" s="192"/>
      <c r="AD611" s="192"/>
      <c r="AE611" s="192"/>
      <c r="AF611" s="203"/>
      <c r="AG611" s="203"/>
      <c r="AH611" s="203"/>
      <c r="AI611" s="203"/>
      <c r="AJ611" s="203"/>
      <c r="AK611" s="203"/>
      <c r="AL611" s="203"/>
      <c r="AM611" s="203"/>
      <c r="AN611" s="192"/>
      <c r="AO611" s="192"/>
      <c r="AP611" s="192"/>
      <c r="AQ611" s="192"/>
      <c r="AR611" s="192"/>
      <c r="AS611" s="192"/>
      <c r="AT611" s="192"/>
      <c r="AU611" s="192"/>
      <c r="AV611" s="192"/>
      <c r="AW611" s="192"/>
      <c r="AX611" s="192"/>
    </row>
    <row r="612" spans="2:50" ht="15" customHeight="1" thickTop="1" thickBot="1" x14ac:dyDescent="0.35">
      <c r="B612" s="192"/>
      <c r="C612" s="192"/>
      <c r="D612" s="192"/>
      <c r="E612" s="168" t="s">
        <v>113</v>
      </c>
      <c r="F612" s="168" t="s">
        <v>114</v>
      </c>
      <c r="G612" s="117"/>
      <c r="H612" s="192"/>
      <c r="I612" s="249" t="s">
        <v>115</v>
      </c>
      <c r="J612" s="249"/>
      <c r="K612" s="249"/>
      <c r="L612" s="250" t="s">
        <v>115</v>
      </c>
      <c r="M612" s="250" t="s">
        <v>116</v>
      </c>
      <c r="N612" s="250" t="s">
        <v>117</v>
      </c>
      <c r="O612" s="250" t="s">
        <v>118</v>
      </c>
      <c r="P612" s="250" t="s">
        <v>119</v>
      </c>
      <c r="Q612" s="250" t="s">
        <v>120</v>
      </c>
      <c r="R612" s="250"/>
      <c r="S612" s="251"/>
      <c r="T612" s="208">
        <v>4</v>
      </c>
      <c r="U612" s="223"/>
      <c r="V612" s="140" t="str">
        <f>IF(V601="","",IF(OR(V604&lt;&gt;V601,V604&lt;&gt;V603),"",IF(AND(COUNTBLANK(I602:I605)=0,M602=M604,M604=M605),(SUM(L619:P619)+SUM(L628:P628))/(SUM(L620:P620)+SUM(L629:P629)),"")))</f>
        <v/>
      </c>
      <c r="W612" s="224" t="str">
        <f>IF(W601="","",IF(OR(W604&lt;&gt;W601,W604&lt;&gt;W602),"",IF(AND(COUNTBLANK(I602:I605)=0,M602=M603,M603=M605),(SUM(L619:P619)+SUM(L616:P616))/(SUM(L620:P620)+SUM(L617:P617)),"")))</f>
        <v/>
      </c>
      <c r="X612" s="252" t="str">
        <f>IF(X602="","",IF(OR(X604&lt;&gt;X602,X604&lt;&gt;X603),"",IF(AND(COUNTBLANK(I602:I605)=0,M603=M604,M604=M605),(SUM(L616:P616)+SUM(L628:P628))/(SUM(L617:P617)+SUM(L629:P629)),"")))</f>
        <v/>
      </c>
      <c r="Y612" s="192"/>
      <c r="Z612" s="203"/>
      <c r="AA612" s="243">
        <v>1</v>
      </c>
      <c r="AB612" s="151" t="str">
        <f>IF(AND(COUNTBLANK(I602:I605)=0,Group_players=4,M602=M603,M603=M605),IF(COUNTIF(W601:W604,W601)=3,AB625,IF(AND(COUNTIF(W601:W604,W601)=1,W602&lt;&gt;W604),IF(M602=2,IF(SMALL(W601:W604,1)=W601,1,IF(SMALL(W601:W604,2)=W601,2,IF(SMALL(W601:W604,3)=W601,3))),IF(M602=1,IF(SMALL(W601:W604,1)=W601,2,IF(SMALL(W601:W604,2)=W601,3,IF(SMALL(W601:W604,3)=W601,4))),"")),IF(COUNTIF(W601:W604,W601)=1,IF(W601&lt;W602,IF(M602=2,1,2),IF(M602=2,3,4)),IF(COUNTIF(W601:W604,W601)=2,IF(W601=W602,IF(W601&lt;W604,IF(M602=2,IF(Q625=3,1,2),IF(M602=1,IF(Q625=3,2,3))),IF(W601&gt;W604,IF(M602=2,IF(Q625=3,2,3),IF(M602=1,IF(Q625=3,3,4))))),IF(W601=W604,IF(W601&lt;W602,IF(M602=2,IF(Q619=3,1,2),IF(M602=1,IF(Q619=3,2,3))),IF(W601&gt;W602,IF(M602=2,IF(Q619=3,2,3),IF(M602=1,IF(Q619=3,3,4))))))),"")))),"")</f>
        <v/>
      </c>
      <c r="AC612" s="192"/>
      <c r="AD612" s="192"/>
      <c r="AE612" s="192"/>
      <c r="AF612" s="203"/>
      <c r="AG612" s="203"/>
      <c r="AH612" s="203"/>
      <c r="AI612" s="203"/>
      <c r="AJ612" s="203"/>
      <c r="AK612" s="203"/>
      <c r="AL612" s="203"/>
      <c r="AM612" s="203"/>
      <c r="AN612" s="192"/>
      <c r="AO612" s="192"/>
      <c r="AP612" s="192"/>
      <c r="AQ612" s="192"/>
      <c r="AR612" s="192"/>
      <c r="AS612" s="192"/>
      <c r="AT612" s="192"/>
      <c r="AU612" s="192"/>
      <c r="AV612" s="192"/>
      <c r="AW612" s="192"/>
      <c r="AX612" s="192"/>
    </row>
    <row r="613" spans="2:50" ht="15" customHeight="1" thickTop="1" x14ac:dyDescent="0.3">
      <c r="B613" s="192"/>
      <c r="C613" s="192"/>
      <c r="D613" s="192"/>
      <c r="E613" s="164" t="str">
        <f>IF(Q613="","",IF(Q613=3,1,0))</f>
        <v/>
      </c>
      <c r="F613" s="164" t="str">
        <f>IF(Q613="","",IF(Q613&lt;3,1,0))</f>
        <v/>
      </c>
      <c r="G613" s="192"/>
      <c r="H613" s="192" t="str">
        <f>IF(I602="","",1)</f>
        <v/>
      </c>
      <c r="I613" s="192" t="str">
        <f>IF(ISNUMBER(H613),VLOOKUP(H613,H602:I605,2,TRUE),"")</f>
        <v/>
      </c>
      <c r="J613" s="192"/>
      <c r="K613" s="192" t="str">
        <f>VLOOKUP(I613,I602:L605,3,FALSE)</f>
        <v/>
      </c>
      <c r="L613" s="253"/>
      <c r="M613" s="254"/>
      <c r="N613" s="254"/>
      <c r="O613" s="152"/>
      <c r="P613" s="153"/>
      <c r="Q613" s="255" t="str">
        <f>IF(L613="","",IF(AND(L613-L614&gt;1,L613&gt;10),1,0)+IF(AND(M613-M614&gt;1,M613&gt;10),1,0)+IF(AND(N613-N614&gt;1,N613&gt;10),1,0)+IF(AND(O613-O614&gt;1,O613&gt;10),1,0)+IF(AND(P613-P614&gt;1,P613&gt;10),1,0))</f>
        <v/>
      </c>
      <c r="R613" s="203" t="str">
        <f>IF(AND(I613="",I614=""),"",ABS(VLOOKUP(I613,I602:L605,4,FALSE)-VLOOKUP(I614,I602:L605,4,FALSE)))</f>
        <v/>
      </c>
      <c r="S613" s="256" t="str">
        <f>IF(R614="","",IF(Q613=3,+R614,-R614))</f>
        <v/>
      </c>
      <c r="T613" s="257"/>
      <c r="U613" s="258"/>
      <c r="V613" s="258"/>
      <c r="W613" s="258"/>
      <c r="X613" s="258"/>
      <c r="Y613" s="192"/>
      <c r="Z613" s="203"/>
      <c r="AA613" s="246">
        <v>2</v>
      </c>
      <c r="AB613" s="154" t="str">
        <f>IF(AND(COUNTBLANK(I602:I605)=0,Group_players=4,M602=M603,M603=M605),IF(COUNTIF(W601:W604,W602)=3,AB626,IF(AND(COUNTIF(W601:W604,W602)=1,W601&lt;&gt;W603),IF(M603=2,IF(SMALL(W601:W604,1)=W602,1,IF(SMALL(W601:W604,2)=W602,2,IF(SMALL(W601:W604,3)=W602,3))),IF(M603=1,IF(SMALL(W601:W604,1)=W602,2,IF(SMALL(W601:W604,2)=W602,3,IF(SMALL(W601:W604,3)=W602,4))),"")),IF(COUNTIF(W601:W604,W602)=1,IF(W602&lt;W601,IF(M603=2,1,2),IF(M603=2,3,4)),IF(COUNTIF(W601:W604,W602)=2,IF(W602=W601,IF(W602&lt;W604,IF(M603=2,IF(Q626=3,1,2),IF(M603=1,IF(Q626=3,2,3))),IF(W602&gt;W604,IF(M603=2,IF(Q626=3,2,3),IF(M603=1,IF(Q626=3,3,4))))),IF(W602=W604,IF(W602&lt;W601,IF(M603=2,IF(Q616=3,1,2),IF(M603=1,IF(Q616=3,2,3))),IF(W602&gt;W601,IF(M603=2,IF(Q616=3,2,3),IF(M603=1,IF(Q616=3,3,4))))))),"")))),"")</f>
        <v/>
      </c>
      <c r="AC613" s="192"/>
      <c r="AD613" s="192"/>
      <c r="AE613" s="192"/>
      <c r="AF613" s="203"/>
      <c r="AG613" s="203"/>
      <c r="AH613" s="203"/>
      <c r="AI613" s="203"/>
      <c r="AJ613" s="203"/>
      <c r="AK613" s="203"/>
      <c r="AL613" s="203"/>
      <c r="AM613" s="203"/>
      <c r="AN613" s="192"/>
      <c r="AO613" s="192"/>
      <c r="AP613" s="192"/>
      <c r="AQ613" s="192"/>
      <c r="AR613" s="192"/>
      <c r="AS613" s="192"/>
      <c r="AT613" s="192"/>
      <c r="AU613" s="192"/>
      <c r="AV613" s="192"/>
      <c r="AW613" s="192"/>
      <c r="AX613" s="192"/>
    </row>
    <row r="614" spans="2:50" ht="15" customHeight="1" thickBot="1" x14ac:dyDescent="0.35">
      <c r="B614" s="192"/>
      <c r="C614" s="192"/>
      <c r="D614" s="192"/>
      <c r="E614" s="164" t="str">
        <f>IF(Q614="","",IF(Q614=3,1,0))</f>
        <v/>
      </c>
      <c r="F614" s="164" t="str">
        <f>IF(Q614="","",IF(Q614&lt;3,1,0))</f>
        <v/>
      </c>
      <c r="G614" s="192"/>
      <c r="H614" s="192" t="str">
        <f>IF(I603="","",IF(I604="",2,3))</f>
        <v/>
      </c>
      <c r="I614" s="192" t="str">
        <f>IF(ISNUMBER(H614),VLOOKUP(H614,H602:I605,2,TRUE),"")</f>
        <v/>
      </c>
      <c r="J614" s="192"/>
      <c r="K614" s="192" t="str">
        <f>VLOOKUP(I614,I602:L605,3,FALSE)</f>
        <v/>
      </c>
      <c r="L614" s="155"/>
      <c r="M614" s="259"/>
      <c r="N614" s="259"/>
      <c r="O614" s="156"/>
      <c r="P614" s="157"/>
      <c r="Q614" s="260" t="str">
        <f>IF(L614="","",IF(AND(L614-L613&gt;1,L614&gt;10),1,0)+IF(AND(M614-M613&gt;1,M614&gt;10),1,0)+IF(AND(N614-N613&gt;1,N614&gt;10),1,0)+IF(AND(O614-O613&gt;1,O614&gt;10),1,0)+IF(AND(P614-P613&gt;1,P614&gt;10),1,0))</f>
        <v/>
      </c>
      <c r="R614" s="203" t="str">
        <f>IF(AND(Q613&lt;&gt;3,Q614&lt;&gt;3),"",IF(Q613=3,IF(VLOOKUP(I613,I602:L605,4,FALSE)&gt;VLOOKUP(I614,I602:L605,4,FALSE),VLOOKUP(R613,Point_dif,2,FALSE),VLOOKUP(R613,Point_dif,3,FALSE)),IF(Q614=3,IF(VLOOKUP(I614,I602:L605,4,FALSE)&gt;VLOOKUP(I613,I602:L605,4,FALSE),VLOOKUP(R613,Point_dif,2,FALSE),VLOOKUP(R613,Point_dif,3,FALSE)))))</f>
        <v/>
      </c>
      <c r="S614" s="256" t="str">
        <f>IF(R614="","",IF(Q614=3,+R614,-R614))</f>
        <v/>
      </c>
      <c r="T614" s="192"/>
      <c r="U614" s="235"/>
      <c r="V614" s="235"/>
      <c r="W614" s="235"/>
      <c r="X614" s="235"/>
      <c r="Y614" s="235"/>
      <c r="Z614" s="235"/>
      <c r="AA614" s="240">
        <v>4</v>
      </c>
      <c r="AB614" s="158" t="str">
        <f>IF(AND(COUNTBLANK(I602:I605)=0,Group_players=4,M602=M603,M603=M605),IF(COUNTIF(W601:W604,W604)=3,AB627,IF(AND(COUNTIF(W601:W604,W604)=1,W601&lt;&gt;W602),IF(M605=2,IF(SMALL(W601:W604,1)=W604,1,IF(SMALL(W601:W604,2)=W604,2,IF(SMALL(W601:W604,3)=W604,3))),IF(M605=1,IF(SMALL(W601:W604,1)=W604,2,IF(SMALL(W601:W604,2)=W604,3,IF(SMALL(W601:W604,3)=W604,4))),"")),IF(COUNTIF(W601:W604,W604)=1,IF(W604&lt;W601,IF(M605=2,1,2),IF(M605=2,3,4)),IF(COUNTIF(W601:W604,W604)=2,IF(W604=W601,IF(W604&lt;W602,IF(M605=2,IF(Q620=3,1,2),IF(M605=1,IF(Q620=3,2,3))),IF(W604&gt;W603,IF(M605=2,IF(Q620=3,2,3),IF(M605=1,IF(Q620=3,3,4))))),IF(W604=W602,IF(W604&lt;W601,IF(M605=2,IF(Q617=3,1,2),IF(M605=1,IF(Q617=3,2,3))),IF(W604&gt;W601,IF(M605=2,IF(Q617=3,2,3),IF(M605=1,IF(Q617=3,3,4))))))),"")))),"")</f>
        <v/>
      </c>
      <c r="AC614" s="192"/>
      <c r="AD614" s="192"/>
      <c r="AE614" s="192"/>
      <c r="AF614" s="203"/>
      <c r="AG614" s="203"/>
      <c r="AH614" s="203"/>
      <c r="AI614" s="203"/>
      <c r="AJ614" s="203"/>
      <c r="AK614" s="203"/>
      <c r="AL614" s="203"/>
      <c r="AM614" s="203"/>
      <c r="AN614" s="192"/>
      <c r="AO614" s="192"/>
      <c r="AP614" s="192"/>
      <c r="AQ614" s="192"/>
      <c r="AR614" s="192"/>
      <c r="AS614" s="192"/>
      <c r="AT614" s="192"/>
      <c r="AU614" s="192"/>
      <c r="AV614" s="192"/>
      <c r="AW614" s="192"/>
      <c r="AX614" s="192"/>
    </row>
    <row r="615" spans="2:50" ht="15" customHeight="1" thickTop="1" thickBot="1" x14ac:dyDescent="0.35">
      <c r="B615" s="192"/>
      <c r="C615" s="192"/>
      <c r="D615" s="192"/>
      <c r="E615" s="164"/>
      <c r="F615" s="164"/>
      <c r="G615" s="192"/>
      <c r="H615" s="192"/>
      <c r="I615" s="249" t="s">
        <v>116</v>
      </c>
      <c r="J615" s="249"/>
      <c r="K615" s="249"/>
      <c r="L615" s="250" t="s">
        <v>115</v>
      </c>
      <c r="M615" s="250" t="s">
        <v>116</v>
      </c>
      <c r="N615" s="250" t="s">
        <v>117</v>
      </c>
      <c r="O615" s="250" t="s">
        <v>118</v>
      </c>
      <c r="P615" s="250" t="s">
        <v>119</v>
      </c>
      <c r="Q615" s="250" t="s">
        <v>120</v>
      </c>
      <c r="R615" s="250"/>
      <c r="S615" s="251"/>
      <c r="T615" s="192"/>
      <c r="U615" s="235"/>
      <c r="V615" s="235"/>
      <c r="W615" s="235"/>
      <c r="X615" s="235"/>
      <c r="Y615" s="235"/>
      <c r="Z615" s="235"/>
      <c r="AA615" s="243">
        <v>2</v>
      </c>
      <c r="AB615" s="151" t="str">
        <f>IF(AND(COUNTBLANK(I602:I605)=0,Group_players=4,M603=M604,M604=M605),IF(COUNTIF(X601:X604,X602)=3,AB628,IF(AND(COUNTIF(X601:X604,X602)=1,X603&lt;&gt;X604),IF(M603=2,IF(SMALL(X601:X604,1)=X602,1,IF(SMALL(X601:X604,2)=X602,2,IF(SMALL(X601:X604,3)=X602,3))),IF(M603=1,IF(SMALL(X601:X604,1)=X602,2,IF(SMALL(X601:X604,2)=X602,3,IF(SMALL(X601:X604,3)=X602,4))),"")),IF(COUNTIF(X601:X604,X602)=1,IF(X602&lt;X604,IF(M603=2,1,2),IF(M603=1,3,3)),IF(COUNTIF(X601:X604,X602)=2,IF(X602=X603,IF(X602&lt;X604,IF(M603=2,IF(Q622=3,1,2),IF(M603=1,IF(Q622=3,2,3))),IF(X602&gt;X604,IF(M603=2,IF(Q622=3,2,3),IF(M603=1,IF(Q622=3,3,4))))),IF(X602=X604,IF(X602&lt;X603,IF(M603=2,IF(Q616=3,1,2),IF(M603=1,IF(Q616=3,2,3))),IF(X602&gt;X603,IF(M603=2,IF(Q616=3,2,3),IF(M603=1,IF(Q616=3,3,4))))))),"")))),"")</f>
        <v/>
      </c>
      <c r="AC615" s="192"/>
      <c r="AD615" s="192"/>
      <c r="AE615" s="192"/>
      <c r="AF615" s="203"/>
      <c r="AG615" s="203"/>
      <c r="AH615" s="203"/>
      <c r="AI615" s="203"/>
      <c r="AJ615" s="203"/>
      <c r="AK615" s="203"/>
      <c r="AL615" s="203"/>
      <c r="AM615" s="203"/>
      <c r="AN615" s="192"/>
      <c r="AO615" s="192"/>
      <c r="AP615" s="192"/>
      <c r="AQ615" s="192"/>
      <c r="AR615" s="192"/>
      <c r="AS615" s="192"/>
      <c r="AT615" s="192"/>
      <c r="AU615" s="192"/>
      <c r="AV615" s="192"/>
      <c r="AW615" s="192"/>
      <c r="AX615" s="192"/>
    </row>
    <row r="616" spans="2:50" ht="15" customHeight="1" thickTop="1" x14ac:dyDescent="0.3">
      <c r="B616" s="192"/>
      <c r="C616" s="192"/>
      <c r="D616" s="192"/>
      <c r="E616" s="164" t="str">
        <f>IF(Q616="","",IF(Q616=3,1,0))</f>
        <v/>
      </c>
      <c r="F616" s="164" t="str">
        <f>IF(Q616="","",IF(Q616&lt;3,1,0))</f>
        <v/>
      </c>
      <c r="G616" s="192"/>
      <c r="H616" s="192" t="str">
        <f>IF(I604="","",2)</f>
        <v/>
      </c>
      <c r="I616" s="192" t="str">
        <f>IF(ISNUMBER(H616),VLOOKUP(H616,H602:I605,2,TRUE),"")</f>
        <v/>
      </c>
      <c r="J616" s="192"/>
      <c r="K616" s="192" t="str">
        <f>VLOOKUP(I616,I602:L605,3,FALSE)</f>
        <v/>
      </c>
      <c r="L616" s="253"/>
      <c r="M616" s="254"/>
      <c r="N616" s="254"/>
      <c r="O616" s="152"/>
      <c r="P616" s="153"/>
      <c r="Q616" s="255" t="str">
        <f>IF(L616="","",IF(AND(L616-L617&gt;1,L616&gt;10),1,0)+IF(AND(M616-M617&gt;1,M616&gt;10),1,0)+IF(AND(N616-N617&gt;1,N616&gt;10),1,0)+IF(AND(O616-O617&gt;1,O616&gt;10),1,0)+IF(AND(P616-P617&gt;1,P616&gt;10),1,0))</f>
        <v/>
      </c>
      <c r="R616" s="203" t="str">
        <f>IF(AND(I616="",I617=""),"",ABS(VLOOKUP(I616,I602:L605,4,FALSE)-VLOOKUP(I617,I602:L605,4,FALSE)))</f>
        <v/>
      </c>
      <c r="S616" s="256" t="str">
        <f>IF(R617="","",IF(Q616=3,+R617,-R617))</f>
        <v/>
      </c>
      <c r="T616" s="192"/>
      <c r="U616" s="235"/>
      <c r="V616" s="235"/>
      <c r="W616" s="235"/>
      <c r="X616" s="235"/>
      <c r="Y616" s="235"/>
      <c r="Z616" s="235"/>
      <c r="AA616" s="246">
        <v>3</v>
      </c>
      <c r="AB616" s="154" t="str">
        <f>IF(AND(COUNTBLANK(I602:I605)=0,Group_players=4,M603=M604,M604=M605),IF(COUNTIF(X601:X604,X603)=3,AB629,IF(AND(COUNTIF(X601:X604,X603)=1,X602&lt;&gt;X604),IF(M604=2,IF(SMALL(X601:X604,1)=X603,1,IF(SMALL(X601:X604,2)=X603,2,IF(SMALL(X601:X604,3)=X603,3))),IF(M604=1,IF(SMALL(X601:X604,1)=X603,2,IF(SMALL(X601:X604,2)=X603,3,IF(SMALL(X601:X604,3)=X603,4))),"")),IF(COUNTIF(X601:X604,X603)=1,IF(X603&lt;X602,IF(M604=2,1,2),IF(M604=2,3,4)),IF(COUNTIF(X601:X604,X603)=2,IF(X603=X602,IF(X603&lt;X604,IF(M604=2,IF(Q623=3,1,2),IF(M604=1,IF(Q623=3,2,3))),IF(X603&gt;X604,IF(M604=2,IF(Q623=3,2,3),IF(M604=1,IF(Q623=3,3,4))))),IF(X603=X604,IF(X603&lt;X602,IF(M604=2,IF(Q628=3,1,2),IF(M604=1,IF(Q628=3,2,3))),IF(X603&gt;X602,IF(M604=2,IF(Q628=3,2,3),IF(M604=1,IF(Q628=3,3,4))))))),"")))),"")</f>
        <v/>
      </c>
      <c r="AC616" s="192"/>
      <c r="AD616" s="192"/>
      <c r="AE616" s="192"/>
      <c r="AF616" s="203"/>
      <c r="AG616" s="203"/>
      <c r="AH616" s="203"/>
      <c r="AI616" s="203"/>
      <c r="AJ616" s="203"/>
      <c r="AK616" s="203"/>
      <c r="AL616" s="203"/>
      <c r="AM616" s="203"/>
      <c r="AN616" s="192"/>
      <c r="AO616" s="192"/>
      <c r="AP616" s="192"/>
      <c r="AQ616" s="192"/>
      <c r="AR616" s="192"/>
      <c r="AS616" s="192"/>
      <c r="AT616" s="192"/>
      <c r="AU616" s="192"/>
      <c r="AV616" s="192"/>
      <c r="AW616" s="192"/>
      <c r="AX616" s="192"/>
    </row>
    <row r="617" spans="2:50" ht="15" customHeight="1" thickBot="1" x14ac:dyDescent="0.35">
      <c r="B617" s="192"/>
      <c r="C617" s="192"/>
      <c r="D617" s="192"/>
      <c r="E617" s="164" t="str">
        <f>IF(Q617="","",IF(Q617=3,1,0))</f>
        <v/>
      </c>
      <c r="F617" s="164" t="str">
        <f>IF(Q617="","",IF(Q617&lt;3,1,0))</f>
        <v/>
      </c>
      <c r="G617" s="192"/>
      <c r="H617" s="192" t="str">
        <f>IF(I604="","",IF(I605="",3,4))</f>
        <v/>
      </c>
      <c r="I617" s="192" t="str">
        <f>IF(ISNUMBER(H617),VLOOKUP(H617,H602:I605,2,TRUE),"")</f>
        <v/>
      </c>
      <c r="J617" s="192"/>
      <c r="K617" s="192" t="str">
        <f>VLOOKUP(I617,I602:L605,3,FALSE)</f>
        <v/>
      </c>
      <c r="L617" s="155"/>
      <c r="M617" s="259"/>
      <c r="N617" s="259"/>
      <c r="O617" s="156"/>
      <c r="P617" s="157"/>
      <c r="Q617" s="260" t="str">
        <f>IF(L617="","",IF(AND(L617-L616&gt;1,L617&gt;10),1,0)+IF(AND(M617-M616&gt;1,M617&gt;10),1,0)+IF(AND(N617-N616&gt;1,N617&gt;10),1,0)+IF(AND(O617-O616&gt;1,O617&gt;10),1,0)+IF(AND(P617-P616&gt;1,P617&gt;10),1,0))</f>
        <v/>
      </c>
      <c r="R617" s="203" t="str">
        <f>IF(AND(Q616&lt;&gt;3,Q617&lt;&gt;3),"",IF(Q616=3,IF(VLOOKUP(I616,I602:L605,4,FALSE)&gt;VLOOKUP(I617,I602:L605,4,FALSE),VLOOKUP(R616,Point_dif,2,FALSE),VLOOKUP(R616,Point_dif,3,FALSE)),IF(Q617=3,IF(VLOOKUP(I617,I602:L605,4,FALSE)&gt;VLOOKUP(I616,I602:L605,4,FALSE),VLOOKUP(R616,Point_dif,2,FALSE),VLOOKUP(R616,Point_dif,3,FALSE)))))</f>
        <v/>
      </c>
      <c r="S617" s="256" t="str">
        <f>IF(R617="","",IF(Q617=3,+R617,-R617))</f>
        <v/>
      </c>
      <c r="T617" s="192"/>
      <c r="U617" s="235"/>
      <c r="V617" s="235"/>
      <c r="W617" s="235"/>
      <c r="X617" s="235"/>
      <c r="Y617" s="235"/>
      <c r="Z617" s="235"/>
      <c r="AA617" s="261">
        <v>4</v>
      </c>
      <c r="AB617" s="158" t="str">
        <f>IF(AND(COUNTBLANK(I602:I605)=0,Group_players=4,M603=M604,M604=M605),IF(COUNTIF(X601:X604,X604)=3,AB630,IF(AND(COUNTIF(X601:X604,X604)=1,X603&lt;&gt;X602),IF(M605=2,IF(SMALL(X601:X604,1)=X604,1,IF(SMALL(X601:X604,2)=X604,2,IF(SMALL(X601:X604,3)=X604,3))),IF(M605=1,IF(SMALL(X601:X604,1)=X604,2,IF(SMALL(X601:X604,2)=X604,3,IF(SMALL(X601:X604,3)=X604,4))),"")),IF(COUNTIF(X601:X604,X604)=1,IF(X604&lt;X602,IF(M605=2,1,2),IF(M605=2,3,4)),IF(COUNTIF(X601:X604,X604)=2,IF(X604=X602,IF(X604&lt;X603,IF(M605=2,IF(Q617=3,1,2),IF(M605=1,IF(Q617=3,2,3))),IF(X604&gt;X603,IF(M605=2,IF(Q617=3,2,3),IF(M605=1,IF(Q617=3,3,4))))),IF(X604=X603,IF(X604&lt;X602,IF(M605=2,IF(Q629=3,1,2),IF(M605=1,IF(Q629=3,2,3))),IF(X604&gt;X602,IF(M605=2,IF(Q629=3,2,3),IF(M605=1,IF(Q629=3,3,4))))))),"")))),"")</f>
        <v/>
      </c>
      <c r="AC617" s="192"/>
      <c r="AD617" s="192"/>
      <c r="AE617" s="192"/>
      <c r="AF617" s="203"/>
      <c r="AG617" s="203"/>
      <c r="AH617" s="203"/>
      <c r="AI617" s="203"/>
      <c r="AJ617" s="203"/>
      <c r="AK617" s="203"/>
      <c r="AL617" s="203"/>
      <c r="AM617" s="203"/>
      <c r="AN617" s="192"/>
      <c r="AO617" s="192"/>
      <c r="AP617" s="192"/>
      <c r="AQ617" s="192"/>
      <c r="AR617" s="192"/>
      <c r="AS617" s="192"/>
      <c r="AT617" s="192"/>
      <c r="AU617" s="192"/>
      <c r="AV617" s="192"/>
      <c r="AW617" s="192"/>
      <c r="AX617" s="192"/>
    </row>
    <row r="618" spans="2:50" ht="15" customHeight="1" thickTop="1" thickBot="1" x14ac:dyDescent="0.35">
      <c r="B618" s="192"/>
      <c r="C618" s="192"/>
      <c r="D618" s="192"/>
      <c r="E618" s="164"/>
      <c r="F618" s="164"/>
      <c r="G618" s="192"/>
      <c r="H618" s="192"/>
      <c r="I618" s="249" t="s">
        <v>117</v>
      </c>
      <c r="J618" s="249"/>
      <c r="K618" s="249"/>
      <c r="L618" s="250" t="s">
        <v>115</v>
      </c>
      <c r="M618" s="250" t="s">
        <v>116</v>
      </c>
      <c r="N618" s="250" t="s">
        <v>117</v>
      </c>
      <c r="O618" s="250" t="s">
        <v>118</v>
      </c>
      <c r="P618" s="250" t="s">
        <v>119</v>
      </c>
      <c r="Q618" s="250" t="s">
        <v>120</v>
      </c>
      <c r="R618" s="250"/>
      <c r="S618" s="251"/>
      <c r="T618" s="263"/>
      <c r="U618" s="264"/>
      <c r="V618" s="242"/>
      <c r="W618" s="242"/>
      <c r="X618" s="264"/>
      <c r="Y618" s="192"/>
      <c r="Z618" s="203"/>
      <c r="AA618" s="126" t="s">
        <v>93</v>
      </c>
      <c r="AB618" s="265" t="s">
        <v>110</v>
      </c>
      <c r="AC618" s="192"/>
      <c r="AD618" s="192"/>
      <c r="AE618" s="192"/>
      <c r="AF618" s="203"/>
      <c r="AG618" s="203"/>
      <c r="AH618" s="203"/>
      <c r="AI618" s="203"/>
      <c r="AJ618" s="203"/>
      <c r="AK618" s="203"/>
      <c r="AL618" s="203"/>
      <c r="AM618" s="203"/>
      <c r="AN618" s="192"/>
      <c r="AO618" s="192"/>
      <c r="AP618" s="192"/>
      <c r="AQ618" s="192"/>
      <c r="AR618" s="192"/>
      <c r="AS618" s="192"/>
      <c r="AT618" s="192"/>
      <c r="AU618" s="192"/>
      <c r="AV618" s="192"/>
      <c r="AW618" s="192"/>
      <c r="AX618" s="192"/>
    </row>
    <row r="619" spans="2:50" ht="15" customHeight="1" thickTop="1" x14ac:dyDescent="0.3">
      <c r="B619" s="192"/>
      <c r="C619" s="192"/>
      <c r="D619" s="192"/>
      <c r="E619" s="164" t="str">
        <f>IF(Q619="","",IF(Q619=3,1,0))</f>
        <v/>
      </c>
      <c r="F619" s="164" t="str">
        <f>IF(Q619="","",IF(Q619&lt;3,1,0))</f>
        <v/>
      </c>
      <c r="G619" s="192"/>
      <c r="H619" s="192" t="str">
        <f>IF(I604&lt;&gt;"",1,"")</f>
        <v/>
      </c>
      <c r="I619" s="192" t="str">
        <f>IF(ISNUMBER(H619),VLOOKUP(H619,H602:I605,2,TRUE),"")</f>
        <v/>
      </c>
      <c r="J619" s="192"/>
      <c r="K619" s="192" t="str">
        <f>VLOOKUP(I619,I602:L605,3,FALSE)</f>
        <v/>
      </c>
      <c r="L619" s="253"/>
      <c r="M619" s="254"/>
      <c r="N619" s="254"/>
      <c r="O619" s="152"/>
      <c r="P619" s="153"/>
      <c r="Q619" s="255" t="str">
        <f>IF(L619="","",IF(AND(L619-L620&gt;1,L619&gt;10),1,0)+IF(AND(M619-M620&gt;1,M619&gt;10),1,0)+IF(AND(N619-N620&gt;1,N619&gt;10),1,0)+IF(AND(O619-O620&gt;1,O619&gt;10),1,0)+IF(AND(P619-P620&gt;1,P619&gt;10),1,0))</f>
        <v/>
      </c>
      <c r="R619" s="203" t="str">
        <f>IF(AND(I619="",I620=""),"",ABS(VLOOKUP(I619,I602:L605,4,FALSE)-VLOOKUP(I620,I602:L605,4,FALSE)))</f>
        <v/>
      </c>
      <c r="S619" s="256" t="str">
        <f>IF(R620="","",IF(Q619=3,+R620,-R620))</f>
        <v/>
      </c>
      <c r="T619" s="192"/>
      <c r="U619" s="235"/>
      <c r="V619" s="235"/>
      <c r="W619" s="235"/>
      <c r="X619" s="235"/>
      <c r="Y619" s="235"/>
      <c r="Z619" s="235"/>
      <c r="AA619" s="243">
        <v>1</v>
      </c>
      <c r="AB619" s="222" t="str">
        <f>IF(AND(COUNTBLANK(I602:I605)=0,Group_players=4,M602=M603,M603=M604),IF(U609="","",IF(COUNTIF(U609:U612,U609)=3,"Tied",IF(AND(COUNTIF(U609:U612,U609)=1,U610&lt;&gt;U611),IF(M602=2,IF(SMALL(U609:U612,1)=U609,1,IF(SMALL(U609:U612,2)=U609,2,IF(SMALL(U609:U612,3)=U609,3))),IF(M602=1,IF(SMALL(U609:U612,1)=U609,2,IF(SMALL(U609:U612,2)=U609,3,IF(SMALL(U609:U612,3)=U609,4))),"")),IF(COUNTIF(U609:U612,U609)=1,IF(U609&lt;U610,IF(M602=2,1,2),IF(M602=2,3,4)),IF(COUNTIF(U609:U612,U609)=2,IF(U609=U610,IF(U609&lt;U611,IF(M602=2,IF(Q625=3,1,2),IF(M602=1,IF(Q625=3,2,3))),IF(U609&gt;U611,IF(M602=2,IF(Q625=3,2,3),IF(M602=1,IF(Q625=3,3,4))))),IF(U609=U611,IF(U609&lt;U610,IF(M602=2,IF(Q613=3,1,2),IF(M602=1,IF(Q613=3,2,3))),IF(U609&gt;U610,IF(M602=2,IF(Q613=3,2,3),IF(M602=1,IF(Q613=3,3,4)))))))))))),"")</f>
        <v/>
      </c>
      <c r="AC619" s="192"/>
      <c r="AD619" s="192"/>
      <c r="AE619" s="192"/>
      <c r="AF619" s="203"/>
      <c r="AG619" s="203"/>
      <c r="AH619" s="203"/>
      <c r="AI619" s="203"/>
      <c r="AJ619" s="203"/>
      <c r="AK619" s="203"/>
      <c r="AL619" s="203"/>
      <c r="AM619" s="203"/>
      <c r="AN619" s="192"/>
      <c r="AO619" s="192"/>
      <c r="AP619" s="192"/>
      <c r="AQ619" s="192"/>
      <c r="AR619" s="192"/>
      <c r="AS619" s="192"/>
      <c r="AT619" s="192"/>
      <c r="AU619" s="192"/>
      <c r="AV619" s="192"/>
      <c r="AW619" s="192"/>
      <c r="AX619" s="192"/>
    </row>
    <row r="620" spans="2:50" ht="15" customHeight="1" thickBot="1" x14ac:dyDescent="0.35">
      <c r="B620" s="192"/>
      <c r="C620" s="192"/>
      <c r="D620" s="192"/>
      <c r="E620" s="164" t="str">
        <f>IF(Q620="","",IF(Q620=3,1,0))</f>
        <v/>
      </c>
      <c r="F620" s="164" t="str">
        <f>IF(Q620="","",IF(Q620&lt;3,1,0))</f>
        <v/>
      </c>
      <c r="G620" s="192"/>
      <c r="H620" s="192" t="str">
        <f>IF(I604="","",IF(I605&lt;&gt;"",4,2))</f>
        <v/>
      </c>
      <c r="I620" s="192" t="str">
        <f>IF(ISNUMBER(H620),VLOOKUP(H620,H602:I605,2,TRUE),"")</f>
        <v/>
      </c>
      <c r="J620" s="192"/>
      <c r="K620" s="192" t="str">
        <f>VLOOKUP(I620,I602:L605,3,FALSE)</f>
        <v/>
      </c>
      <c r="L620" s="155"/>
      <c r="M620" s="259"/>
      <c r="N620" s="259"/>
      <c r="O620" s="156"/>
      <c r="P620" s="157"/>
      <c r="Q620" s="260" t="str">
        <f>IF(L620="","",IF(AND(L620-L619&gt;1,L620&gt;10),1,0)+IF(AND(M620-M619&gt;1,M620&gt;10),1,0)+IF(AND(N620-N619&gt;1,N620&gt;10),1,0)+IF(AND(O620-O619&gt;1,O620&gt;10),1,0)+IF(AND(P620-P619&gt;1,P620&gt;10),1,0))</f>
        <v/>
      </c>
      <c r="R620" s="203" t="str">
        <f>IF(AND(Q619&lt;&gt;3,Q620&lt;&gt;3),"",IF(Q619=3,IF(VLOOKUP(I619,I602:L605,4,FALSE)&gt;VLOOKUP(I620,I602:L605,4,FALSE),VLOOKUP(R619,Point_dif,2,FALSE),VLOOKUP(R619,Point_dif,3,FALSE)),IF(Q620=3,IF(VLOOKUP(I620,I602:L605,4,FALSE)&gt;VLOOKUP(I619,I602:L605,4,FALSE),VLOOKUP(R619,Point_dif,2,FALSE),VLOOKUP(R619,Point_dif,3,FALSE)))))</f>
        <v/>
      </c>
      <c r="S620" s="256" t="str">
        <f>IF(R620="","",IF(Q620=3,+R620,-R620))</f>
        <v/>
      </c>
      <c r="T620" s="192"/>
      <c r="U620" s="235"/>
      <c r="V620" s="235"/>
      <c r="W620" s="235"/>
      <c r="X620" s="235"/>
      <c r="Y620" s="235"/>
      <c r="Z620" s="235"/>
      <c r="AA620" s="246">
        <v>2</v>
      </c>
      <c r="AB620" s="222" t="str">
        <f>IF(AND(COUNTBLANK(I602:I605)=0,Group_players=4,M602=M603,M603=M604),IF(U610="","",IF(COUNTIF(U609:U612,U610)=3,"Tied",IF(AND(COUNTIF(U609:U612,U610)=1,U609&lt;&gt;U611),IF(M603=2,IF(SMALL(U609:U612,1)=U610,1,IF(SMALL(U609:U612,2)=U610,2,IF(SMALL(U609:U612,3)=U610,3))),IF(M603=1,IF(SMALL(U609:U612,1)=U610,2,IF(SMALL(U609:U612,2)=U610,3,IF(SMALL(U609:U612,3)=U610,4))),"")),IF(COUNTIF(U609:U612,U610)=1,IF(U610&lt;U609,IF(M603=2,1,2),IF(M603=2,3,4)),IF(COUNTIF(U609:U612,U610)=2,IF(U610=U609,IF(U610&lt;U611,IF(M603=2,IF(Q626=3,1,2),IF(M603=1,IF(Q626=3,2,3))),IF(U610&gt;U611,IF(M603=2,IF(Q626=3,2,3),IF(M603=1,IF(Q626=3,3,4))))),IF(U610=U611,IF(U610&lt;U609,IF(M603=2,IF(Q622=3,1,2),IF(M603=1,IF(Q622=3,2,3))),IF(U610&gt;U609,IF(M603=2,IF(Q622=3,2,3),IF(M603=1,IF(Q622=3,3,4)))))))))))),"")</f>
        <v/>
      </c>
      <c r="AC620" s="192"/>
      <c r="AD620" s="192"/>
      <c r="AE620" s="192"/>
      <c r="AF620" s="203"/>
      <c r="AG620" s="203"/>
      <c r="AH620" s="203"/>
      <c r="AI620" s="203"/>
      <c r="AJ620" s="203"/>
      <c r="AK620" s="203"/>
      <c r="AL620" s="203"/>
      <c r="AM620" s="203"/>
      <c r="AN620" s="192"/>
      <c r="AO620" s="192"/>
      <c r="AP620" s="192"/>
      <c r="AQ620" s="192"/>
      <c r="AR620" s="192"/>
      <c r="AS620" s="192"/>
      <c r="AT620" s="192"/>
      <c r="AU620" s="192"/>
      <c r="AV620" s="192"/>
      <c r="AW620" s="192"/>
      <c r="AX620" s="192"/>
    </row>
    <row r="621" spans="2:50" ht="15" customHeight="1" thickTop="1" thickBot="1" x14ac:dyDescent="0.35">
      <c r="B621" s="192"/>
      <c r="C621" s="192"/>
      <c r="D621" s="192"/>
      <c r="E621" s="164"/>
      <c r="F621" s="164"/>
      <c r="G621" s="192"/>
      <c r="H621" s="192"/>
      <c r="I621" s="249" t="s">
        <v>118</v>
      </c>
      <c r="J621" s="249"/>
      <c r="K621" s="249"/>
      <c r="L621" s="250" t="s">
        <v>115</v>
      </c>
      <c r="M621" s="250" t="s">
        <v>116</v>
      </c>
      <c r="N621" s="250" t="s">
        <v>117</v>
      </c>
      <c r="O621" s="250" t="s">
        <v>118</v>
      </c>
      <c r="P621" s="250" t="s">
        <v>119</v>
      </c>
      <c r="Q621" s="250" t="s">
        <v>120</v>
      </c>
      <c r="R621" s="250"/>
      <c r="S621" s="251"/>
      <c r="T621" s="192"/>
      <c r="U621" s="235"/>
      <c r="V621" s="235"/>
      <c r="W621" s="235"/>
      <c r="X621" s="235"/>
      <c r="Y621" s="235"/>
      <c r="Z621" s="235"/>
      <c r="AA621" s="240">
        <v>3</v>
      </c>
      <c r="AB621" s="241" t="str">
        <f>IF(AND(COUNTBLANK(I602:I605)=0,Group_players=4,M602=M603,M603=M604),IF(U611="","",IF(COUNTIF(U609:U612,U611)=3,"Tied",IF(AND(COUNTIF(U609:U612,U611)=1,U609&lt;&gt;U610),IF(M602=2,IF(SMALL(U609:U612,1)=U611,1,IF(SMALL(U609:U612,2)=U611,2,IF(SMALL(U609:U612,3)=U611,3))),IF(M604=1,IF(SMALL(U609:U612,1)=U611,2,IF(SMALL(U609:U612,2)=U611,3,IF(SMALL(U609:U612,3)=U611,4))),"")),IF(COUNTIF(U609:U612,U611)=1,IF(U611&lt;U610,IF(M604=2,1,2),IF(M604=2,3,4)),IF(COUNTIF(U609:U612,U611)=2,IF(U611=U610,IF(U611&lt;U609,IF(M604=2,IF(Q623=3,1,2),IF(M604=1,IF(Q623=3,2,3))),IF(U611&gt;U609,IF(M604=2,IF(Q623=3,2,3),IF(M604=1,IF(Q623=3,3,4))))),IF(U611=U609,IF(U611&lt;U610,IF(M604=2,IF(Q614=3,1,2),IF(M604=1,IF(Q614=3,2,3))),IF(U611&gt;U610,IF(M604=2,IF(Q614=3,2,3),IF(M604=1,IF(Q614=3,3,4)))))))))))),"")</f>
        <v/>
      </c>
      <c r="AC621" s="192"/>
      <c r="AD621" s="192"/>
      <c r="AE621" s="192"/>
      <c r="AF621" s="203"/>
      <c r="AG621" s="203"/>
      <c r="AH621" s="203"/>
      <c r="AI621" s="203"/>
      <c r="AJ621" s="203"/>
      <c r="AK621" s="203"/>
      <c r="AL621" s="203"/>
      <c r="AM621" s="203"/>
      <c r="AN621" s="192"/>
      <c r="AO621" s="192"/>
      <c r="AP621" s="192"/>
      <c r="AQ621" s="192"/>
      <c r="AR621" s="192"/>
      <c r="AS621" s="192"/>
      <c r="AT621" s="192"/>
      <c r="AU621" s="192"/>
      <c r="AV621" s="192"/>
      <c r="AW621" s="192"/>
      <c r="AX621" s="192"/>
    </row>
    <row r="622" spans="2:50" ht="15" customHeight="1" thickTop="1" x14ac:dyDescent="0.3">
      <c r="B622" s="192"/>
      <c r="C622" s="192"/>
      <c r="D622" s="192"/>
      <c r="E622" s="164" t="str">
        <f>IF(Q622="","",IF(Q622=3,1,0))</f>
        <v/>
      </c>
      <c r="F622" s="164" t="str">
        <f>IF(Q622="","",IF(Q622&lt;3,1,0))</f>
        <v/>
      </c>
      <c r="G622" s="192"/>
      <c r="H622" s="192" t="str">
        <f>IF(I605&lt;&gt;"",2,"")</f>
        <v/>
      </c>
      <c r="I622" s="192" t="str">
        <f>IF(ISNUMBER(H622),VLOOKUP(H622,H602:I605,2,TRUE),"")</f>
        <v/>
      </c>
      <c r="J622" s="192"/>
      <c r="K622" s="192" t="str">
        <f>VLOOKUP(I622,I602:L605,3,FALSE)</f>
        <v/>
      </c>
      <c r="L622" s="253"/>
      <c r="M622" s="254"/>
      <c r="N622" s="254"/>
      <c r="O622" s="152"/>
      <c r="P622" s="153"/>
      <c r="Q622" s="255" t="str">
        <f>IF(L622="","",IF(AND(L622-L623&gt;1,L622&gt;10),1,0)+IF(AND(M622-M623&gt;1,M622&gt;10),1,0)+IF(AND(N622-N623&gt;1,N622&gt;10),1,0)+IF(AND(O622-O623&gt;1,O622&gt;10),1,0)+IF(AND(P622-P623&gt;1,P622&gt;10),1,0))</f>
        <v/>
      </c>
      <c r="R622" s="203" t="str">
        <f>IF(AND(I622="",I623=""),"",ABS(VLOOKUP(I622,I602:L605,4,FALSE)-VLOOKUP(I623,I602:L605,4,FALSE)))</f>
        <v/>
      </c>
      <c r="S622" s="256" t="str">
        <f>IF(R623="","",IF(Q622=3,+R623,-R623))</f>
        <v/>
      </c>
      <c r="T622" s="192"/>
      <c r="U622" s="235"/>
      <c r="V622" s="235"/>
      <c r="W622" s="235"/>
      <c r="X622" s="235"/>
      <c r="Y622" s="235"/>
      <c r="Z622" s="235"/>
      <c r="AA622" s="243">
        <v>1</v>
      </c>
      <c r="AB622" s="222" t="str">
        <f>IF(AND(COUNTBLANK(I602:I605)=0,Group_players=4,M602=M604,M604=M605),IF(V609="","",IF(COUNTIF(V609:V612,V609)=3,"Tied",IF(AND(COUNTIF(V609:V612,V609)=1,V611&lt;&gt;U612),IF(M602=2,IF(SMALL(V609:V612,1)=V609,1,IF(SMALL(V609:V612,2)=V609,2,IF(SMALL(V609:V612,3)=V609,3))),IF(M602=1,IF(SMALL(V609:V612,1)=V609,2,IF(SMALL(V609:V612,2)=V609,3,IF(SMALL(V609:V612,3)=V609,4))),"")),IF(COUNTIF(V609:V612,V609)=1,IF(V609&lt;V611,IF(M602=2,1,2),IF(M602=2,3,4)),IF(COUNTIF(V609:V612,V609)=2,IF(V609=V611,IF(V609&lt;V612,IF(M602=2,IF(Q613=3,1,2),IF(M602=1,IF(Q613=3,2,3))),IF(V609&gt;V612,IF(M602=2,IF(Q613=3,2,3),IF(M602=1,IF(Q613=3,3,4))))),IF(V609=V612,IF(V609&lt;V611,IF(M602=2,IF(Q619=3,1,2),IF(M602=1,IF(Q619=3,2,3))),IF(V609&gt;V610,IF(M602=2,IF(Q619=3,2,3),IF(M602=1,IF(Q619=3,3,4)))))))))))),"")</f>
        <v/>
      </c>
      <c r="AC622" s="192"/>
      <c r="AD622" s="192"/>
      <c r="AE622" s="192"/>
      <c r="AF622" s="203"/>
      <c r="AG622" s="203"/>
      <c r="AH622" s="203"/>
      <c r="AI622" s="203"/>
      <c r="AJ622" s="203"/>
      <c r="AK622" s="203"/>
      <c r="AL622" s="203"/>
      <c r="AM622" s="203"/>
      <c r="AN622" s="192"/>
      <c r="AO622" s="192"/>
      <c r="AP622" s="192"/>
      <c r="AQ622" s="192"/>
      <c r="AR622" s="192"/>
      <c r="AS622" s="192"/>
      <c r="AT622" s="192"/>
      <c r="AU622" s="192"/>
      <c r="AV622" s="192"/>
      <c r="AW622" s="192"/>
      <c r="AX622" s="192"/>
    </row>
    <row r="623" spans="2:50" ht="15" customHeight="1" thickBot="1" x14ac:dyDescent="0.35">
      <c r="B623" s="192"/>
      <c r="C623" s="192"/>
      <c r="D623" s="192"/>
      <c r="E623" s="164" t="str">
        <f>IF(Q623="","",IF(Q623=3,1,0))</f>
        <v/>
      </c>
      <c r="F623" s="164" t="str">
        <f>IF(Q623="","",IF(Q623&lt;3,1,0))</f>
        <v/>
      </c>
      <c r="G623" s="192"/>
      <c r="H623" s="192" t="str">
        <f>IF(I605&lt;&gt;"",3,"")</f>
        <v/>
      </c>
      <c r="I623" s="192" t="str">
        <f>IF(ISNUMBER(H623),VLOOKUP(H623,H602:I605,2,TRUE),"")</f>
        <v/>
      </c>
      <c r="J623" s="192"/>
      <c r="K623" s="192" t="str">
        <f>VLOOKUP(I623,I602:L605,3,FALSE)</f>
        <v/>
      </c>
      <c r="L623" s="155"/>
      <c r="M623" s="259"/>
      <c r="N623" s="259"/>
      <c r="O623" s="156"/>
      <c r="P623" s="157"/>
      <c r="Q623" s="260" t="str">
        <f>IF(L623="","",IF(AND(L623-L622&gt;1,L623&gt;10),1,0)+IF(AND(M623-M622&gt;1,M623&gt;10),1,0)+IF(AND(N623-N622&gt;1,N623&gt;10),1,0)+IF(AND(O623-O622&gt;1,O623&gt;10),1,0)+IF(AND(P623-P622&gt;1,P623&gt;10),1,0))</f>
        <v/>
      </c>
      <c r="R623" s="203" t="str">
        <f>IF(AND(Q622&lt;&gt;3,Q623&lt;&gt;3),"",IF(Q622=3,IF(VLOOKUP(I622,I602:L605,4,FALSE)&gt;VLOOKUP(I623,I602:L605,4,FALSE),VLOOKUP(R622,Point_dif,2,FALSE),VLOOKUP(R622,Point_dif,3,FALSE)),IF(Q623=3,IF(VLOOKUP(I623,I602:L605,4,FALSE)&gt;VLOOKUP(I622,I602:L605,4,FALSE),VLOOKUP(R622,Point_dif,2,FALSE),VLOOKUP(R622,Point_dif,3,FALSE)))))</f>
        <v/>
      </c>
      <c r="S623" s="256" t="str">
        <f>IF(R623="","",IF(Q623=3,+R623,-R623))</f>
        <v/>
      </c>
      <c r="T623" s="192"/>
      <c r="U623" s="159"/>
      <c r="V623" s="266"/>
      <c r="W623" s="266"/>
      <c r="X623" s="266"/>
      <c r="Y623" s="192"/>
      <c r="Z623" s="203"/>
      <c r="AA623" s="246">
        <v>3</v>
      </c>
      <c r="AB623" s="222" t="str">
        <f>IF(AND(COUNTBLANK(I602:I605)=0,Group_players=4,M602=M604,M604=M605),IF(V611="","",IF(COUNTIF(V609:V612,V611)=3,"Tied",IF(AND(COUNTIF(V609:V612,V611)=1,V609&lt;&gt;V612),IF(M604=2,IF(SMALL(V609:V612,1)=V611,1,IF(SMALL(V609:V612,2)=V611,2,IF(SMALL(V609:V612,3)=V611,3))),IF(M604=1,IF(SMALL(V609:V612,1)=V611,2,IF(SMALL(V609:V612,2)=V611,3,IF(SMALL(V609:V612,3)=V611,4))),"")),IF(COUNTIF(V609:V612,V611)=1,IF(V611&lt;V609,IF(M604=2,1,2),IF(M604=2,3,4)),IF(COUNTIF(V609:V612,V611)=2,IF(V611=V609,IF(V611&lt;V612,IF(M604=2,IF(Q614=3,1,2),IF(M604=1,IF(Q614=3,2,3))),IF(V611&gt;V612,IF(M604=2,IF(Q614=3,2,3),IF(M604=1,IF(Q614=3,3,4))))),IF(V611=V612,IF(V611&lt;V609,IF(M604=2,IF(Q628=3,1,2),IF(M604=1,IF(Q628=3,2,3))),IF(V611&gt;V609,IF(M604=2,IF(Q628=3,2,3),IF(M604=1,IF(Q628=3,3,4)))))))))))),"")</f>
        <v/>
      </c>
      <c r="AC623" s="192"/>
      <c r="AD623" s="192"/>
      <c r="AE623" s="192"/>
      <c r="AF623" s="203"/>
      <c r="AG623" s="203"/>
      <c r="AH623" s="203"/>
      <c r="AI623" s="203"/>
      <c r="AJ623" s="203"/>
      <c r="AK623" s="203"/>
      <c r="AL623" s="203"/>
      <c r="AM623" s="203"/>
      <c r="AN623" s="192"/>
      <c r="AO623" s="192"/>
      <c r="AP623" s="192"/>
      <c r="AQ623" s="192"/>
      <c r="AR623" s="192"/>
      <c r="AS623" s="192"/>
      <c r="AT623" s="192"/>
      <c r="AU623" s="192"/>
      <c r="AV623" s="192"/>
      <c r="AW623" s="192"/>
      <c r="AX623" s="192"/>
    </row>
    <row r="624" spans="2:50" ht="15" customHeight="1" thickTop="1" thickBot="1" x14ac:dyDescent="0.35">
      <c r="B624" s="192"/>
      <c r="C624" s="192"/>
      <c r="D624" s="192"/>
      <c r="E624" s="164"/>
      <c r="F624" s="164"/>
      <c r="G624" s="192"/>
      <c r="H624" s="192"/>
      <c r="I624" s="249" t="s">
        <v>119</v>
      </c>
      <c r="J624" s="249"/>
      <c r="K624" s="249"/>
      <c r="L624" s="250" t="s">
        <v>115</v>
      </c>
      <c r="M624" s="250" t="s">
        <v>116</v>
      </c>
      <c r="N624" s="250" t="s">
        <v>117</v>
      </c>
      <c r="O624" s="250" t="s">
        <v>118</v>
      </c>
      <c r="P624" s="250" t="s">
        <v>119</v>
      </c>
      <c r="Q624" s="250" t="s">
        <v>120</v>
      </c>
      <c r="R624" s="250"/>
      <c r="S624" s="251"/>
      <c r="T624" s="247"/>
      <c r="U624" s="235"/>
      <c r="V624" s="235"/>
      <c r="W624" s="235"/>
      <c r="X624" s="235"/>
      <c r="Y624" s="235"/>
      <c r="Z624" s="235"/>
      <c r="AA624" s="240">
        <v>4</v>
      </c>
      <c r="AB624" s="241" t="str">
        <f>IF(AND(COUNTBLANK(I602:I605)=0,Group_players=4,M602=M604,M604=M605),IF(V612="","",IF(COUNTIF(V609:V612,V612)=3,"Tied",IF(AND(COUNTIF(V609:V612,V612)=1,V611&lt;&gt;V609),IF(M605=2,IF(SMALL(V609:V612,1)=V612,1,IF(SMALL(V609:V612,2)=V612,2,IF(SMALL(V609:V612,3)=V612,3))),IF(M605=1,IF(SMALL(V609:V612,1)=V612,2,IF(SMALL(V609:V612,2)=V612,3,IF(SMALL(V609:V612,3)=V612,4))),"")),IF(COUNTIF(V609:V612,V612)=1,IF(V612&lt;V609,IF(M605=2,1,2),IF(M605=2,3,4)),IF(COUNTIF(V609:V612,V612)=2,IF(V612=V609,IF(V612&lt;V611,IF(M605=2,IF(Q620=3,1,2),IF(M605=1,IF(Q620=3,2,3))),IF(V612&gt;V611,IF(M605=2,IF(Q620=3,2,3),IF(M605=1,IF(Q620=3,3,4))))),IF(V612=V611,IF(V612&lt;V609,IF(M605=2,IF(Q629=3,1,2),IF(M605=1,IF(Q629=3,2,3))),IF(V612&gt;V609,IF(M605=2,IF(Q629=3,2,3),IF(M605=1,IF(Q629=3,3,4)))))))))))),"")</f>
        <v/>
      </c>
      <c r="AC624" s="192"/>
      <c r="AD624" s="192"/>
      <c r="AE624" s="192"/>
      <c r="AF624" s="203"/>
      <c r="AG624" s="203"/>
      <c r="AH624" s="203"/>
      <c r="AI624" s="203"/>
      <c r="AJ624" s="203"/>
      <c r="AK624" s="203"/>
      <c r="AL624" s="203"/>
      <c r="AM624" s="203"/>
      <c r="AN624" s="192"/>
      <c r="AO624" s="192"/>
      <c r="AP624" s="192"/>
      <c r="AQ624" s="192"/>
      <c r="AR624" s="192"/>
      <c r="AS624" s="192"/>
      <c r="AT624" s="192"/>
      <c r="AU624" s="192"/>
      <c r="AV624" s="192"/>
      <c r="AW624" s="192"/>
      <c r="AX624" s="192"/>
    </row>
    <row r="625" spans="2:50" ht="15" customHeight="1" thickTop="1" x14ac:dyDescent="0.3">
      <c r="B625" s="192"/>
      <c r="C625" s="192"/>
      <c r="D625" s="192"/>
      <c r="E625" s="164" t="str">
        <f>IF(Q625="","",IF(Q625=3,1,0))</f>
        <v/>
      </c>
      <c r="F625" s="164" t="str">
        <f>IF(Q625="","",IF(Q625&lt;3,1,0))</f>
        <v/>
      </c>
      <c r="G625" s="192"/>
      <c r="H625" s="192" t="str">
        <f>IF(I605&lt;&gt;"",1,"")</f>
        <v/>
      </c>
      <c r="I625" s="192" t="str">
        <f>IF(ISNUMBER(H625),VLOOKUP(H625,H602:I605,2,TRUE),"")</f>
        <v/>
      </c>
      <c r="J625" s="192"/>
      <c r="K625" s="192" t="str">
        <f>VLOOKUP(I625,I602:L605,3,FALSE)</f>
        <v/>
      </c>
      <c r="L625" s="253"/>
      <c r="M625" s="254"/>
      <c r="N625" s="254"/>
      <c r="O625" s="152"/>
      <c r="P625" s="153"/>
      <c r="Q625" s="255" t="str">
        <f>IF(L625="","",IF(AND(L625-L626&gt;1,L625&gt;10),1,0)+IF(AND(M625-M626&gt;1,M625&gt;10),1,0)+IF(AND(N625-N626&gt;1,N625&gt;10),1,0)+IF(AND(O625-O626&gt;1,O625&gt;10),1,0)+IF(AND(P625-P626&gt;1,P625&gt;10),1,0))</f>
        <v/>
      </c>
      <c r="R625" s="203" t="str">
        <f>IF(AND(I625="",I626=""),"",ABS(VLOOKUP(I625,I602:L605,4,FALSE)-VLOOKUP(I626,I602:L605,4,FALSE)))</f>
        <v/>
      </c>
      <c r="S625" s="256" t="str">
        <f>IF(R626="","",IF(Q625=3,+R626,-R626))</f>
        <v/>
      </c>
      <c r="T625" s="247"/>
      <c r="U625" s="235"/>
      <c r="V625" s="235"/>
      <c r="W625" s="235"/>
      <c r="X625" s="235"/>
      <c r="Y625" s="235"/>
      <c r="Z625" s="235"/>
      <c r="AA625" s="243">
        <v>1</v>
      </c>
      <c r="AB625" s="222" t="str">
        <f>IF(AND(COUNTBLANK(I602:I605)=0,Group_players=4,M602=M603,M603=M605),IF(W609="","",IF(COUNTIF(W609:W612,W609)=3,"Tied",IF(AND(COUNTIF(W609:W612,W609)=1,W610&lt;&gt;W611),IF(M602=2,IF(SMALL(W609:W612,1)=W609,1,IF(SMALL(W609:W612,2)=W609,2,IF(SMALL(W609:W612,3)=W609,3))),IF(M602=1,IF(SMALL(W609:W612,1)=W609,2,IF(SMALL(W609:W612,2)=W609,3,IF(SMALL(W609:W612,3)=W609,4))),"")),IF(COUNTIF(W609:W612,W609)=1,IF(W609&lt;W610,IF(M602=2,1,2),IF(M602=2,3,4)),IF(COUNTIF(W609:W612,W609)=2,IF(W609=W610,IF(W609&lt;W612,IF(M602=2,IF(Q625=3,1,2),IF(M602=1,IF(Q625=3,2,3))),IF(W609&gt;W612,IF(M602=2,IF(Q625=3,2,3),IF(M602=1,IF(Q625=3,3,4))))),IF(W609=W612,IF(W609&lt;W610,IF(M602=2,IF(Q619=3,1,2),IF(M602=1,IF(Q619=3,2,3))),IF(W609&gt;W610,IF(M602=2,IF(Q619=3,2,3),IF(M602=1,IF(Q619=3,3,4)))))))))))),"")</f>
        <v/>
      </c>
      <c r="AC625" s="192"/>
      <c r="AD625" s="192"/>
      <c r="AE625" s="192"/>
      <c r="AF625" s="203"/>
      <c r="AG625" s="203"/>
      <c r="AH625" s="203"/>
      <c r="AI625" s="203"/>
      <c r="AJ625" s="203"/>
      <c r="AK625" s="203"/>
      <c r="AL625" s="203"/>
      <c r="AM625" s="203"/>
      <c r="AN625" s="192"/>
      <c r="AO625" s="192"/>
      <c r="AP625" s="192"/>
      <c r="AQ625" s="192"/>
      <c r="AR625" s="192"/>
      <c r="AS625" s="192"/>
      <c r="AT625" s="192"/>
      <c r="AU625" s="192"/>
      <c r="AV625" s="192"/>
      <c r="AW625" s="192"/>
      <c r="AX625" s="192"/>
    </row>
    <row r="626" spans="2:50" ht="15" customHeight="1" thickBot="1" x14ac:dyDescent="0.35">
      <c r="B626" s="192"/>
      <c r="C626" s="192"/>
      <c r="D626" s="192"/>
      <c r="E626" s="164" t="str">
        <f>IF(Q626="","",IF(Q626=3,1,0))</f>
        <v/>
      </c>
      <c r="F626" s="164" t="str">
        <f>IF(Q626="","",IF(Q626&lt;3,1,0))</f>
        <v/>
      </c>
      <c r="G626" s="192"/>
      <c r="H626" s="192" t="str">
        <f>IF(I605&lt;&gt;"",2,"")</f>
        <v/>
      </c>
      <c r="I626" s="192" t="str">
        <f>IF(ISNUMBER(H626),VLOOKUP(H626,H602:I605,2,TRUE),"")</f>
        <v/>
      </c>
      <c r="J626" s="192"/>
      <c r="K626" s="192" t="str">
        <f>VLOOKUP(I626,I602:L605,3,FALSE)</f>
        <v/>
      </c>
      <c r="L626" s="155"/>
      <c r="M626" s="259"/>
      <c r="N626" s="259"/>
      <c r="O626" s="156"/>
      <c r="P626" s="157"/>
      <c r="Q626" s="260" t="str">
        <f>IF(L626="","",IF(AND(L626-L625&gt;1,L626&gt;10),1,0)+IF(AND(M626-M625&gt;1,M626&gt;10),1,0)+IF(AND(N626-N625&gt;1,N626&gt;10),1,0)+IF(AND(O626-O625&gt;1,O626&gt;10),1,0)+IF(AND(P626-P625&gt;1,P626&gt;10),1,0))</f>
        <v/>
      </c>
      <c r="R626" s="203" t="str">
        <f>IF(AND(Q625&lt;&gt;3,Q626&lt;&gt;3),"",IF(Q625=3,IF(VLOOKUP(I625,I602:L605,4,FALSE)&gt;VLOOKUP(I626,I602:L605,4,FALSE),VLOOKUP(R625,Point_dif,2,FALSE),VLOOKUP(R625,Point_dif,3,FALSE)),IF(Q626=3,IF(VLOOKUP(I626,I602:L605,4,FALSE)&gt;VLOOKUP(I626,I602:L605,4,FALSE),VLOOKUP(R625,Point_dif,2,FALSE),VLOOKUP(R625,Point_dif,3,FALSE)))))</f>
        <v/>
      </c>
      <c r="S626" s="256" t="str">
        <f>IF(R626="","",IF(Q626=3,+R626,-R626))</f>
        <v/>
      </c>
      <c r="T626" s="247"/>
      <c r="U626" s="235"/>
      <c r="V626" s="235"/>
      <c r="W626" s="235"/>
      <c r="X626" s="235"/>
      <c r="Y626" s="235"/>
      <c r="Z626" s="235"/>
      <c r="AA626" s="246">
        <v>2</v>
      </c>
      <c r="AB626" s="222" t="str">
        <f>IF(AND(COUNTBLANK(I602:I605)=0,Group_players=4,M602=M603,M603=M605),IF(W610="","",IF(COUNTIF(W609:W612,W610)=3,"Tied",IF(AND(COUNTIF(W609:W612,W610)=1,W609&lt;&gt;W611),IF(M603=2,IF(SMALL(W609:W612,1)=W610,1,IF(SMALL(W609:W612,2)=W610,2,IF(SMALL(W609:W612,3)=W610,3))),IF(M603=1,IF(SMALL(W609:W612,1)=W610,2,IF(SMALL(W609:W612,2)=W610,3,IF(SMALL(W609:W612,3)=W610,4))),"")),IF(COUNTIF(W609:W612,W610)=1,IF(W610&lt;W609,IF(M603=2,1,2),IF(M603=2,3,4)),IF(COUNTIF(W609:W612,W610)=2,IF(W610=W609,IF(W610&lt;W612,IF(M603=2,IF(Q626=3,1,2),IF(M603=1,IF(Q626=3,2,3))),IF(W610&gt;W612,IF(M603=2,IF(Q626=3,2,3),IF(M603=1,IF(Q626=3,3,4))))),IF(W610=W612,IF(W610&lt;W609,IF(M603=2,IF(Q616=3,1,2),IF(M603=1,IF(Q616=3,2,3))),IF(W610&gt;W609,IF(M603=2,IF(Q616=3,2,3),IF(M603=1,IF(Q616=3,3,4)))))))))))),"")</f>
        <v/>
      </c>
      <c r="AC626" s="192"/>
      <c r="AD626" s="192"/>
      <c r="AE626" s="192"/>
      <c r="AF626" s="203"/>
      <c r="AG626" s="203"/>
      <c r="AH626" s="203"/>
      <c r="AI626" s="203"/>
      <c r="AJ626" s="203"/>
      <c r="AK626" s="203"/>
      <c r="AL626" s="203"/>
      <c r="AM626" s="203"/>
      <c r="AN626" s="192"/>
      <c r="AO626" s="192"/>
      <c r="AP626" s="192"/>
      <c r="AQ626" s="192"/>
      <c r="AR626" s="192"/>
      <c r="AS626" s="192"/>
      <c r="AT626" s="192"/>
      <c r="AU626" s="192"/>
      <c r="AV626" s="192"/>
      <c r="AW626" s="192"/>
      <c r="AX626" s="192"/>
    </row>
    <row r="627" spans="2:50" ht="15" customHeight="1" thickTop="1" thickBot="1" x14ac:dyDescent="0.35">
      <c r="B627" s="192"/>
      <c r="C627" s="192"/>
      <c r="D627" s="192"/>
      <c r="E627" s="164"/>
      <c r="F627" s="164"/>
      <c r="G627" s="192"/>
      <c r="H627" s="192"/>
      <c r="I627" s="249" t="s">
        <v>121</v>
      </c>
      <c r="J627" s="249"/>
      <c r="K627" s="249"/>
      <c r="L627" s="250" t="s">
        <v>115</v>
      </c>
      <c r="M627" s="250" t="s">
        <v>116</v>
      </c>
      <c r="N627" s="250" t="s">
        <v>117</v>
      </c>
      <c r="O627" s="250" t="s">
        <v>118</v>
      </c>
      <c r="P627" s="250" t="s">
        <v>119</v>
      </c>
      <c r="Q627" s="250" t="s">
        <v>120</v>
      </c>
      <c r="R627" s="250"/>
      <c r="S627" s="251"/>
      <c r="T627" s="247"/>
      <c r="U627" s="235"/>
      <c r="V627" s="235"/>
      <c r="W627" s="235"/>
      <c r="X627" s="235"/>
      <c r="Y627" s="235"/>
      <c r="Z627" s="235"/>
      <c r="AA627" s="240">
        <v>4</v>
      </c>
      <c r="AB627" s="241" t="str">
        <f>IF(AND(COUNTBLANK(I602:I605)=0,Group_players=4,M602=M603,M603=M605),IF(W612="","",IF(COUNTIF(W609:W612,W612)=3,"Tied",IF(AND(COUNTIF(W609:W612,W612)=1,W609&lt;&gt;W610),IF(M605=2,IF(SMALL(W609:W612,1)=W612,1,IF(SMALL(W609:W612,2)=W612,2,IF(SMALL(W609:W612,3)=W612,3))),IF(M605=1,IF(SMALL(W609:W612,1)=W612,2,IF(SMALL(W609:W612,2)=W612,3,IF(SMALL(W609:W612,3)=W612,4))),"")),IF(COUNTIF(W609:W612,W612)=1,IF(W612&lt;W609,IF(M605=2,1,2),IF(M605=2,3,4)),IF(COUNTIF(W609:W612,W612)=2,IF(W612=W609,IF(W612&lt;W610,IF(M605=2,IF(Q620=3,1,2),IF(M605=1,IF(Q620=3,2,3))),IF(W612&gt;W611,IF(M605=2,IF(Q620=3,2,3),IF(M605=1,IF(Q620=3,3,4))))),IF(W612=W610,IF(W612&lt;W609,IF(M605=2,IF(Q617=3,1,2),IF(M605=1,IF(Q617=3,2,3))),IF(W612&gt;W609,IF(M605=2,IF(Q617=3,2,3),IF(M605=1,IF(Q617=3,3,4)))))))))))),"")</f>
        <v/>
      </c>
      <c r="AC627" s="192"/>
      <c r="AD627" s="192"/>
      <c r="AE627" s="192"/>
      <c r="AF627" s="203"/>
      <c r="AG627" s="203"/>
      <c r="AH627" s="203"/>
      <c r="AI627" s="203"/>
      <c r="AJ627" s="203"/>
      <c r="AK627" s="203"/>
      <c r="AL627" s="203"/>
      <c r="AM627" s="203"/>
      <c r="AN627" s="192"/>
      <c r="AO627" s="192"/>
      <c r="AP627" s="192"/>
      <c r="AQ627" s="192"/>
      <c r="AR627" s="192"/>
      <c r="AS627" s="192"/>
      <c r="AT627" s="192"/>
      <c r="AU627" s="192"/>
      <c r="AV627" s="192"/>
      <c r="AW627" s="192"/>
      <c r="AX627" s="192"/>
    </row>
    <row r="628" spans="2:50" ht="15" customHeight="1" thickTop="1" x14ac:dyDescent="0.3">
      <c r="B628" s="192"/>
      <c r="C628" s="192"/>
      <c r="D628" s="192"/>
      <c r="E628" s="164" t="str">
        <f>IF(Q628="","",IF(Q628=3,1,0))</f>
        <v/>
      </c>
      <c r="F628" s="164" t="str">
        <f>IF(Q628="","",IF(Q628&lt;3,1,0))</f>
        <v/>
      </c>
      <c r="G628" s="192"/>
      <c r="H628" s="192" t="str">
        <f>IF(I605&lt;&gt;"",3,"")</f>
        <v/>
      </c>
      <c r="I628" s="192" t="str">
        <f>IF(ISNUMBER(H628),VLOOKUP(H628,H602:I605,2,TRUE),"")</f>
        <v/>
      </c>
      <c r="J628" s="192"/>
      <c r="K628" s="192" t="str">
        <f>VLOOKUP(I628,I602:L605,3,FALSE)</f>
        <v/>
      </c>
      <c r="L628" s="253"/>
      <c r="M628" s="254"/>
      <c r="N628" s="254"/>
      <c r="O628" s="152"/>
      <c r="P628" s="153"/>
      <c r="Q628" s="255" t="str">
        <f>IF(L628="","",IF(AND(L628-L629&gt;1,L628&gt;10),1,0)+IF(AND(M628-M629&gt;1,M628&gt;10),1,0)+IF(AND(N628-N629&gt;1,N628&gt;10),1,0)+IF(AND(O628-O629&gt;1,O628&gt;10),1,0)+IF(AND(P628-P629&gt;1,P628&gt;10),1,0))</f>
        <v/>
      </c>
      <c r="R628" s="203" t="str">
        <f>IF(AND(I628="",I629=""),"",ABS(VLOOKUP(I628,I602:L605,4,FALSE)-VLOOKUP(I629,I602:L605,4,FALSE)))</f>
        <v/>
      </c>
      <c r="S628" s="256" t="str">
        <f>IF(R629="","",IF(Q628=3,+R629,-R629))</f>
        <v/>
      </c>
      <c r="T628" s="247"/>
      <c r="U628" s="264"/>
      <c r="V628" s="242"/>
      <c r="W628" s="192"/>
      <c r="X628" s="264"/>
      <c r="Y628" s="192"/>
      <c r="Z628" s="192"/>
      <c r="AA628" s="243">
        <v>2</v>
      </c>
      <c r="AB628" s="222" t="str">
        <f>IF(AND(COUNTBLANK(I602:I605)=0,Group_players=4,M603=M604,M604=M605),IF(X610="","",IF(COUNTIF(X609:X612,X610)=3,"Tied",IF(AND(COUNTIF(X609:X612,X610)=1,X611&lt;&gt;X612),IF(M603=2,IF(SMALL(X609:X612,1)=X610,1,IF(SMALL(X609:X612,2)=X610,2,IF(SMALL(X609:X612,3)=X610,3))),IF(M603=1,IF(SMALL(X609:X612,1)=X610,2,IF(SMALL(X609:X612,2)=X610,3,IF(SMALL(X609:X612,3)=X610,4))),"")),IF(COUNTIF(X609:X612,X610)=1,IF(X610&lt;X612,IF(M603=2,1,2),IF(M603=1,4)),IF(COUNTIF(X609:X612,X610)=2,IF(X610=X611,IF(X610&lt;X612,IF(M603=2,IF(Q622=3,1,2),IF(M603=1,IF(Q622=3,2,3))),IF(X610&gt;X612,IF(M603=2,IF(Q622=3,2,3),IF(M603=1,IF(Q622=3,3,4))))),IF(X610=X612,IF(X610&lt;X611,IF(M603=2,IF(Q616=3,1,2),IF(M603=1,IF(Q616=3,2,3))),IF(X610&gt;X611,IF(M603=2,IF(Q616=3,2,3),IF(M603=1,IF(Q616=3,3,4)))))))))))),"")</f>
        <v/>
      </c>
      <c r="AC628" s="192"/>
      <c r="AD628" s="192"/>
      <c r="AE628" s="192"/>
      <c r="AF628" s="203"/>
      <c r="AG628" s="203"/>
      <c r="AH628" s="203"/>
      <c r="AI628" s="203"/>
      <c r="AJ628" s="203"/>
      <c r="AK628" s="203"/>
      <c r="AL628" s="203"/>
      <c r="AM628" s="203"/>
      <c r="AN628" s="192"/>
      <c r="AO628" s="192"/>
      <c r="AP628" s="192"/>
      <c r="AQ628" s="192"/>
      <c r="AR628" s="192"/>
      <c r="AS628" s="192"/>
      <c r="AT628" s="192"/>
      <c r="AU628" s="192"/>
      <c r="AV628" s="192"/>
      <c r="AW628" s="192"/>
      <c r="AX628" s="192"/>
    </row>
    <row r="629" spans="2:50" ht="15" customHeight="1" thickBot="1" x14ac:dyDescent="0.35">
      <c r="B629" s="192"/>
      <c r="C629" s="192"/>
      <c r="D629" s="192"/>
      <c r="E629" s="164" t="str">
        <f>IF(Q629="","",IF(Q629=3,1,0))</f>
        <v/>
      </c>
      <c r="F629" s="164" t="str">
        <f>IF(Q629="","",IF(Q629&lt;3,1,0))</f>
        <v/>
      </c>
      <c r="G629" s="192"/>
      <c r="H629" s="192" t="str">
        <f>IF(I605&lt;&gt;"",4,"")</f>
        <v/>
      </c>
      <c r="I629" s="192" t="str">
        <f>IF(ISNUMBER(H629),VLOOKUP(H629,H602:I605,2,TRUE),"")</f>
        <v/>
      </c>
      <c r="J629" s="192"/>
      <c r="K629" s="192" t="str">
        <f>VLOOKUP(I629,I602:L605,3,FALSE)</f>
        <v/>
      </c>
      <c r="L629" s="155"/>
      <c r="M629" s="259"/>
      <c r="N629" s="259"/>
      <c r="O629" s="156"/>
      <c r="P629" s="157"/>
      <c r="Q629" s="260" t="str">
        <f>IF(L629="","",IF(AND(L629-L628&gt;1,L629&gt;10),1,0)+IF(AND(M629-M628&gt;1,M629&gt;10),1,0)+IF(AND(N629-N628&gt;1,N629&gt;10),1,0)+IF(AND(O629-O628&gt;1,O629&gt;10),1,0)+IF(AND(P629-P628&gt;1,P629&gt;10),1,0))</f>
        <v/>
      </c>
      <c r="R629" s="203" t="str">
        <f>IF(AND(Q628&lt;&gt;3,Q629&lt;&gt;3),"",IF(Q628=3,IF(VLOOKUP(I628,I602:L605,4,FALSE)&gt;VLOOKUP(I629,I602:L605,4,FALSE),VLOOKUP(R628,Point_dif,2,FALSE),VLOOKUP(R628,Point_dif,3,FALSE)),IF(Q629=3,IF(VLOOKUP(I629,I602:L605,4,FALSE)&gt;VLOOKUP(I628,I602:L605,4,FALSE),VLOOKUP(R628,Point_dif,2,FALSE),VLOOKUP(R628,Point_dif,3,FALSE)))))</f>
        <v/>
      </c>
      <c r="S629" s="260" t="str">
        <f>IF(R629="","",IF(Q629=3,+R629,-R629))</f>
        <v/>
      </c>
      <c r="T629" s="247"/>
      <c r="U629" s="235"/>
      <c r="V629" s="235"/>
      <c r="W629" s="235"/>
      <c r="X629" s="235"/>
      <c r="Y629" s="235"/>
      <c r="Z629" s="235"/>
      <c r="AA629" s="246">
        <v>3</v>
      </c>
      <c r="AB629" s="222" t="str">
        <f>IF(AND(COUNTBLANK(I602:I605)=0,Group_players=4,Group_players=4,M603=M604,M604=M605),IF(X611="","",IF(COUNTIF(X609:X612,X611)=3,"Tied",IF(AND(COUNTIF(X609:X612,X611)=1,X610&lt;&gt;X612),IF(M604=2,IF(SMALL(X609:X612,1)=X611,1,IF(SMALL(X609:X612,2)=X611,2,IF(SMALL(X609:X612,3)=X611,3))),IF(M604=1,IF(SMALL(X609:X612,1)=X611,2,IF(SMALL(X609:X612,2)=X611,3,IF(SMALL(X609:X612,3)=X611,4))),"")),IF(COUNTIF(X609:X612,X611)=1,IF(X611&lt;X610,IF(M604=2,1,2),IF(M604=2,3,4)),IF(COUNTIF(X609:X612,X611)=2,IF(X611=X610,IF(X611&lt;X612,IF(M604=2,IF(Q623=3,1,2),IF(M604=1,IF(Q623=3,2,3))),IF(X611&gt;X612,IF(M604=2,IF(Q623=3,2,3),IF(M604=1,IF(Q623=3,3,4))))),IF(X611=X612,IF(X611&lt;X610,IF(M604=2,IF(Q628=3,1,2),IF(M604=1,IF(Q628=3,2,3))),IF(X611&gt;X610,IF(M604=2,IF(Q628=3,2,3),IF(M604=1,IF(Q628=3,3,4)))))))))))),"")</f>
        <v/>
      </c>
      <c r="AC629" s="192"/>
      <c r="AD629" s="192"/>
      <c r="AE629" s="192"/>
      <c r="AF629" s="203"/>
      <c r="AG629" s="203"/>
      <c r="AH629" s="203"/>
      <c r="AI629" s="203"/>
      <c r="AJ629" s="203"/>
      <c r="AK629" s="203"/>
      <c r="AL629" s="203"/>
      <c r="AM629" s="203"/>
      <c r="AN629" s="192"/>
      <c r="AO629" s="192"/>
      <c r="AP629" s="192"/>
      <c r="AQ629" s="192"/>
      <c r="AR629" s="192"/>
      <c r="AS629" s="192"/>
      <c r="AT629" s="192"/>
      <c r="AU629" s="192"/>
      <c r="AV629" s="192"/>
      <c r="AW629" s="192"/>
      <c r="AX629" s="192"/>
    </row>
    <row r="630" spans="2:50" ht="15" customHeight="1" thickTop="1" thickBot="1" x14ac:dyDescent="0.35">
      <c r="B630" s="192"/>
      <c r="C630" s="192"/>
      <c r="D630" s="192"/>
      <c r="E630" s="192"/>
      <c r="F630" s="192"/>
      <c r="G630" s="192"/>
      <c r="H630" s="192"/>
      <c r="I630" s="192"/>
      <c r="J630" s="192"/>
      <c r="K630" s="192"/>
      <c r="L630" s="192"/>
      <c r="M630" s="192"/>
      <c r="N630" s="192"/>
      <c r="O630" s="268"/>
      <c r="P630" s="192"/>
      <c r="Q630" s="192"/>
      <c r="R630" s="247"/>
      <c r="S630" s="247"/>
      <c r="T630" s="247"/>
      <c r="U630" s="235"/>
      <c r="V630" s="235"/>
      <c r="W630" s="235"/>
      <c r="X630" s="235"/>
      <c r="Y630" s="235"/>
      <c r="Z630" s="235"/>
      <c r="AA630" s="261">
        <v>4</v>
      </c>
      <c r="AB630" s="233" t="str">
        <f>IF(AND(COUNTBLANK(I602:I605)=0,Group_players=4,M603=M604,M604=M605),IF(X612="","",IF(COUNTIF(X609:X612,X612)=3,"Tied",IF(AND(COUNTIF(X609:X612,X612)=1,X611&lt;&gt;X610),IF(M605=2,IF(SMALL(X609:X612,1)=X612,1,IF(SMALL(X609:X612,2)=X612,2,IF(SMALL(X609:X612,3)=X612,3))),IF(M605=1,IF(SMALL(X609:X612,1)=X612,2,IF(SMALL(X609:X612,2)=X612,3,IF(SMALL(X609:X612,3)=X612,4))),"")),IF(COUNTIF(X609:X612,X612)=1,IF(X612&lt;X610,IF(M605=2,1,2),IF(M605=2,3,4)),IF(COUNTIF(X609:X612,X612)=2,IF(X612=X610,IF(X612&lt;X611,IF(M605=2,IF(Q617=3,1,2),IF(M605=1,IF(Q617=3,2,3))),IF(X612&gt;X611,IF(M605=2,IF(Q617=3,2,3),IF(M605=1,IF(Q617=3,3,4))))),IF(X612=X611,IF(X612&lt;X610,IF(M605=2,IF(Q629=3,1,2),IF(M605=1,IF(Q629=3,2,3))),IF(X612&gt;X610,IF(M605=2,IF(Q629=3,2,3),IF(M605=1,IF(Q629=3,3,4)))))))))))),"")</f>
        <v/>
      </c>
      <c r="AC630" s="192"/>
      <c r="AD630" s="192"/>
      <c r="AE630" s="192"/>
      <c r="AF630" s="203"/>
      <c r="AG630" s="203"/>
      <c r="AH630" s="203"/>
      <c r="AI630" s="203"/>
      <c r="AJ630" s="203"/>
      <c r="AK630" s="203"/>
      <c r="AL630" s="203"/>
      <c r="AM630" s="203"/>
      <c r="AN630" s="192"/>
      <c r="AO630" s="192"/>
      <c r="AP630" s="192"/>
      <c r="AQ630" s="192"/>
      <c r="AR630" s="192"/>
      <c r="AS630" s="192"/>
      <c r="AT630" s="192"/>
      <c r="AU630" s="192"/>
      <c r="AV630" s="192"/>
      <c r="AW630" s="192"/>
      <c r="AX630" s="192"/>
    </row>
    <row r="631" spans="2:50" ht="15" customHeight="1" thickTop="1" x14ac:dyDescent="0.3">
      <c r="B631" s="192"/>
      <c r="C631" s="192"/>
      <c r="D631" s="192"/>
      <c r="E631" s="192"/>
      <c r="F631" s="192"/>
      <c r="G631" s="192"/>
      <c r="H631" s="192"/>
      <c r="I631" s="192"/>
      <c r="J631" s="192"/>
      <c r="K631" s="192"/>
      <c r="L631" s="192"/>
      <c r="M631" s="192"/>
      <c r="N631" s="192"/>
      <c r="O631" s="192"/>
      <c r="P631" s="192"/>
      <c r="Q631" s="192"/>
      <c r="R631" s="192"/>
      <c r="S631" s="192"/>
      <c r="T631" s="203"/>
      <c r="U631" s="192"/>
      <c r="V631" s="192"/>
      <c r="W631" s="192"/>
      <c r="X631" s="192"/>
      <c r="Y631" s="192"/>
      <c r="Z631" s="192"/>
      <c r="AA631" s="192"/>
      <c r="AB631" s="192"/>
      <c r="AC631" s="192"/>
      <c r="AD631" s="192"/>
      <c r="AE631" s="192"/>
      <c r="AF631" s="203"/>
      <c r="AG631" s="203"/>
      <c r="AH631" s="203"/>
      <c r="AI631" s="203"/>
      <c r="AJ631" s="203"/>
      <c r="AK631" s="203"/>
      <c r="AL631" s="203"/>
      <c r="AM631" s="203"/>
      <c r="AN631" s="192"/>
      <c r="AO631" s="192"/>
      <c r="AP631" s="192"/>
      <c r="AQ631" s="192"/>
      <c r="AR631" s="192"/>
      <c r="AS631" s="192"/>
      <c r="AT631" s="192"/>
      <c r="AU631" s="192"/>
      <c r="AV631" s="192"/>
      <c r="AW631" s="192"/>
      <c r="AX631" s="192"/>
    </row>
    <row r="632" spans="2:50" ht="15" customHeight="1" x14ac:dyDescent="0.3">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c r="AA632" s="192"/>
      <c r="AB632" s="192"/>
      <c r="AC632" s="192"/>
      <c r="AD632" s="192"/>
      <c r="AE632" s="192"/>
      <c r="AF632" s="203"/>
      <c r="AG632" s="203"/>
      <c r="AH632" s="203"/>
      <c r="AI632" s="203"/>
      <c r="AJ632" s="203"/>
      <c r="AK632" s="203"/>
      <c r="AL632" s="203"/>
      <c r="AM632" s="203"/>
      <c r="AN632" s="192"/>
      <c r="AO632" s="192"/>
      <c r="AP632" s="192"/>
      <c r="AQ632" s="192"/>
      <c r="AR632" s="192"/>
      <c r="AS632" s="192"/>
      <c r="AT632" s="192"/>
      <c r="AU632" s="192"/>
      <c r="AV632" s="192"/>
      <c r="AW632" s="192"/>
      <c r="AX632" s="192"/>
    </row>
    <row r="633" spans="2:50" ht="15" customHeight="1" x14ac:dyDescent="0.3">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269"/>
      <c r="AA633" s="192"/>
      <c r="AB633" s="192"/>
      <c r="AC633" s="192"/>
      <c r="AD633" s="192"/>
      <c r="AE633" s="192"/>
      <c r="AF633" s="203"/>
      <c r="AG633" s="203"/>
      <c r="AH633" s="203"/>
      <c r="AI633" s="203"/>
      <c r="AJ633" s="203"/>
      <c r="AK633" s="203"/>
      <c r="AL633" s="203"/>
      <c r="AM633" s="203"/>
      <c r="AN633" s="192"/>
      <c r="AO633" s="192"/>
      <c r="AP633" s="192"/>
      <c r="AQ633" s="192"/>
      <c r="AR633" s="192"/>
      <c r="AS633" s="192"/>
      <c r="AT633" s="192"/>
      <c r="AU633" s="192"/>
      <c r="AV633" s="192"/>
      <c r="AW633" s="192"/>
      <c r="AX633" s="192"/>
    </row>
    <row r="634" spans="2:50" ht="15" customHeight="1" x14ac:dyDescent="0.3">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c r="AA634" s="192"/>
      <c r="AB634" s="192"/>
      <c r="AC634" s="192"/>
      <c r="AD634" s="192"/>
      <c r="AE634" s="192"/>
      <c r="AF634" s="203"/>
      <c r="AG634" s="203"/>
      <c r="AH634" s="203"/>
      <c r="AI634" s="203"/>
      <c r="AJ634" s="203"/>
      <c r="AK634" s="203"/>
      <c r="AL634" s="203"/>
      <c r="AM634" s="203"/>
      <c r="AN634" s="192"/>
      <c r="AO634" s="192"/>
      <c r="AP634" s="192"/>
      <c r="AQ634" s="192"/>
      <c r="AR634" s="192"/>
      <c r="AS634" s="192"/>
      <c r="AT634" s="192"/>
      <c r="AU634" s="192"/>
      <c r="AV634" s="192"/>
      <c r="AW634" s="192"/>
      <c r="AX634" s="192"/>
    </row>
    <row r="635" spans="2:50" ht="15" customHeight="1" x14ac:dyDescent="0.3">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c r="AA635" s="192"/>
      <c r="AB635" s="192"/>
      <c r="AC635" s="192"/>
      <c r="AD635" s="192"/>
      <c r="AE635" s="192"/>
      <c r="AF635" s="203"/>
      <c r="AG635" s="203"/>
      <c r="AH635" s="203"/>
      <c r="AI635" s="203"/>
      <c r="AJ635" s="203"/>
      <c r="AK635" s="203"/>
      <c r="AL635" s="203"/>
      <c r="AM635" s="203"/>
      <c r="AN635" s="192"/>
      <c r="AO635" s="192"/>
      <c r="AP635" s="192"/>
      <c r="AQ635" s="192"/>
      <c r="AR635" s="192"/>
      <c r="AS635" s="192"/>
      <c r="AT635" s="192"/>
      <c r="AU635" s="192"/>
      <c r="AV635" s="192"/>
      <c r="AW635" s="192"/>
      <c r="AX635" s="192"/>
    </row>
    <row r="636" spans="2:50" ht="15" customHeight="1" thickBot="1" x14ac:dyDescent="0.4">
      <c r="B636" s="192"/>
      <c r="C636" s="192"/>
      <c r="D636" s="192"/>
      <c r="E636" s="192"/>
      <c r="F636" s="192"/>
      <c r="G636" s="192"/>
      <c r="H636" s="192"/>
      <c r="I636" s="383" t="s">
        <v>140</v>
      </c>
      <c r="J636" s="383"/>
      <c r="K636" s="383"/>
      <c r="L636" s="383"/>
      <c r="M636" s="383"/>
      <c r="N636" s="383"/>
      <c r="O636" s="383"/>
      <c r="P636" s="383"/>
      <c r="Q636" s="383"/>
      <c r="R636" s="383"/>
      <c r="S636" s="192"/>
      <c r="T636" s="192"/>
      <c r="U636" s="370" t="s">
        <v>92</v>
      </c>
      <c r="V636" s="371"/>
      <c r="W636" s="371"/>
      <c r="X636" s="372"/>
      <c r="Y636" s="192"/>
      <c r="Z636" s="192"/>
      <c r="AA636" s="192"/>
      <c r="AB636" s="192"/>
      <c r="AC636" s="192"/>
      <c r="AD636" s="192"/>
      <c r="AE636" s="192"/>
      <c r="AF636" s="203"/>
      <c r="AG636" s="203"/>
      <c r="AH636" s="203"/>
      <c r="AI636" s="203"/>
      <c r="AJ636" s="203"/>
      <c r="AK636" s="203"/>
      <c r="AL636" s="203"/>
      <c r="AM636" s="203"/>
      <c r="AN636" s="192"/>
      <c r="AO636" s="192"/>
      <c r="AP636" s="192"/>
      <c r="AQ636" s="192"/>
      <c r="AR636" s="192"/>
      <c r="AS636" s="192"/>
      <c r="AT636" s="192"/>
      <c r="AU636" s="192"/>
      <c r="AV636" s="192"/>
      <c r="AW636" s="192"/>
      <c r="AX636" s="192"/>
    </row>
    <row r="637" spans="2:50" ht="15" customHeight="1" thickTop="1" thickBot="1" x14ac:dyDescent="0.35">
      <c r="B637" s="192"/>
      <c r="C637" s="192"/>
      <c r="D637" s="192"/>
      <c r="E637" s="192"/>
      <c r="F637" s="192"/>
      <c r="G637" s="192"/>
      <c r="H637" s="192"/>
      <c r="I637" s="400" t="s">
        <v>93</v>
      </c>
      <c r="J637" s="160"/>
      <c r="K637" s="396" t="s">
        <v>94</v>
      </c>
      <c r="L637" s="398" t="s">
        <v>95</v>
      </c>
      <c r="M637" s="390" t="s">
        <v>96</v>
      </c>
      <c r="N637" s="390" t="s">
        <v>97</v>
      </c>
      <c r="O637" s="373" t="s">
        <v>98</v>
      </c>
      <c r="P637" s="373" t="str">
        <f>IF(COUNT(U638:X649)=3,"LM/WM Ratio",IF(COUNT(U638:X649)=6,"LP/WP Ratio",""))</f>
        <v/>
      </c>
      <c r="Q637" s="390" t="s">
        <v>99</v>
      </c>
      <c r="R637" s="392" t="s">
        <v>100</v>
      </c>
      <c r="S637" s="192"/>
      <c r="T637" s="120"/>
      <c r="U637" s="121" t="s">
        <v>101</v>
      </c>
      <c r="V637" s="122" t="s">
        <v>102</v>
      </c>
      <c r="W637" s="122" t="s">
        <v>103</v>
      </c>
      <c r="X637" s="123" t="s">
        <v>104</v>
      </c>
      <c r="Y637" s="380" t="s">
        <v>105</v>
      </c>
      <c r="Z637" s="379"/>
      <c r="AA637" s="378" t="s">
        <v>106</v>
      </c>
      <c r="AB637" s="379"/>
      <c r="AC637" s="192"/>
      <c r="AD637" s="192"/>
      <c r="AE637" s="203"/>
      <c r="AF637" s="203"/>
      <c r="AG637" s="203"/>
      <c r="AH637" s="203"/>
      <c r="AI637" s="203"/>
      <c r="AJ637" s="203"/>
      <c r="AK637" s="203"/>
      <c r="AL637" s="203"/>
      <c r="AM637" s="203"/>
      <c r="AN637" s="192"/>
      <c r="AO637" s="192"/>
      <c r="AP637" s="192"/>
      <c r="AQ637" s="192"/>
      <c r="AR637" s="192"/>
      <c r="AS637" s="192"/>
      <c r="AT637" s="192"/>
      <c r="AU637" s="192"/>
      <c r="AV637" s="192"/>
      <c r="AW637" s="192"/>
      <c r="AX637" s="192"/>
    </row>
    <row r="638" spans="2:50" ht="15" customHeight="1" thickTop="1" thickBot="1" x14ac:dyDescent="0.35">
      <c r="B638" s="192"/>
      <c r="C638" s="192"/>
      <c r="D638" s="192"/>
      <c r="E638" s="192"/>
      <c r="F638" s="192"/>
      <c r="G638" s="192"/>
      <c r="H638" s="192"/>
      <c r="I638" s="401"/>
      <c r="J638" s="161"/>
      <c r="K638" s="397"/>
      <c r="L638" s="399"/>
      <c r="M638" s="391"/>
      <c r="N638" s="391"/>
      <c r="O638" s="374"/>
      <c r="P638" s="374"/>
      <c r="Q638" s="391"/>
      <c r="R638" s="393"/>
      <c r="S638" s="192"/>
      <c r="T638" s="208">
        <v>1</v>
      </c>
      <c r="U638" s="209" t="str">
        <f>IF(M639="","",IF(COUNTIF(M639:M641,M639)=3,IF(COUNTBLANK(I639:I642)=1,(Q651+Q657)/(Q650+Q656),IF(COUNTBLANK(I639:I642)=0,(Q663+Q651)/(Q662+Q650),"")),""))</f>
        <v/>
      </c>
      <c r="V638" s="125" t="str">
        <f>IF(AND(COUNTBLANK(I639:I642)=0,M639=M641,M641=M642),(Q651+Q657)/(Q650+Q656),"")</f>
        <v/>
      </c>
      <c r="W638" s="210" t="str">
        <f>IF(AND(COUNTBLANK(I639:I642)=0,M639=M640,M640=M642),(Q663+Q657)/(Q662+Q656),"")</f>
        <v/>
      </c>
      <c r="X638" s="211"/>
      <c r="Y638" s="169" t="s">
        <v>93</v>
      </c>
      <c r="Z638" s="170" t="s">
        <v>107</v>
      </c>
      <c r="AA638" s="169" t="s">
        <v>93</v>
      </c>
      <c r="AB638" s="170" t="s">
        <v>107</v>
      </c>
      <c r="AC638" s="192"/>
      <c r="AD638" s="192"/>
      <c r="AE638" s="192"/>
      <c r="AF638" s="203"/>
      <c r="AG638" s="203"/>
      <c r="AH638" s="203"/>
      <c r="AI638" s="203"/>
      <c r="AJ638" s="203"/>
      <c r="AK638" s="203"/>
      <c r="AL638" s="203"/>
      <c r="AM638" s="203"/>
      <c r="AN638" s="192"/>
      <c r="AO638" s="192"/>
      <c r="AP638" s="192"/>
      <c r="AQ638" s="192"/>
      <c r="AR638" s="192"/>
      <c r="AS638" s="192"/>
      <c r="AT638" s="192"/>
      <c r="AU638" s="192"/>
      <c r="AV638" s="192"/>
      <c r="AW638" s="192"/>
      <c r="AX638" s="192"/>
    </row>
    <row r="639" spans="2:50" ht="15" customHeight="1" thickTop="1" thickBot="1" x14ac:dyDescent="0.35">
      <c r="B639" s="192"/>
      <c r="C639" s="192"/>
      <c r="D639" s="192"/>
      <c r="E639" s="192"/>
      <c r="F639" s="192" t="str">
        <f>IF(I639="","",VLOOKUP(I639,Siembra,2,FALSE))</f>
        <v/>
      </c>
      <c r="G639" s="192" t="str">
        <f>O639</f>
        <v/>
      </c>
      <c r="H639" s="192">
        <v>1</v>
      </c>
      <c r="I639" s="128" t="str">
        <f>IF(K639="","",IF(ISNUMBER(Sorteo!$A$17),VLOOKUP(K639,Draw,2,FALSE),""))</f>
        <v/>
      </c>
      <c r="J639" s="129" t="str">
        <f>O639</f>
        <v/>
      </c>
      <c r="K639" s="130" t="str">
        <f>IF($K$9="","",IF(Group_players=4,IF(Tablas!BY$3="","",Tablas!BY$3),IF(Group_players=3,IF(Tablas!BY$11="","",Tablas!BY$11),"")))</f>
        <v/>
      </c>
      <c r="L639" s="131" t="str">
        <f>IF(K639="","",VLOOKUP(I639,Siembra,3,FALSE))</f>
        <v/>
      </c>
      <c r="M639" s="132" t="str">
        <f>IF(AND(Q650="",Q651=""),"",IF(I639="","",SUMIFS(E650:E666,I650:I666,I639)))</f>
        <v/>
      </c>
      <c r="N639" s="132" t="str">
        <f>IF(M639="","",IF(I639="","",SUMIFS(F650:F666,I650:I666,I639)))</f>
        <v/>
      </c>
      <c r="O639" s="132" t="str">
        <f>IF(M639="","",IF(COUNTBLANK(I639:I642)=1,IF(M639=2,1,IF(M639=0,3,IF(AND(M639=1,M640&lt;&gt;1),2,IF(COUNTIF(M639:M641,1)&gt;1,Z639)))),IF(COUNTBLANK(I639:I642)=0,IF(COUNTIF(M639:M642,M639)=1,IF(M639=3,1,IF(M639=2,2,IF(M639=1,3,IF(M639=0,4)))),IF(Group_players=3,Z639,IF(COUNTIF(M639:M642,M639)=2,AB639,IF(AND(M639=M640,M640=M641),AB643,IF(AND(M639=M641,M641=M642),AB646,IF(AND(M639=M640,M640=M642),AB649,"")))))),99)))</f>
        <v/>
      </c>
      <c r="P639" s="133" t="str">
        <f>IF(COUNT(U638:X649)=3,IF(ISNUMBER(U638),U638,IF(ISNUMBER(V638),V638,IF(ISNUMBER(W638),W638,IF(X638="","")))),IF(COUNT(U638:X649)=6,IF(ISNUMBER(U646),U646,IF(ISNUMBER(V646),V646,IF(ISNUMBER(W646),W646,IF(ISBLANK(X638),"")))),""))</f>
        <v/>
      </c>
      <c r="Q639" s="132" t="str">
        <f>IF(M639="","",SUMIF(I650:S666,I639,S650:S666))</f>
        <v/>
      </c>
      <c r="R639" s="134" t="str">
        <f>IF(M639="","",L639+Q639)</f>
        <v/>
      </c>
      <c r="S639" s="203"/>
      <c r="T639" s="208">
        <v>2</v>
      </c>
      <c r="U639" s="209" t="str">
        <f>IF(M640="","",IF(COUNTIF(M639:M641,M640)=3,IF(COUNTBLANK(I639:I642)=1,(Q654+Q656)/(Q653+Q657),IF(COUNTBLANK(I639:I642)=0,(Q660+Q662)/(Q659+Q663),"")),""))</f>
        <v/>
      </c>
      <c r="V639" s="135"/>
      <c r="W639" s="212" t="str">
        <f>IF(AND(COUNTBLANK(I639:I642)=0,M640=M639,M639=M642),(Q662+Q654)/(Q663+Q653),"")</f>
        <v/>
      </c>
      <c r="X639" s="213" t="str">
        <f>IF(AND(COUNTBLANK(I639:I642)=0,M640=M641,M641=M642),(Q660+Q654)/(Q659+Q653),"")</f>
        <v/>
      </c>
      <c r="Y639" s="214">
        <v>1</v>
      </c>
      <c r="Z639" s="215" t="str">
        <f>IF(U638="","",IF(OR(Group_players=3,AND(Group_players=4,COUNTBLANK(I639:I642)=1)),IF(COUNTIF(M639:M641,M639)=1,"",IF(AND(U638=U639,U639=U640),Z643,IF(AND(U638&lt;&gt;U639,U638&lt;&gt;U640,U639&lt;&gt;U640),(IF(SMALL(U638:U640,1)=U638,1,IF(SMALL(U638:U640,2)=U638,2,IF(SMALL(U638:U640,3)=U638,3)))),IF(AND(U638&lt;U639,U639=U640),1,IF(AND(U638&gt;U639,U639=U640),3,IF(AND(U638=U639,U638&lt;U640),(IF(Q656=3,1,2)),IF(AND(U638=U639,U638&gt;U640),(IF(Q656=3,2,3)),IF(AND(U638=U640,U638&lt;U639),(IF(Q650=3,1,2)),IF(AND(U638=U640,U638&gt;U639),(IF(Q650=3,2,3)),99))))))))),""))</f>
        <v/>
      </c>
      <c r="AA639" s="216">
        <v>1</v>
      </c>
      <c r="AB639" s="217" t="str">
        <f>IF(COUNTIF(M639:M642,M639)&lt;&gt;2,"",IF(COUNTIF(M639:M642,M639)=1,"",IF(AND(COUNTIF(M639:M642,M639)=2,M639=2),IF(M639=M640,IF(Q662=3,1,2),IF(M639=M641,IF(Q650=3,1,2),IF(M639=M642,IF(Q656=3,1,2)))),IF(AND(COUNTIF(M639:M642,M639)=2,M639=1),IF(M639=M640,IF(Q662=3,3,4),IF(M639=M641,IF(Q650=3,3,4),IF(M639=M642,IF(Q656=3,3,4)))),IF(COUNTIF(M639:M642,M639)=3,AB643)))))</f>
        <v/>
      </c>
      <c r="AC639" s="192"/>
      <c r="AD639" s="192"/>
      <c r="AE639" s="192"/>
      <c r="AF639" s="203"/>
      <c r="AG639" s="203"/>
      <c r="AH639" s="203"/>
      <c r="AI639" s="203"/>
      <c r="AJ639" s="203"/>
      <c r="AK639" s="203"/>
      <c r="AL639" s="203"/>
      <c r="AM639" s="203"/>
      <c r="AN639" s="192"/>
      <c r="AO639" s="192"/>
      <c r="AP639" s="192"/>
      <c r="AQ639" s="192"/>
      <c r="AR639" s="192"/>
      <c r="AS639" s="192"/>
      <c r="AT639" s="192"/>
      <c r="AU639" s="192"/>
      <c r="AV639" s="192"/>
      <c r="AW639" s="192"/>
      <c r="AX639" s="192"/>
    </row>
    <row r="640" spans="2:50" ht="15" customHeight="1" thickTop="1" thickBot="1" x14ac:dyDescent="0.35">
      <c r="B640" s="192"/>
      <c r="C640" s="192"/>
      <c r="D640" s="192"/>
      <c r="E640" s="192"/>
      <c r="F640" s="192" t="str">
        <f>IF(I640="","",VLOOKUP(I640,Siembra,2,FALSE))</f>
        <v/>
      </c>
      <c r="G640" s="192" t="str">
        <f>O640</f>
        <v/>
      </c>
      <c r="H640" s="192">
        <v>2</v>
      </c>
      <c r="I640" s="128" t="str">
        <f>IF(K640="","",IF(ISNUMBER(Sorteo!$A$17),VLOOKUP(K640,Draw,2,FALSE),""))</f>
        <v/>
      </c>
      <c r="J640" s="129" t="str">
        <f>O640</f>
        <v/>
      </c>
      <c r="K640" s="136" t="str">
        <f>IF($K$9="","",IF(Group_players=4,IF(Tablas!BY$4="","",Tablas!BY$4),IF(Group_players=3,IF(Tablas!BY$12="","",Tablas!BY$12),"")))</f>
        <v/>
      </c>
      <c r="L640" s="137" t="str">
        <f>IF(K640="","",VLOOKUP(I640,Siembra,3,FALSE))</f>
        <v/>
      </c>
      <c r="M640" s="132" t="str">
        <f>IF(AND(L650="",L651=""),"",IF(I640="","",SUMIFS(E650:E667,I650:I667,I640)))</f>
        <v/>
      </c>
      <c r="N640" s="138" t="str">
        <f>IF(M640="","",IF(I640="","",SUMIFS(F650:F666,I650:I666,I640)))</f>
        <v/>
      </c>
      <c r="O640" s="132" t="str">
        <f>IF(M640="","",IF(COUNTBLANK(I639:I642)=1,IF(M640=2,1,IF(M640=0,3,IF(AND(M640=1,M641&lt;&gt;1),2,IF(COUNTIF(M639:M642,1)&gt;1,Z640)))),IF(COUNTBLANK(I639:I642)=0,IF(COUNTIF(M639:M642,M640)=1,IF(M640=3,1,IF(M640=2,2,IF(M640=1,3,IF(M640=0,4)))),IF(Group_players=3,Z640,IF(COUNTIF(M639:M642,M640)=2,AB640,IF(AND(M640=M639,M639=M641),AB644,IF(AND(M640=M639,M639=M642),AB650,IF(AND(M640=M641,M641=M642),AB652,"")))))))))</f>
        <v/>
      </c>
      <c r="P640" s="133" t="str">
        <f>IF(COUNT(U638:X649)=3,IF(ISNUMBER(U639),U639,IF(ISNUMBER(W639),W639,IF(ISNUMBER(X639),X639,IF(X639="","")))),IF(COUNT(U638:X649)=6,IF(ISNUMBER(U647),U647,IF(ISNUMBER(W647),W647,IF(ISNUMBER(X647),X647,IF(ISBLANK(X646),"")))),""))</f>
        <v/>
      </c>
      <c r="Q640" s="138" t="str">
        <f>IF(M640="","",SUMIF(I650:S666,I640,S650:$S666))</f>
        <v/>
      </c>
      <c r="R640" s="139" t="str">
        <f>IF(M640="","",L640+Q640)</f>
        <v/>
      </c>
      <c r="S640" s="203"/>
      <c r="T640" s="208">
        <v>3</v>
      </c>
      <c r="U640" s="209" t="str">
        <f>IF(M641="","",IF(COUNTIF(M639:M641,M641)=3,IF(COUNTBLANK(I639:I642)=1,(Q650+Q653)/(Q651+Q654),IF(COUNTBLANK(I639:I642)=0,(Q650+Q659)/(Q651+Q660),"")),""))</f>
        <v/>
      </c>
      <c r="V640" s="125" t="str">
        <f>IF(AND(COUNTBLANK(I639:I642)=0,M641=M642,M642=M639),(Q650+Q666)/(Q651+Q665),"")</f>
        <v/>
      </c>
      <c r="W640" s="218"/>
      <c r="X640" s="213" t="str">
        <f>IF(AND(COUNTBLANK(I639:I642)=0,M641=M642,M642=M640),(Q659+Q666)/(Q660+Q665),"")</f>
        <v/>
      </c>
      <c r="Y640" s="219">
        <v>2</v>
      </c>
      <c r="Z640" s="220" t="str">
        <f>IF(U639="","",IF(OR(Group_players=3,AND(Group_players=4,COUNTBLANK(I639:I642)=1)),IF(COUNTIF(M639:M641,M640)=1,"",IF(AND(U639=U638,U639=U640),Z644,IF(AND(U639&lt;&gt;U638,U639&lt;&gt;U640,U638&lt;&gt;U640),(IF(SMALL(U638:U640,1)=U639,1,IF(SMALL(U638:U640,2)=U639,2,IF(SMALL(U638:U640,3)=U639,3)))),IF(AND(U639&lt;U638,U638=U640),1,IF(AND(U639&gt;U638,U638=U640),3,IF(AND(U639=U638,U639&lt;U640),(IF(Q657=3,1,2)),IF(AND(U639=U638,U639&gt;U640),(IF(Q657=3,2,3)),IF(AND(U639=U640,U639&lt;U638),(IF(Q653=3,1,2)),IF(AND(U639=U640,U639&gt;U638),(IF(Q653=3,2,3)),99))))))))),""))</f>
        <v/>
      </c>
      <c r="AA640" s="221">
        <v>2</v>
      </c>
      <c r="AB640" s="222" t="str">
        <f>IF(COUNTIF(M639:M642,M640)&lt;&gt;2,"",IF(COUNTIF(M639:M642,M640)=1,"",IF(AND(COUNTIF(M639:M642,M640)=2,M640=2),IF(M640=M639,IF(Q663=3,1,2),IF(M640=M641,IF(Q659=3,1,2),IF(M640=M642,IF(Q653=3,1,2)))),IF(AND(COUNTIF(M639:M642,M640)=2,M640=1),IF(M640=M639,IF(Q663=3,3,4),IF(M640=M641,IF(Q659=3,3,4),IF(M640=M642,IF(Q653=3,3,4)))),AB645))))</f>
        <v/>
      </c>
      <c r="AC640" s="192"/>
      <c r="AD640" s="192"/>
      <c r="AE640" s="192"/>
      <c r="AF640" s="203"/>
      <c r="AG640" s="203"/>
      <c r="AH640" s="203"/>
      <c r="AI640" s="203"/>
      <c r="AJ640" s="203"/>
      <c r="AK640" s="203"/>
      <c r="AL640" s="203"/>
      <c r="AM640" s="203"/>
      <c r="AN640" s="192"/>
      <c r="AO640" s="192"/>
      <c r="AP640" s="192"/>
      <c r="AQ640" s="192"/>
      <c r="AR640" s="192"/>
      <c r="AS640" s="192"/>
      <c r="AT640" s="192"/>
      <c r="AU640" s="192"/>
      <c r="AV640" s="192"/>
      <c r="AW640" s="192"/>
      <c r="AX640" s="192"/>
    </row>
    <row r="641" spans="2:50" ht="15" customHeight="1" thickBot="1" x14ac:dyDescent="0.35">
      <c r="B641" s="192"/>
      <c r="C641" s="192"/>
      <c r="D641" s="192"/>
      <c r="E641" s="192"/>
      <c r="F641" s="192" t="str">
        <f>IF(I641="","",VLOOKUP(I641,Siembra,2,FALSE))</f>
        <v/>
      </c>
      <c r="G641" s="192" t="str">
        <f>O641</f>
        <v/>
      </c>
      <c r="H641" s="192">
        <v>3</v>
      </c>
      <c r="I641" s="128" t="str">
        <f>IF(K641="","",IF(ISNUMBER(Sorteo!$A$17),VLOOKUP(K641,Draw,2,FALSE),""))</f>
        <v/>
      </c>
      <c r="J641" s="129" t="str">
        <f>O641</f>
        <v/>
      </c>
      <c r="K641" s="136" t="str">
        <f>IF($K$9="","",IF(Group_players=4,IF(Tablas!BY$5="","",Tablas!BY$5),IF(Group_players=3,IF(Tablas!BY$13="","",Tablas!BY$13),"")))</f>
        <v/>
      </c>
      <c r="L641" s="137" t="str">
        <f>IF(K641="","",VLOOKUP(I641,Siembra,3,FALSE))</f>
        <v/>
      </c>
      <c r="M641" s="132" t="str">
        <f>IF(AND(L651="",L650=""),"",IF(I641="","",SUMIFS(E650:E668,I650:I668,I641)))</f>
        <v/>
      </c>
      <c r="N641" s="138" t="str">
        <f>IF(M641="","",IF(I641="","",SUMIFS(F650:F666,I650:I666,I641)))</f>
        <v/>
      </c>
      <c r="O641" s="132" t="str">
        <f>IF(M641="","",IF(COUNTBLANK(I639:I642)=1,IF(M641=2,1,IF(M641=0,3,IF(AND(M641=1,M641&lt;&gt;M639),2,IF(COUNTIF(M639:M642,1)&gt;1,Z641)))),IF(COUNTBLANK(I639:I642)=0,IF(COUNTIF(M639:M642,M641)=1,IF(M641=3,1,IF(M641=2,2,IF(M641=1,3,IF(M641=0,4)))),IF(Group_players=3,Z641,IF(COUNTIF(M639:M642,M641)=2,AB641,IF(AND(M641=M639,M639=M640),AB645,IF(AND(M641=M639,M639=M642),AB647,IF(AND(M641=M640,M640=M642),AB653,"")))))))))</f>
        <v/>
      </c>
      <c r="P641" s="133" t="str">
        <f>IF(COUNT(U638:X649)=3,IF(ISNUMBER(U640),U640,IF(ISNUMBER(V640),V640,IF(ISNUMBER(X640),X640,IF(W640="","")))),IF(COUNT(U638:X649)=6,IF(ISNUMBER(U648),U648,IF(ISNUMBER(V648),V648,IF(ISNUMBER(X648),X648,""))),""))</f>
        <v/>
      </c>
      <c r="Q641" s="138" t="str">
        <f>IF(M641="","",SUMIF(I650:S666,I641,S650:S666))</f>
        <v/>
      </c>
      <c r="R641" s="139" t="str">
        <f>IF(M641="","",L641+Q641)</f>
        <v/>
      </c>
      <c r="S641" s="203"/>
      <c r="T641" s="208">
        <v>4</v>
      </c>
      <c r="U641" s="223"/>
      <c r="V641" s="140" t="str">
        <f>IF(AND(COUNTBLANK(I639:I642)=0,M642=M639,M639=M641),(Q656+Q665)/(Q657+Q666),"")</f>
        <v/>
      </c>
      <c r="W641" s="224" t="str">
        <f>IF(AND(COUNTBLANK(I639:I642)=0,M642=M639,M639=M640),(Q656+Q653)/(Q657+Q654),"")</f>
        <v/>
      </c>
      <c r="X641" s="225" t="str">
        <f>IF(AND(COUNTBLANK(I639:I642)=0,M642=M640,M640=M641),(Q653+Q665)/(Q654+Q666),"")</f>
        <v/>
      </c>
      <c r="Y641" s="226">
        <v>3</v>
      </c>
      <c r="Z641" s="227" t="str">
        <f>IF(U640="","",IF(OR(Group_players=3,AND(Group_players=4,COUNTBLANK(I639:I642)=1)),IF(COUNTIF(M639:M641,M641)=1,"",IF(AND(U640=U638,U640=U639),Z645,IF(AND(U640&lt;&gt;U639,U639&lt;&gt;U638,U640&lt;&gt;U638),(IF(SMALL(U638:U640,1)=U640,1,IF(SMALL(U638:U640,2)=U640,2,IF(SMALL(U638:U640,3)=U640,3)))),IF(AND(U640&lt;U639,U639=U638),1,IF(AND(U640&gt;U639,U639=U638),3,IF(AND(U640=U639,U640&lt;U638),(IF(Q654=3,1,2)),IF(AND(U640=U639,U640&gt;U638),(IF(Q654=3,2,3)),IF(AND(U640=U638,U640&lt;U639),(IF(Q651=3,1,2)),IF(AND(U640=U638,U640&gt;U639),(IF(Q651=3,2,3)),99))))))))),""))</f>
        <v/>
      </c>
      <c r="AA641" s="221">
        <v>3</v>
      </c>
      <c r="AB641" s="222" t="str">
        <f>IF(COUNTIF(M639:M642,M641)&lt;&gt;2,"",IF(COUNTIF(M639:M642,M641)=1,"",IF(AND(COUNTIF(M639:M642,M641)=2,M641=2),IF(M641=M639,IF(Q651=3,1,2),IF(M641=M640,IF(Q660=3,1,2),IF(M641=M642,IF(Q665=3,1,2)))),IF(AND(COUNTIF(M639:M642,M641)=2,M641=1),IF(M641=M639,IF(Q651=3,3,4),IF(M641=M640,IF(Q660=3,3,4),IF(M641=M642,IF(Q665=3,3,4)))),AB645))))</f>
        <v/>
      </c>
      <c r="AC641" s="192"/>
      <c r="AD641" s="192"/>
      <c r="AE641" s="192"/>
      <c r="AF641" s="203"/>
      <c r="AG641" s="203"/>
      <c r="AH641" s="203"/>
      <c r="AI641" s="203"/>
      <c r="AJ641" s="203"/>
      <c r="AK641" s="203"/>
      <c r="AL641" s="203"/>
      <c r="AM641" s="203"/>
      <c r="AN641" s="192"/>
      <c r="AO641" s="192"/>
      <c r="AP641" s="192"/>
      <c r="AQ641" s="192"/>
      <c r="AR641" s="192"/>
      <c r="AS641" s="192"/>
      <c r="AT641" s="192"/>
      <c r="AU641" s="192"/>
      <c r="AV641" s="192"/>
      <c r="AW641" s="192"/>
      <c r="AX641" s="192"/>
    </row>
    <row r="642" spans="2:50" ht="15" customHeight="1" thickTop="1" thickBot="1" x14ac:dyDescent="0.35">
      <c r="B642" s="192"/>
      <c r="C642" s="192"/>
      <c r="D642" s="192"/>
      <c r="E642" s="192"/>
      <c r="F642" s="192" t="str">
        <f>IF(I642="","",VLOOKUP(I642,Siembra,2,FALSE))</f>
        <v/>
      </c>
      <c r="G642" s="192" t="str">
        <f>O642</f>
        <v/>
      </c>
      <c r="H642" s="192">
        <v>4</v>
      </c>
      <c r="I642" s="141" t="str">
        <f>IF(K642="","",IF(ISNUMBER(Sorteo!$A$17),VLOOKUP(K642,Draw,2,FALSE),""))</f>
        <v/>
      </c>
      <c r="J642" s="142" t="str">
        <f>O642</f>
        <v/>
      </c>
      <c r="K642" s="143" t="str">
        <f>IF($K$9="","",IF(Group_players=4,IF(Tablas!BY6="","",Tablas!BY6),""))</f>
        <v/>
      </c>
      <c r="L642" s="144" t="str">
        <f>IF(K642="","",VLOOKUP(I642,Siembra,3,FALSE))</f>
        <v/>
      </c>
      <c r="M642" s="145" t="str">
        <f>IF(AND(Q653="",Q654=""),"",IF(I642="","",SUMIFS(E650:E669,I650:I669,I642)))</f>
        <v/>
      </c>
      <c r="N642" s="145" t="str">
        <f>IF(M642="","",IF(I642="","",SUMIFS(F650:F666,I650:I666,I642)))</f>
        <v/>
      </c>
      <c r="O642" s="145" t="str">
        <f>IF(M642="","",IF(COUNTIF(M639:M642,M642)=1,IF(M642=3,1,IF(M642=2,2,IF(M642=1,3,IF(M642=0,4)))),IF(COUNTIF(M639:M642,M642)=2,AB642,IF(AND(M642=M639,M639=M641),AB648,IF(AND(M642=M639,M639=M640),AB651,IF(AND(M642=M640,M640=M641),AB654,""))))))</f>
        <v/>
      </c>
      <c r="P642" s="146" t="str">
        <f>IF(COUNT(U638:X649)=3,IF(ISNUMBER(V641),V641,IF(ISNUMBER(W641),W641,IF(ISNUMBER(X641),X641,IF(X641="","")))),IF(COUNT(U638:X649)=6,IF(ISNUMBER(V649),V649,IF(ISNUMBER(W649),W649,IF(ISNUMBER(X649),X649,""))),""))</f>
        <v/>
      </c>
      <c r="Q642" s="145" t="str">
        <f>IF(M642="","",SUMIF(I650:S666,I642,S650:$S666))</f>
        <v/>
      </c>
      <c r="R642" s="147" t="str">
        <f>IF(M642="","",L642+Q642)</f>
        <v/>
      </c>
      <c r="S642" s="203"/>
      <c r="T642" s="192"/>
      <c r="U642" s="192"/>
      <c r="V642" s="192"/>
      <c r="W642" s="192"/>
      <c r="X642" s="192"/>
      <c r="Y642" s="230" t="s">
        <v>93</v>
      </c>
      <c r="Z642" s="231" t="s">
        <v>110</v>
      </c>
      <c r="AA642" s="232">
        <v>4</v>
      </c>
      <c r="AB642" s="233" t="str">
        <f>IF(COUNTIF(M639:M642,M642)&lt;&gt;2,"",IF(COUNTIF(M639:M642,M642)=1,"",IF(AND(COUNTIF(M639:M642,M642)=2,M642=2),IF(M642=M639,IF(Q657=3,1,2),IF(M642=M640,IF(Q654=3,1,2),IF(M642=M641,IF(Q666=3,1,2)))),IF(AND(COUNTIF(M639:M642,M642)=2,M642=1),IF(M642=M639,IF(Q657=3,3,4),IF(M642=M640,IF(Q654=3,3,4),IF(M642=M641,IF(Q666=3,3,4)))),AB648))))</f>
        <v/>
      </c>
      <c r="AC642" s="192"/>
      <c r="AD642" s="192"/>
      <c r="AE642" s="192"/>
      <c r="AF642" s="203"/>
      <c r="AG642" s="203"/>
      <c r="AH642" s="203"/>
      <c r="AI642" s="203"/>
      <c r="AJ642" s="203"/>
      <c r="AK642" s="203"/>
      <c r="AL642" s="203"/>
      <c r="AM642" s="203"/>
      <c r="AN642" s="192"/>
      <c r="AO642" s="192"/>
      <c r="AP642" s="192"/>
      <c r="AQ642" s="192"/>
      <c r="AR642" s="192"/>
      <c r="AS642" s="192"/>
      <c r="AT642" s="192"/>
      <c r="AU642" s="192"/>
      <c r="AV642" s="192"/>
      <c r="AW642" s="192"/>
      <c r="AX642" s="192"/>
    </row>
    <row r="643" spans="2:50" ht="15" customHeight="1" thickTop="1" x14ac:dyDescent="0.3">
      <c r="B643" s="192"/>
      <c r="C643" s="192"/>
      <c r="D643" s="192"/>
      <c r="E643" s="192"/>
      <c r="F643" s="192"/>
      <c r="G643" s="192"/>
      <c r="H643" s="192"/>
      <c r="I643" s="192"/>
      <c r="J643" s="192"/>
      <c r="K643" s="192"/>
      <c r="L643" s="192"/>
      <c r="M643" s="192"/>
      <c r="N643" s="192"/>
      <c r="O643" s="192"/>
      <c r="P643" s="192"/>
      <c r="Q643" s="192"/>
      <c r="R643" s="192"/>
      <c r="S643" s="192"/>
      <c r="T643" s="208"/>
      <c r="U643" s="192"/>
      <c r="V643" s="148"/>
      <c r="W643" s="148"/>
      <c r="X643" s="234"/>
      <c r="Y643" s="214">
        <v>1</v>
      </c>
      <c r="Z643" s="215" t="str">
        <f>IF(U646="","",IF(OR(Group_players=3,AND(Group_players=4,COUNTBLANK(I639:I642)=1)),IF(COUNTIF(M639:M641,M639)=1,"",IF(COUNTIF(U638:U640,U638)=3,IF(AND(U646=U647,U647=U648),"Tied",IF(AND(U646&lt;&gt;U647,U646&lt;&gt;U648,U647&lt;&gt;U648),(IF(SMALL(U646:U648,1)=U646,1,IF(SMALL(U646:U648,2)=U646,2,IF(SMALL(U646:U648,3)=U646,3)))),IF(AND(U646&lt;U647,U647=U648),1,IF(AND(U646&gt;U647,U647=U648),3,IF(AND(U646=U647,U646&lt;U648),(IF(Q656=3,1,2)),IF(AND(U646=U647,U646&gt;U648),(IF(Q656=3,2,3)),IF(AND(U646=U648,U646&lt;U647),(IF(Q650=3,1,2)),IF(AND(U646=U648,U646&gt;U647),(IF(Q650=3,2,3)),99)))))))),"")),""))</f>
        <v/>
      </c>
      <c r="AA643" s="208">
        <v>1</v>
      </c>
      <c r="AB643" s="222" t="str">
        <f>IF(AND(COUNTBLANK(I639:I642)=0,Group_players=4,M639=M640,M640=M641),IF(COUNTIF(U638:U641,U638)=3,AB656,IF(AND(COUNTIF(U638:U641,U638)=1,U639&lt;&gt;U640),IF(M639=2,IF(SMALL(U638:U641,1)=U638,1,IF(SMALL(U638:U641,2)=U638,2,IF(SMALL(U638:U641,3)=U638,3))),IF(M639=1,IF(SMALL(U638:U641,1)=U638,2,IF(SMALL(U638:U641,2)=U638,3,IF(SMALL(U638:U641,3)=U638,4))),"")),IF(COUNTIF(U638:U641,U638)=1,IF(U638&lt;U639,IF(M639=2,1,2),IF(M639=2,3,4)),IF(COUNTIF(U638:U641,U638)=2,IF(U638=U639,IF(U638&lt;U640,IF(M639=2,IF(Q662=3,1,2),IF(M639=1,IF(Q662=3,2,3))),IF(U638&gt;U640,IF(M639=2,IF(Q662=3,2,3),IF(M639=1,IF(Q662=3,3,4))))),IF(U638=U640,IF(U638&lt;U639,IF(M639=2,IF(Q650=3,1,2),IF(M639=1,IF(Q650=3,2,3))),IF(U638&gt;U639,IF(M639=2,IF(Q650=3,2,3),IF(M639=1,IF(Q650=3,3,4))))))),"")))),"")</f>
        <v/>
      </c>
      <c r="AC643" s="192"/>
      <c r="AD643" s="192"/>
      <c r="AE643" s="269"/>
      <c r="AF643" s="203"/>
      <c r="AG643" s="203"/>
      <c r="AH643" s="203"/>
      <c r="AI643" s="203"/>
      <c r="AJ643" s="203"/>
      <c r="AK643" s="203"/>
      <c r="AL643" s="203"/>
      <c r="AM643" s="203"/>
      <c r="AN643" s="192"/>
      <c r="AO643" s="192"/>
      <c r="AP643" s="192"/>
      <c r="AQ643" s="192"/>
      <c r="AR643" s="192"/>
      <c r="AS643" s="192"/>
      <c r="AT643" s="192"/>
      <c r="AU643" s="192"/>
      <c r="AV643" s="192"/>
      <c r="AW643" s="192"/>
      <c r="AX643" s="192"/>
    </row>
    <row r="644" spans="2:50" ht="15" customHeight="1" thickBot="1" x14ac:dyDescent="0.35">
      <c r="B644" s="192"/>
      <c r="C644" s="192"/>
      <c r="D644" s="192"/>
      <c r="E644" s="192"/>
      <c r="F644" s="192"/>
      <c r="G644" s="192"/>
      <c r="H644" s="192"/>
      <c r="I644" s="269"/>
      <c r="J644" s="269"/>
      <c r="K644" s="192"/>
      <c r="L644" s="192"/>
      <c r="M644" s="192"/>
      <c r="N644" s="192"/>
      <c r="O644" s="192"/>
      <c r="P644" s="192"/>
      <c r="Q644" s="192"/>
      <c r="R644" s="192"/>
      <c r="S644" s="192"/>
      <c r="T644" s="208"/>
      <c r="U644" s="368" t="s">
        <v>111</v>
      </c>
      <c r="V644" s="369"/>
      <c r="W644" s="369"/>
      <c r="X644" s="369"/>
      <c r="Y644" s="236">
        <v>2</v>
      </c>
      <c r="Z644" s="220" t="str">
        <f>IF(U639="","",IF(OR(Group_players=3,AND(Group_players=4,COUNTBLANK(I639:I642)=1)),IF(COUNTIF(M639:M641,M640)=1,"",IF(COUNTIF(U638:U640,U639)=3,IF(AND(U647=U646,U647=U648),"Tied",IF(AND(U647&lt;&gt;U646,U647&lt;&gt;U648,U646&lt;&gt;U648),(IF(SMALL(U646:U648,1)=U647,1,IF(SMALL(U646:U648,2)=U647,2,IF(SMALL(U646:U648,3)=U647,3)))),IF(AND(U647&lt;U646,U646=U648),1,IF(AND(U647&gt;U646,U646=U648),3,IF(AND(U647=U646,U647&lt;U648),(IF(Q657=3,1,2)),IF(AND(U647=U646,U647&gt;U648),(IF(Q657=3,2,3)),IF(AND(U647=U648,U647&lt;U646),(IF(Q653=3,1,2)),IF(AND(U647=U648,U647&gt;U646),(IF(Q653=3,2,3)),99)))))))),"")),""))</f>
        <v/>
      </c>
      <c r="AA644" s="208">
        <v>2</v>
      </c>
      <c r="AB644" s="222" t="str">
        <f>IF(AND(COUNTBLANK(I639:I642)=0,Group_players=4,M639=M640,M640=M641),IF(COUNTIF(U638:U641,U639)=3,AB657,IF(AND(COUNTIF(U638:U641,U639)=1,U638&lt;&gt;U640),IF(M640=2,IF(SMALL(U638:U641,1)=U639,1,IF(SMALL(U638:U641,2)=U639,2,IF(SMALL(U638:U641,3)=U639,3))),IF(M640=1,IF(SMALL(U638:U641,1)=U639,2,IF(SMALL(U638:U641,2)=U639,3,IF(SMALL(U638:U641,3)=U639,4))),"")),IF(COUNTIF(U638:U640,U639)=1,IF(U639&lt;U638,IF(M640=2,1,2),IF(M640=2,3,99)),IF(COUNTIF(U638:U641,U639)=2,IF(U639=U638,IF(U639&lt;U640,IF(M640=2,IF(Q663=3,1,2),IF(M640=1,IF(Q663=3,2,3))),IF(U639&gt;U640,IF(M640=2,IF(Q663=3,2,3),IF(M640=1,IF(Q663=3,3,4))))),IF(U639=U640,IF(U639&lt;U638,IF(M640=2,IF(Q659=3,1,2),IF(M640=1,IF(Q659=3,2,3))),IF(U639&gt;U638,IF(M640=2,IF(Q659=3,2,3),IF(M640=1,IF(Q659=3,3,4))))))),"")))),"")</f>
        <v/>
      </c>
      <c r="AC644" s="192"/>
      <c r="AD644" s="192"/>
      <c r="AE644" s="192"/>
      <c r="AF644" s="203"/>
      <c r="AG644" s="203"/>
      <c r="AH644" s="203"/>
      <c r="AI644" s="203"/>
      <c r="AJ644" s="203"/>
      <c r="AK644" s="203"/>
      <c r="AL644" s="203"/>
      <c r="AM644" s="203"/>
      <c r="AN644" s="192"/>
      <c r="AO644" s="192"/>
      <c r="AP644" s="192"/>
      <c r="AQ644" s="192"/>
      <c r="AR644" s="192"/>
      <c r="AS644" s="192"/>
      <c r="AT644" s="192"/>
      <c r="AU644" s="192"/>
      <c r="AV644" s="192"/>
      <c r="AW644" s="192"/>
      <c r="AX644" s="192"/>
    </row>
    <row r="645" spans="2:50" ht="15" customHeight="1" thickTop="1" thickBot="1" x14ac:dyDescent="0.35">
      <c r="B645" s="192"/>
      <c r="C645" s="192"/>
      <c r="D645" s="192"/>
      <c r="E645" s="192"/>
      <c r="F645" s="192"/>
      <c r="G645" s="192"/>
      <c r="H645" s="192"/>
      <c r="I645" s="192"/>
      <c r="J645" s="192"/>
      <c r="K645" s="192"/>
      <c r="L645" s="192"/>
      <c r="M645" s="192"/>
      <c r="N645" s="192"/>
      <c r="O645" s="192"/>
      <c r="P645" s="192"/>
      <c r="Q645" s="192"/>
      <c r="R645" s="192"/>
      <c r="S645" s="192"/>
      <c r="T645" s="120"/>
      <c r="U645" s="121" t="s">
        <v>101</v>
      </c>
      <c r="V645" s="122" t="s">
        <v>102</v>
      </c>
      <c r="W645" s="122" t="s">
        <v>103</v>
      </c>
      <c r="X645" s="123" t="s">
        <v>104</v>
      </c>
      <c r="Y645" s="238">
        <v>3</v>
      </c>
      <c r="Z645" s="239" t="str">
        <f>IF(U640="","",IF(OR(Group_players=3,AND(Group_players=4,COUNTBLANK(I639:I642)=1)),IF(COUNTIF(M639:M641,M641)=1,"",IF(COUNTIF(U638:U640,U640)=3,IF(AND(U648=U646,U648=U647),"Tied",IF(AND(U648&lt;&gt;U647,U647&lt;&gt;U646,U648&lt;&gt;U646),(IF(SMALL(U646:U648,1)=U648,1,IF(SMALL(U646:U648,2)=U648,2,IF(SMALL(U646:U648,3)=U648,3)))),IF(AND(U648&lt;U647,U647=U646),1,IF(AND(U648&gt;U647,U647=U646),3,IF(AND(U648=U647,U648&lt;U646),(IF(Q654=3,1,2)),IF(AND(U648=U647,U648&gt;U646),(IF(Q654=3,2,3)),IF(AND(U648=U646,U648&lt;U647),(IF(Q651=3,1,2)),IF(AND(U648=U646,U648&gt;U647),(IF(Q651=3,2,3)),99)))))))),"")),""))</f>
        <v/>
      </c>
      <c r="AA645" s="240">
        <v>3</v>
      </c>
      <c r="AB645" s="241" t="str">
        <f>IF(AND(COUNTBLANK(I639:I642)=0,Group_players=4,M639=M640,M640=M641),IF(COUNTIF(U638:U641,U640)=3,AB658,IF(AND(COUNTIF(U638:U641,U640)=1,U638&lt;&gt;U639),IF(M639=2,IF(SMALL(U638:U641,1)=U640,1,IF(SMALL(U638:U641,2)=U640,2,IF(SMALL(U638:U641,3)=U640,3))),IF(M641=1,IF(SMALL(U638:U641,1)=U640,2,IF(SMALL(U638:U641,2)=U640,3,IF(SMALL(U638:U641,3)=U640,4))),"")),IF(COUNTIF(U638:U641,U640)=1,IF(U640&lt;U639,IF(M641=2,1,2),IF(M641=2,3,4)),IF(COUNTIF(U638:U641,U640)=2,IF(U640=U639,IF(U640&lt;U638,IF(M641=2,IF(Q660=3,1,2),IF(M641=1,IF(Q660=3,2,3))),IF(U640&gt;U638,IF(M641=2,IF(Q660=3,2,3),IF(M641=1,IF(Q660=3,3,4))))),IF(U640=U638,IF(U640&lt;U639,IF(M641=2,IF(Q651=3,1,2),IF(M641=1,IF(Q651=3,2,3))),IF(U640&gt;U639,IF(M641=2,IF(Q651=3,2,3),IF(M641=1,IF(Q651=3,3,4))))))),"")))),"")</f>
        <v/>
      </c>
      <c r="AC645" s="192"/>
      <c r="AD645" s="192"/>
      <c r="AE645" s="192"/>
      <c r="AF645" s="203"/>
      <c r="AG645" s="203"/>
      <c r="AH645" s="203"/>
      <c r="AI645" s="203"/>
      <c r="AJ645" s="203"/>
      <c r="AK645" s="203"/>
      <c r="AL645" s="203"/>
      <c r="AM645" s="203"/>
      <c r="AN645" s="192"/>
      <c r="AO645" s="192"/>
      <c r="AP645" s="192"/>
      <c r="AQ645" s="192"/>
      <c r="AR645" s="192"/>
      <c r="AS645" s="192"/>
      <c r="AT645" s="192"/>
      <c r="AU645" s="192"/>
      <c r="AV645" s="192"/>
      <c r="AW645" s="192"/>
      <c r="AX645" s="192"/>
    </row>
    <row r="646" spans="2:50" ht="15" customHeight="1" thickTop="1" thickBot="1" x14ac:dyDescent="0.35">
      <c r="B646" s="192"/>
      <c r="C646" s="192"/>
      <c r="D646" s="192"/>
      <c r="E646" s="192"/>
      <c r="F646" s="192"/>
      <c r="G646" s="192"/>
      <c r="H646" s="192"/>
      <c r="I646" s="192"/>
      <c r="J646" s="192"/>
      <c r="K646" s="192"/>
      <c r="L646" s="192"/>
      <c r="M646" s="192"/>
      <c r="N646" s="192"/>
      <c r="O646" s="192"/>
      <c r="P646" s="192"/>
      <c r="Q646" s="192"/>
      <c r="R646" s="192"/>
      <c r="S646" s="192"/>
      <c r="T646" s="208">
        <v>1</v>
      </c>
      <c r="U646" s="209" t="str">
        <f>IF(U638="","",IF(OR(U638&lt;&gt;U639,U638&lt;&gt;U640),"",IF(COUNTIF(M639:M641,M639)=1,"",IF(COUNTBLANK(I639:I642)=1,(SUM(L651:P651)+SUM(L657:P657))/(SUM(L650:P650)+SUM(L656:P656)),IF(COUNTBLANK(I639:I642)=0,(SUM(L663:P663)+SUM(L651:P651))/(SUM(L662:P662)+SUM(L650:P650)),"")))))</f>
        <v/>
      </c>
      <c r="V646" s="125" t="str">
        <f>IF(V638="","",IF(OR(V638&lt;&gt;V640,V638&lt;&gt;V641),"",IF(AND(COUNTBLANK(I639:I642)=0,M639=M641,M641=M642),(SUM(L651:P651)+SUM(L657:P657))/(SUM(L650:P650)+SUM(L656:P656)),"")))</f>
        <v/>
      </c>
      <c r="W646" s="210" t="str">
        <f>IF(W638="","",IF(OR(W638&lt;&gt;W639,W638&lt;&gt;W641),"",IF(AND(COUNTBLANK(I639:I642)=0,M639=M640,M640=M642),(SUM(L663:P663)+SUM(L657:P657))/(SUM(L662:P662)+SUM(L656:P656)),"")))</f>
        <v/>
      </c>
      <c r="X646" s="211"/>
      <c r="Y646" s="242"/>
      <c r="Z646" s="242"/>
      <c r="AA646" s="243">
        <v>1</v>
      </c>
      <c r="AB646" s="244" t="str">
        <f>IF(AND(COUNTBLANK(I639:I642)=0,Group_players=4,M639=M641,M641=M642),IF(COUNTIF(V638:V641,V638)=3,AB659,IF(AND(COUNTIF(V638:V641,V638)=1,V640&lt;&gt;U649),IF(M639=2,IF(SMALL(V638:V641,1)=V638,1,IF(SMALL(V638:V641,2)=V638,2,IF(SMALL(V638:V641,3)=V638,3))),IF(M639=1,IF(SMALL(V638:V641,1)=V638,2,IF(SMALL(V638:V641,2)=V638,3,IF(SMALL(V638:V641,3)=V638,4))),"")),IF(COUNTIF(V638:V641,V638)=1,IF(V638&lt;V640,IF(M639=2,1,2),IF(M639=2,3,4)),IF(COUNTIF(V638:V641,V638)=2,IF(V638=V640,IF(V638&lt;V641,IF(M639=2,IF(Q650=3,1,2),IF(M639=1,IF(Q650=3,2,3))),IF(V638&gt;V641,IF(M639=2,IF(Q650=3,2,3),IF(M639=1,IF(Q650=3,3,4))))),IF(V638=V641,IF(V638&lt;V640,IF(M639=2,IF(Q656=3,1,2),IF(M639=1,IF(Q656=3,2,3))),IF(V638&gt;V639,IF(M639=2,IF(Q656=3,2,3),IF(M639=1,IF(Q656=3,3,4))))))),"")))),"")</f>
        <v/>
      </c>
      <c r="AC646" s="192"/>
      <c r="AD646" s="192"/>
      <c r="AE646" s="192"/>
      <c r="AF646" s="203"/>
      <c r="AG646" s="203"/>
      <c r="AH646" s="203"/>
      <c r="AI646" s="203"/>
      <c r="AJ646" s="203"/>
      <c r="AK646" s="203"/>
      <c r="AL646" s="203"/>
      <c r="AM646" s="203"/>
      <c r="AN646" s="192"/>
      <c r="AO646" s="192"/>
      <c r="AP646" s="192"/>
      <c r="AQ646" s="192"/>
      <c r="AR646" s="192"/>
      <c r="AS646" s="192"/>
      <c r="AT646" s="192"/>
      <c r="AU646" s="192"/>
      <c r="AV646" s="192"/>
      <c r="AW646" s="192"/>
      <c r="AX646" s="192"/>
    </row>
    <row r="647" spans="2:50" ht="15" customHeight="1" thickTop="1" thickBot="1" x14ac:dyDescent="0.35">
      <c r="B647" s="192"/>
      <c r="C647" s="192"/>
      <c r="D647" s="192"/>
      <c r="E647" s="117"/>
      <c r="F647" s="117"/>
      <c r="G647" s="117"/>
      <c r="H647" s="192"/>
      <c r="I647" s="192"/>
      <c r="J647" s="192"/>
      <c r="K647" s="192"/>
      <c r="L647" s="192"/>
      <c r="M647" s="192"/>
      <c r="N647" s="192"/>
      <c r="O647" s="192"/>
      <c r="P647" s="192"/>
      <c r="Q647" s="192"/>
      <c r="R647" s="192"/>
      <c r="S647" s="394" t="s">
        <v>112</v>
      </c>
      <c r="T647" s="208">
        <v>2</v>
      </c>
      <c r="U647" s="209" t="str">
        <f>IF(U638="","",IF(OR(U639&lt;&gt;U638,U639&lt;&gt;U640),"",IF(COUNTIF(M639:M641,M640)=1,"",IF(COUNTBLANK(I639:I642)=1,(SUM(L654:P654)+SUM(L656:P656))/(SUM(L653:P653)+SUM(L657:P657)),IF(COUNTBLANK(I639:I642)=0,(SUM(L662:P662)+SUM(L660:P660))/(SUM(L663:P663)+SUM(L659:P659)))))))</f>
        <v/>
      </c>
      <c r="V647" s="135"/>
      <c r="W647" s="212" t="str">
        <f>IF(W638="","",IF(OR(W639&lt;&gt;W638,W639&lt;&gt;W641),"",IF(AND(COUNTBLANK(I639:I642)=0,M639=M640,M640=M642),(SUM(L654:P654)+SUM(L662:P662))/(SUM(L663:P663)+SUM(L653:P653)),"")))</f>
        <v/>
      </c>
      <c r="X647" s="245" t="str">
        <f>IF(X639="","",IF(OR(X639&lt;&gt;X640,X639&lt;&gt;X641),"",IF(AND(COUNTBLANK(I639:I642)=0,M640=M641,M641=M642),(SUM(L660:P660)+SUM(L654:P654))/(SUM(L659:P659)+SUM(L653:P653)),"")))</f>
        <v/>
      </c>
      <c r="Y647" s="242"/>
      <c r="Z647" s="203"/>
      <c r="AA647" s="246">
        <v>3</v>
      </c>
      <c r="AB647" s="222" t="str">
        <f>IF(AND(COUNTBLANK(I639:I642)=0,Group_players=4,M639=M641,M641=M642),IF(COUNTIF(V638:V641,V640)=3,AB660,IF(AND(COUNTIF(V638:V641,V640)=1,V638&lt;&gt;V641),IF(M641=2,IF(SMALL(V638:V641,1)=V640,1,IF(SMALL(V638:V641,2)=V640,2,IF(SMALL(V638:V641,3)=V640,3))),IF(M641=1,IF(SMALL(V638:V641,1)=V640,2,IF(SMALL(V638:V641,2)=V640,3,IF(SMALL(V638:V641,3)=V640,4))),"")),IF(COUNTIF(V638:V641,V640)=1,IF(V640&lt;V638,IF(M641=2,1,2),IF(M641=2,3,4)),IF(COUNTIF(V638:V641,V640)=2,IF(V640=V638,IF(V640&lt;V641,IF(M641=2,IF(Q651=3,1,2),IF(M641=1,IF(Q651=3,2,3))),IF(V640&gt;V641,IF(M641=2,IF(Q651=3,2,3),IF(M641=1,IF(Q651=3,3,4))))),IF(V640=V641,IF(V640&lt;V638,IF(M641=2,IF(Q665=3,1,2),IF(M641=1,IF(Q665=3,2,3))),IF(V640&gt;V638,IF(M641=2,IF(Q665=3,2,3),IF(M641=1,IF(Q665=3,3,4))))))),"")))),"")</f>
        <v/>
      </c>
      <c r="AC647" s="192"/>
      <c r="AD647" s="192"/>
      <c r="AE647" s="192"/>
      <c r="AF647" s="203"/>
      <c r="AG647" s="203"/>
      <c r="AH647" s="203"/>
      <c r="AI647" s="203"/>
      <c r="AJ647" s="203"/>
      <c r="AK647" s="203"/>
      <c r="AL647" s="203"/>
      <c r="AM647" s="203"/>
      <c r="AN647" s="192"/>
      <c r="AO647" s="192"/>
      <c r="AP647" s="192"/>
      <c r="AQ647" s="192"/>
      <c r="AR647" s="192"/>
      <c r="AS647" s="192"/>
      <c r="AT647" s="192"/>
      <c r="AU647" s="192"/>
      <c r="AV647" s="192"/>
      <c r="AW647" s="192"/>
      <c r="AX647" s="192"/>
    </row>
    <row r="648" spans="2:50" ht="15" customHeight="1" thickTop="1" thickBot="1" x14ac:dyDescent="0.35">
      <c r="B648" s="192"/>
      <c r="C648" s="192"/>
      <c r="D648" s="192"/>
      <c r="E648" s="117"/>
      <c r="F648" s="117"/>
      <c r="G648" s="117"/>
      <c r="H648" s="192"/>
      <c r="I648" s="192"/>
      <c r="J648" s="192"/>
      <c r="K648" s="192"/>
      <c r="L648" s="192"/>
      <c r="M648" s="192"/>
      <c r="N648" s="192"/>
      <c r="O648" s="192"/>
      <c r="P648" s="192"/>
      <c r="Q648" s="192"/>
      <c r="R648" s="247"/>
      <c r="S648" s="395"/>
      <c r="T648" s="208">
        <v>3</v>
      </c>
      <c r="U648" s="209" t="str">
        <f>IF(U638="","",IF(OR(U640&lt;&gt;U638,U640&lt;&gt;U639),"",IF(COUNTIF(M639:M641,M641)=1,"",IF(COUNTBLANK(I639:I642)=1,(SUM(L650:P650)+SUM(L653:P653))/(SUM(L651:P651)+SUM(L654:P654)),IF(COUNTBLANK(I639:I642)=0,(SUM(L650:P650)+SUM(L659:P659))/(SUM(L651:P651)+SUM(L660:P660)))))))</f>
        <v/>
      </c>
      <c r="V648" s="125" t="str">
        <f>IF(V638="","",IF(OR(V640&lt;&gt;V638,V640&lt;&gt;V641),"",IF(AND(COUNTBLANK(I639:I642)=0,M639=M641,M641=M642),(SUM(L650:P650)+SUM(L666:P666))/(SUM(L651:P651)+SUM(L665:P665)),"")))</f>
        <v/>
      </c>
      <c r="W648" s="218"/>
      <c r="X648" s="245" t="str">
        <f>IF(X639="","",IF(OR(X640&lt;&gt;X639,X640&lt;&gt;X641),"",IF(AND(COUNTBLANK(I639:I642)=0,M640=M641,M641=M642),(SUM(L659:P659)+SUM(L666:P666))/(SUM(L660:P660)+SUM(L665:P665)),"")))</f>
        <v/>
      </c>
      <c r="Y648" s="208"/>
      <c r="Z648" s="203"/>
      <c r="AA648" s="240">
        <v>4</v>
      </c>
      <c r="AB648" s="222" t="str">
        <f>IF(AND(COUNTBLANK(I639:I642)=0,Group_players=4,M639=M641,M641=M642),IF(COUNTIF(V638:V641,V641)=3,AB661,IF(AND(COUNTIF(V638:V641,V641)=1,V640&lt;&gt;V638),IF(M642=2,IF(SMALL(V638:V641,1)=V641,1,IF(SMALL(V638:V641,2)=V641,2,IF(SMALL(V638:V641,3)=V641,3))),IF(M642=1,IF(SMALL(V638:V641,1)=V641,2,IF(SMALL(V638:V641,2)=V641,3,IF(SMALL(V638:V641,3)=V641,4))),"")),IF(COUNTIF(V638:V641,V641)=1,IF(V641&lt;V638,IF(M642=2,1,2),IF(M642=2,3,4)),IF(COUNTIF(V638:V641,V641)=2,IF(V641=V638,IF(V641&lt;V640,IF(M642=2,IF(Q657=3,1,2),IF(M642=1,IF(Q657=3,2,3))),IF(V641&gt;V640,IF(M642=2,IF(Q657=3,2,3),IF(M642=1,IF(Q657=3,3,4))))),IF(V641=V640,IF(V641&lt;V638,IF(M642=2,IF(Q666=3,1,2),IF(M642=1,IF(Q666=3,2,3))),IF(V641&gt;V638,IF(M642=2,IF(Q666=3,2,3),IF(M642=1,IF(Q666=3,3,4))))))),"")))),"")</f>
        <v/>
      </c>
      <c r="AC648" s="192"/>
      <c r="AD648" s="192"/>
      <c r="AE648" s="192"/>
      <c r="AF648" s="203"/>
      <c r="AG648" s="203"/>
      <c r="AH648" s="203"/>
      <c r="AI648" s="203"/>
      <c r="AJ648" s="203"/>
      <c r="AK648" s="203"/>
      <c r="AL648" s="203"/>
      <c r="AM648" s="203"/>
      <c r="AN648" s="192"/>
      <c r="AO648" s="192"/>
      <c r="AP648" s="192"/>
      <c r="AQ648" s="192"/>
      <c r="AR648" s="192"/>
      <c r="AS648" s="192"/>
      <c r="AT648" s="192"/>
      <c r="AU648" s="192"/>
      <c r="AV648" s="192"/>
      <c r="AW648" s="192"/>
      <c r="AX648" s="192"/>
    </row>
    <row r="649" spans="2:50" ht="15" customHeight="1" thickTop="1" thickBot="1" x14ac:dyDescent="0.35">
      <c r="B649" s="192"/>
      <c r="C649" s="192"/>
      <c r="D649" s="192"/>
      <c r="E649" s="168" t="s">
        <v>113</v>
      </c>
      <c r="F649" s="168" t="s">
        <v>114</v>
      </c>
      <c r="G649" s="117"/>
      <c r="H649" s="192"/>
      <c r="I649" s="249" t="s">
        <v>115</v>
      </c>
      <c r="J649" s="249"/>
      <c r="K649" s="249"/>
      <c r="L649" s="250" t="s">
        <v>115</v>
      </c>
      <c r="M649" s="250" t="s">
        <v>116</v>
      </c>
      <c r="N649" s="250" t="s">
        <v>117</v>
      </c>
      <c r="O649" s="250" t="s">
        <v>118</v>
      </c>
      <c r="P649" s="250" t="s">
        <v>119</v>
      </c>
      <c r="Q649" s="250" t="s">
        <v>120</v>
      </c>
      <c r="R649" s="250"/>
      <c r="S649" s="251"/>
      <c r="T649" s="208">
        <v>4</v>
      </c>
      <c r="U649" s="223"/>
      <c r="V649" s="140" t="str">
        <f>IF(V638="","",IF(OR(V641&lt;&gt;V638,V641&lt;&gt;V640),"",IF(AND(COUNTBLANK(I639:I642)=0,M639=M641,M641=M642),(SUM(L656:P656)+SUM(L665:P665))/(SUM(L657:P657)+SUM(L666:P666)),"")))</f>
        <v/>
      </c>
      <c r="W649" s="224" t="str">
        <f>IF(W638="","",IF(OR(W641&lt;&gt;W638,W641&lt;&gt;W639),"",IF(AND(COUNTBLANK(I639:I642)=0,M639=M640,M640=M642),(SUM(L656:P656)+SUM(L653:P653))/(SUM(L657:P657)+SUM(L654:P654)),"")))</f>
        <v/>
      </c>
      <c r="X649" s="252" t="str">
        <f>IF(X639="","",IF(OR(X641&lt;&gt;X639,X641&lt;&gt;X640),"",IF(AND(COUNTBLANK(I639:I642)=0,M640=M641,M641=M642),(SUM(L653:P653)+SUM(L665:P665))/(SUM(L654:P654)+SUM(L666:P666)),"")))</f>
        <v/>
      </c>
      <c r="Y649" s="192"/>
      <c r="Z649" s="203"/>
      <c r="AA649" s="243">
        <v>1</v>
      </c>
      <c r="AB649" s="151" t="str">
        <f>IF(AND(COUNTBLANK(I639:I642)=0,Group_players=4,M639=M640,M640=M642),IF(COUNTIF(W638:W641,W638)=3,AB662,IF(AND(COUNTIF(W638:W641,W638)=1,W639&lt;&gt;W641),IF(M639=2,IF(SMALL(W638:W641,1)=W638,1,IF(SMALL(W638:W641,2)=W638,2,IF(SMALL(W638:W641,3)=W638,3))),IF(M639=1,IF(SMALL(W638:W641,1)=W638,2,IF(SMALL(W638:W641,2)=W638,3,IF(SMALL(W638:W641,3)=W638,4))),"")),IF(COUNTIF(W638:W641,W638)=1,IF(W638&lt;W639,IF(M639=2,1,2),IF(M639=2,3,4)),IF(COUNTIF(W638:W641,W638)=2,IF(W638=W639,IF(W638&lt;W641,IF(M639=2,IF(Q662=3,1,2),IF(M639=1,IF(Q662=3,2,3))),IF(W638&gt;W641,IF(M639=2,IF(Q662=3,2,3),IF(M639=1,IF(Q662=3,3,4))))),IF(W638=W641,IF(W638&lt;W639,IF(M639=2,IF(Q656=3,1,2),IF(M639=1,IF(Q656=3,2,3))),IF(W638&gt;W639,IF(M639=2,IF(Q656=3,2,3),IF(M639=1,IF(Q656=3,3,4))))))),"")))),"")</f>
        <v/>
      </c>
      <c r="AC649" s="192"/>
      <c r="AD649" s="192"/>
      <c r="AE649" s="192"/>
      <c r="AF649" s="203"/>
      <c r="AG649" s="203"/>
      <c r="AH649" s="203"/>
      <c r="AI649" s="203"/>
      <c r="AJ649" s="203"/>
      <c r="AK649" s="203"/>
      <c r="AL649" s="203"/>
      <c r="AM649" s="203"/>
      <c r="AN649" s="192"/>
      <c r="AO649" s="192"/>
      <c r="AP649" s="192"/>
      <c r="AQ649" s="192"/>
      <c r="AR649" s="192"/>
      <c r="AS649" s="192"/>
      <c r="AT649" s="192"/>
      <c r="AU649" s="192"/>
      <c r="AV649" s="192"/>
      <c r="AW649" s="192"/>
      <c r="AX649" s="192"/>
    </row>
    <row r="650" spans="2:50" ht="15" customHeight="1" thickTop="1" x14ac:dyDescent="0.3">
      <c r="B650" s="192"/>
      <c r="C650" s="192"/>
      <c r="D650" s="192"/>
      <c r="E650" s="164" t="str">
        <f>IF(Q650="","",IF(Q650=3,1,0))</f>
        <v/>
      </c>
      <c r="F650" s="164" t="str">
        <f>IF(Q650="","",IF(Q650&lt;3,1,0))</f>
        <v/>
      </c>
      <c r="G650" s="192"/>
      <c r="H650" s="192" t="str">
        <f>IF(I639="","",1)</f>
        <v/>
      </c>
      <c r="I650" s="192" t="str">
        <f>IF(ISNUMBER(H650),VLOOKUP(H650,H639:I642,2,TRUE),"")</f>
        <v/>
      </c>
      <c r="J650" s="192"/>
      <c r="K650" s="192" t="str">
        <f>VLOOKUP(I650,I639:L642,3,FALSE)</f>
        <v/>
      </c>
      <c r="L650" s="253"/>
      <c r="M650" s="254"/>
      <c r="N650" s="254"/>
      <c r="O650" s="152"/>
      <c r="P650" s="153"/>
      <c r="Q650" s="255" t="str">
        <f>IF(L650="","",IF(AND(L650-L651&gt;1,L650&gt;10),1,0)+IF(AND(M650-M651&gt;1,M650&gt;10),1,0)+IF(AND(N650-N651&gt;1,N650&gt;10),1,0)+IF(AND(O650-O651&gt;1,O650&gt;10),1,0)+IF(AND(P650-P651&gt;1,P650&gt;10),1,0))</f>
        <v/>
      </c>
      <c r="R650" s="203" t="str">
        <f>IF(AND(I650="",I651=""),"",ABS(VLOOKUP(I650,I639:L642,4,FALSE)-VLOOKUP(I651,I639:L642,4,FALSE)))</f>
        <v/>
      </c>
      <c r="S650" s="256" t="str">
        <f>IF(R651="","",IF(Q650=3,+R651,-R651))</f>
        <v/>
      </c>
      <c r="T650" s="257"/>
      <c r="U650" s="258"/>
      <c r="V650" s="258"/>
      <c r="W650" s="258"/>
      <c r="X650" s="258"/>
      <c r="Y650" s="192"/>
      <c r="Z650" s="203"/>
      <c r="AA650" s="246">
        <v>2</v>
      </c>
      <c r="AB650" s="154" t="str">
        <f>IF(AND(COUNTBLANK(I639:I642)=0,Group_players=4,M639=M640,M640=M642),IF(COUNTIF(W638:W641,W639)=3,AB663,IF(AND(COUNTIF(W638:W641,W639)=1,W638&lt;&gt;W640),IF(M640=2,IF(SMALL(W638:W641,1)=W639,1,IF(SMALL(W638:W641,2)=W639,2,IF(SMALL(W638:W641,3)=W639,3))),IF(M640=1,IF(SMALL(W638:W641,1)=W639,2,IF(SMALL(W638:W641,2)=W639,3,IF(SMALL(W638:W641,3)=W639,4))),"")),IF(COUNTIF(W638:W641,W639)=1,IF(W639&lt;W638,IF(M640=2,1,2),IF(M640=2,3,4)),IF(COUNTIF(W638:W641,W639)=2,IF(W639=W638,IF(W639&lt;W641,IF(M640=2,IF(Q663=3,1,2),IF(M640=1,IF(Q663=3,2,3))),IF(W639&gt;W641,IF(M640=2,IF(Q663=3,2,3),IF(M640=1,IF(Q663=3,3,4))))),IF(W639=W641,IF(W639&lt;W638,IF(M640=2,IF(Q653=3,1,2),IF(M640=1,IF(Q653=3,2,3))),IF(W639&gt;W638,IF(M640=2,IF(Q653=3,2,3),IF(M640=1,IF(Q653=3,3,4))))))),"")))),"")</f>
        <v/>
      </c>
      <c r="AC650" s="192"/>
      <c r="AD650" s="192"/>
      <c r="AE650" s="192"/>
      <c r="AF650" s="203"/>
      <c r="AG650" s="203"/>
      <c r="AH650" s="203"/>
      <c r="AI650" s="203"/>
      <c r="AJ650" s="203"/>
      <c r="AK650" s="203"/>
      <c r="AL650" s="203"/>
      <c r="AM650" s="203"/>
      <c r="AN650" s="192"/>
      <c r="AO650" s="192"/>
      <c r="AP650" s="192"/>
      <c r="AQ650" s="192"/>
      <c r="AR650" s="192"/>
      <c r="AS650" s="192"/>
      <c r="AT650" s="192"/>
      <c r="AU650" s="192"/>
      <c r="AV650" s="192"/>
      <c r="AW650" s="192"/>
      <c r="AX650" s="192"/>
    </row>
    <row r="651" spans="2:50" ht="15" customHeight="1" thickBot="1" x14ac:dyDescent="0.35">
      <c r="B651" s="192"/>
      <c r="C651" s="192"/>
      <c r="D651" s="192"/>
      <c r="E651" s="164" t="str">
        <f>IF(Q651="","",IF(Q651=3,1,0))</f>
        <v/>
      </c>
      <c r="F651" s="164" t="str">
        <f>IF(Q651="","",IF(Q651&lt;3,1,0))</f>
        <v/>
      </c>
      <c r="G651" s="192"/>
      <c r="H651" s="192" t="str">
        <f>IF(I640="","",IF(I641="",2,3))</f>
        <v/>
      </c>
      <c r="I651" s="192" t="str">
        <f>IF(ISNUMBER(H651),VLOOKUP(H651,H639:I642,2,TRUE),"")</f>
        <v/>
      </c>
      <c r="J651" s="192"/>
      <c r="K651" s="192" t="str">
        <f>VLOOKUP(I651,I639:L642,3,FALSE)</f>
        <v/>
      </c>
      <c r="L651" s="155"/>
      <c r="M651" s="259"/>
      <c r="N651" s="259"/>
      <c r="O651" s="156"/>
      <c r="P651" s="157"/>
      <c r="Q651" s="260" t="str">
        <f>IF(L651="","",IF(AND(L651-L650&gt;1,L651&gt;10),1,0)+IF(AND(M651-M650&gt;1,M651&gt;10),1,0)+IF(AND(N651-N650&gt;1,N651&gt;10),1,0)+IF(AND(O651-O650&gt;1,O651&gt;10),1,0)+IF(AND(P651-P650&gt;1,P651&gt;10),1,0))</f>
        <v/>
      </c>
      <c r="R651" s="203" t="str">
        <f>IF(AND(Q650&lt;&gt;3,Q651&lt;&gt;3),"",IF(Q650=3,IF(VLOOKUP(I650,I639:L642,4,FALSE)&gt;VLOOKUP(I651,I639:L642,4,FALSE),VLOOKUP(R650,Point_dif,2,FALSE),VLOOKUP(R650,Point_dif,3,FALSE)),IF(Q651=3,IF(VLOOKUP(I651,I639:L642,4,FALSE)&gt;VLOOKUP(I650,I639:L642,4,FALSE),VLOOKUP(R650,Point_dif,2,FALSE),VLOOKUP(R650,Point_dif,3,FALSE)))))</f>
        <v/>
      </c>
      <c r="S651" s="256" t="str">
        <f>IF(R651="","",IF(Q651=3,+R651,-R651))</f>
        <v/>
      </c>
      <c r="T651" s="192"/>
      <c r="U651" s="235"/>
      <c r="V651" s="235"/>
      <c r="W651" s="235"/>
      <c r="X651" s="235"/>
      <c r="Y651" s="235"/>
      <c r="Z651" s="235"/>
      <c r="AA651" s="240">
        <v>4</v>
      </c>
      <c r="AB651" s="158" t="str">
        <f>IF(AND(COUNTBLANK(I639:I642)=0,Group_players=4,M639=M640,M640=M642),IF(COUNTIF(W638:W641,W641)=3,AB664,IF(AND(COUNTIF(W638:W641,W641)=1,W638&lt;&gt;W639),IF(M642=2,IF(SMALL(W638:W641,1)=W641,1,IF(SMALL(W638:W641,2)=W641,2,IF(SMALL(W638:W641,3)=W641,3))),IF(M642=1,IF(SMALL(W638:W641,1)=W641,2,IF(SMALL(W638:W641,2)=W641,3,IF(SMALL(W638:W641,3)=W641,4))),"")),IF(COUNTIF(W638:W641,W641)=1,IF(W641&lt;W638,IF(M642=2,1,2),IF(M642=2,3,4)),IF(COUNTIF(W638:W641,W641)=2,IF(W641=W638,IF(W641&lt;W639,IF(M642=2,IF(Q657=3,1,2),IF(M642=1,IF(Q657=3,2,3))),IF(W641&gt;W640,IF(M642=2,IF(Q657=3,2,3),IF(M642=1,IF(Q657=3,3,4))))),IF(W641=W639,IF(W641&lt;W638,IF(M642=2,IF(Q654=3,1,2),IF(M642=1,IF(Q654=3,2,3))),IF(W641&gt;W638,IF(M642=2,IF(Q654=3,2,3),IF(M642=1,IF(Q654=3,3,4))))))),"")))),"")</f>
        <v/>
      </c>
      <c r="AC651" s="192"/>
      <c r="AD651" s="192"/>
      <c r="AE651" s="192"/>
      <c r="AF651" s="203"/>
      <c r="AG651" s="203"/>
      <c r="AH651" s="203"/>
      <c r="AI651" s="203"/>
      <c r="AJ651" s="203"/>
      <c r="AK651" s="203"/>
      <c r="AL651" s="203"/>
      <c r="AM651" s="203"/>
      <c r="AN651" s="192"/>
      <c r="AO651" s="192"/>
      <c r="AP651" s="192"/>
      <c r="AQ651" s="192"/>
      <c r="AR651" s="192"/>
      <c r="AS651" s="192"/>
      <c r="AT651" s="192"/>
      <c r="AU651" s="192"/>
      <c r="AV651" s="192"/>
      <c r="AW651" s="192"/>
      <c r="AX651" s="192"/>
    </row>
    <row r="652" spans="2:50" ht="15" customHeight="1" thickTop="1" thickBot="1" x14ac:dyDescent="0.35">
      <c r="B652" s="192"/>
      <c r="C652" s="192"/>
      <c r="D652" s="192"/>
      <c r="E652" s="164"/>
      <c r="F652" s="164"/>
      <c r="G652" s="192"/>
      <c r="H652" s="192"/>
      <c r="I652" s="249" t="s">
        <v>116</v>
      </c>
      <c r="J652" s="249"/>
      <c r="K652" s="249"/>
      <c r="L652" s="250" t="s">
        <v>115</v>
      </c>
      <c r="M652" s="250" t="s">
        <v>116</v>
      </c>
      <c r="N652" s="250" t="s">
        <v>117</v>
      </c>
      <c r="O652" s="250" t="s">
        <v>118</v>
      </c>
      <c r="P652" s="250" t="s">
        <v>119</v>
      </c>
      <c r="Q652" s="250" t="s">
        <v>120</v>
      </c>
      <c r="R652" s="250"/>
      <c r="S652" s="251"/>
      <c r="T652" s="192"/>
      <c r="U652" s="235"/>
      <c r="V652" s="235"/>
      <c r="W652" s="235"/>
      <c r="X652" s="235"/>
      <c r="Y652" s="235"/>
      <c r="Z652" s="235"/>
      <c r="AA652" s="243">
        <v>2</v>
      </c>
      <c r="AB652" s="151" t="str">
        <f>IF(AND(COUNTBLANK(I639:I642)=0,Group_players=4,M640=M641,M641=M642),IF(COUNTIF(X638:X641,X639)=3,AB665,IF(AND(COUNTIF(X638:X641,X639)=1,X640&lt;&gt;X641),IF(M640=2,IF(SMALL(X638:X641,1)=X639,1,IF(SMALL(X638:X641,2)=X639,2,IF(SMALL(X638:X641,3)=X639,3))),IF(M640=1,IF(SMALL(X638:X641,1)=X639,2,IF(SMALL(X638:X641,2)=X639,3,IF(SMALL(X638:X641,3)=X639,4))),"")),IF(COUNTIF(X638:X641,X639)=1,IF(X639&lt;X641,IF(M640=2,1,2),IF(M640=1,3,3)),IF(COUNTIF(X638:X641,X639)=2,IF(X639=X640,IF(X639&lt;X641,IF(M640=2,IF(Q659=3,1,2),IF(M640=1,IF(Q659=3,2,3))),IF(X639&gt;X641,IF(M640=2,IF(Q659=3,2,3),IF(M640=1,IF(Q659=3,3,4))))),IF(X639=X641,IF(X639&lt;X640,IF(M640=2,IF(Q653=3,1,2),IF(M640=1,IF(Q653=3,2,3))),IF(X639&gt;X640,IF(M640=2,IF(Q653=3,2,3),IF(M640=1,IF(Q653=3,3,4))))))),"")))),"")</f>
        <v/>
      </c>
      <c r="AC652" s="192"/>
      <c r="AD652" s="192"/>
      <c r="AE652" s="192"/>
      <c r="AF652" s="203"/>
      <c r="AG652" s="203"/>
      <c r="AH652" s="203"/>
      <c r="AI652" s="203"/>
      <c r="AJ652" s="203"/>
      <c r="AK652" s="203"/>
      <c r="AL652" s="203"/>
      <c r="AM652" s="203"/>
      <c r="AN652" s="192"/>
      <c r="AO652" s="192"/>
      <c r="AP652" s="192"/>
      <c r="AQ652" s="192"/>
      <c r="AR652" s="192"/>
      <c r="AS652" s="192"/>
      <c r="AT652" s="192"/>
      <c r="AU652" s="192"/>
      <c r="AV652" s="192"/>
      <c r="AW652" s="192"/>
      <c r="AX652" s="192"/>
    </row>
    <row r="653" spans="2:50" ht="15" customHeight="1" thickTop="1" x14ac:dyDescent="0.3">
      <c r="B653" s="192"/>
      <c r="C653" s="192"/>
      <c r="D653" s="192"/>
      <c r="E653" s="164" t="str">
        <f>IF(Q653="","",IF(Q653=3,1,0))</f>
        <v/>
      </c>
      <c r="F653" s="164" t="str">
        <f>IF(Q653="","",IF(Q653&lt;3,1,0))</f>
        <v/>
      </c>
      <c r="G653" s="192"/>
      <c r="H653" s="192" t="str">
        <f>IF(I641="","",2)</f>
        <v/>
      </c>
      <c r="I653" s="192" t="str">
        <f>IF(ISNUMBER(H653),VLOOKUP(H653,H639:I642,2,TRUE),"")</f>
        <v/>
      </c>
      <c r="J653" s="192"/>
      <c r="K653" s="192" t="str">
        <f>VLOOKUP(I653,I639:L642,3,FALSE)</f>
        <v/>
      </c>
      <c r="L653" s="253"/>
      <c r="M653" s="254"/>
      <c r="N653" s="254"/>
      <c r="O653" s="152"/>
      <c r="P653" s="153"/>
      <c r="Q653" s="255" t="str">
        <f>IF(L653="","",IF(AND(L653-L654&gt;1,L653&gt;10),1,0)+IF(AND(M653-M654&gt;1,M653&gt;10),1,0)+IF(AND(N653-N654&gt;1,N653&gt;10),1,0)+IF(AND(O653-O654&gt;1,O653&gt;10),1,0)+IF(AND(P653-P654&gt;1,P653&gt;10),1,0))</f>
        <v/>
      </c>
      <c r="R653" s="203" t="str">
        <f>IF(AND(I653="",I654=""),"",ABS(VLOOKUP(I653,I639:L642,4,FALSE)-VLOOKUP(I654,I639:L642,4,FALSE)))</f>
        <v/>
      </c>
      <c r="S653" s="256" t="str">
        <f>IF(R654="","",IF(Q653=3,+R654,-R654))</f>
        <v/>
      </c>
      <c r="T653" s="192"/>
      <c r="U653" s="235"/>
      <c r="V653" s="235"/>
      <c r="W653" s="235"/>
      <c r="X653" s="235"/>
      <c r="Y653" s="235"/>
      <c r="Z653" s="235"/>
      <c r="AA653" s="246">
        <v>3</v>
      </c>
      <c r="AB653" s="154" t="str">
        <f>IF(AND(COUNTBLANK(I639:I642)=0,Group_players=4,M640=M641,M641=M642),IF(COUNTIF(X638:X641,X640)=3,AB666,IF(AND(COUNTIF(X638:X641,X640)=1,X639&lt;&gt;X641),IF(M641=2,IF(SMALL(X638:X641,1)=X640,1,IF(SMALL(X638:X641,2)=X640,2,IF(SMALL(X638:X641,3)=X640,3))),IF(M641=1,IF(SMALL(X638:X641,1)=X640,2,IF(SMALL(X638:X641,2)=X640,3,IF(SMALL(X638:X641,3)=X640,4))),"")),IF(COUNTIF(X638:X641,X640)=1,IF(X640&lt;X639,IF(M641=2,1,2),IF(M641=2,3,4)),IF(COUNTIF(X638:X641,X640)=2,IF(X640=X639,IF(X640&lt;X641,IF(M641=2,IF(Q660=3,1,2),IF(M641=1,IF(Q660=3,2,3))),IF(X640&gt;X641,IF(M641=2,IF(Q660=3,2,3),IF(M641=1,IF(Q660=3,3,4))))),IF(X640=X641,IF(X640&lt;X639,IF(M641=2,IF(Q665=3,1,2),IF(M641=1,IF(Q665=3,2,3))),IF(X640&gt;X639,IF(M641=2,IF(Q665=3,2,3),IF(M641=1,IF(Q665=3,3,4))))))),"")))),"")</f>
        <v/>
      </c>
      <c r="AC653" s="192"/>
      <c r="AD653" s="192"/>
      <c r="AE653" s="192"/>
      <c r="AF653" s="203"/>
      <c r="AG653" s="203"/>
      <c r="AH653" s="203"/>
      <c r="AI653" s="203"/>
      <c r="AJ653" s="203"/>
      <c r="AK653" s="203"/>
      <c r="AL653" s="203"/>
      <c r="AM653" s="203"/>
      <c r="AN653" s="192"/>
      <c r="AO653" s="192"/>
      <c r="AP653" s="192"/>
      <c r="AQ653" s="192"/>
      <c r="AR653" s="192"/>
      <c r="AS653" s="192"/>
      <c r="AT653" s="192"/>
      <c r="AU653" s="192"/>
      <c r="AV653" s="192"/>
      <c r="AW653" s="192"/>
      <c r="AX653" s="192"/>
    </row>
    <row r="654" spans="2:50" ht="15" customHeight="1" thickBot="1" x14ac:dyDescent="0.35">
      <c r="B654" s="192"/>
      <c r="C654" s="192"/>
      <c r="D654" s="192"/>
      <c r="E654" s="164" t="str">
        <f>IF(Q654="","",IF(Q654=3,1,0))</f>
        <v/>
      </c>
      <c r="F654" s="164" t="str">
        <f>IF(Q654="","",IF(Q654&lt;3,1,0))</f>
        <v/>
      </c>
      <c r="G654" s="192"/>
      <c r="H654" s="192" t="str">
        <f>IF(I641="","",IF(I642="",3,4))</f>
        <v/>
      </c>
      <c r="I654" s="192" t="str">
        <f>IF(ISNUMBER(H654),VLOOKUP(H654,H639:I642,2,TRUE),"")</f>
        <v/>
      </c>
      <c r="J654" s="192"/>
      <c r="K654" s="192" t="str">
        <f>VLOOKUP(I654,I639:L642,3,FALSE)</f>
        <v/>
      </c>
      <c r="L654" s="155"/>
      <c r="M654" s="259"/>
      <c r="N654" s="259"/>
      <c r="O654" s="156"/>
      <c r="P654" s="157"/>
      <c r="Q654" s="260" t="str">
        <f>IF(L654="","",IF(AND(L654-L653&gt;1,L654&gt;10),1,0)+IF(AND(M654-M653&gt;1,M654&gt;10),1,0)+IF(AND(N654-N653&gt;1,N654&gt;10),1,0)+IF(AND(O654-O653&gt;1,O654&gt;10),1,0)+IF(AND(P654-P653&gt;1,P654&gt;10),1,0))</f>
        <v/>
      </c>
      <c r="R654" s="203" t="str">
        <f>IF(AND(Q653&lt;&gt;3,Q654&lt;&gt;3),"",IF(Q653=3,IF(VLOOKUP(I653,I639:L642,4,FALSE)&gt;VLOOKUP(I654,I639:L642,4,FALSE),VLOOKUP(R653,Point_dif,2,FALSE),VLOOKUP(R653,Point_dif,3,FALSE)),IF(Q654=3,IF(VLOOKUP(I654,I639:L642,4,FALSE)&gt;VLOOKUP(I653,I639:L642,4,FALSE),VLOOKUP(R653,Point_dif,2,FALSE),VLOOKUP(R653,Point_dif,3,FALSE)))))</f>
        <v/>
      </c>
      <c r="S654" s="256" t="str">
        <f>IF(R654="","",IF(Q654=3,+R654,-R654))</f>
        <v/>
      </c>
      <c r="T654" s="192"/>
      <c r="U654" s="235"/>
      <c r="V654" s="235"/>
      <c r="W654" s="235"/>
      <c r="X654" s="235"/>
      <c r="Y654" s="235"/>
      <c r="Z654" s="235"/>
      <c r="AA654" s="261">
        <v>4</v>
      </c>
      <c r="AB654" s="158" t="str">
        <f>IF(AND(COUNTBLANK(I639:I642)=0,Group_players=4,M640=M641,M641=M642),IF(COUNTIF(X638:X641,X641)=3,AB667,IF(AND(COUNTIF(X638:X641,X641)=1,X640&lt;&gt;X639),IF(M642=2,IF(SMALL(X638:X641,1)=X641,1,IF(SMALL(X638:X641,2)=X641,2,IF(SMALL(X638:X641,3)=X641,3))),IF(M642=1,IF(SMALL(X638:X641,1)=X641,2,IF(SMALL(X638:X641,2)=X641,3,IF(SMALL(X638:X641,3)=X641,4))),"")),IF(COUNTIF(X638:X641,X641)=1,IF(X641&lt;X639,IF(M642=2,1,2),IF(M642=2,3,4)),IF(COUNTIF(X638:X641,X641)=2,IF(X641=X639,IF(X641&lt;X640,IF(M642=2,IF(Q654=3,1,2),IF(M642=1,IF(Q654=3,2,3))),IF(X641&gt;X640,IF(M642=2,IF(Q654=3,2,3),IF(M642=1,IF(Q654=3,3,4))))),IF(X641=X640,IF(X641&lt;X639,IF(M642=2,IF(Q666=3,1,2),IF(M642=1,IF(Q666=3,2,3))),IF(X641&gt;X639,IF(M642=2,IF(Q666=3,2,3),IF(M642=1,IF(Q666=3,3,4))))))),"")))),"")</f>
        <v/>
      </c>
      <c r="AC654" s="192"/>
      <c r="AD654" s="192"/>
      <c r="AE654" s="192"/>
      <c r="AF654" s="203"/>
      <c r="AG654" s="203"/>
      <c r="AH654" s="203"/>
      <c r="AI654" s="203"/>
      <c r="AJ654" s="203"/>
      <c r="AK654" s="203"/>
      <c r="AL654" s="203"/>
      <c r="AM654" s="203"/>
      <c r="AN654" s="192"/>
      <c r="AO654" s="192"/>
      <c r="AP654" s="192"/>
      <c r="AQ654" s="192"/>
      <c r="AR654" s="192"/>
      <c r="AS654" s="192"/>
      <c r="AT654" s="192"/>
      <c r="AU654" s="192"/>
      <c r="AV654" s="192"/>
      <c r="AW654" s="192"/>
      <c r="AX654" s="192"/>
    </row>
    <row r="655" spans="2:50" ht="15" customHeight="1" thickTop="1" thickBot="1" x14ac:dyDescent="0.35">
      <c r="B655" s="192"/>
      <c r="C655" s="192"/>
      <c r="D655" s="192"/>
      <c r="E655" s="164"/>
      <c r="F655" s="164"/>
      <c r="G655" s="192"/>
      <c r="H655" s="192"/>
      <c r="I655" s="249" t="s">
        <v>117</v>
      </c>
      <c r="J655" s="249"/>
      <c r="K655" s="249"/>
      <c r="L655" s="250" t="s">
        <v>115</v>
      </c>
      <c r="M655" s="250" t="s">
        <v>116</v>
      </c>
      <c r="N655" s="250" t="s">
        <v>117</v>
      </c>
      <c r="O655" s="250" t="s">
        <v>118</v>
      </c>
      <c r="P655" s="250" t="s">
        <v>119</v>
      </c>
      <c r="Q655" s="250" t="s">
        <v>120</v>
      </c>
      <c r="R655" s="250"/>
      <c r="S655" s="251"/>
      <c r="T655" s="263"/>
      <c r="U655" s="264"/>
      <c r="V655" s="242"/>
      <c r="W655" s="242"/>
      <c r="X655" s="264"/>
      <c r="Y655" s="192"/>
      <c r="Z655" s="203"/>
      <c r="AA655" s="126" t="s">
        <v>93</v>
      </c>
      <c r="AB655" s="265" t="s">
        <v>110</v>
      </c>
      <c r="AC655" s="192"/>
      <c r="AD655" s="192"/>
      <c r="AE655" s="192"/>
      <c r="AF655" s="203"/>
      <c r="AG655" s="203"/>
      <c r="AH655" s="203"/>
      <c r="AI655" s="203"/>
      <c r="AJ655" s="203"/>
      <c r="AK655" s="203"/>
      <c r="AL655" s="203"/>
      <c r="AM655" s="203"/>
      <c r="AN655" s="192"/>
      <c r="AO655" s="192"/>
      <c r="AP655" s="192"/>
      <c r="AQ655" s="192"/>
      <c r="AR655" s="192"/>
      <c r="AS655" s="192"/>
      <c r="AT655" s="192"/>
      <c r="AU655" s="192"/>
      <c r="AV655" s="192"/>
      <c r="AW655" s="192"/>
      <c r="AX655" s="192"/>
    </row>
    <row r="656" spans="2:50" ht="15" customHeight="1" thickTop="1" x14ac:dyDescent="0.3">
      <c r="B656" s="192"/>
      <c r="C656" s="192"/>
      <c r="D656" s="192"/>
      <c r="E656" s="164" t="str">
        <f>IF(Q656="","",IF(Q656=3,1,0))</f>
        <v/>
      </c>
      <c r="F656" s="164" t="str">
        <f>IF(Q656="","",IF(Q656&lt;3,1,0))</f>
        <v/>
      </c>
      <c r="G656" s="192"/>
      <c r="H656" s="192" t="str">
        <f>IF(I641&lt;&gt;"",1,"")</f>
        <v/>
      </c>
      <c r="I656" s="192" t="str">
        <f>IF(ISNUMBER(H656),VLOOKUP(H656,H639:I642,2,TRUE),"")</f>
        <v/>
      </c>
      <c r="J656" s="192"/>
      <c r="K656" s="192" t="str">
        <f>VLOOKUP(I656,I639:L642,3,FALSE)</f>
        <v/>
      </c>
      <c r="L656" s="253"/>
      <c r="M656" s="254"/>
      <c r="N656" s="254"/>
      <c r="O656" s="152"/>
      <c r="P656" s="153"/>
      <c r="Q656" s="255" t="str">
        <f>IF(L656="","",IF(AND(L656-L657&gt;1,L656&gt;10),1,0)+IF(AND(M656-M657&gt;1,M656&gt;10),1,0)+IF(AND(N656-N657&gt;1,N656&gt;10),1,0)+IF(AND(O656-O657&gt;1,O656&gt;10),1,0)+IF(AND(P656-P657&gt;1,P656&gt;10),1,0))</f>
        <v/>
      </c>
      <c r="R656" s="203" t="str">
        <f>IF(AND(I656="",I657=""),"",ABS(VLOOKUP(I656,I639:L642,4,FALSE)-VLOOKUP(I657,I639:L642,4,FALSE)))</f>
        <v/>
      </c>
      <c r="S656" s="256" t="str">
        <f>IF(R657="","",IF(Q656=3,+R657,-R657))</f>
        <v/>
      </c>
      <c r="T656" s="192"/>
      <c r="U656" s="235"/>
      <c r="V656" s="235"/>
      <c r="W656" s="235"/>
      <c r="X656" s="235"/>
      <c r="Y656" s="235"/>
      <c r="Z656" s="235"/>
      <c r="AA656" s="243">
        <v>1</v>
      </c>
      <c r="AB656" s="222" t="str">
        <f>IF(AND(COUNTBLANK(I639:I642)=0,Group_players=4,M639=M640,M640=M641),IF(U646="","",IF(COUNTIF(U646:U649,U646)=3,"Tied",IF(AND(COUNTIF(U646:U649,U646)=1,U647&lt;&gt;U648),IF(M639=2,IF(SMALL(U646:U649,1)=U646,1,IF(SMALL(U646:U649,2)=U646,2,IF(SMALL(U646:U649,3)=U646,3))),IF(M639=1,IF(SMALL(U646:U649,1)=U646,2,IF(SMALL(U646:U649,2)=U646,3,IF(SMALL(U646:U649,3)=U646,4))),"")),IF(COUNTIF(U646:U649,U646)=1,IF(U646&lt;U647,IF(M639=2,1,2),IF(M639=2,3,4)),IF(COUNTIF(U646:U649,U646)=2,IF(U646=U647,IF(U646&lt;U648,IF(M639=2,IF(Q662=3,1,2),IF(M639=1,IF(Q662=3,2,3))),IF(U646&gt;U648,IF(M639=2,IF(Q662=3,2,3),IF(M639=1,IF(Q662=3,3,4))))),IF(U646=U648,IF(U646&lt;U647,IF(M639=2,IF(Q650=3,1,2),IF(M639=1,IF(Q650=3,2,3))),IF(U646&gt;U647,IF(M639=2,IF(Q650=3,2,3),IF(M639=1,IF(Q650=3,3,4)))))))))))),"")</f>
        <v/>
      </c>
      <c r="AC656" s="192"/>
      <c r="AD656" s="192"/>
      <c r="AE656" s="192"/>
      <c r="AF656" s="203"/>
      <c r="AG656" s="203"/>
      <c r="AH656" s="203"/>
      <c r="AI656" s="203"/>
      <c r="AJ656" s="203"/>
      <c r="AK656" s="203"/>
      <c r="AL656" s="203"/>
      <c r="AM656" s="203"/>
      <c r="AN656" s="192"/>
      <c r="AO656" s="192"/>
      <c r="AP656" s="192"/>
      <c r="AQ656" s="192"/>
      <c r="AR656" s="192"/>
      <c r="AS656" s="192"/>
      <c r="AT656" s="192"/>
      <c r="AU656" s="192"/>
      <c r="AV656" s="192"/>
      <c r="AW656" s="192"/>
      <c r="AX656" s="192"/>
    </row>
    <row r="657" spans="2:50" ht="15" customHeight="1" thickBot="1" x14ac:dyDescent="0.35">
      <c r="B657" s="192"/>
      <c r="C657" s="192"/>
      <c r="D657" s="192"/>
      <c r="E657" s="164" t="str">
        <f>IF(Q657="","",IF(Q657=3,1,0))</f>
        <v/>
      </c>
      <c r="F657" s="164" t="str">
        <f>IF(Q657="","",IF(Q657&lt;3,1,0))</f>
        <v/>
      </c>
      <c r="G657" s="192"/>
      <c r="H657" s="192" t="str">
        <f>IF(I641="","",IF(I642&lt;&gt;"",4,2))</f>
        <v/>
      </c>
      <c r="I657" s="192" t="str">
        <f>IF(ISNUMBER(H657),VLOOKUP(H657,H639:I642,2,TRUE),"")</f>
        <v/>
      </c>
      <c r="J657" s="192"/>
      <c r="K657" s="192" t="str">
        <f>VLOOKUP(I657,I639:L642,3,FALSE)</f>
        <v/>
      </c>
      <c r="L657" s="155"/>
      <c r="M657" s="259"/>
      <c r="N657" s="259"/>
      <c r="O657" s="156"/>
      <c r="P657" s="157"/>
      <c r="Q657" s="260" t="str">
        <f>IF(L657="","",IF(AND(L657-L656&gt;1,L657&gt;10),1,0)+IF(AND(M657-M656&gt;1,M657&gt;10),1,0)+IF(AND(N657-N656&gt;1,N657&gt;10),1,0)+IF(AND(O657-O656&gt;1,O657&gt;10),1,0)+IF(AND(P657-P656&gt;1,P657&gt;10),1,0))</f>
        <v/>
      </c>
      <c r="R657" s="203" t="str">
        <f>IF(AND(Q656&lt;&gt;3,Q657&lt;&gt;3),"",IF(Q656=3,IF(VLOOKUP(I656,I639:L642,4,FALSE)&gt;VLOOKUP(I657,I639:L642,4,FALSE),VLOOKUP(R656,Point_dif,2,FALSE),VLOOKUP(R656,Point_dif,3,FALSE)),IF(Q657=3,IF(VLOOKUP(I657,I639:L642,4,FALSE)&gt;VLOOKUP(I656,I639:L642,4,FALSE),VLOOKUP(R656,Point_dif,2,FALSE),VLOOKUP(R656,Point_dif,3,FALSE)))))</f>
        <v/>
      </c>
      <c r="S657" s="256" t="str">
        <f>IF(R657="","",IF(Q657=3,+R657,-R657))</f>
        <v/>
      </c>
      <c r="T657" s="192"/>
      <c r="U657" s="235"/>
      <c r="V657" s="235"/>
      <c r="W657" s="235"/>
      <c r="X657" s="235"/>
      <c r="Y657" s="235"/>
      <c r="Z657" s="235"/>
      <c r="AA657" s="246">
        <v>2</v>
      </c>
      <c r="AB657" s="222" t="str">
        <f>IF(AND(COUNTBLANK(I639:I642)=0,Group_players=4,M639=M640,M640=M641),IF(U647="","",IF(COUNTIF(U646:U649,U647)=3,"Tied",IF(AND(COUNTIF(U646:U649,U647)=1,U646&lt;&gt;U648),IF(M640=2,IF(SMALL(U646:U649,1)=U647,1,IF(SMALL(U646:U649,2)=U647,2,IF(SMALL(U646:U649,3)=U647,3))),IF(M640=1,IF(SMALL(U646:U649,1)=U647,2,IF(SMALL(U646:U649,2)=U647,3,IF(SMALL(U646:U649,3)=U647,4))),"")),IF(COUNTIF(U646:U649,U647)=1,IF(U647&lt;U646,IF(M640=2,1,2),IF(M640=2,3,4)),IF(COUNTIF(U646:U649,U647)=2,IF(U647=U646,IF(U647&lt;U648,IF(M640=2,IF(Q663=3,1,2),IF(M640=1,IF(Q663=3,2,3))),IF(U647&gt;U648,IF(M640=2,IF(Q663=3,2,3),IF(M640=1,IF(Q663=3,3,4))))),IF(U647=U648,IF(U647&lt;U646,IF(M640=2,IF(Q659=3,1,2),IF(M640=1,IF(Q659=3,2,3))),IF(U647&gt;U646,IF(M640=2,IF(Q659=3,2,3),IF(M640=1,IF(Q659=3,3,4)))))))))))),"")</f>
        <v/>
      </c>
      <c r="AC657" s="192"/>
      <c r="AD657" s="192"/>
      <c r="AE657" s="192"/>
      <c r="AF657" s="203"/>
      <c r="AG657" s="203"/>
      <c r="AH657" s="203"/>
      <c r="AI657" s="203"/>
      <c r="AJ657" s="203"/>
      <c r="AK657" s="203"/>
      <c r="AL657" s="203"/>
      <c r="AM657" s="203"/>
      <c r="AN657" s="192"/>
      <c r="AO657" s="192"/>
      <c r="AP657" s="192"/>
      <c r="AQ657" s="192"/>
      <c r="AR657" s="192"/>
      <c r="AS657" s="192"/>
      <c r="AT657" s="192"/>
      <c r="AU657" s="192"/>
      <c r="AV657" s="192"/>
      <c r="AW657" s="192"/>
      <c r="AX657" s="192"/>
    </row>
    <row r="658" spans="2:50" ht="15" customHeight="1" thickTop="1" thickBot="1" x14ac:dyDescent="0.35">
      <c r="B658" s="192"/>
      <c r="C658" s="192"/>
      <c r="D658" s="192"/>
      <c r="E658" s="164"/>
      <c r="F658" s="164"/>
      <c r="G658" s="192"/>
      <c r="H658" s="192"/>
      <c r="I658" s="249" t="s">
        <v>118</v>
      </c>
      <c r="J658" s="249"/>
      <c r="K658" s="249"/>
      <c r="L658" s="250" t="s">
        <v>115</v>
      </c>
      <c r="M658" s="250" t="s">
        <v>116</v>
      </c>
      <c r="N658" s="250" t="s">
        <v>117</v>
      </c>
      <c r="O658" s="250" t="s">
        <v>118</v>
      </c>
      <c r="P658" s="250" t="s">
        <v>119</v>
      </c>
      <c r="Q658" s="250" t="s">
        <v>120</v>
      </c>
      <c r="R658" s="250"/>
      <c r="S658" s="251"/>
      <c r="T658" s="192"/>
      <c r="U658" s="235"/>
      <c r="V658" s="235"/>
      <c r="W658" s="235"/>
      <c r="X658" s="235"/>
      <c r="Y658" s="235"/>
      <c r="Z658" s="235"/>
      <c r="AA658" s="240">
        <v>3</v>
      </c>
      <c r="AB658" s="241" t="str">
        <f>IF(AND(COUNTBLANK(I639:I642)=0,Group_players=4,M639=M640,M640=M641),IF(U648="","",IF(COUNTIF(U646:U649,U648)=3,"Tied",IF(AND(COUNTIF(U646:U649,U648)=1,U646&lt;&gt;U647),IF(M639=2,IF(SMALL(U646:U649,1)=U648,1,IF(SMALL(U646:U649,2)=U648,2,IF(SMALL(U646:U649,3)=U648,3))),IF(M641=1,IF(SMALL(U646:U649,1)=U648,2,IF(SMALL(U646:U649,2)=U648,3,IF(SMALL(U646:U649,3)=U648,4))),"")),IF(COUNTIF(U646:U649,U648)=1,IF(U648&lt;U647,IF(M641=2,1,2),IF(M641=2,3,4)),IF(COUNTIF(U646:U649,U648)=2,IF(U648=U647,IF(U648&lt;U646,IF(M641=2,IF(Q660=3,1,2),IF(M641=1,IF(Q660=3,2,3))),IF(U648&gt;U646,IF(M641=2,IF(Q660=3,2,3),IF(M641=1,IF(Q660=3,3,4))))),IF(U648=U646,IF(U648&lt;U647,IF(M641=2,IF(Q651=3,1,2),IF(M641=1,IF(Q651=3,2,3))),IF(U648&gt;U647,IF(M641=2,IF(Q651=3,2,3),IF(M641=1,IF(Q651=3,3,4)))))))))))),"")</f>
        <v/>
      </c>
      <c r="AC658" s="192"/>
      <c r="AD658" s="192"/>
      <c r="AE658" s="192"/>
      <c r="AF658" s="203"/>
      <c r="AG658" s="203"/>
      <c r="AH658" s="203"/>
      <c r="AI658" s="203"/>
      <c r="AJ658" s="203"/>
      <c r="AK658" s="203"/>
      <c r="AL658" s="203"/>
      <c r="AM658" s="203"/>
      <c r="AN658" s="192"/>
      <c r="AO658" s="192"/>
      <c r="AP658" s="192"/>
      <c r="AQ658" s="192"/>
      <c r="AR658" s="192"/>
      <c r="AS658" s="192"/>
      <c r="AT658" s="192"/>
      <c r="AU658" s="192"/>
      <c r="AV658" s="192"/>
      <c r="AW658" s="192"/>
      <c r="AX658" s="192"/>
    </row>
    <row r="659" spans="2:50" ht="15" customHeight="1" thickTop="1" x14ac:dyDescent="0.3">
      <c r="B659" s="192"/>
      <c r="C659" s="192"/>
      <c r="D659" s="192"/>
      <c r="E659" s="164" t="str">
        <f>IF(Q659="","",IF(Q659=3,1,0))</f>
        <v/>
      </c>
      <c r="F659" s="164" t="str">
        <f>IF(Q659="","",IF(Q659&lt;3,1,0))</f>
        <v/>
      </c>
      <c r="G659" s="192"/>
      <c r="H659" s="192" t="str">
        <f>IF(I642&lt;&gt;"",2,"")</f>
        <v/>
      </c>
      <c r="I659" s="192" t="str">
        <f>IF(ISNUMBER(H659),VLOOKUP(H659,H639:I642,2,TRUE),"")</f>
        <v/>
      </c>
      <c r="J659" s="192"/>
      <c r="K659" s="192" t="str">
        <f>VLOOKUP(I659,I639:L642,3,FALSE)</f>
        <v/>
      </c>
      <c r="L659" s="253"/>
      <c r="M659" s="254"/>
      <c r="N659" s="254"/>
      <c r="O659" s="152"/>
      <c r="P659" s="153"/>
      <c r="Q659" s="255" t="str">
        <f>IF(L659="","",IF(AND(L659-L660&gt;1,L659&gt;10),1,0)+IF(AND(M659-M660&gt;1,M659&gt;10),1,0)+IF(AND(N659-N660&gt;1,N659&gt;10),1,0)+IF(AND(O659-O660&gt;1,O659&gt;10),1,0)+IF(AND(P659-P660&gt;1,P659&gt;10),1,0))</f>
        <v/>
      </c>
      <c r="R659" s="203" t="str">
        <f>IF(AND(I659="",I660=""),"",ABS(VLOOKUP(I659,I639:L642,4,FALSE)-VLOOKUP(I660,I639:L642,4,FALSE)))</f>
        <v/>
      </c>
      <c r="S659" s="256" t="str">
        <f>IF(R660="","",IF(Q659=3,+R660,-R660))</f>
        <v/>
      </c>
      <c r="T659" s="192"/>
      <c r="U659" s="235"/>
      <c r="V659" s="235"/>
      <c r="W659" s="235"/>
      <c r="X659" s="235"/>
      <c r="Y659" s="235"/>
      <c r="Z659" s="235"/>
      <c r="AA659" s="243">
        <v>1</v>
      </c>
      <c r="AB659" s="222" t="str">
        <f>IF(AND(COUNTBLANK(I639:I642)=0,Group_players=4,M639=M641,M641=M642),IF(V646="","",IF(COUNTIF(V646:V649,V646)=3,"Tied",IF(AND(COUNTIF(V646:V649,V646)=1,V648&lt;&gt;U649),IF(M639=2,IF(SMALL(V646:V649,1)=V646,1,IF(SMALL(V646:V649,2)=V646,2,IF(SMALL(V646:V649,3)=V646,3))),IF(M639=1,IF(SMALL(V646:V649,1)=V646,2,IF(SMALL(V646:V649,2)=V646,3,IF(SMALL(V646:V649,3)=V646,4))),"")),IF(COUNTIF(V646:V649,V646)=1,IF(V646&lt;V648,IF(M639=2,1,2),IF(M639=2,3,4)),IF(COUNTIF(V646:V649,V646)=2,IF(V646=V648,IF(V646&lt;V649,IF(M639=2,IF(Q650=3,1,2),IF(M639=1,IF(Q650=3,2,3))),IF(V646&gt;V649,IF(M639=2,IF(Q650=3,2,3),IF(M639=1,IF(Q650=3,3,4))))),IF(V646=V649,IF(V646&lt;V648,IF(M639=2,IF(Q656=3,1,2),IF(M639=1,IF(Q656=3,2,3))),IF(V646&gt;V647,IF(M639=2,IF(Q656=3,2,3),IF(M639=1,IF(Q656=3,3,4)))))))))))),"")</f>
        <v/>
      </c>
      <c r="AC659" s="192"/>
      <c r="AD659" s="192"/>
      <c r="AE659" s="192"/>
      <c r="AF659" s="203"/>
      <c r="AG659" s="203"/>
      <c r="AH659" s="203"/>
      <c r="AI659" s="203"/>
      <c r="AJ659" s="203"/>
      <c r="AK659" s="203"/>
      <c r="AL659" s="203"/>
      <c r="AM659" s="203"/>
      <c r="AN659" s="192"/>
      <c r="AO659" s="192"/>
      <c r="AP659" s="192"/>
      <c r="AQ659" s="192"/>
      <c r="AR659" s="192"/>
      <c r="AS659" s="192"/>
      <c r="AT659" s="192"/>
      <c r="AU659" s="192"/>
      <c r="AV659" s="192"/>
      <c r="AW659" s="192"/>
      <c r="AX659" s="192"/>
    </row>
    <row r="660" spans="2:50" ht="15" customHeight="1" thickBot="1" x14ac:dyDescent="0.35">
      <c r="B660" s="192"/>
      <c r="C660" s="192"/>
      <c r="D660" s="192"/>
      <c r="E660" s="164" t="str">
        <f>IF(Q660="","",IF(Q660=3,1,0))</f>
        <v/>
      </c>
      <c r="F660" s="164" t="str">
        <f>IF(Q660="","",IF(Q660&lt;3,1,0))</f>
        <v/>
      </c>
      <c r="G660" s="192"/>
      <c r="H660" s="192" t="str">
        <f>IF(I642&lt;&gt;"",3,"")</f>
        <v/>
      </c>
      <c r="I660" s="192" t="str">
        <f>IF(ISNUMBER(H660),VLOOKUP(H660,H639:I642,2,TRUE),"")</f>
        <v/>
      </c>
      <c r="J660" s="192"/>
      <c r="K660" s="192" t="str">
        <f>VLOOKUP(I660,I639:L642,3,FALSE)</f>
        <v/>
      </c>
      <c r="L660" s="155"/>
      <c r="M660" s="259"/>
      <c r="N660" s="259"/>
      <c r="O660" s="156"/>
      <c r="P660" s="157"/>
      <c r="Q660" s="260" t="str">
        <f>IF(L660="","",IF(AND(L660-L659&gt;1,L660&gt;10),1,0)+IF(AND(M660-M659&gt;1,M660&gt;10),1,0)+IF(AND(N660-N659&gt;1,N660&gt;10),1,0)+IF(AND(O660-O659&gt;1,O660&gt;10),1,0)+IF(AND(P660-P659&gt;1,P660&gt;10),1,0))</f>
        <v/>
      </c>
      <c r="R660" s="203" t="str">
        <f>IF(AND(Q659&lt;&gt;3,Q660&lt;&gt;3),"",IF(Q659=3,IF(VLOOKUP(I659,I639:L642,4,FALSE)&gt;VLOOKUP(I660,I639:L642,4,FALSE),VLOOKUP(R659,Point_dif,2,FALSE),VLOOKUP(R659,Point_dif,3,FALSE)),IF(Q660=3,IF(VLOOKUP(I660,I639:L642,4,FALSE)&gt;VLOOKUP(I659,I639:L642,4,FALSE),VLOOKUP(R659,Point_dif,2,FALSE),VLOOKUP(R659,Point_dif,3,FALSE)))))</f>
        <v/>
      </c>
      <c r="S660" s="256" t="str">
        <f>IF(R660="","",IF(Q660=3,+R660,-R660))</f>
        <v/>
      </c>
      <c r="T660" s="192"/>
      <c r="U660" s="159"/>
      <c r="V660" s="266"/>
      <c r="W660" s="266"/>
      <c r="X660" s="266"/>
      <c r="Y660" s="192"/>
      <c r="Z660" s="203"/>
      <c r="AA660" s="246">
        <v>3</v>
      </c>
      <c r="AB660" s="222" t="str">
        <f>IF(AND(COUNTBLANK(I639:I642)=0,Group_players=4,M639=M641,M641=M642),IF(V648="","",IF(COUNTIF(V646:V649,V648)=3,"Tied",IF(AND(COUNTIF(V646:V649,V648)=1,V646&lt;&gt;V649),IF(M641=2,IF(SMALL(V646:V649,1)=V648,1,IF(SMALL(V646:V649,2)=V648,2,IF(SMALL(V646:V649,3)=V648,3))),IF(M641=1,IF(SMALL(V646:V649,1)=V648,2,IF(SMALL(V646:V649,2)=V648,3,IF(SMALL(V646:V649,3)=V648,4))),"")),IF(COUNTIF(V646:V649,V648)=1,IF(V648&lt;V646,IF(M641=2,1,2),IF(M641=2,3,4)),IF(COUNTIF(V646:V649,V648)=2,IF(V648=V646,IF(V648&lt;V649,IF(M641=2,IF(Q651=3,1,2),IF(M641=1,IF(Q651=3,2,3))),IF(V648&gt;V649,IF(M641=2,IF(Q651=3,2,3),IF(M641=1,IF(Q651=3,3,4))))),IF(V648=V649,IF(V648&lt;V646,IF(M641=2,IF(Q665=3,1,2),IF(M641=1,IF(Q665=3,2,3))),IF(V648&gt;V646,IF(M641=2,IF(Q665=3,2,3),IF(M641=1,IF(Q665=3,3,4)))))))))))),"")</f>
        <v/>
      </c>
      <c r="AC660" s="192"/>
      <c r="AD660" s="192"/>
      <c r="AE660" s="192"/>
      <c r="AF660" s="203"/>
      <c r="AG660" s="203"/>
      <c r="AH660" s="203"/>
      <c r="AI660" s="203"/>
      <c r="AJ660" s="203"/>
      <c r="AK660" s="203"/>
      <c r="AL660" s="203"/>
      <c r="AM660" s="203"/>
      <c r="AN660" s="192"/>
      <c r="AO660" s="192"/>
      <c r="AP660" s="192"/>
      <c r="AQ660" s="192"/>
      <c r="AR660" s="192"/>
      <c r="AS660" s="192"/>
      <c r="AT660" s="192"/>
      <c r="AU660" s="192"/>
      <c r="AV660" s="192"/>
      <c r="AW660" s="192"/>
      <c r="AX660" s="192"/>
    </row>
    <row r="661" spans="2:50" ht="15" customHeight="1" thickTop="1" thickBot="1" x14ac:dyDescent="0.35">
      <c r="B661" s="192"/>
      <c r="C661" s="192"/>
      <c r="D661" s="192"/>
      <c r="E661" s="164"/>
      <c r="F661" s="164"/>
      <c r="G661" s="192"/>
      <c r="H661" s="192"/>
      <c r="I661" s="249" t="s">
        <v>119</v>
      </c>
      <c r="J661" s="249"/>
      <c r="K661" s="249"/>
      <c r="L661" s="250" t="s">
        <v>115</v>
      </c>
      <c r="M661" s="250" t="s">
        <v>116</v>
      </c>
      <c r="N661" s="250" t="s">
        <v>117</v>
      </c>
      <c r="O661" s="250" t="s">
        <v>118</v>
      </c>
      <c r="P661" s="250" t="s">
        <v>119</v>
      </c>
      <c r="Q661" s="250" t="s">
        <v>120</v>
      </c>
      <c r="R661" s="250"/>
      <c r="S661" s="251"/>
      <c r="T661" s="247"/>
      <c r="U661" s="235"/>
      <c r="V661" s="235"/>
      <c r="W661" s="235"/>
      <c r="X661" s="235"/>
      <c r="Y661" s="235"/>
      <c r="Z661" s="235"/>
      <c r="AA661" s="240">
        <v>4</v>
      </c>
      <c r="AB661" s="241" t="str">
        <f>IF(AND(COUNTBLANK(I639:I642)=0,Group_players=4,M639=M641,M641=M642),IF(V649="","",IF(COUNTIF(V646:V649,V649)=3,"Tied",IF(AND(COUNTIF(V646:V649,V649)=1,V648&lt;&gt;V646),IF(M642=2,IF(SMALL(V646:V649,1)=V649,1,IF(SMALL(V646:V649,2)=V649,2,IF(SMALL(V646:V649,3)=V649,3))),IF(M642=1,IF(SMALL(V646:V649,1)=V649,2,IF(SMALL(V646:V649,2)=V649,3,IF(SMALL(V646:V649,3)=V649,4))),"")),IF(COUNTIF(V646:V649,V649)=1,IF(V649&lt;V646,IF(M642=2,1,2),IF(M642=2,3,4)),IF(COUNTIF(V646:V649,V649)=2,IF(V649=V646,IF(V649&lt;V648,IF(M642=2,IF(Q657=3,1,2),IF(M642=1,IF(Q657=3,2,3))),IF(V649&gt;V648,IF(M642=2,IF(Q657=3,2,3),IF(M642=1,IF(Q657=3,3,4))))),IF(V649=V648,IF(V649&lt;V646,IF(M642=2,IF(Q666=3,1,2),IF(M642=1,IF(Q666=3,2,3))),IF(V649&gt;V646,IF(M642=2,IF(Q666=3,2,3),IF(M642=1,IF(Q666=3,3,4)))))))))))),"")</f>
        <v/>
      </c>
      <c r="AC661" s="192"/>
      <c r="AD661" s="192"/>
      <c r="AE661" s="192"/>
      <c r="AF661" s="203"/>
      <c r="AG661" s="203"/>
      <c r="AH661" s="203"/>
      <c r="AI661" s="203"/>
      <c r="AJ661" s="203"/>
      <c r="AK661" s="203"/>
      <c r="AL661" s="203"/>
      <c r="AM661" s="203"/>
      <c r="AN661" s="192"/>
      <c r="AO661" s="192"/>
      <c r="AP661" s="192"/>
      <c r="AQ661" s="192"/>
      <c r="AR661" s="192"/>
      <c r="AS661" s="192"/>
      <c r="AT661" s="192"/>
      <c r="AU661" s="192"/>
      <c r="AV661" s="192"/>
      <c r="AW661" s="192"/>
      <c r="AX661" s="192"/>
    </row>
    <row r="662" spans="2:50" ht="15" customHeight="1" thickTop="1" x14ac:dyDescent="0.3">
      <c r="B662" s="192"/>
      <c r="C662" s="192"/>
      <c r="D662" s="192"/>
      <c r="E662" s="164" t="str">
        <f>IF(Q662="","",IF(Q662=3,1,0))</f>
        <v/>
      </c>
      <c r="F662" s="164" t="str">
        <f>IF(Q662="","",IF(Q662&lt;3,1,0))</f>
        <v/>
      </c>
      <c r="G662" s="192"/>
      <c r="H662" s="192" t="str">
        <f>IF(I642&lt;&gt;"",1,"")</f>
        <v/>
      </c>
      <c r="I662" s="192" t="str">
        <f>IF(ISNUMBER(H662),VLOOKUP(H662,H639:I642,2,TRUE),"")</f>
        <v/>
      </c>
      <c r="J662" s="192"/>
      <c r="K662" s="192" t="str">
        <f>VLOOKUP(I662,I639:L642,3,FALSE)</f>
        <v/>
      </c>
      <c r="L662" s="253"/>
      <c r="M662" s="254"/>
      <c r="N662" s="254"/>
      <c r="O662" s="152"/>
      <c r="P662" s="153"/>
      <c r="Q662" s="255" t="str">
        <f>IF(L662="","",IF(AND(L662-L663&gt;1,L662&gt;10),1,0)+IF(AND(M662-M663&gt;1,M662&gt;10),1,0)+IF(AND(N662-N663&gt;1,N662&gt;10),1,0)+IF(AND(O662-O663&gt;1,O662&gt;10),1,0)+IF(AND(P662-P663&gt;1,P662&gt;10),1,0))</f>
        <v/>
      </c>
      <c r="R662" s="203" t="str">
        <f>IF(AND(I662="",I663=""),"",ABS(VLOOKUP(I662,I639:L642,4,FALSE)-VLOOKUP(I663,I639:L642,4,FALSE)))</f>
        <v/>
      </c>
      <c r="S662" s="256" t="str">
        <f>IF(R663="","",IF(Q662=3,+R663,-R663))</f>
        <v/>
      </c>
      <c r="T662" s="247"/>
      <c r="U662" s="235"/>
      <c r="V662" s="235"/>
      <c r="W662" s="235"/>
      <c r="X662" s="235"/>
      <c r="Y662" s="235"/>
      <c r="Z662" s="235"/>
      <c r="AA662" s="243">
        <v>1</v>
      </c>
      <c r="AB662" s="222" t="str">
        <f>IF(AND(COUNTBLANK(I639:I642)=0,Group_players=4,M639=M640,M640=M642),IF(W646="","",IF(COUNTIF(W646:W649,W646)=3,"Tied",IF(AND(COUNTIF(W646:W649,W646)=1,W647&lt;&gt;W648),IF(M639=2,IF(SMALL(W646:W649,1)=W646,1,IF(SMALL(W646:W649,2)=W646,2,IF(SMALL(W646:W649,3)=W646,3))),IF(M639=1,IF(SMALL(W646:W649,1)=W646,2,IF(SMALL(W646:W649,2)=W646,3,IF(SMALL(W646:W649,3)=W646,4))),"")),IF(COUNTIF(W646:W649,W646)=1,IF(W646&lt;W647,IF(M639=2,1,2),IF(M639=2,3,4)),IF(COUNTIF(W646:W649,W646)=2,IF(W646=W647,IF(W646&lt;W649,IF(M639=2,IF(Q662=3,1,2),IF(M639=1,IF(Q662=3,2,3))),IF(W646&gt;W649,IF(M639=2,IF(Q662=3,2,3),IF(M639=1,IF(Q662=3,3,4))))),IF(W646=W649,IF(W646&lt;W647,IF(M639=2,IF(Q656=3,1,2),IF(M639=1,IF(Q656=3,2,3))),IF(W646&gt;W647,IF(M639=2,IF(Q656=3,2,3),IF(M639=1,IF(Q656=3,3,4)))))))))))),"")</f>
        <v/>
      </c>
      <c r="AC662" s="192"/>
      <c r="AD662" s="192"/>
      <c r="AE662" s="192"/>
      <c r="AF662" s="203"/>
      <c r="AG662" s="203"/>
      <c r="AH662" s="203"/>
      <c r="AI662" s="203"/>
      <c r="AJ662" s="203"/>
      <c r="AK662" s="203"/>
      <c r="AL662" s="203"/>
      <c r="AM662" s="203"/>
      <c r="AN662" s="192"/>
      <c r="AO662" s="192"/>
      <c r="AP662" s="192"/>
      <c r="AQ662" s="192"/>
      <c r="AR662" s="192"/>
      <c r="AS662" s="192"/>
      <c r="AT662" s="192"/>
      <c r="AU662" s="192"/>
      <c r="AV662" s="192"/>
      <c r="AW662" s="192"/>
      <c r="AX662" s="192"/>
    </row>
    <row r="663" spans="2:50" ht="15" customHeight="1" thickBot="1" x14ac:dyDescent="0.35">
      <c r="B663" s="192"/>
      <c r="C663" s="192"/>
      <c r="D663" s="192"/>
      <c r="E663" s="164" t="str">
        <f>IF(Q663="","",IF(Q663=3,1,0))</f>
        <v/>
      </c>
      <c r="F663" s="164" t="str">
        <f>IF(Q663="","",IF(Q663&lt;3,1,0))</f>
        <v/>
      </c>
      <c r="G663" s="192"/>
      <c r="H663" s="192" t="str">
        <f>IF(I642&lt;&gt;"",2,"")</f>
        <v/>
      </c>
      <c r="I663" s="192" t="str">
        <f>IF(ISNUMBER(H663),VLOOKUP(H663,H639:I642,2,TRUE),"")</f>
        <v/>
      </c>
      <c r="J663" s="192"/>
      <c r="K663" s="192" t="str">
        <f>VLOOKUP(I663,I639:L642,3,FALSE)</f>
        <v/>
      </c>
      <c r="L663" s="155"/>
      <c r="M663" s="259"/>
      <c r="N663" s="259"/>
      <c r="O663" s="156"/>
      <c r="P663" s="157"/>
      <c r="Q663" s="260" t="str">
        <f>IF(L663="","",IF(AND(L663-L662&gt;1,L663&gt;10),1,0)+IF(AND(M663-M662&gt;1,M663&gt;10),1,0)+IF(AND(N663-N662&gt;1,N663&gt;10),1,0)+IF(AND(O663-O662&gt;1,O663&gt;10),1,0)+IF(AND(P663-P662&gt;1,P663&gt;10),1,0))</f>
        <v/>
      </c>
      <c r="R663" s="203" t="str">
        <f>IF(AND(Q662&lt;&gt;3,Q663&lt;&gt;3),"",IF(Q662=3,IF(VLOOKUP(I662,I639:L642,4,FALSE)&gt;VLOOKUP(I663,I639:L642,4,FALSE),VLOOKUP(R662,Point_dif,2,FALSE),VLOOKUP(R662,Point_dif,3,FALSE)),IF(Q663=3,IF(VLOOKUP(I663,I639:L642,4,FALSE)&gt;VLOOKUP(I663,I639:L642,4,FALSE),VLOOKUP(R662,Point_dif,2,FALSE),VLOOKUP(R662,Point_dif,3,FALSE)))))</f>
        <v/>
      </c>
      <c r="S663" s="256" t="str">
        <f>IF(R663="","",IF(Q663=3,+R663,-R663))</f>
        <v/>
      </c>
      <c r="T663" s="247"/>
      <c r="U663" s="235"/>
      <c r="V663" s="235"/>
      <c r="W663" s="235"/>
      <c r="X663" s="235"/>
      <c r="Y663" s="235"/>
      <c r="Z663" s="235"/>
      <c r="AA663" s="246">
        <v>2</v>
      </c>
      <c r="AB663" s="222" t="str">
        <f>IF(AND(COUNTBLANK(I639:I642)=0,Group_players=4,M639=M640,M640=M642),IF(W647="","",IF(COUNTIF(W646:W649,W647)=3,"Tied",IF(AND(COUNTIF(W646:W649,W647)=1,W646&lt;&gt;W648),IF(M640=2,IF(SMALL(W646:W649,1)=W647,1,IF(SMALL(W646:W649,2)=W647,2,IF(SMALL(W646:W649,3)=W647,3))),IF(M640=1,IF(SMALL(W646:W649,1)=W647,2,IF(SMALL(W646:W649,2)=W647,3,IF(SMALL(W646:W649,3)=W647,4))),"")),IF(COUNTIF(W646:W649,W647)=1,IF(W647&lt;W646,IF(M640=2,1,2),IF(M640=2,3,4)),IF(COUNTIF(W646:W649,W647)=2,IF(W647=W646,IF(W647&lt;W649,IF(M640=2,IF(Q663=3,1,2),IF(M640=1,IF(Q663=3,2,3))),IF(W647&gt;W649,IF(M640=2,IF(Q663=3,2,3),IF(M640=1,IF(Q663=3,3,4))))),IF(W647=W649,IF(W647&lt;W646,IF(M640=2,IF(Q653=3,1,2),IF(M640=1,IF(Q653=3,2,3))),IF(W647&gt;W646,IF(M640=2,IF(Q653=3,2,3),IF(M640=1,IF(Q653=3,3,4)))))))))))),"")</f>
        <v/>
      </c>
      <c r="AC663" s="192"/>
      <c r="AD663" s="192"/>
      <c r="AE663" s="192"/>
      <c r="AF663" s="203"/>
      <c r="AG663" s="203"/>
      <c r="AH663" s="203"/>
      <c r="AI663" s="203"/>
      <c r="AJ663" s="203"/>
      <c r="AK663" s="203"/>
      <c r="AL663" s="203"/>
      <c r="AM663" s="203"/>
      <c r="AN663" s="192"/>
      <c r="AO663" s="192"/>
      <c r="AP663" s="192"/>
      <c r="AQ663" s="192"/>
      <c r="AR663" s="192"/>
      <c r="AS663" s="192"/>
      <c r="AT663" s="192"/>
      <c r="AU663" s="192"/>
      <c r="AV663" s="192"/>
      <c r="AW663" s="192"/>
      <c r="AX663" s="192"/>
    </row>
    <row r="664" spans="2:50" ht="15" customHeight="1" thickTop="1" thickBot="1" x14ac:dyDescent="0.35">
      <c r="B664" s="192"/>
      <c r="C664" s="192"/>
      <c r="D664" s="192"/>
      <c r="E664" s="164"/>
      <c r="F664" s="164"/>
      <c r="G664" s="192"/>
      <c r="H664" s="192"/>
      <c r="I664" s="249" t="s">
        <v>121</v>
      </c>
      <c r="J664" s="249"/>
      <c r="K664" s="249"/>
      <c r="L664" s="250" t="s">
        <v>115</v>
      </c>
      <c r="M664" s="250" t="s">
        <v>116</v>
      </c>
      <c r="N664" s="250" t="s">
        <v>117</v>
      </c>
      <c r="O664" s="250" t="s">
        <v>118</v>
      </c>
      <c r="P664" s="250" t="s">
        <v>119</v>
      </c>
      <c r="Q664" s="250" t="s">
        <v>120</v>
      </c>
      <c r="R664" s="250"/>
      <c r="S664" s="251"/>
      <c r="T664" s="247"/>
      <c r="U664" s="235"/>
      <c r="V664" s="235"/>
      <c r="W664" s="235"/>
      <c r="X664" s="235"/>
      <c r="Y664" s="235"/>
      <c r="Z664" s="235"/>
      <c r="AA664" s="240">
        <v>4</v>
      </c>
      <c r="AB664" s="241" t="str">
        <f>IF(AND(COUNTBLANK(I639:I642)=0,Group_players=4,M639=M640,M640=M642),IF(W649="","",IF(COUNTIF(W646:W649,W649)=3,"Tied",IF(AND(COUNTIF(W646:W649,W649)=1,W646&lt;&gt;W647),IF(M642=2,IF(SMALL(W646:W649,1)=W649,1,IF(SMALL(W646:W649,2)=W649,2,IF(SMALL(W646:W649,3)=W649,3))),IF(M642=1,IF(SMALL(W646:W649,1)=W649,2,IF(SMALL(W646:W649,2)=W649,3,IF(SMALL(W646:W649,3)=W649,4))),"")),IF(COUNTIF(W646:W649,W649)=1,IF(W649&lt;W646,IF(M642=2,1,2),IF(M642=2,3,4)),IF(COUNTIF(W646:W649,W649)=2,IF(W649=W646,IF(W649&lt;W647,IF(M642=2,IF(Q657=3,1,2),IF(M642=1,IF(Q657=3,2,3))),IF(W649&gt;W648,IF(M642=2,IF(Q657=3,2,3),IF(M642=1,IF(Q657=3,3,4))))),IF(W649=W647,IF(W649&lt;W646,IF(M642=2,IF(Q654=3,1,2),IF(M642=1,IF(Q654=3,2,3))),IF(W649&gt;W646,IF(M642=2,IF(Q654=3,2,3),IF(M642=1,IF(Q654=3,3,4)))))))))))),"")</f>
        <v/>
      </c>
      <c r="AC664" s="192"/>
      <c r="AD664" s="192"/>
      <c r="AE664" s="192"/>
      <c r="AF664" s="203"/>
      <c r="AG664" s="203"/>
      <c r="AH664" s="203"/>
      <c r="AI664" s="203"/>
      <c r="AJ664" s="203"/>
      <c r="AK664" s="203"/>
      <c r="AL664" s="203"/>
      <c r="AM664" s="203"/>
      <c r="AN664" s="192"/>
      <c r="AO664" s="192"/>
      <c r="AP664" s="192"/>
      <c r="AQ664" s="192"/>
      <c r="AR664" s="192"/>
      <c r="AS664" s="192"/>
      <c r="AT664" s="192"/>
      <c r="AU664" s="192"/>
      <c r="AV664" s="192"/>
      <c r="AW664" s="192"/>
      <c r="AX664" s="192"/>
    </row>
    <row r="665" spans="2:50" ht="15" customHeight="1" thickTop="1" x14ac:dyDescent="0.3">
      <c r="B665" s="192"/>
      <c r="C665" s="192"/>
      <c r="D665" s="192"/>
      <c r="E665" s="164" t="str">
        <f>IF(Q665="","",IF(Q665=3,1,0))</f>
        <v/>
      </c>
      <c r="F665" s="164" t="str">
        <f>IF(Q665="","",IF(Q665&lt;3,1,0))</f>
        <v/>
      </c>
      <c r="G665" s="192"/>
      <c r="H665" s="192" t="str">
        <f>IF(I642&lt;&gt;"",3,"")</f>
        <v/>
      </c>
      <c r="I665" s="192" t="str">
        <f>IF(ISNUMBER(H665),VLOOKUP(H665,H639:I642,2,TRUE),"")</f>
        <v/>
      </c>
      <c r="J665" s="192"/>
      <c r="K665" s="192" t="str">
        <f>VLOOKUP(I665,I639:L642,3,FALSE)</f>
        <v/>
      </c>
      <c r="L665" s="253"/>
      <c r="M665" s="254"/>
      <c r="N665" s="254"/>
      <c r="O665" s="152"/>
      <c r="P665" s="153"/>
      <c r="Q665" s="255" t="str">
        <f>IF(L665="","",IF(AND(L665-L666&gt;1,L665&gt;10),1,0)+IF(AND(M665-M666&gt;1,M665&gt;10),1,0)+IF(AND(N665-N666&gt;1,N665&gt;10),1,0)+IF(AND(O665-O666&gt;1,O665&gt;10),1,0)+IF(AND(P665-P666&gt;1,P665&gt;10),1,0))</f>
        <v/>
      </c>
      <c r="R665" s="203" t="str">
        <f>IF(AND(I665="",I666=""),"",ABS(VLOOKUP(I665,I639:L642,4,FALSE)-VLOOKUP(I666,I639:L642,4,FALSE)))</f>
        <v/>
      </c>
      <c r="S665" s="256" t="str">
        <f>IF(R666="","",IF(Q665=3,+R666,-R666))</f>
        <v/>
      </c>
      <c r="T665" s="247"/>
      <c r="U665" s="264"/>
      <c r="V665" s="242"/>
      <c r="W665" s="192"/>
      <c r="X665" s="264"/>
      <c r="Y665" s="192"/>
      <c r="Z665" s="192"/>
      <c r="AA665" s="243">
        <v>2</v>
      </c>
      <c r="AB665" s="222" t="str">
        <f>IF(AND(COUNTBLANK(I639:I642)=0,Group_players=4,M640=M641,M641=M642),IF(X647="","",IF(COUNTIF(X646:X649,X647)=3,"Tied",IF(AND(COUNTIF(X646:X649,X647)=1,X648&lt;&gt;X649),IF(M640=2,IF(SMALL(X646:X649,1)=X647,1,IF(SMALL(X646:X649,2)=X647,2,IF(SMALL(X646:X649,3)=X647,3))),IF(M640=1,IF(SMALL(X646:X649,1)=X647,2,IF(SMALL(X646:X649,2)=X647,3,IF(SMALL(X646:X649,3)=X647,4))),"")),IF(COUNTIF(X646:X649,X647)=1,IF(X647&lt;X649,IF(M640=2,1,2),IF(M640=1,4)),IF(COUNTIF(X646:X649,X647)=2,IF(X647=X648,IF(X647&lt;X649,IF(M640=2,IF(Q659=3,1,2),IF(M640=1,IF(Q659=3,2,3))),IF(X647&gt;X649,IF(M640=2,IF(Q659=3,2,3),IF(M640=1,IF(Q659=3,3,4))))),IF(X647=X649,IF(X647&lt;X648,IF(M640=2,IF(Q653=3,1,2),IF(M640=1,IF(Q653=3,2,3))),IF(X647&gt;X648,IF(M640=2,IF(Q653=3,2,3),IF(M640=1,IF(Q653=3,3,4)))))))))))),"")</f>
        <v/>
      </c>
      <c r="AC665" s="192"/>
      <c r="AD665" s="192"/>
      <c r="AE665" s="192"/>
      <c r="AF665" s="203"/>
      <c r="AG665" s="203"/>
      <c r="AH665" s="203"/>
      <c r="AI665" s="203"/>
      <c r="AJ665" s="203"/>
      <c r="AK665" s="203"/>
      <c r="AL665" s="203"/>
      <c r="AM665" s="203"/>
      <c r="AN665" s="192"/>
      <c r="AO665" s="192"/>
      <c r="AP665" s="192"/>
      <c r="AQ665" s="192"/>
      <c r="AR665" s="192"/>
      <c r="AS665" s="192"/>
      <c r="AT665" s="192"/>
      <c r="AU665" s="192"/>
      <c r="AV665" s="192"/>
      <c r="AW665" s="192"/>
      <c r="AX665" s="192"/>
    </row>
    <row r="666" spans="2:50" ht="15" customHeight="1" thickBot="1" x14ac:dyDescent="0.35">
      <c r="B666" s="192"/>
      <c r="C666" s="192"/>
      <c r="D666" s="192"/>
      <c r="E666" s="164" t="str">
        <f>IF(Q666="","",IF(Q666=3,1,0))</f>
        <v/>
      </c>
      <c r="F666" s="164" t="str">
        <f>IF(Q666="","",IF(Q666&lt;3,1,0))</f>
        <v/>
      </c>
      <c r="G666" s="192"/>
      <c r="H666" s="192" t="str">
        <f>IF(I642&lt;&gt;"",4,"")</f>
        <v/>
      </c>
      <c r="I666" s="192" t="str">
        <f>IF(ISNUMBER(H666),VLOOKUP(H666,H639:I642,2,TRUE),"")</f>
        <v/>
      </c>
      <c r="J666" s="192"/>
      <c r="K666" s="192" t="str">
        <f>VLOOKUP(I666,I639:L642,3,FALSE)</f>
        <v/>
      </c>
      <c r="L666" s="155"/>
      <c r="M666" s="259"/>
      <c r="N666" s="259"/>
      <c r="O666" s="156"/>
      <c r="P666" s="157"/>
      <c r="Q666" s="260" t="str">
        <f>IF(L666="","",IF(AND(L666-L665&gt;1,L666&gt;10),1,0)+IF(AND(M666-M665&gt;1,M666&gt;10),1,0)+IF(AND(N666-N665&gt;1,N666&gt;10),1,0)+IF(AND(O666-O665&gt;1,O666&gt;10),1,0)+IF(AND(P666-P665&gt;1,P666&gt;10),1,0))</f>
        <v/>
      </c>
      <c r="R666" s="203" t="str">
        <f>IF(AND(Q665&lt;&gt;3,Q666&lt;&gt;3),"",IF(Q665=3,IF(VLOOKUP(I665,I639:L642,4,FALSE)&gt;VLOOKUP(I666,I639:L642,4,FALSE),VLOOKUP(R665,Point_dif,2,FALSE),VLOOKUP(R665,Point_dif,3,FALSE)),IF(Q666=3,IF(VLOOKUP(I666,I639:L642,4,FALSE)&gt;VLOOKUP(I665,I639:L642,4,FALSE),VLOOKUP(R665,Point_dif,2,FALSE),VLOOKUP(R665,Point_dif,3,FALSE)))))</f>
        <v/>
      </c>
      <c r="S666" s="260" t="str">
        <f>IF(R666="","",IF(Q666=3,+R666,-R666))</f>
        <v/>
      </c>
      <c r="T666" s="247"/>
      <c r="U666" s="235"/>
      <c r="V666" s="235"/>
      <c r="W666" s="235"/>
      <c r="X666" s="235"/>
      <c r="Y666" s="235"/>
      <c r="Z666" s="235"/>
      <c r="AA666" s="246">
        <v>3</v>
      </c>
      <c r="AB666" s="222" t="str">
        <f>IF(AND(COUNTBLANK(I639:I642)=0,Group_players=4,Group_players=4,M640=M641,M641=M642),IF(X648="","",IF(COUNTIF(X646:X649,X648)=3,"Tied",IF(AND(COUNTIF(X646:X649,X648)=1,X647&lt;&gt;X649),IF(M641=2,IF(SMALL(X646:X649,1)=X648,1,IF(SMALL(X646:X649,2)=X648,2,IF(SMALL(X646:X649,3)=X648,3))),IF(M641=1,IF(SMALL(X646:X649,1)=X648,2,IF(SMALL(X646:X649,2)=X648,3,IF(SMALL(X646:X649,3)=X648,4))),"")),IF(COUNTIF(X646:X649,X648)=1,IF(X648&lt;X647,IF(M641=2,1,2),IF(M641=2,3,4)),IF(COUNTIF(X646:X649,X648)=2,IF(X648=X647,IF(X648&lt;X649,IF(M641=2,IF(Q660=3,1,2),IF(M641=1,IF(Q660=3,2,3))),IF(X648&gt;X649,IF(M641=2,IF(Q660=3,2,3),IF(M641=1,IF(Q660=3,3,4))))),IF(X648=X649,IF(X648&lt;X647,IF(M641=2,IF(Q665=3,1,2),IF(M641=1,IF(Q665=3,2,3))),IF(X648&gt;X647,IF(M641=2,IF(Q665=3,2,3),IF(M641=1,IF(Q665=3,3,4)))))))))))),"")</f>
        <v/>
      </c>
      <c r="AC666" s="192"/>
      <c r="AD666" s="192"/>
      <c r="AE666" s="192"/>
      <c r="AF666" s="203"/>
      <c r="AG666" s="203"/>
      <c r="AH666" s="203"/>
      <c r="AI666" s="203"/>
      <c r="AJ666" s="203"/>
      <c r="AK666" s="203"/>
      <c r="AL666" s="203"/>
      <c r="AM666" s="203"/>
      <c r="AN666" s="192"/>
      <c r="AO666" s="192"/>
      <c r="AP666" s="192"/>
      <c r="AQ666" s="192"/>
      <c r="AR666" s="192"/>
      <c r="AS666" s="192"/>
      <c r="AT666" s="192"/>
      <c r="AU666" s="192"/>
      <c r="AV666" s="192"/>
      <c r="AW666" s="192"/>
      <c r="AX666" s="192"/>
    </row>
    <row r="667" spans="2:50" ht="15" customHeight="1" thickTop="1" thickBot="1" x14ac:dyDescent="0.35">
      <c r="B667" s="192"/>
      <c r="C667" s="192"/>
      <c r="D667" s="192"/>
      <c r="E667" s="192"/>
      <c r="F667" s="192"/>
      <c r="G667" s="192"/>
      <c r="H667" s="192"/>
      <c r="I667" s="192"/>
      <c r="J667" s="192"/>
      <c r="K667" s="192"/>
      <c r="L667" s="192"/>
      <c r="M667" s="192"/>
      <c r="N667" s="192"/>
      <c r="O667" s="268"/>
      <c r="P667" s="192"/>
      <c r="Q667" s="192"/>
      <c r="R667" s="247"/>
      <c r="S667" s="247"/>
      <c r="T667" s="247"/>
      <c r="U667" s="235"/>
      <c r="V667" s="235"/>
      <c r="W667" s="235"/>
      <c r="X667" s="235"/>
      <c r="Y667" s="235"/>
      <c r="Z667" s="235"/>
      <c r="AA667" s="261">
        <v>4</v>
      </c>
      <c r="AB667" s="233" t="str">
        <f>IF(AND(COUNTBLANK(I639:I642)=0,Group_players=4,M640=M641,M641=M642),IF(X649="","",IF(COUNTIF(X646:X649,X649)=3,"Tied",IF(AND(COUNTIF(X646:X649,X649)=1,X648&lt;&gt;X647),IF(M642=2,IF(SMALL(X646:X649,1)=X649,1,IF(SMALL(X646:X649,2)=X649,2,IF(SMALL(X646:X649,3)=X649,3))),IF(M642=1,IF(SMALL(X646:X649,1)=X649,2,IF(SMALL(X646:X649,2)=X649,3,IF(SMALL(X646:X649,3)=X649,4))),"")),IF(COUNTIF(X646:X649,X649)=1,IF(X649&lt;X647,IF(M642=2,1,2),IF(M642=2,3,4)),IF(COUNTIF(X646:X649,X649)=2,IF(X649=X647,IF(X649&lt;X648,IF(M642=2,IF(Q654=3,1,2),IF(M642=1,IF(Q654=3,2,3))),IF(X649&gt;X648,IF(M642=2,IF(Q654=3,2,3),IF(M642=1,IF(Q654=3,3,4))))),IF(X649=X648,IF(X649&lt;X647,IF(M642=2,IF(Q666=3,1,2),IF(M642=1,IF(Q666=3,2,3))),IF(X649&gt;X647,IF(M642=2,IF(Q666=3,2,3),IF(M642=1,IF(Q666=3,3,4)))))))))))),"")</f>
        <v/>
      </c>
      <c r="AC667" s="192"/>
      <c r="AD667" s="192"/>
      <c r="AE667" s="192"/>
      <c r="AF667" s="203"/>
      <c r="AG667" s="203"/>
      <c r="AH667" s="203"/>
      <c r="AI667" s="203"/>
      <c r="AJ667" s="203"/>
      <c r="AK667" s="203"/>
      <c r="AL667" s="203"/>
      <c r="AM667" s="203"/>
      <c r="AN667" s="192"/>
      <c r="AO667" s="192"/>
      <c r="AP667" s="192"/>
      <c r="AQ667" s="192"/>
      <c r="AR667" s="192"/>
      <c r="AS667" s="192"/>
      <c r="AT667" s="192"/>
      <c r="AU667" s="192"/>
      <c r="AV667" s="192"/>
      <c r="AW667" s="192"/>
      <c r="AX667" s="192"/>
    </row>
    <row r="668" spans="2:50" ht="15" customHeight="1" thickTop="1" x14ac:dyDescent="0.3">
      <c r="B668" s="192"/>
      <c r="C668" s="192"/>
      <c r="D668" s="192"/>
      <c r="E668" s="192"/>
      <c r="F668" s="192"/>
      <c r="G668" s="192"/>
      <c r="H668" s="192"/>
      <c r="I668" s="192"/>
      <c r="J668" s="192"/>
      <c r="K668" s="192"/>
      <c r="L668" s="192"/>
      <c r="M668" s="192"/>
      <c r="N668" s="192"/>
      <c r="O668" s="192"/>
      <c r="P668" s="192"/>
      <c r="Q668" s="192"/>
      <c r="R668" s="192"/>
      <c r="S668" s="192"/>
      <c r="T668" s="203"/>
      <c r="U668" s="192"/>
      <c r="V668" s="192"/>
      <c r="W668" s="192"/>
      <c r="X668" s="192"/>
      <c r="Y668" s="192"/>
      <c r="Z668" s="192"/>
      <c r="AA668" s="192"/>
      <c r="AB668" s="192"/>
      <c r="AC668" s="192"/>
      <c r="AD668" s="192"/>
      <c r="AE668" s="192"/>
      <c r="AF668" s="203"/>
      <c r="AG668" s="203"/>
      <c r="AH668" s="203"/>
      <c r="AI668" s="203"/>
      <c r="AJ668" s="203"/>
      <c r="AK668" s="203"/>
      <c r="AL668" s="203"/>
      <c r="AM668" s="203"/>
      <c r="AN668" s="192"/>
      <c r="AO668" s="192"/>
      <c r="AP668" s="192"/>
      <c r="AQ668" s="192"/>
      <c r="AR668" s="192"/>
      <c r="AS668" s="192"/>
      <c r="AT668" s="192"/>
      <c r="AU668" s="192"/>
      <c r="AV668" s="192"/>
      <c r="AW668" s="192"/>
      <c r="AX668" s="192"/>
    </row>
    <row r="669" spans="2:50" ht="15" customHeight="1" x14ac:dyDescent="0.3">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c r="AA669" s="192"/>
      <c r="AB669" s="192"/>
      <c r="AC669" s="192"/>
      <c r="AD669" s="192"/>
      <c r="AE669" s="192"/>
      <c r="AF669" s="203"/>
      <c r="AG669" s="203"/>
      <c r="AH669" s="203"/>
      <c r="AI669" s="203"/>
      <c r="AJ669" s="203"/>
      <c r="AK669" s="203"/>
      <c r="AL669" s="203"/>
      <c r="AM669" s="203"/>
      <c r="AN669" s="192"/>
      <c r="AO669" s="192"/>
      <c r="AP669" s="192"/>
      <c r="AQ669" s="192"/>
      <c r="AR669" s="192"/>
      <c r="AS669" s="192"/>
      <c r="AT669" s="192"/>
      <c r="AU669" s="192"/>
      <c r="AV669" s="192"/>
      <c r="AW669" s="192"/>
      <c r="AX669" s="192"/>
    </row>
    <row r="670" spans="2:50" ht="15" customHeight="1" x14ac:dyDescent="0.3">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269"/>
      <c r="AA670" s="192"/>
      <c r="AB670" s="192"/>
      <c r="AC670" s="192"/>
      <c r="AD670" s="192"/>
      <c r="AE670" s="192"/>
      <c r="AF670" s="203"/>
      <c r="AG670" s="203"/>
      <c r="AH670" s="203"/>
      <c r="AI670" s="203"/>
      <c r="AJ670" s="203"/>
      <c r="AK670" s="203"/>
      <c r="AL670" s="203"/>
      <c r="AM670" s="203"/>
      <c r="AN670" s="192"/>
      <c r="AO670" s="192"/>
      <c r="AP670" s="192"/>
      <c r="AQ670" s="192"/>
      <c r="AR670" s="192"/>
      <c r="AS670" s="192"/>
      <c r="AT670" s="192"/>
      <c r="AU670" s="192"/>
      <c r="AV670" s="192"/>
      <c r="AW670" s="192"/>
      <c r="AX670" s="192"/>
    </row>
    <row r="671" spans="2:50" ht="15" customHeight="1" x14ac:dyDescent="0.3">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c r="AA671" s="192"/>
      <c r="AB671" s="192"/>
      <c r="AC671" s="192"/>
      <c r="AD671" s="192"/>
      <c r="AE671" s="192"/>
      <c r="AF671" s="203"/>
      <c r="AG671" s="203"/>
      <c r="AH671" s="203"/>
      <c r="AI671" s="203"/>
      <c r="AJ671" s="203"/>
      <c r="AK671" s="203"/>
      <c r="AL671" s="203"/>
      <c r="AM671" s="203"/>
      <c r="AN671" s="192"/>
      <c r="AO671" s="192"/>
      <c r="AP671" s="192"/>
      <c r="AQ671" s="192"/>
      <c r="AR671" s="192"/>
      <c r="AS671" s="192"/>
      <c r="AT671" s="192"/>
      <c r="AU671" s="192"/>
      <c r="AV671" s="192"/>
      <c r="AW671" s="192"/>
      <c r="AX671" s="192"/>
    </row>
    <row r="672" spans="2:50" ht="15" customHeight="1" x14ac:dyDescent="0.3">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c r="AA672" s="192"/>
      <c r="AB672" s="192"/>
      <c r="AC672" s="192"/>
      <c r="AD672" s="192"/>
      <c r="AE672" s="192"/>
      <c r="AF672" s="203"/>
      <c r="AG672" s="203"/>
      <c r="AH672" s="203"/>
      <c r="AI672" s="203"/>
      <c r="AJ672" s="203"/>
      <c r="AK672" s="203"/>
      <c r="AL672" s="203"/>
      <c r="AM672" s="203"/>
      <c r="AN672" s="192"/>
      <c r="AO672" s="192"/>
      <c r="AP672" s="192"/>
      <c r="AQ672" s="192"/>
      <c r="AR672" s="192"/>
      <c r="AS672" s="192"/>
      <c r="AT672" s="192"/>
      <c r="AU672" s="192"/>
      <c r="AV672" s="192"/>
      <c r="AW672" s="192"/>
      <c r="AX672" s="192"/>
    </row>
    <row r="673" spans="2:50" ht="15" customHeight="1" thickBot="1" x14ac:dyDescent="0.4">
      <c r="B673" s="192"/>
      <c r="C673" s="192"/>
      <c r="D673" s="192"/>
      <c r="E673" s="192"/>
      <c r="F673" s="192"/>
      <c r="G673" s="192"/>
      <c r="H673" s="192"/>
      <c r="I673" s="383" t="s">
        <v>141</v>
      </c>
      <c r="J673" s="383"/>
      <c r="K673" s="383"/>
      <c r="L673" s="383"/>
      <c r="M673" s="383"/>
      <c r="N673" s="383"/>
      <c r="O673" s="383"/>
      <c r="P673" s="383"/>
      <c r="Q673" s="383"/>
      <c r="R673" s="383"/>
      <c r="S673" s="192"/>
      <c r="T673" s="192"/>
      <c r="U673" s="370" t="s">
        <v>92</v>
      </c>
      <c r="V673" s="371"/>
      <c r="W673" s="371"/>
      <c r="X673" s="372"/>
      <c r="Y673" s="192"/>
      <c r="Z673" s="192"/>
      <c r="AA673" s="192"/>
      <c r="AB673" s="192"/>
      <c r="AC673" s="192"/>
      <c r="AD673" s="192"/>
      <c r="AE673" s="192"/>
      <c r="AF673" s="203"/>
      <c r="AG673" s="203"/>
      <c r="AH673" s="203"/>
      <c r="AI673" s="203"/>
      <c r="AJ673" s="203"/>
      <c r="AK673" s="203"/>
      <c r="AL673" s="203"/>
      <c r="AM673" s="203"/>
      <c r="AN673" s="192"/>
      <c r="AO673" s="192"/>
      <c r="AP673" s="192"/>
      <c r="AQ673" s="192"/>
      <c r="AR673" s="192"/>
      <c r="AS673" s="192"/>
      <c r="AT673" s="192"/>
      <c r="AU673" s="192"/>
      <c r="AV673" s="192"/>
      <c r="AW673" s="192"/>
      <c r="AX673" s="192"/>
    </row>
    <row r="674" spans="2:50" ht="15" customHeight="1" thickTop="1" thickBot="1" x14ac:dyDescent="0.35">
      <c r="B674" s="192"/>
      <c r="C674" s="192"/>
      <c r="D674" s="192"/>
      <c r="E674" s="192"/>
      <c r="F674" s="192"/>
      <c r="G674" s="192"/>
      <c r="H674" s="192"/>
      <c r="I674" s="400" t="s">
        <v>93</v>
      </c>
      <c r="J674" s="160"/>
      <c r="K674" s="396" t="s">
        <v>94</v>
      </c>
      <c r="L674" s="398" t="s">
        <v>95</v>
      </c>
      <c r="M674" s="390" t="s">
        <v>96</v>
      </c>
      <c r="N674" s="390" t="s">
        <v>97</v>
      </c>
      <c r="O674" s="373" t="s">
        <v>98</v>
      </c>
      <c r="P674" s="373" t="str">
        <f>IF(COUNT(U675:X686)=3,"LM/WM Ratio",IF(COUNT(U675:X686)=6,"LP/WP Ratio",""))</f>
        <v/>
      </c>
      <c r="Q674" s="390" t="s">
        <v>99</v>
      </c>
      <c r="R674" s="392" t="s">
        <v>100</v>
      </c>
      <c r="S674" s="192"/>
      <c r="T674" s="120"/>
      <c r="U674" s="121" t="s">
        <v>101</v>
      </c>
      <c r="V674" s="122" t="s">
        <v>102</v>
      </c>
      <c r="W674" s="122" t="s">
        <v>103</v>
      </c>
      <c r="X674" s="123" t="s">
        <v>104</v>
      </c>
      <c r="Y674" s="380" t="s">
        <v>105</v>
      </c>
      <c r="Z674" s="379"/>
      <c r="AA674" s="378" t="s">
        <v>106</v>
      </c>
      <c r="AB674" s="379"/>
      <c r="AC674" s="192"/>
      <c r="AD674" s="192"/>
      <c r="AE674" s="203"/>
      <c r="AF674" s="203"/>
      <c r="AG674" s="203"/>
      <c r="AH674" s="203"/>
      <c r="AI674" s="203"/>
      <c r="AJ674" s="203"/>
      <c r="AK674" s="203"/>
      <c r="AL674" s="203"/>
      <c r="AM674" s="203"/>
      <c r="AN674" s="192"/>
      <c r="AO674" s="192"/>
      <c r="AP674" s="192"/>
      <c r="AQ674" s="192"/>
      <c r="AR674" s="192"/>
      <c r="AS674" s="192"/>
      <c r="AT674" s="192"/>
      <c r="AU674" s="192"/>
      <c r="AV674" s="192"/>
      <c r="AW674" s="192"/>
      <c r="AX674" s="192"/>
    </row>
    <row r="675" spans="2:50" ht="15" customHeight="1" thickTop="1" thickBot="1" x14ac:dyDescent="0.35">
      <c r="B675" s="192"/>
      <c r="C675" s="192"/>
      <c r="D675" s="192"/>
      <c r="E675" s="192"/>
      <c r="F675" s="192"/>
      <c r="G675" s="192"/>
      <c r="H675" s="192"/>
      <c r="I675" s="401"/>
      <c r="J675" s="161"/>
      <c r="K675" s="397"/>
      <c r="L675" s="399"/>
      <c r="M675" s="391"/>
      <c r="N675" s="391"/>
      <c r="O675" s="374"/>
      <c r="P675" s="374"/>
      <c r="Q675" s="391"/>
      <c r="R675" s="393"/>
      <c r="S675" s="192"/>
      <c r="T675" s="208">
        <v>1</v>
      </c>
      <c r="U675" s="209" t="str">
        <f>IF(M676="","",IF(COUNTIF(M676:M678,M676)=3,IF(COUNTBLANK(I676:I679)=1,(Q688+Q694)/(Q687+Q693),IF(COUNTBLANK(I676:I679)=0,(Q700+Q688)/(Q699+Q687),"")),""))</f>
        <v/>
      </c>
      <c r="V675" s="125" t="str">
        <f>IF(AND(COUNTBLANK(I676:I679)=0,M676=M678,M678=M679),(Q688+Q694)/(Q687+Q693),"")</f>
        <v/>
      </c>
      <c r="W675" s="210" t="str">
        <f>IF(AND(COUNTBLANK(I676:I679)=0,M676=M677,M677=M679),(Q700+Q694)/(Q699+Q693),"")</f>
        <v/>
      </c>
      <c r="X675" s="211"/>
      <c r="Y675" s="169" t="s">
        <v>93</v>
      </c>
      <c r="Z675" s="170" t="s">
        <v>107</v>
      </c>
      <c r="AA675" s="169" t="s">
        <v>93</v>
      </c>
      <c r="AB675" s="170" t="s">
        <v>107</v>
      </c>
      <c r="AC675" s="192"/>
      <c r="AD675" s="192"/>
      <c r="AE675" s="192"/>
      <c r="AF675" s="203"/>
      <c r="AG675" s="203"/>
      <c r="AH675" s="203"/>
      <c r="AI675" s="203"/>
      <c r="AJ675" s="203"/>
      <c r="AK675" s="203"/>
      <c r="AL675" s="203"/>
      <c r="AM675" s="203"/>
      <c r="AN675" s="192"/>
      <c r="AO675" s="192"/>
      <c r="AP675" s="192"/>
      <c r="AQ675" s="192"/>
      <c r="AR675" s="192"/>
      <c r="AS675" s="192"/>
      <c r="AT675" s="192"/>
      <c r="AU675" s="192"/>
      <c r="AV675" s="192"/>
      <c r="AW675" s="192"/>
      <c r="AX675" s="192"/>
    </row>
    <row r="676" spans="2:50" ht="15" customHeight="1" thickTop="1" thickBot="1" x14ac:dyDescent="0.35">
      <c r="B676" s="192"/>
      <c r="C676" s="192"/>
      <c r="D676" s="192"/>
      <c r="E676" s="192"/>
      <c r="F676" s="192" t="str">
        <f>IF(I676="","",VLOOKUP(I676,Siembra,2,FALSE))</f>
        <v/>
      </c>
      <c r="G676" s="192" t="str">
        <f>O676</f>
        <v/>
      </c>
      <c r="H676" s="192">
        <v>1</v>
      </c>
      <c r="I676" s="128" t="str">
        <f>IF(K676="","",IF(ISNUMBER(Sorteo!$A$17),VLOOKUP(K676,Draw,2,FALSE),""))</f>
        <v/>
      </c>
      <c r="J676" s="129" t="str">
        <f>O676</f>
        <v/>
      </c>
      <c r="K676" s="130" t="str">
        <f>IF($K$9="","",IF(Group_players=4,IF(Tablas!BZ$3="","",Tablas!BZ$3),IF(Group_players=3,IF(Tablas!BZ$11="","",Tablas!BZ$11),"")))</f>
        <v/>
      </c>
      <c r="L676" s="131" t="str">
        <f>IF(K676="","",VLOOKUP(I676,Siembra,3,FALSE))</f>
        <v/>
      </c>
      <c r="M676" s="132" t="str">
        <f>IF(AND(Q687="",Q688=""),"",IF(I676="","",SUMIFS(E687:E703,I687:I703,I676)))</f>
        <v/>
      </c>
      <c r="N676" s="132" t="str">
        <f>IF(M676="","",IF(I676="","",SUMIFS(F687:F703,I687:I703,I676)))</f>
        <v/>
      </c>
      <c r="O676" s="132" t="str">
        <f>IF(M676="","",IF(COUNTBLANK(I676:I679)=1,IF(M676=2,1,IF(M676=0,3,IF(AND(M676=1,M677&lt;&gt;1),2,IF(COUNTIF(M676:M678,1)&gt;1,Z676)))),IF(COUNTBLANK(I676:I679)=0,IF(COUNTIF(M676:M679,M676)=1,IF(M676=3,1,IF(M676=2,2,IF(M676=1,3,IF(M676=0,4)))),IF(Group_players=3,Z676,IF(COUNTIF(M676:M679,M676)=2,AB676,IF(AND(M676=M677,M677=M678),AB680,IF(AND(M676=M678,M678=M679),AB683,IF(AND(M676=M677,M677=M679),AB686,"")))))),99)))</f>
        <v/>
      </c>
      <c r="P676" s="133" t="str">
        <f>IF(COUNT(U675:X686)=3,IF(ISNUMBER(U675),U675,IF(ISNUMBER(V675),V675,IF(ISNUMBER(W675),W675,IF(X675="","")))),IF(COUNT(U675:X686)=6,IF(ISNUMBER(U683),U683,IF(ISNUMBER(V683),V683,IF(ISNUMBER(W683),W683,IF(ISBLANK(X675),"")))),""))</f>
        <v/>
      </c>
      <c r="Q676" s="132" t="str">
        <f>IF(M676="","",SUMIF(I687:S703,I676,S687:S703))</f>
        <v/>
      </c>
      <c r="R676" s="134" t="str">
        <f>IF(M676="","",L676+Q676)</f>
        <v/>
      </c>
      <c r="S676" s="203"/>
      <c r="T676" s="208">
        <v>2</v>
      </c>
      <c r="U676" s="209" t="str">
        <f>IF(M677="","",IF(COUNTIF(M676:M678,M677)=3,IF(COUNTBLANK(I676:I679)=1,(Q691+Q693)/(Q690+Q694),IF(COUNTBLANK(I676:I679)=0,(Q697+Q699)/(Q696+Q700),"")),""))</f>
        <v/>
      </c>
      <c r="V676" s="135"/>
      <c r="W676" s="212" t="str">
        <f>IF(AND(COUNTBLANK(I676:I679)=0,M677=M676,M676=M679),(Q699+Q691)/(Q700+Q690),"")</f>
        <v/>
      </c>
      <c r="X676" s="213" t="str">
        <f>IF(AND(COUNTBLANK(I676:I679)=0,M677=M678,M678=M679),(Q697+Q691)/(Q696+Q690),"")</f>
        <v/>
      </c>
      <c r="Y676" s="214">
        <v>1</v>
      </c>
      <c r="Z676" s="215" t="str">
        <f>IF(U675="","",IF(OR(Group_players=3,AND(Group_players=4,COUNTBLANK(I676:I679)=1)),IF(COUNTIF(M676:M678,M676)=1,"",IF(AND(U675=U676,U676=U677),Z680,IF(AND(U675&lt;&gt;U676,U675&lt;&gt;U677,U676&lt;&gt;U677),(IF(SMALL(U675:U677,1)=U675,1,IF(SMALL(U675:U677,2)=U675,2,IF(SMALL(U675:U677,3)=U675,3)))),IF(AND(U675&lt;U676,U676=U677),1,IF(AND(U675&gt;U676,U676=U677),3,IF(AND(U675=U676,U675&lt;U677),(IF(Q693=3,1,2)),IF(AND(U675=U676,U675&gt;U677),(IF(Q693=3,2,3)),IF(AND(U675=U677,U675&lt;U676),(IF(Q687=3,1,2)),IF(AND(U675=U677,U675&gt;U676),(IF(Q687=3,2,3)),99))))))))),""))</f>
        <v/>
      </c>
      <c r="AA676" s="216">
        <v>1</v>
      </c>
      <c r="AB676" s="217" t="str">
        <f>IF(COUNTIF(M676:M679,M676)&lt;&gt;2,"",IF(COUNTIF(M676:M679,M676)=1,"",IF(AND(COUNTIF(M676:M679,M676)=2,M676=2),IF(M676=M677,IF(Q699=3,1,2),IF(M676=M678,IF(Q687=3,1,2),IF(M676=M679,IF(Q693=3,1,2)))),IF(AND(COUNTIF(M676:M679,M676)=2,M676=1),IF(M676=M677,IF(Q699=3,3,4),IF(M676=M678,IF(Q687=3,3,4),IF(M676=M679,IF(Q693=3,3,4)))),IF(COUNTIF(M676:M679,M676)=3,AB680)))))</f>
        <v/>
      </c>
      <c r="AC676" s="192"/>
      <c r="AD676" s="192"/>
      <c r="AE676" s="192"/>
      <c r="AF676" s="203"/>
      <c r="AG676" s="203"/>
      <c r="AH676" s="203"/>
      <c r="AI676" s="203"/>
      <c r="AJ676" s="203"/>
      <c r="AK676" s="203"/>
      <c r="AL676" s="203"/>
      <c r="AM676" s="203"/>
      <c r="AN676" s="192"/>
      <c r="AO676" s="192"/>
      <c r="AP676" s="192"/>
      <c r="AQ676" s="192"/>
      <c r="AR676" s="192"/>
      <c r="AS676" s="192"/>
      <c r="AT676" s="192"/>
      <c r="AU676" s="192"/>
      <c r="AV676" s="192"/>
      <c r="AW676" s="192"/>
      <c r="AX676" s="192"/>
    </row>
    <row r="677" spans="2:50" ht="15" customHeight="1" thickTop="1" thickBot="1" x14ac:dyDescent="0.35">
      <c r="B677" s="192"/>
      <c r="C677" s="192"/>
      <c r="D677" s="192"/>
      <c r="E677" s="192"/>
      <c r="F677" s="192" t="str">
        <f>IF(I677="","",VLOOKUP(I677,Siembra,2,FALSE))</f>
        <v/>
      </c>
      <c r="G677" s="192" t="str">
        <f>O677</f>
        <v/>
      </c>
      <c r="H677" s="192">
        <v>2</v>
      </c>
      <c r="I677" s="128" t="str">
        <f>IF(K677="","",IF(ISNUMBER(Sorteo!$A$17),VLOOKUP(K677,Draw,2,FALSE),""))</f>
        <v/>
      </c>
      <c r="J677" s="129" t="str">
        <f>O677</f>
        <v/>
      </c>
      <c r="K677" s="136" t="str">
        <f>IF($K$9="","",IF(Group_players=4,IF(Tablas!BZ$4="","",Tablas!BZ$4),IF(Group_players=3,IF(Tablas!BZ$12="","",Tablas!BZ$12),"")))</f>
        <v/>
      </c>
      <c r="L677" s="137" t="str">
        <f>IF(K677="","",VLOOKUP(I677,Siembra,3,FALSE))</f>
        <v/>
      </c>
      <c r="M677" s="132" t="str">
        <f>IF(AND(L687="",L688=""),"",IF(I677="","",SUMIFS(E687:E704,I687:I704,I677)))</f>
        <v/>
      </c>
      <c r="N677" s="138" t="str">
        <f>IF(M677="","",IF(I677="","",SUMIFS(F687:F703,I687:I703,I677)))</f>
        <v/>
      </c>
      <c r="O677" s="132" t="str">
        <f>IF(M677="","",IF(COUNTBLANK(I676:I679)=1,IF(M677=2,1,IF(M677=0,3,IF(AND(M677=1,M678&lt;&gt;1),2,IF(COUNTIF(M676:M679,1)&gt;1,Z677)))),IF(COUNTBLANK(I676:I679)=0,IF(COUNTIF(M676:M679,M677)=1,IF(M677=3,1,IF(M677=2,2,IF(M677=1,3,IF(M677=0,4)))),IF(Group_players=3,Z677,IF(COUNTIF(M676:M679,M677)=2,AB677,IF(AND(M677=M676,M676=M678),AB681,IF(AND(M677=M676,M676=M679),AB687,IF(AND(M677=M678,M678=M679),AB689,"")))))))))</f>
        <v/>
      </c>
      <c r="P677" s="133" t="str">
        <f>IF(COUNT(U675:X686)=3,IF(ISNUMBER(U676),U676,IF(ISNUMBER(W676),W676,IF(ISNUMBER(X676),X676,IF(X676="","")))),IF(COUNT(U675:X686)=6,IF(ISNUMBER(U684),U684,IF(ISNUMBER(W684),W684,IF(ISNUMBER(X684),X684,IF(ISBLANK(X683),"")))),""))</f>
        <v/>
      </c>
      <c r="Q677" s="138" t="str">
        <f>IF(M677="","",SUMIF(I687:S703,I677,S687:$S703))</f>
        <v/>
      </c>
      <c r="R677" s="139" t="str">
        <f>IF(M677="","",L677+Q677)</f>
        <v/>
      </c>
      <c r="S677" s="203"/>
      <c r="T677" s="208">
        <v>3</v>
      </c>
      <c r="U677" s="209" t="str">
        <f>IF(M678="","",IF(COUNTIF(M676:M678,M678)=3,IF(COUNTBLANK(I676:I679)=1,(Q687+Q690)/(Q688+Q691),IF(COUNTBLANK(I676:I679)=0,(Q687+Q696)/(Q688+Q697),"")),""))</f>
        <v/>
      </c>
      <c r="V677" s="125" t="str">
        <f>IF(AND(COUNTBLANK(I676:I679)=0,M678=M679,M679=M676),(Q687+Q703)/(Q688+Q702),"")</f>
        <v/>
      </c>
      <c r="W677" s="218"/>
      <c r="X677" s="213" t="str">
        <f>IF(AND(COUNTBLANK(I676:I679)=0,M678=M679,M679=M677),(Q696+Q703)/(Q697+Q702),"")</f>
        <v/>
      </c>
      <c r="Y677" s="219">
        <v>2</v>
      </c>
      <c r="Z677" s="220" t="str">
        <f>IF(U676="","",IF(OR(Group_players=3,AND(Group_players=4,COUNTBLANK(I676:I679)=1)),IF(COUNTIF(M676:M678,M677)=1,"",IF(AND(U676=U675,U676=U677),Z681,IF(AND(U676&lt;&gt;U675,U676&lt;&gt;U677,U675&lt;&gt;U677),(IF(SMALL(U675:U677,1)=U676,1,IF(SMALL(U675:U677,2)=U676,2,IF(SMALL(U675:U677,3)=U676,3)))),IF(AND(U676&lt;U675,U675=U677),1,IF(AND(U676&gt;U675,U675=U677),3,IF(AND(U676=U675,U676&lt;U677),(IF(Q694=3,1,2)),IF(AND(U676=U675,U676&gt;U677),(IF(Q694=3,2,3)),IF(AND(U676=U677,U676&lt;U675),(IF(Q690=3,1,2)),IF(AND(U676=U677,U676&gt;U675),(IF(Q690=3,2,3)),99))))))))),""))</f>
        <v/>
      </c>
      <c r="AA677" s="221">
        <v>2</v>
      </c>
      <c r="AB677" s="222" t="str">
        <f>IF(COUNTIF(M676:M679,M677)&lt;&gt;2,"",IF(COUNTIF(M676:M679,M677)=1,"",IF(AND(COUNTIF(M676:M679,M677)=2,M677=2),IF(M677=M676,IF(Q700=3,1,2),IF(M677=M678,IF(Q696=3,1,2),IF(M677=M679,IF(Q690=3,1,2)))),IF(AND(COUNTIF(M676:M679,M677)=2,M677=1),IF(M677=M676,IF(Q700=3,3,4),IF(M677=M678,IF(Q696=3,3,4),IF(M677=M679,IF(Q690=3,3,4)))),AB682))))</f>
        <v/>
      </c>
      <c r="AC677" s="192"/>
      <c r="AD677" s="192"/>
      <c r="AE677" s="192"/>
      <c r="AF677" s="203"/>
      <c r="AG677" s="203"/>
      <c r="AH677" s="203"/>
      <c r="AI677" s="203"/>
      <c r="AJ677" s="203"/>
      <c r="AK677" s="203"/>
      <c r="AL677" s="203"/>
      <c r="AM677" s="203"/>
      <c r="AN677" s="192"/>
      <c r="AO677" s="192"/>
      <c r="AP677" s="192"/>
      <c r="AQ677" s="192"/>
      <c r="AR677" s="192"/>
      <c r="AS677" s="192"/>
      <c r="AT677" s="192"/>
      <c r="AU677" s="192"/>
      <c r="AV677" s="192"/>
      <c r="AW677" s="192"/>
      <c r="AX677" s="192"/>
    </row>
    <row r="678" spans="2:50" ht="15" customHeight="1" thickBot="1" x14ac:dyDescent="0.35">
      <c r="B678" s="192"/>
      <c r="C678" s="192"/>
      <c r="D678" s="192"/>
      <c r="E678" s="192"/>
      <c r="F678" s="192" t="str">
        <f>IF(I678="","",VLOOKUP(I678,Siembra,2,FALSE))</f>
        <v/>
      </c>
      <c r="G678" s="192" t="str">
        <f>O678</f>
        <v/>
      </c>
      <c r="H678" s="192">
        <v>3</v>
      </c>
      <c r="I678" s="128" t="str">
        <f>IF(K678="","",IF(ISNUMBER(Sorteo!$A$17),VLOOKUP(K678,Draw,2,FALSE),""))</f>
        <v/>
      </c>
      <c r="J678" s="129" t="str">
        <f>O678</f>
        <v/>
      </c>
      <c r="K678" s="136" t="str">
        <f>IF($K$9="","",IF(Group_players=4,IF(Tablas!BZ$5="","",Tablas!BZ$5),IF(Group_players=3,IF(Tablas!BZ$13="","",Tablas!BZ$13),"")))</f>
        <v/>
      </c>
      <c r="L678" s="137" t="str">
        <f>IF(K678="","",VLOOKUP(I678,Siembra,3,FALSE))</f>
        <v/>
      </c>
      <c r="M678" s="132" t="str">
        <f>IF(AND(L688="",L687=""),"",IF(I678="","",SUMIFS(E687:E705,I687:I705,I678)))</f>
        <v/>
      </c>
      <c r="N678" s="138" t="str">
        <f>IF(M678="","",IF(I678="","",SUMIFS(F687:F703,I687:I703,I678)))</f>
        <v/>
      </c>
      <c r="O678" s="132" t="str">
        <f>IF(M678="","",IF(COUNTBLANK(I676:I679)=1,IF(M678=2,1,IF(M678=0,3,IF(AND(M678=1,M678&lt;&gt;M676),2,IF(COUNTIF(M676:M679,1)&gt;1,Z678)))),IF(COUNTBLANK(I676:I679)=0,IF(COUNTIF(M676:M679,M678)=1,IF(M678=3,1,IF(M678=2,2,IF(M678=1,3,IF(M678=0,4)))),IF(Group_players=3,Z678,IF(COUNTIF(M676:M679,M678)=2,AB678,IF(AND(M678=M676,M676=M677),AB682,IF(AND(M678=M676,M676=M679),AB684,IF(AND(M678=M677,M677=M679),AB690,"")))))))))</f>
        <v/>
      </c>
      <c r="P678" s="133" t="str">
        <f>IF(COUNT(U675:X686)=3,IF(ISNUMBER(U677),U677,IF(ISNUMBER(V677),V677,IF(ISNUMBER(X677),X677,IF(W677="","")))),IF(COUNT(U675:X686)=6,IF(ISNUMBER(U685),U685,IF(ISNUMBER(V685),V685,IF(ISNUMBER(X685),X685,""))),""))</f>
        <v/>
      </c>
      <c r="Q678" s="138" t="str">
        <f>IF(M678="","",SUMIF(I687:S703,I678,S687:S703))</f>
        <v/>
      </c>
      <c r="R678" s="139" t="str">
        <f>IF(M678="","",L678+Q678)</f>
        <v/>
      </c>
      <c r="S678" s="203"/>
      <c r="T678" s="208">
        <v>4</v>
      </c>
      <c r="U678" s="223"/>
      <c r="V678" s="140" t="str">
        <f>IF(AND(COUNTBLANK(I676:I679)=0,M679=M676,M676=M678),(Q693+Q702)/(Q694+Q703),"")</f>
        <v/>
      </c>
      <c r="W678" s="224" t="str">
        <f>IF(AND(COUNTBLANK(I676:I679)=0,M679=M676,M676=M677),(Q693+Q690)/(Q694+Q691),"")</f>
        <v/>
      </c>
      <c r="X678" s="225" t="str">
        <f>IF(AND(COUNTBLANK(I676:I679)=0,M679=M677,M677=M678),(Q690+Q702)/(Q691+Q703),"")</f>
        <v/>
      </c>
      <c r="Y678" s="226">
        <v>3</v>
      </c>
      <c r="Z678" s="227" t="str">
        <f>IF(U677="","",IF(OR(Group_players=3,AND(Group_players=4,COUNTBLANK(I676:I679)=1)),IF(COUNTIF(M676:M678,M678)=1,"",IF(AND(U677=U675,U677=U676),Z682,IF(AND(U677&lt;&gt;U676,U676&lt;&gt;U675,U677&lt;&gt;U675),(IF(SMALL(U675:U677,1)=U677,1,IF(SMALL(U675:U677,2)=U677,2,IF(SMALL(U675:U677,3)=U677,3)))),IF(AND(U677&lt;U676,U676=U675),1,IF(AND(U677&gt;U676,U676=U675),3,IF(AND(U677=U676,U677&lt;U675),(IF(Q691=3,1,2)),IF(AND(U677=U676,U677&gt;U675),(IF(Q691=3,2,3)),IF(AND(U677=U675,U677&lt;U676),(IF(Q688=3,1,2)),IF(AND(U677=U675,U677&gt;U676),(IF(Q688=3,2,3)),99))))))))),""))</f>
        <v/>
      </c>
      <c r="AA678" s="221">
        <v>3</v>
      </c>
      <c r="AB678" s="222" t="str">
        <f>IF(COUNTIF(M676:M679,M678)&lt;&gt;2,"",IF(COUNTIF(M676:M679,M678)=1,"",IF(AND(COUNTIF(M676:M679,M678)=2,M678=2),IF(M678=M676,IF(Q688=3,1,2),IF(M678=M677,IF(Q697=3,1,2),IF(M678=M679,IF(Q702=3,1,2)))),IF(AND(COUNTIF(M676:M679,M678)=2,M678=1),IF(M678=M676,IF(Q688=3,3,4),IF(M678=M677,IF(Q697=3,3,4),IF(M678=M679,IF(Q702=3,3,4)))),AB682))))</f>
        <v/>
      </c>
      <c r="AC678" s="192"/>
      <c r="AD678" s="192"/>
      <c r="AE678" s="192"/>
      <c r="AF678" s="203"/>
      <c r="AG678" s="203"/>
      <c r="AH678" s="203"/>
      <c r="AI678" s="203"/>
      <c r="AJ678" s="203"/>
      <c r="AK678" s="203"/>
      <c r="AL678" s="203"/>
      <c r="AM678" s="203"/>
      <c r="AN678" s="192"/>
      <c r="AO678" s="192"/>
      <c r="AP678" s="192"/>
      <c r="AQ678" s="192"/>
      <c r="AR678" s="192"/>
      <c r="AS678" s="192"/>
      <c r="AT678" s="192"/>
      <c r="AU678" s="192"/>
      <c r="AV678" s="192"/>
      <c r="AW678" s="192"/>
      <c r="AX678" s="192"/>
    </row>
    <row r="679" spans="2:50" ht="15" customHeight="1" thickTop="1" thickBot="1" x14ac:dyDescent="0.35">
      <c r="B679" s="192"/>
      <c r="C679" s="192"/>
      <c r="D679" s="192"/>
      <c r="E679" s="192"/>
      <c r="F679" s="192" t="str">
        <f>IF(I679="","",VLOOKUP(I679,Siembra,2,FALSE))</f>
        <v/>
      </c>
      <c r="G679" s="192" t="str">
        <f>O679</f>
        <v/>
      </c>
      <c r="H679" s="192">
        <v>4</v>
      </c>
      <c r="I679" s="141" t="str">
        <f>IF(K679="","",IF(ISNUMBER(Sorteo!$A$17),VLOOKUP(K679,Draw,2,FALSE),""))</f>
        <v/>
      </c>
      <c r="J679" s="142" t="str">
        <f>O679</f>
        <v/>
      </c>
      <c r="K679" s="143" t="str">
        <f>IF($K$9="","",IF(Group_players=4,IF(Tablas!BZ6="","",Tablas!BZ6),""))</f>
        <v/>
      </c>
      <c r="L679" s="144" t="str">
        <f>IF(K679="","",VLOOKUP(I679,Siembra,3,FALSE))</f>
        <v/>
      </c>
      <c r="M679" s="145" t="str">
        <f>IF(AND(Q690="",Q691=""),"",IF(I679="","",SUMIFS(E687:E706,I687:I706,I679)))</f>
        <v/>
      </c>
      <c r="N679" s="145" t="str">
        <f>IF(M679="","",IF(I679="","",SUMIFS(F687:F703,I687:I703,I679)))</f>
        <v/>
      </c>
      <c r="O679" s="145" t="str">
        <f>IF(M679="","",IF(COUNTIF(M676:M679,M679)=1,IF(M679=3,1,IF(M679=2,2,IF(M679=1,3,IF(M679=0,4)))),IF(COUNTIF(M676:M679,M679)=2,AB679,IF(AND(M679=M676,M676=M678),AB685,IF(AND(M679=M676,M676=M677),AB688,IF(AND(M679=M677,M677=M678),AB691,""))))))</f>
        <v/>
      </c>
      <c r="P679" s="146" t="str">
        <f>IF(COUNT(U675:X686)=3,IF(ISNUMBER(V678),V678,IF(ISNUMBER(W678),W678,IF(ISNUMBER(X678),X678,IF(X678="","")))),IF(COUNT(U675:X686)=6,IF(ISNUMBER(V686),V686,IF(ISNUMBER(W686),W686,IF(ISNUMBER(X686),X686,""))),""))</f>
        <v/>
      </c>
      <c r="Q679" s="145" t="str">
        <f>IF(M679="","",SUMIF(I687:S703,I679,S687:$S703))</f>
        <v/>
      </c>
      <c r="R679" s="147" t="str">
        <f>IF(M679="","",L679+Q679)</f>
        <v/>
      </c>
      <c r="S679" s="203"/>
      <c r="T679" s="192"/>
      <c r="U679" s="192"/>
      <c r="V679" s="192"/>
      <c r="W679" s="192"/>
      <c r="X679" s="192"/>
      <c r="Y679" s="230" t="s">
        <v>93</v>
      </c>
      <c r="Z679" s="231" t="s">
        <v>110</v>
      </c>
      <c r="AA679" s="232">
        <v>4</v>
      </c>
      <c r="AB679" s="233" t="str">
        <f>IF(COUNTIF(M676:M679,M679)&lt;&gt;2,"",IF(COUNTIF(M676:M679,M679)=1,"",IF(AND(COUNTIF(M676:M679,M679)=2,M679=2),IF(M679=M676,IF(Q694=3,1,2),IF(M679=M677,IF(Q691=3,1,2),IF(M679=M678,IF(Q703=3,1,2)))),IF(AND(COUNTIF(M676:M679,M679)=2,M679=1),IF(M679=M676,IF(Q694=3,3,4),IF(M679=M677,IF(Q691=3,3,4),IF(M679=M678,IF(Q703=3,3,4)))),AB685))))</f>
        <v/>
      </c>
      <c r="AC679" s="192"/>
      <c r="AD679" s="192"/>
      <c r="AE679" s="192"/>
      <c r="AF679" s="203"/>
      <c r="AG679" s="203"/>
      <c r="AH679" s="203"/>
      <c r="AI679" s="203"/>
      <c r="AJ679" s="203"/>
      <c r="AK679" s="203"/>
      <c r="AL679" s="203"/>
      <c r="AM679" s="203"/>
      <c r="AN679" s="192"/>
      <c r="AO679" s="192"/>
      <c r="AP679" s="192"/>
      <c r="AQ679" s="192"/>
      <c r="AR679" s="192"/>
      <c r="AS679" s="192"/>
      <c r="AT679" s="192"/>
      <c r="AU679" s="192"/>
      <c r="AV679" s="192"/>
      <c r="AW679" s="192"/>
      <c r="AX679" s="192"/>
    </row>
    <row r="680" spans="2:50" ht="15" customHeight="1" thickTop="1" x14ac:dyDescent="0.3">
      <c r="B680" s="192"/>
      <c r="C680" s="192"/>
      <c r="D680" s="192"/>
      <c r="E680" s="192"/>
      <c r="F680" s="192"/>
      <c r="G680" s="192"/>
      <c r="H680" s="192"/>
      <c r="I680" s="192"/>
      <c r="J680" s="192"/>
      <c r="K680" s="192"/>
      <c r="L680" s="192"/>
      <c r="M680" s="192"/>
      <c r="N680" s="192"/>
      <c r="O680" s="192"/>
      <c r="P680" s="192"/>
      <c r="Q680" s="192"/>
      <c r="R680" s="192"/>
      <c r="S680" s="192"/>
      <c r="T680" s="208"/>
      <c r="U680" s="192"/>
      <c r="V680" s="148"/>
      <c r="W680" s="148"/>
      <c r="X680" s="234"/>
      <c r="Y680" s="214">
        <v>1</v>
      </c>
      <c r="Z680" s="215" t="str">
        <f>IF(U683="","",IF(OR(Group_players=3,AND(Group_players=4,COUNTBLANK(I676:I679)=1)),IF(COUNTIF(M676:M678,M676)=1,"",IF(COUNTIF(U675:U677,U675)=3,IF(AND(U683=U684,U684=U685),"Tied",IF(AND(U683&lt;&gt;U684,U683&lt;&gt;U685,U684&lt;&gt;U685),(IF(SMALL(U683:U685,1)=U683,1,IF(SMALL(U683:U685,2)=U683,2,IF(SMALL(U683:U685,3)=U683,3)))),IF(AND(U683&lt;U684,U684=U685),1,IF(AND(U683&gt;U684,U684=U685),3,IF(AND(U683=U684,U683&lt;U685),(IF(Q693=3,1,2)),IF(AND(U683=U684,U683&gt;U685),(IF(Q693=3,2,3)),IF(AND(U683=U685,U683&lt;U684),(IF(Q687=3,1,2)),IF(AND(U683=U685,U683&gt;U684),(IF(Q687=3,2,3)),99)))))))),"")),""))</f>
        <v/>
      </c>
      <c r="AA680" s="208">
        <v>1</v>
      </c>
      <c r="AB680" s="222" t="str">
        <f>IF(AND(COUNTBLANK(I676:I679)=0,Group_players=4,M676=M677,M677=M678),IF(COUNTIF(U675:U678,U675)=3,AB693,IF(AND(COUNTIF(U675:U678,U675)=1,U676&lt;&gt;U677),IF(M676=2,IF(SMALL(U675:U678,1)=U675,1,IF(SMALL(U675:U678,2)=U675,2,IF(SMALL(U675:U678,3)=U675,3))),IF(M676=1,IF(SMALL(U675:U678,1)=U675,2,IF(SMALL(U675:U678,2)=U675,3,IF(SMALL(U675:U678,3)=U675,4))),"")),IF(COUNTIF(U675:U678,U675)=1,IF(U675&lt;U676,IF(M676=2,1,2),IF(M676=2,3,4)),IF(COUNTIF(U675:U678,U675)=2,IF(U675=U676,IF(U675&lt;U677,IF(M676=2,IF(Q699=3,1,2),IF(M676=1,IF(Q699=3,2,3))),IF(U675&gt;U677,IF(M676=2,IF(Q699=3,2,3),IF(M676=1,IF(Q699=3,3,4))))),IF(U675=U677,IF(U675&lt;U676,IF(M676=2,IF(Q687=3,1,2),IF(M676=1,IF(Q687=3,2,3))),IF(U675&gt;U676,IF(M676=2,IF(Q687=3,2,3),IF(M676=1,IF(Q687=3,3,4))))))),"")))),"")</f>
        <v/>
      </c>
      <c r="AC680" s="192"/>
      <c r="AD680" s="192"/>
      <c r="AE680" s="269"/>
      <c r="AF680" s="203"/>
      <c r="AG680" s="203"/>
      <c r="AH680" s="203"/>
      <c r="AI680" s="203"/>
      <c r="AJ680" s="203"/>
      <c r="AK680" s="203"/>
      <c r="AL680" s="203"/>
      <c r="AM680" s="203"/>
      <c r="AN680" s="192"/>
      <c r="AO680" s="192"/>
      <c r="AP680" s="192"/>
      <c r="AQ680" s="192"/>
      <c r="AR680" s="192"/>
      <c r="AS680" s="192"/>
      <c r="AT680" s="192"/>
      <c r="AU680" s="192"/>
      <c r="AV680" s="192"/>
      <c r="AW680" s="192"/>
      <c r="AX680" s="192"/>
    </row>
    <row r="681" spans="2:50" ht="15" customHeight="1" thickBot="1" x14ac:dyDescent="0.35">
      <c r="B681" s="192"/>
      <c r="C681" s="192"/>
      <c r="D681" s="192"/>
      <c r="E681" s="192"/>
      <c r="F681" s="192"/>
      <c r="G681" s="192"/>
      <c r="H681" s="192"/>
      <c r="I681" s="269"/>
      <c r="J681" s="269"/>
      <c r="K681" s="192"/>
      <c r="L681" s="192"/>
      <c r="M681" s="192"/>
      <c r="N681" s="192"/>
      <c r="O681" s="192"/>
      <c r="P681" s="192"/>
      <c r="Q681" s="192"/>
      <c r="R681" s="192"/>
      <c r="S681" s="192"/>
      <c r="T681" s="208"/>
      <c r="U681" s="368" t="s">
        <v>111</v>
      </c>
      <c r="V681" s="369"/>
      <c r="W681" s="369"/>
      <c r="X681" s="369"/>
      <c r="Y681" s="236">
        <v>2</v>
      </c>
      <c r="Z681" s="220" t="str">
        <f>IF(U676="","",IF(OR(Group_players=3,AND(Group_players=4,COUNTBLANK(I676:I679)=1)),IF(COUNTIF(M676:M678,M677)=1,"",IF(COUNTIF(U675:U677,U676)=3,IF(AND(U684=U683,U684=U685),"Tied",IF(AND(U684&lt;&gt;U683,U684&lt;&gt;U685,U683&lt;&gt;U685),(IF(SMALL(U683:U685,1)=U684,1,IF(SMALL(U683:U685,2)=U684,2,IF(SMALL(U683:U685,3)=U684,3)))),IF(AND(U684&lt;U683,U683=U685),1,IF(AND(U684&gt;U683,U683=U685),3,IF(AND(U684=U683,U684&lt;U685),(IF(Q694=3,1,2)),IF(AND(U684=U683,U684&gt;U685),(IF(Q694=3,2,3)),IF(AND(U684=U685,U684&lt;U683),(IF(Q690=3,1,2)),IF(AND(U684=U685,U684&gt;U683),(IF(Q690=3,2,3)),99)))))))),"")),""))</f>
        <v/>
      </c>
      <c r="AA681" s="208">
        <v>2</v>
      </c>
      <c r="AB681" s="222" t="str">
        <f>IF(AND(COUNTBLANK(I676:I679)=0,Group_players=4,M676=M677,M677=M678),IF(COUNTIF(U675:U678,U676)=3,AB694,IF(AND(COUNTIF(U675:U678,U676)=1,U675&lt;&gt;U677),IF(M677=2,IF(SMALL(U675:U678,1)=U676,1,IF(SMALL(U675:U678,2)=U676,2,IF(SMALL(U675:U678,3)=U676,3))),IF(M677=1,IF(SMALL(U675:U678,1)=U676,2,IF(SMALL(U675:U678,2)=U676,3,IF(SMALL(U675:U678,3)=U676,4))),"")),IF(COUNTIF(U675:U677,U676)=1,IF(U676&lt;U675,IF(M677=2,1,2),IF(M677=2,3,99)),IF(COUNTIF(U675:U678,U676)=2,IF(U676=U675,IF(U676&lt;U677,IF(M677=2,IF(Q700=3,1,2),IF(M677=1,IF(Q700=3,2,3))),IF(U676&gt;U677,IF(M677=2,IF(Q700=3,2,3),IF(M677=1,IF(Q700=3,3,4))))),IF(U676=U677,IF(U676&lt;U675,IF(M677=2,IF(Q696=3,1,2),IF(M677=1,IF(Q696=3,2,3))),IF(U676&gt;U675,IF(M677=2,IF(Q696=3,2,3),IF(M677=1,IF(Q696=3,3,4))))))),"")))),"")</f>
        <v/>
      </c>
      <c r="AC681" s="192"/>
      <c r="AD681" s="192"/>
      <c r="AE681" s="192"/>
      <c r="AF681" s="203"/>
      <c r="AG681" s="203"/>
      <c r="AH681" s="203"/>
      <c r="AI681" s="203"/>
      <c r="AJ681" s="203"/>
      <c r="AK681" s="203"/>
      <c r="AL681" s="203"/>
      <c r="AM681" s="203"/>
      <c r="AN681" s="192"/>
      <c r="AO681" s="192"/>
      <c r="AP681" s="192"/>
      <c r="AQ681" s="192"/>
      <c r="AR681" s="192"/>
      <c r="AS681" s="192"/>
      <c r="AT681" s="192"/>
      <c r="AU681" s="192"/>
      <c r="AV681" s="192"/>
      <c r="AW681" s="192"/>
      <c r="AX681" s="192"/>
    </row>
    <row r="682" spans="2:50" ht="15" customHeight="1" thickTop="1" thickBot="1" x14ac:dyDescent="0.35">
      <c r="B682" s="192"/>
      <c r="C682" s="192"/>
      <c r="D682" s="192"/>
      <c r="E682" s="192"/>
      <c r="F682" s="192"/>
      <c r="G682" s="192"/>
      <c r="H682" s="192"/>
      <c r="I682" s="192"/>
      <c r="J682" s="192"/>
      <c r="K682" s="192"/>
      <c r="L682" s="192"/>
      <c r="M682" s="192"/>
      <c r="N682" s="192"/>
      <c r="O682" s="192"/>
      <c r="P682" s="192"/>
      <c r="Q682" s="192"/>
      <c r="R682" s="192"/>
      <c r="S682" s="192"/>
      <c r="T682" s="120"/>
      <c r="U682" s="121" t="s">
        <v>101</v>
      </c>
      <c r="V682" s="122" t="s">
        <v>102</v>
      </c>
      <c r="W682" s="122" t="s">
        <v>103</v>
      </c>
      <c r="X682" s="123" t="s">
        <v>104</v>
      </c>
      <c r="Y682" s="238">
        <v>3</v>
      </c>
      <c r="Z682" s="239" t="str">
        <f>IF(U677="","",IF(OR(Group_players=3,AND(Group_players=4,COUNTBLANK(I676:I679)=1)),IF(COUNTIF(M676:M678,M678)=1,"",IF(COUNTIF(U675:U677,U677)=3,IF(AND(U685=U683,U685=U684),"Tied",IF(AND(U685&lt;&gt;U684,U684&lt;&gt;U683,U685&lt;&gt;U683),(IF(SMALL(U683:U685,1)=U685,1,IF(SMALL(U683:U685,2)=U685,2,IF(SMALL(U683:U685,3)=U685,3)))),IF(AND(U685&lt;U684,U684=U683),1,IF(AND(U685&gt;U684,U684=U683),3,IF(AND(U685=U684,U685&lt;U683),(IF(Q691=3,1,2)),IF(AND(U685=U684,U685&gt;U683),(IF(Q691=3,2,3)),IF(AND(U685=U683,U685&lt;U684),(IF(Q688=3,1,2)),IF(AND(U685=U683,U685&gt;U684),(IF(Q688=3,2,3)),99)))))))),"")),""))</f>
        <v/>
      </c>
      <c r="AA682" s="240">
        <v>3</v>
      </c>
      <c r="AB682" s="241" t="str">
        <f>IF(AND(COUNTBLANK(I676:I679)=0,Group_players=4,M676=M677,M677=M678),IF(COUNTIF(U675:U678,U677)=3,AB695,IF(AND(COUNTIF(U675:U678,U677)=1,U675&lt;&gt;U676),IF(M676=2,IF(SMALL(U675:U678,1)=U677,1,IF(SMALL(U675:U678,2)=U677,2,IF(SMALL(U675:U678,3)=U677,3))),IF(M678=1,IF(SMALL(U675:U678,1)=U677,2,IF(SMALL(U675:U678,2)=U677,3,IF(SMALL(U675:U678,3)=U677,4))),"")),IF(COUNTIF(U675:U678,U677)=1,IF(U677&lt;U676,IF(M678=2,1,2),IF(M678=2,3,4)),IF(COUNTIF(U675:U678,U677)=2,IF(U677=U676,IF(U677&lt;U675,IF(M678=2,IF(Q697=3,1,2),IF(M678=1,IF(Q697=3,2,3))),IF(U677&gt;U675,IF(M678=2,IF(Q697=3,2,3),IF(M678=1,IF(Q697=3,3,4))))),IF(U677=U675,IF(U677&lt;U676,IF(M678=2,IF(Q688=3,1,2),IF(M678=1,IF(Q688=3,2,3))),IF(U677&gt;U676,IF(M678=2,IF(Q688=3,2,3),IF(M678=1,IF(Q688=3,3,4))))))),"")))),"")</f>
        <v/>
      </c>
      <c r="AC682" s="192"/>
      <c r="AD682" s="192"/>
      <c r="AE682" s="192"/>
      <c r="AF682" s="203"/>
      <c r="AG682" s="203"/>
      <c r="AH682" s="203"/>
      <c r="AI682" s="203"/>
      <c r="AJ682" s="203"/>
      <c r="AK682" s="203"/>
      <c r="AL682" s="203"/>
      <c r="AM682" s="203"/>
      <c r="AN682" s="192"/>
      <c r="AO682" s="192"/>
      <c r="AP682" s="192"/>
      <c r="AQ682" s="192"/>
      <c r="AR682" s="192"/>
      <c r="AS682" s="192"/>
      <c r="AT682" s="192"/>
      <c r="AU682" s="192"/>
      <c r="AV682" s="192"/>
      <c r="AW682" s="192"/>
      <c r="AX682" s="192"/>
    </row>
    <row r="683" spans="2:50" ht="15" customHeight="1" thickTop="1" thickBot="1" x14ac:dyDescent="0.35">
      <c r="B683" s="192"/>
      <c r="C683" s="192"/>
      <c r="D683" s="192"/>
      <c r="E683" s="192"/>
      <c r="F683" s="192"/>
      <c r="G683" s="192"/>
      <c r="H683" s="192"/>
      <c r="I683" s="192"/>
      <c r="J683" s="192"/>
      <c r="K683" s="192"/>
      <c r="L683" s="192"/>
      <c r="M683" s="192"/>
      <c r="N683" s="192"/>
      <c r="O683" s="192"/>
      <c r="P683" s="192"/>
      <c r="Q683" s="192"/>
      <c r="R683" s="192"/>
      <c r="S683" s="192"/>
      <c r="T683" s="208">
        <v>1</v>
      </c>
      <c r="U683" s="209" t="str">
        <f>IF(U675="","",IF(OR(U675&lt;&gt;U676,U675&lt;&gt;U677),"",IF(COUNTIF(M676:M678,M676)=1,"",IF(COUNTBLANK(I676:I679)=1,(SUM(L688:P688)+SUM(L694:P694))/(SUM(L687:P687)+SUM(L693:P693)),IF(COUNTBLANK(I676:I679)=0,(SUM(L700:P700)+SUM(L688:P688))/(SUM(L699:P699)+SUM(L687:P687)),"")))))</f>
        <v/>
      </c>
      <c r="V683" s="125" t="str">
        <f>IF(V675="","",IF(OR(V675&lt;&gt;V677,V675&lt;&gt;V678),"",IF(AND(COUNTBLANK(I676:I679)=0,M676=M678,M678=M679),(SUM(L688:P688)+SUM(L694:P694))/(SUM(L687:P687)+SUM(L693:P693)),"")))</f>
        <v/>
      </c>
      <c r="W683" s="210" t="str">
        <f>IF(W675="","",IF(OR(W675&lt;&gt;W676,W675&lt;&gt;W678),"",IF(AND(COUNTBLANK(I676:I679)=0,M676=M677,M677=M679),(SUM(L700:P700)+SUM(L694:P694))/(SUM(L699:P699)+SUM(L693:P693)),"")))</f>
        <v/>
      </c>
      <c r="X683" s="211"/>
      <c r="Y683" s="242"/>
      <c r="Z683" s="242"/>
      <c r="AA683" s="243">
        <v>1</v>
      </c>
      <c r="AB683" s="244" t="str">
        <f>IF(AND(COUNTBLANK(I676:I679)=0,Group_players=4,M676=M678,M678=M679),IF(COUNTIF(V675:V678,V675)=3,AB696,IF(AND(COUNTIF(V675:V678,V675)=1,V677&lt;&gt;U686),IF(M676=2,IF(SMALL(V675:V678,1)=V675,1,IF(SMALL(V675:V678,2)=V675,2,IF(SMALL(V675:V678,3)=V675,3))),IF(M676=1,IF(SMALL(V675:V678,1)=V675,2,IF(SMALL(V675:V678,2)=V675,3,IF(SMALL(V675:V678,3)=V675,4))),"")),IF(COUNTIF(V675:V678,V675)=1,IF(V675&lt;V677,IF(M676=2,1,2),IF(M676=2,3,4)),IF(COUNTIF(V675:V678,V675)=2,IF(V675=V677,IF(V675&lt;V678,IF(M676=2,IF(Q687=3,1,2),IF(M676=1,IF(Q687=3,2,3))),IF(V675&gt;V678,IF(M676=2,IF(Q687=3,2,3),IF(M676=1,IF(Q687=3,3,4))))),IF(V675=V678,IF(V675&lt;V677,IF(M676=2,IF(Q693=3,1,2),IF(M676=1,IF(Q693=3,2,3))),IF(V675&gt;V676,IF(M676=2,IF(Q693=3,2,3),IF(M676=1,IF(Q693=3,3,4))))))),"")))),"")</f>
        <v/>
      </c>
      <c r="AC683" s="192"/>
      <c r="AD683" s="192"/>
      <c r="AE683" s="192"/>
      <c r="AF683" s="203"/>
      <c r="AG683" s="203"/>
      <c r="AH683" s="203"/>
      <c r="AI683" s="203"/>
      <c r="AJ683" s="203"/>
      <c r="AK683" s="203"/>
      <c r="AL683" s="203"/>
      <c r="AM683" s="203"/>
      <c r="AN683" s="192"/>
      <c r="AO683" s="192"/>
      <c r="AP683" s="192"/>
      <c r="AQ683" s="192"/>
      <c r="AR683" s="192"/>
      <c r="AS683" s="192"/>
      <c r="AT683" s="192"/>
      <c r="AU683" s="192"/>
      <c r="AV683" s="192"/>
      <c r="AW683" s="192"/>
      <c r="AX683" s="192"/>
    </row>
    <row r="684" spans="2:50" ht="15" customHeight="1" thickTop="1" thickBot="1" x14ac:dyDescent="0.35">
      <c r="B684" s="192"/>
      <c r="C684" s="192"/>
      <c r="D684" s="192"/>
      <c r="E684" s="117"/>
      <c r="F684" s="117"/>
      <c r="G684" s="117"/>
      <c r="H684" s="192"/>
      <c r="I684" s="192"/>
      <c r="J684" s="192"/>
      <c r="K684" s="192"/>
      <c r="L684" s="192"/>
      <c r="M684" s="192"/>
      <c r="N684" s="192"/>
      <c r="O684" s="192"/>
      <c r="P684" s="192"/>
      <c r="Q684" s="192"/>
      <c r="R684" s="192"/>
      <c r="S684" s="394" t="s">
        <v>112</v>
      </c>
      <c r="T684" s="208">
        <v>2</v>
      </c>
      <c r="U684" s="209" t="str">
        <f>IF(U675="","",IF(OR(U676&lt;&gt;U675,U676&lt;&gt;U677),"",IF(COUNTIF(M676:M678,M677)=1,"",IF(COUNTBLANK(I676:I679)=1,(SUM(L691:P691)+SUM(L693:P693))/(SUM(L690:P690)+SUM(L694:P694)),IF(COUNTBLANK(I676:I679)=0,(SUM(L699:P699)+SUM(L697:P697))/(SUM(L700:P700)+SUM(L696:P696)))))))</f>
        <v/>
      </c>
      <c r="V684" s="135"/>
      <c r="W684" s="212" t="str">
        <f>IF(W675="","",IF(OR(W676&lt;&gt;W675,W676&lt;&gt;W678),"",IF(AND(COUNTBLANK(I676:I679)=0,M676=M677,M677=M679),(SUM(L691:P691)+SUM(L699:P699))/(SUM(L700:P700)+SUM(L690:P690)),"")))</f>
        <v/>
      </c>
      <c r="X684" s="245" t="str">
        <f>IF(X676="","",IF(OR(X676&lt;&gt;X677,X676&lt;&gt;X678),"",IF(AND(COUNTBLANK(I676:I679)=0,M677=M678,M678=M679),(SUM(L697:P697)+SUM(L691:P691))/(SUM(L696:P696)+SUM(L690:P690)),"")))</f>
        <v/>
      </c>
      <c r="Y684" s="242"/>
      <c r="Z684" s="203"/>
      <c r="AA684" s="246">
        <v>3</v>
      </c>
      <c r="AB684" s="222" t="str">
        <f>IF(AND(COUNTBLANK(I676:I679)=0,Group_players=4,M676=M678,M678=M679),IF(COUNTIF(V675:V678,V677)=3,AB697,IF(AND(COUNTIF(V675:V678,V677)=1,V675&lt;&gt;V678),IF(M678=2,IF(SMALL(V675:V678,1)=V677,1,IF(SMALL(V675:V678,2)=V677,2,IF(SMALL(V675:V678,3)=V677,3))),IF(M678=1,IF(SMALL(V675:V678,1)=V677,2,IF(SMALL(V675:V678,2)=V677,3,IF(SMALL(V675:V678,3)=V677,4))),"")),IF(COUNTIF(V675:V678,V677)=1,IF(V677&lt;V675,IF(M678=2,1,2),IF(M678=2,3,4)),IF(COUNTIF(V675:V678,V677)=2,IF(V677=V675,IF(V677&lt;V678,IF(M678=2,IF(Q688=3,1,2),IF(M678=1,IF(Q688=3,2,3))),IF(V677&gt;V678,IF(M678=2,IF(Q688=3,2,3),IF(M678=1,IF(Q688=3,3,4))))),IF(V677=V678,IF(V677&lt;V675,IF(M678=2,IF(Q702=3,1,2),IF(M678=1,IF(Q702=3,2,3))),IF(V677&gt;V675,IF(M678=2,IF(Q702=3,2,3),IF(M678=1,IF(Q702=3,3,4))))))),"")))),"")</f>
        <v/>
      </c>
      <c r="AC684" s="192"/>
      <c r="AD684" s="192"/>
      <c r="AE684" s="192"/>
      <c r="AF684" s="203"/>
      <c r="AG684" s="203"/>
      <c r="AH684" s="203"/>
      <c r="AI684" s="203"/>
      <c r="AJ684" s="203"/>
      <c r="AK684" s="203"/>
      <c r="AL684" s="203"/>
      <c r="AM684" s="203"/>
      <c r="AN684" s="192"/>
      <c r="AO684" s="192"/>
      <c r="AP684" s="192"/>
      <c r="AQ684" s="192"/>
      <c r="AR684" s="192"/>
      <c r="AS684" s="192"/>
      <c r="AT684" s="192"/>
      <c r="AU684" s="192"/>
      <c r="AV684" s="192"/>
      <c r="AW684" s="192"/>
      <c r="AX684" s="192"/>
    </row>
    <row r="685" spans="2:50" ht="15" customHeight="1" thickTop="1" thickBot="1" x14ac:dyDescent="0.35">
      <c r="B685" s="192"/>
      <c r="C685" s="192"/>
      <c r="D685" s="192"/>
      <c r="E685" s="117"/>
      <c r="F685" s="117"/>
      <c r="G685" s="117"/>
      <c r="H685" s="192"/>
      <c r="I685" s="192"/>
      <c r="J685" s="192"/>
      <c r="K685" s="192"/>
      <c r="L685" s="192"/>
      <c r="M685" s="192"/>
      <c r="N685" s="192"/>
      <c r="O685" s="192"/>
      <c r="P685" s="192"/>
      <c r="Q685" s="192"/>
      <c r="R685" s="247"/>
      <c r="S685" s="395"/>
      <c r="T685" s="208">
        <v>3</v>
      </c>
      <c r="U685" s="209" t="str">
        <f>IF(U675="","",IF(OR(U677&lt;&gt;U675,U677&lt;&gt;U676),"",IF(COUNTIF(M676:M678,M678)=1,"",IF(COUNTBLANK(I676:I679)=1,(SUM(L687:P687)+SUM(L690:P690))/(SUM(L688:P688)+SUM(L691:P691)),IF(COUNTBLANK(I676:I679)=0,(SUM(L687:P687)+SUM(L696:P696))/(SUM(L688:P688)+SUM(L697:P697)))))))</f>
        <v/>
      </c>
      <c r="V685" s="125" t="str">
        <f>IF(V675="","",IF(OR(V677&lt;&gt;V675,V677&lt;&gt;V678),"",IF(AND(COUNTBLANK(I676:I679)=0,M676=M678,M678=M679),(SUM(L687:P687)+SUM(L703:P703))/(SUM(L688:P688)+SUM(L702:P702)),"")))</f>
        <v/>
      </c>
      <c r="W685" s="218"/>
      <c r="X685" s="245" t="str">
        <f>IF(X676="","",IF(OR(X677&lt;&gt;X676,X677&lt;&gt;X678),"",IF(AND(COUNTBLANK(I676:I679)=0,M677=M678,M678=M679),(SUM(L696:P696)+SUM(L703:P703))/(SUM(L697:P697)+SUM(L702:P702)),"")))</f>
        <v/>
      </c>
      <c r="Y685" s="208"/>
      <c r="Z685" s="203"/>
      <c r="AA685" s="240">
        <v>4</v>
      </c>
      <c r="AB685" s="222" t="str">
        <f>IF(AND(COUNTBLANK(I676:I679)=0,Group_players=4,M676=M678,M678=M679),IF(COUNTIF(V675:V678,V678)=3,AB698,IF(AND(COUNTIF(V675:V678,V678)=1,V677&lt;&gt;V675),IF(M679=2,IF(SMALL(V675:V678,1)=V678,1,IF(SMALL(V675:V678,2)=V678,2,IF(SMALL(V675:V678,3)=V678,3))),IF(M679=1,IF(SMALL(V675:V678,1)=V678,2,IF(SMALL(V675:V678,2)=V678,3,IF(SMALL(V675:V678,3)=V678,4))),"")),IF(COUNTIF(V675:V678,V678)=1,IF(V678&lt;V675,IF(M679=2,1,2),IF(M679=2,3,4)),IF(COUNTIF(V675:V678,V678)=2,IF(V678=V675,IF(V678&lt;V677,IF(M679=2,IF(Q694=3,1,2),IF(M679=1,IF(Q694=3,2,3))),IF(V678&gt;V677,IF(M679=2,IF(Q694=3,2,3),IF(M679=1,IF(Q694=3,3,4))))),IF(V678=V677,IF(V678&lt;V675,IF(M679=2,IF(Q703=3,1,2),IF(M679=1,IF(Q703=3,2,3))),IF(V678&gt;V675,IF(M679=2,IF(Q703=3,2,3),IF(M679=1,IF(Q703=3,3,4))))))),"")))),"")</f>
        <v/>
      </c>
      <c r="AC685" s="192"/>
      <c r="AD685" s="192"/>
      <c r="AE685" s="192"/>
      <c r="AF685" s="203"/>
      <c r="AG685" s="203"/>
      <c r="AH685" s="203"/>
      <c r="AI685" s="203"/>
      <c r="AJ685" s="203"/>
      <c r="AK685" s="203"/>
      <c r="AL685" s="203"/>
      <c r="AM685" s="203"/>
      <c r="AN685" s="192"/>
      <c r="AO685" s="192"/>
      <c r="AP685" s="192"/>
      <c r="AQ685" s="192"/>
      <c r="AR685" s="192"/>
      <c r="AS685" s="192"/>
      <c r="AT685" s="192"/>
      <c r="AU685" s="192"/>
      <c r="AV685" s="192"/>
      <c r="AW685" s="192"/>
      <c r="AX685" s="192"/>
    </row>
    <row r="686" spans="2:50" ht="15" customHeight="1" thickTop="1" thickBot="1" x14ac:dyDescent="0.35">
      <c r="B686" s="192"/>
      <c r="C686" s="192"/>
      <c r="D686" s="192"/>
      <c r="E686" s="168" t="s">
        <v>113</v>
      </c>
      <c r="F686" s="168" t="s">
        <v>114</v>
      </c>
      <c r="G686" s="117"/>
      <c r="H686" s="192"/>
      <c r="I686" s="249" t="s">
        <v>115</v>
      </c>
      <c r="J686" s="249"/>
      <c r="K686" s="249"/>
      <c r="L686" s="250" t="s">
        <v>115</v>
      </c>
      <c r="M686" s="250" t="s">
        <v>116</v>
      </c>
      <c r="N686" s="250" t="s">
        <v>117</v>
      </c>
      <c r="O686" s="250" t="s">
        <v>118</v>
      </c>
      <c r="P686" s="250" t="s">
        <v>119</v>
      </c>
      <c r="Q686" s="250" t="s">
        <v>120</v>
      </c>
      <c r="R686" s="250"/>
      <c r="S686" s="251"/>
      <c r="T686" s="208">
        <v>4</v>
      </c>
      <c r="U686" s="223"/>
      <c r="V686" s="140" t="str">
        <f>IF(V675="","",IF(OR(V678&lt;&gt;V675,V678&lt;&gt;V677),"",IF(AND(COUNTBLANK(I676:I679)=0,M676=M678,M678=M679),(SUM(L693:P693)+SUM(L702:P702))/(SUM(L694:P694)+SUM(L703:P703)),"")))</f>
        <v/>
      </c>
      <c r="W686" s="224" t="str">
        <f>IF(W675="","",IF(OR(W678&lt;&gt;W675,W678&lt;&gt;W676),"",IF(AND(COUNTBLANK(I676:I679)=0,M676=M677,M677=M679),(SUM(L693:P693)+SUM(L690:P690))/(SUM(L694:P694)+SUM(L691:P691)),"")))</f>
        <v/>
      </c>
      <c r="X686" s="252" t="str">
        <f>IF(X676="","",IF(OR(X678&lt;&gt;X676,X678&lt;&gt;X677),"",IF(AND(COUNTBLANK(I676:I679)=0,M677=M678,M678=M679),(SUM(L690:P690)+SUM(L702:P702))/(SUM(L691:P691)+SUM(L703:P703)),"")))</f>
        <v/>
      </c>
      <c r="Y686" s="192"/>
      <c r="Z686" s="203"/>
      <c r="AA686" s="243">
        <v>1</v>
      </c>
      <c r="AB686" s="151" t="str">
        <f>IF(AND(COUNTBLANK(I676:I679)=0,Group_players=4,M676=M677,M677=M679),IF(COUNTIF(W675:W678,W675)=3,AB699,IF(AND(COUNTIF(W675:W678,W675)=1,W676&lt;&gt;W678),IF(M676=2,IF(SMALL(W675:W678,1)=W675,1,IF(SMALL(W675:W678,2)=W675,2,IF(SMALL(W675:W678,3)=W675,3))),IF(M676=1,IF(SMALL(W675:W678,1)=W675,2,IF(SMALL(W675:W678,2)=W675,3,IF(SMALL(W675:W678,3)=W675,4))),"")),IF(COUNTIF(W675:W678,W675)=1,IF(W675&lt;W676,IF(M676=2,1,2),IF(M676=2,3,4)),IF(COUNTIF(W675:W678,W675)=2,IF(W675=W676,IF(W675&lt;W678,IF(M676=2,IF(Q699=3,1,2),IF(M676=1,IF(Q699=3,2,3))),IF(W675&gt;W678,IF(M676=2,IF(Q699=3,2,3),IF(M676=1,IF(Q699=3,3,4))))),IF(W675=W678,IF(W675&lt;W676,IF(M676=2,IF(Q693=3,1,2),IF(M676=1,IF(Q693=3,2,3))),IF(W675&gt;W676,IF(M676=2,IF(Q693=3,2,3),IF(M676=1,IF(Q693=3,3,4))))))),"")))),"")</f>
        <v/>
      </c>
      <c r="AC686" s="192"/>
      <c r="AD686" s="192"/>
      <c r="AE686" s="192"/>
      <c r="AF686" s="203"/>
      <c r="AG686" s="203"/>
      <c r="AH686" s="203"/>
      <c r="AI686" s="203"/>
      <c r="AJ686" s="203"/>
      <c r="AK686" s="203"/>
      <c r="AL686" s="203"/>
      <c r="AM686" s="203"/>
      <c r="AN686" s="192"/>
      <c r="AO686" s="192"/>
      <c r="AP686" s="192"/>
      <c r="AQ686" s="192"/>
      <c r="AR686" s="192"/>
      <c r="AS686" s="192"/>
      <c r="AT686" s="192"/>
      <c r="AU686" s="192"/>
      <c r="AV686" s="192"/>
      <c r="AW686" s="192"/>
      <c r="AX686" s="192"/>
    </row>
    <row r="687" spans="2:50" ht="15" customHeight="1" thickTop="1" x14ac:dyDescent="0.3">
      <c r="B687" s="192"/>
      <c r="C687" s="192"/>
      <c r="D687" s="192"/>
      <c r="E687" s="164" t="str">
        <f>IF(Q687="","",IF(Q687=3,1,0))</f>
        <v/>
      </c>
      <c r="F687" s="164" t="str">
        <f>IF(Q687="","",IF(Q687&lt;3,1,0))</f>
        <v/>
      </c>
      <c r="G687" s="192"/>
      <c r="H687" s="192" t="str">
        <f>IF(I676="","",1)</f>
        <v/>
      </c>
      <c r="I687" s="192" t="str">
        <f>IF(ISNUMBER(H687),VLOOKUP(H687,H676:I679,2,TRUE),"")</f>
        <v/>
      </c>
      <c r="J687" s="192"/>
      <c r="K687" s="192" t="str">
        <f>VLOOKUP(I687,I676:L679,3,FALSE)</f>
        <v/>
      </c>
      <c r="L687" s="253"/>
      <c r="M687" s="254"/>
      <c r="N687" s="254"/>
      <c r="O687" s="152"/>
      <c r="P687" s="153"/>
      <c r="Q687" s="255" t="str">
        <f>IF(L687="","",IF(AND(L687-L688&gt;1,L687&gt;10),1,0)+IF(AND(M687-M688&gt;1,M687&gt;10),1,0)+IF(AND(N687-N688&gt;1,N687&gt;10),1,0)+IF(AND(O687-O688&gt;1,O687&gt;10),1,0)+IF(AND(P687-P688&gt;1,P687&gt;10),1,0))</f>
        <v/>
      </c>
      <c r="R687" s="203" t="str">
        <f>IF(AND(I687="",I688=""),"",ABS(VLOOKUP(I687,I676:L679,4,FALSE)-VLOOKUP(I688,I676:L679,4,FALSE)))</f>
        <v/>
      </c>
      <c r="S687" s="256" t="str">
        <f>IF(R688="","",IF(Q687=3,+R688,-R688))</f>
        <v/>
      </c>
      <c r="T687" s="257"/>
      <c r="U687" s="258"/>
      <c r="V687" s="258"/>
      <c r="W687" s="258"/>
      <c r="X687" s="258"/>
      <c r="Y687" s="192"/>
      <c r="Z687" s="203"/>
      <c r="AA687" s="246">
        <v>2</v>
      </c>
      <c r="AB687" s="154" t="str">
        <f>IF(AND(COUNTBLANK(I676:I679)=0,Group_players=4,M676=M677,M677=M679),IF(COUNTIF(W675:W678,W676)=3,AB700,IF(AND(COUNTIF(W675:W678,W676)=1,W675&lt;&gt;W677),IF(M677=2,IF(SMALL(W675:W678,1)=W676,1,IF(SMALL(W675:W678,2)=W676,2,IF(SMALL(W675:W678,3)=W676,3))),IF(M677=1,IF(SMALL(W675:W678,1)=W676,2,IF(SMALL(W675:W678,2)=W676,3,IF(SMALL(W675:W678,3)=W676,4))),"")),IF(COUNTIF(W675:W678,W676)=1,IF(W676&lt;W675,IF(M677=2,1,2),IF(M677=2,3,4)),IF(COUNTIF(W675:W678,W676)=2,IF(W676=W675,IF(W676&lt;W678,IF(M677=2,IF(Q700=3,1,2),IF(M677=1,IF(Q700=3,2,3))),IF(W676&gt;W678,IF(M677=2,IF(Q700=3,2,3),IF(M677=1,IF(Q700=3,3,4))))),IF(W676=W678,IF(W676&lt;W675,IF(M677=2,IF(Q690=3,1,2),IF(M677=1,IF(Q690=3,2,3))),IF(W676&gt;W675,IF(M677=2,IF(Q690=3,2,3),IF(M677=1,IF(Q690=3,3,4))))))),"")))),"")</f>
        <v/>
      </c>
      <c r="AC687" s="192"/>
      <c r="AD687" s="192"/>
      <c r="AE687" s="192"/>
      <c r="AF687" s="203"/>
      <c r="AG687" s="203"/>
      <c r="AH687" s="203"/>
      <c r="AI687" s="203"/>
      <c r="AJ687" s="203"/>
      <c r="AK687" s="203"/>
      <c r="AL687" s="203"/>
      <c r="AM687" s="203"/>
      <c r="AN687" s="192"/>
      <c r="AO687" s="192"/>
      <c r="AP687" s="192"/>
      <c r="AQ687" s="192"/>
      <c r="AR687" s="192"/>
      <c r="AS687" s="192"/>
      <c r="AT687" s="192"/>
      <c r="AU687" s="192"/>
      <c r="AV687" s="192"/>
      <c r="AW687" s="192"/>
      <c r="AX687" s="192"/>
    </row>
    <row r="688" spans="2:50" ht="15" customHeight="1" thickBot="1" x14ac:dyDescent="0.35">
      <c r="B688" s="192"/>
      <c r="C688" s="192"/>
      <c r="D688" s="192"/>
      <c r="E688" s="164" t="str">
        <f>IF(Q688="","",IF(Q688=3,1,0))</f>
        <v/>
      </c>
      <c r="F688" s="164" t="str">
        <f>IF(Q688="","",IF(Q688&lt;3,1,0))</f>
        <v/>
      </c>
      <c r="G688" s="192"/>
      <c r="H688" s="192" t="str">
        <f>IF(I677="","",IF(I678="",2,3))</f>
        <v/>
      </c>
      <c r="I688" s="192" t="str">
        <f>IF(ISNUMBER(H688),VLOOKUP(H688,H676:I679,2,TRUE),"")</f>
        <v/>
      </c>
      <c r="J688" s="192"/>
      <c r="K688" s="192" t="str">
        <f>VLOOKUP(I688,I676:L679,3,FALSE)</f>
        <v/>
      </c>
      <c r="L688" s="155"/>
      <c r="M688" s="259"/>
      <c r="N688" s="259"/>
      <c r="O688" s="156"/>
      <c r="P688" s="157"/>
      <c r="Q688" s="260" t="str">
        <f>IF(L688="","",IF(AND(L688-L687&gt;1,L688&gt;10),1,0)+IF(AND(M688-M687&gt;1,M688&gt;10),1,0)+IF(AND(N688-N687&gt;1,N688&gt;10),1,0)+IF(AND(O688-O687&gt;1,O688&gt;10),1,0)+IF(AND(P688-P687&gt;1,P688&gt;10),1,0))</f>
        <v/>
      </c>
      <c r="R688" s="203" t="str">
        <f>IF(AND(Q687&lt;&gt;3,Q688&lt;&gt;3),"",IF(Q687=3,IF(VLOOKUP(I687,I676:L679,4,FALSE)&gt;VLOOKUP(I688,I676:L679,4,FALSE),VLOOKUP(R687,Point_dif,2,FALSE),VLOOKUP(R687,Point_dif,3,FALSE)),IF(Q688=3,IF(VLOOKUP(I688,I676:L679,4,FALSE)&gt;VLOOKUP(I687,I676:L679,4,FALSE),VLOOKUP(R687,Point_dif,2,FALSE),VLOOKUP(R687,Point_dif,3,FALSE)))))</f>
        <v/>
      </c>
      <c r="S688" s="256" t="str">
        <f>IF(R688="","",IF(Q688=3,+R688,-R688))</f>
        <v/>
      </c>
      <c r="T688" s="192"/>
      <c r="U688" s="235"/>
      <c r="V688" s="235"/>
      <c r="W688" s="235"/>
      <c r="X688" s="235"/>
      <c r="Y688" s="235"/>
      <c r="Z688" s="235"/>
      <c r="AA688" s="240">
        <v>4</v>
      </c>
      <c r="AB688" s="158" t="str">
        <f>IF(AND(COUNTBLANK(I676:I679)=0,Group_players=4,M676=M677,M677=M679),IF(COUNTIF(W675:W678,W678)=3,AB701,IF(AND(COUNTIF(W675:W678,W678)=1,W675&lt;&gt;W676),IF(M679=2,IF(SMALL(W675:W678,1)=W678,1,IF(SMALL(W675:W678,2)=W678,2,IF(SMALL(W675:W678,3)=W678,3))),IF(M679=1,IF(SMALL(W675:W678,1)=W678,2,IF(SMALL(W675:W678,2)=W678,3,IF(SMALL(W675:W678,3)=W678,4))),"")),IF(COUNTIF(W675:W678,W678)=1,IF(W678&lt;W675,IF(M679=2,1,2),IF(M679=2,3,4)),IF(COUNTIF(W675:W678,W678)=2,IF(W678=W675,IF(W678&lt;W676,IF(M679=2,IF(Q694=3,1,2),IF(M679=1,IF(Q694=3,2,3))),IF(W678&gt;W677,IF(M679=2,IF(Q694=3,2,3),IF(M679=1,IF(Q694=3,3,4))))),IF(W678=W676,IF(W678&lt;W675,IF(M679=2,IF(Q691=3,1,2),IF(M679=1,IF(Q691=3,2,3))),IF(W678&gt;W675,IF(M679=2,IF(Q691=3,2,3),IF(M679=1,IF(Q691=3,3,4))))))),"")))),"")</f>
        <v/>
      </c>
      <c r="AC688" s="192"/>
      <c r="AD688" s="192"/>
      <c r="AE688" s="192"/>
      <c r="AF688" s="203"/>
      <c r="AG688" s="203"/>
      <c r="AH688" s="203"/>
      <c r="AI688" s="203"/>
      <c r="AJ688" s="203"/>
      <c r="AK688" s="203"/>
      <c r="AL688" s="203"/>
      <c r="AM688" s="203"/>
      <c r="AN688" s="192"/>
      <c r="AO688" s="192"/>
      <c r="AP688" s="192"/>
      <c r="AQ688" s="192"/>
      <c r="AR688" s="192"/>
      <c r="AS688" s="192"/>
      <c r="AT688" s="192"/>
      <c r="AU688" s="192"/>
      <c r="AV688" s="192"/>
      <c r="AW688" s="192"/>
      <c r="AX688" s="192"/>
    </row>
    <row r="689" spans="2:50" ht="15" customHeight="1" thickTop="1" thickBot="1" x14ac:dyDescent="0.35">
      <c r="B689" s="192"/>
      <c r="C689" s="192"/>
      <c r="D689" s="192"/>
      <c r="E689" s="164"/>
      <c r="F689" s="164"/>
      <c r="G689" s="192"/>
      <c r="H689" s="192"/>
      <c r="I689" s="249" t="s">
        <v>116</v>
      </c>
      <c r="J689" s="249"/>
      <c r="K689" s="249"/>
      <c r="L689" s="250" t="s">
        <v>115</v>
      </c>
      <c r="M689" s="250" t="s">
        <v>116</v>
      </c>
      <c r="N689" s="250" t="s">
        <v>117</v>
      </c>
      <c r="O689" s="250" t="s">
        <v>118</v>
      </c>
      <c r="P689" s="250" t="s">
        <v>119</v>
      </c>
      <c r="Q689" s="250" t="s">
        <v>120</v>
      </c>
      <c r="R689" s="250"/>
      <c r="S689" s="251"/>
      <c r="T689" s="192"/>
      <c r="U689" s="235"/>
      <c r="V689" s="235"/>
      <c r="W689" s="235"/>
      <c r="X689" s="235"/>
      <c r="Y689" s="235"/>
      <c r="Z689" s="235"/>
      <c r="AA689" s="243">
        <v>2</v>
      </c>
      <c r="AB689" s="151" t="str">
        <f>IF(AND(COUNTBLANK(I676:I679)=0,Group_players=4,M677=M678,M678=M679),IF(COUNTIF(X675:X678,X676)=3,AB702,IF(AND(COUNTIF(X675:X678,X676)=1,X677&lt;&gt;X678),IF(M677=2,IF(SMALL(X675:X678,1)=X676,1,IF(SMALL(X675:X678,2)=X676,2,IF(SMALL(X675:X678,3)=X676,3))),IF(M677=1,IF(SMALL(X675:X678,1)=X676,2,IF(SMALL(X675:X678,2)=X676,3,IF(SMALL(X675:X678,3)=X676,4))),"")),IF(COUNTIF(X675:X678,X676)=1,IF(X676&lt;X678,IF(M677=2,1,2),IF(M677=1,3,3)),IF(COUNTIF(X675:X678,X676)=2,IF(X676=X677,IF(X676&lt;X678,IF(M677=2,IF(Q696=3,1,2),IF(M677=1,IF(Q696=3,2,3))),IF(X676&gt;X678,IF(M677=2,IF(Q696=3,2,3),IF(M677=1,IF(Q696=3,3,4))))),IF(X676=X678,IF(X676&lt;X677,IF(M677=2,IF(Q690=3,1,2),IF(M677=1,IF(Q690=3,2,3))),IF(X676&gt;X677,IF(M677=2,IF(Q690=3,2,3),IF(M677=1,IF(Q690=3,3,4))))))),"")))),"")</f>
        <v/>
      </c>
      <c r="AC689" s="192"/>
      <c r="AD689" s="192"/>
      <c r="AE689" s="192"/>
      <c r="AF689" s="203"/>
      <c r="AG689" s="203"/>
      <c r="AH689" s="203"/>
      <c r="AI689" s="203"/>
      <c r="AJ689" s="203"/>
      <c r="AK689" s="203"/>
      <c r="AL689" s="203"/>
      <c r="AM689" s="203"/>
      <c r="AN689" s="192"/>
      <c r="AO689" s="192"/>
      <c r="AP689" s="192"/>
      <c r="AQ689" s="192"/>
      <c r="AR689" s="192"/>
      <c r="AS689" s="192"/>
      <c r="AT689" s="192"/>
      <c r="AU689" s="192"/>
      <c r="AV689" s="192"/>
      <c r="AW689" s="192"/>
      <c r="AX689" s="192"/>
    </row>
    <row r="690" spans="2:50" ht="15" customHeight="1" thickTop="1" x14ac:dyDescent="0.3">
      <c r="B690" s="192"/>
      <c r="C690" s="192"/>
      <c r="D690" s="192"/>
      <c r="E690" s="164" t="str">
        <f>IF(Q690="","",IF(Q690=3,1,0))</f>
        <v/>
      </c>
      <c r="F690" s="164" t="str">
        <f>IF(Q690="","",IF(Q690&lt;3,1,0))</f>
        <v/>
      </c>
      <c r="G690" s="192"/>
      <c r="H690" s="192" t="str">
        <f>IF(I678="","",2)</f>
        <v/>
      </c>
      <c r="I690" s="192" t="str">
        <f>IF(ISNUMBER(H690),VLOOKUP(H690,H676:I679,2,TRUE),"")</f>
        <v/>
      </c>
      <c r="J690" s="192"/>
      <c r="K690" s="192" t="str">
        <f>VLOOKUP(I690,I676:L679,3,FALSE)</f>
        <v/>
      </c>
      <c r="L690" s="253"/>
      <c r="M690" s="254"/>
      <c r="N690" s="254"/>
      <c r="O690" s="152"/>
      <c r="P690" s="153"/>
      <c r="Q690" s="255" t="str">
        <f>IF(L690="","",IF(AND(L690-L691&gt;1,L690&gt;10),1,0)+IF(AND(M690-M691&gt;1,M690&gt;10),1,0)+IF(AND(N690-N691&gt;1,N690&gt;10),1,0)+IF(AND(O690-O691&gt;1,O690&gt;10),1,0)+IF(AND(P690-P691&gt;1,P690&gt;10),1,0))</f>
        <v/>
      </c>
      <c r="R690" s="203" t="str">
        <f>IF(AND(I690="",I691=""),"",ABS(VLOOKUP(I690,I676:L679,4,FALSE)-VLOOKUP(I691,I676:L679,4,FALSE)))</f>
        <v/>
      </c>
      <c r="S690" s="256" t="str">
        <f>IF(R691="","",IF(Q690=3,+R691,-R691))</f>
        <v/>
      </c>
      <c r="T690" s="192"/>
      <c r="U690" s="235"/>
      <c r="V690" s="235"/>
      <c r="W690" s="235"/>
      <c r="X690" s="235"/>
      <c r="Y690" s="235"/>
      <c r="Z690" s="235"/>
      <c r="AA690" s="246">
        <v>3</v>
      </c>
      <c r="AB690" s="154" t="str">
        <f>IF(AND(COUNTBLANK(I676:I679)=0,Group_players=4,M677=M678,M678=M679),IF(COUNTIF(X675:X678,X677)=3,AB703,IF(AND(COUNTIF(X675:X678,X677)=1,X676&lt;&gt;X678),IF(M678=2,IF(SMALL(X675:X678,1)=X677,1,IF(SMALL(X675:X678,2)=X677,2,IF(SMALL(X675:X678,3)=X677,3))),IF(M678=1,IF(SMALL(X675:X678,1)=X677,2,IF(SMALL(X675:X678,2)=X677,3,IF(SMALL(X675:X678,3)=X677,4))),"")),IF(COUNTIF(X675:X678,X677)=1,IF(X677&lt;X676,IF(M678=2,1,2),IF(M678=2,3,4)),IF(COUNTIF(X675:X678,X677)=2,IF(X677=X676,IF(X677&lt;X678,IF(M678=2,IF(Q697=3,1,2),IF(M678=1,IF(Q697=3,2,3))),IF(X677&gt;X678,IF(M678=2,IF(Q697=3,2,3),IF(M678=1,IF(Q697=3,3,4))))),IF(X677=X678,IF(X677&lt;X676,IF(M678=2,IF(Q702=3,1,2),IF(M678=1,IF(Q702=3,2,3))),IF(X677&gt;X676,IF(M678=2,IF(Q702=3,2,3),IF(M678=1,IF(Q702=3,3,4))))))),"")))),"")</f>
        <v/>
      </c>
      <c r="AC690" s="192"/>
      <c r="AD690" s="192"/>
      <c r="AE690" s="192"/>
      <c r="AF690" s="203"/>
      <c r="AG690" s="203"/>
      <c r="AH690" s="203"/>
      <c r="AI690" s="203"/>
      <c r="AJ690" s="203"/>
      <c r="AK690" s="203"/>
      <c r="AL690" s="203"/>
      <c r="AM690" s="203"/>
      <c r="AN690" s="192"/>
      <c r="AO690" s="192"/>
      <c r="AP690" s="192"/>
      <c r="AQ690" s="192"/>
      <c r="AR690" s="192"/>
      <c r="AS690" s="192"/>
      <c r="AT690" s="192"/>
      <c r="AU690" s="192"/>
      <c r="AV690" s="192"/>
      <c r="AW690" s="192"/>
      <c r="AX690" s="192"/>
    </row>
    <row r="691" spans="2:50" ht="15" customHeight="1" thickBot="1" x14ac:dyDescent="0.35">
      <c r="B691" s="192"/>
      <c r="C691" s="192"/>
      <c r="D691" s="192"/>
      <c r="E691" s="164" t="str">
        <f>IF(Q691="","",IF(Q691=3,1,0))</f>
        <v/>
      </c>
      <c r="F691" s="164" t="str">
        <f>IF(Q691="","",IF(Q691&lt;3,1,0))</f>
        <v/>
      </c>
      <c r="G691" s="192"/>
      <c r="H691" s="192" t="str">
        <f>IF(I678="","",IF(I679="",3,4))</f>
        <v/>
      </c>
      <c r="I691" s="192" t="str">
        <f>IF(ISNUMBER(H691),VLOOKUP(H691,H676:I679,2,TRUE),"")</f>
        <v/>
      </c>
      <c r="J691" s="192"/>
      <c r="K691" s="192" t="str">
        <f>VLOOKUP(I691,I676:L679,3,FALSE)</f>
        <v/>
      </c>
      <c r="L691" s="155"/>
      <c r="M691" s="259"/>
      <c r="N691" s="259"/>
      <c r="O691" s="156"/>
      <c r="P691" s="157"/>
      <c r="Q691" s="260" t="str">
        <f>IF(L691="","",IF(AND(L691-L690&gt;1,L691&gt;10),1,0)+IF(AND(M691-M690&gt;1,M691&gt;10),1,0)+IF(AND(N691-N690&gt;1,N691&gt;10),1,0)+IF(AND(O691-O690&gt;1,O691&gt;10),1,0)+IF(AND(P691-P690&gt;1,P691&gt;10),1,0))</f>
        <v/>
      </c>
      <c r="R691" s="203" t="str">
        <f>IF(AND(Q690&lt;&gt;3,Q691&lt;&gt;3),"",IF(Q690=3,IF(VLOOKUP(I690,I676:L679,4,FALSE)&gt;VLOOKUP(I691,I676:L679,4,FALSE),VLOOKUP(R690,Point_dif,2,FALSE),VLOOKUP(R690,Point_dif,3,FALSE)),IF(Q691=3,IF(VLOOKUP(I691,I676:L679,4,FALSE)&gt;VLOOKUP(I690,I676:L679,4,FALSE),VLOOKUP(R690,Point_dif,2,FALSE),VLOOKUP(R690,Point_dif,3,FALSE)))))</f>
        <v/>
      </c>
      <c r="S691" s="256" t="str">
        <f>IF(R691="","",IF(Q691=3,+R691,-R691))</f>
        <v/>
      </c>
      <c r="T691" s="192"/>
      <c r="U691" s="235"/>
      <c r="V691" s="235"/>
      <c r="W691" s="235"/>
      <c r="X691" s="235"/>
      <c r="Y691" s="235"/>
      <c r="Z691" s="235"/>
      <c r="AA691" s="261">
        <v>4</v>
      </c>
      <c r="AB691" s="158" t="str">
        <f>IF(AND(COUNTBLANK(I676:I679)=0,Group_players=4,M677=M678,M678=M679),IF(COUNTIF(X675:X678,X678)=3,AB704,IF(AND(COUNTIF(X675:X678,X678)=1,X677&lt;&gt;X676),IF(M679=2,IF(SMALL(X675:X678,1)=X678,1,IF(SMALL(X675:X678,2)=X678,2,IF(SMALL(X675:X678,3)=X678,3))),IF(M679=1,IF(SMALL(X675:X678,1)=X678,2,IF(SMALL(X675:X678,2)=X678,3,IF(SMALL(X675:X678,3)=X678,4))),"")),IF(COUNTIF(X675:X678,X678)=1,IF(X678&lt;X676,IF(M679=2,1,2),IF(M679=2,3,4)),IF(COUNTIF(X675:X678,X678)=2,IF(X678=X676,IF(X678&lt;X677,IF(M679=2,IF(Q691=3,1,2),IF(M679=1,IF(Q691=3,2,3))),IF(X678&gt;X677,IF(M679=2,IF(Q691=3,2,3),IF(M679=1,IF(Q691=3,3,4))))),IF(X678=X677,IF(X678&lt;X676,IF(M679=2,IF(Q703=3,1,2),IF(M679=1,IF(Q703=3,2,3))),IF(X678&gt;X676,IF(M679=2,IF(Q703=3,2,3),IF(M679=1,IF(Q703=3,3,4))))))),"")))),"")</f>
        <v/>
      </c>
      <c r="AC691" s="192"/>
      <c r="AD691" s="192"/>
      <c r="AE691" s="192"/>
      <c r="AF691" s="203"/>
      <c r="AG691" s="203"/>
      <c r="AH691" s="203"/>
      <c r="AI691" s="203"/>
      <c r="AJ691" s="203"/>
      <c r="AK691" s="203"/>
      <c r="AL691" s="203"/>
      <c r="AM691" s="203"/>
      <c r="AN691" s="192"/>
      <c r="AO691" s="192"/>
      <c r="AP691" s="192"/>
      <c r="AQ691" s="192"/>
      <c r="AR691" s="192"/>
      <c r="AS691" s="192"/>
      <c r="AT691" s="192"/>
      <c r="AU691" s="192"/>
      <c r="AV691" s="192"/>
      <c r="AW691" s="192"/>
      <c r="AX691" s="192"/>
    </row>
    <row r="692" spans="2:50" ht="15" customHeight="1" thickTop="1" thickBot="1" x14ac:dyDescent="0.35">
      <c r="B692" s="192"/>
      <c r="C692" s="192"/>
      <c r="D692" s="192"/>
      <c r="E692" s="164"/>
      <c r="F692" s="164"/>
      <c r="G692" s="192"/>
      <c r="H692" s="192"/>
      <c r="I692" s="249" t="s">
        <v>117</v>
      </c>
      <c r="J692" s="249"/>
      <c r="K692" s="249"/>
      <c r="L692" s="250" t="s">
        <v>115</v>
      </c>
      <c r="M692" s="250" t="s">
        <v>116</v>
      </c>
      <c r="N692" s="250" t="s">
        <v>117</v>
      </c>
      <c r="O692" s="250" t="s">
        <v>118</v>
      </c>
      <c r="P692" s="250" t="s">
        <v>119</v>
      </c>
      <c r="Q692" s="250" t="s">
        <v>120</v>
      </c>
      <c r="R692" s="250"/>
      <c r="S692" s="251"/>
      <c r="T692" s="263"/>
      <c r="U692" s="264"/>
      <c r="V692" s="242"/>
      <c r="W692" s="242"/>
      <c r="X692" s="264"/>
      <c r="Y692" s="192"/>
      <c r="Z692" s="203"/>
      <c r="AA692" s="126" t="s">
        <v>93</v>
      </c>
      <c r="AB692" s="265" t="s">
        <v>110</v>
      </c>
      <c r="AC692" s="192"/>
      <c r="AD692" s="192"/>
      <c r="AE692" s="192"/>
      <c r="AF692" s="203"/>
      <c r="AG692" s="203"/>
      <c r="AH692" s="203"/>
      <c r="AI692" s="203"/>
      <c r="AJ692" s="203"/>
      <c r="AK692" s="203"/>
      <c r="AL692" s="203"/>
      <c r="AM692" s="203"/>
      <c r="AN692" s="192"/>
      <c r="AO692" s="192"/>
      <c r="AP692" s="192"/>
      <c r="AQ692" s="192"/>
      <c r="AR692" s="192"/>
      <c r="AS692" s="192"/>
      <c r="AT692" s="192"/>
      <c r="AU692" s="192"/>
      <c r="AV692" s="192"/>
      <c r="AW692" s="192"/>
      <c r="AX692" s="192"/>
    </row>
    <row r="693" spans="2:50" ht="15" customHeight="1" thickTop="1" x14ac:dyDescent="0.3">
      <c r="B693" s="192"/>
      <c r="C693" s="192"/>
      <c r="D693" s="192"/>
      <c r="E693" s="164" t="str">
        <f>IF(Q693="","",IF(Q693=3,1,0))</f>
        <v/>
      </c>
      <c r="F693" s="164" t="str">
        <f>IF(Q693="","",IF(Q693&lt;3,1,0))</f>
        <v/>
      </c>
      <c r="G693" s="192"/>
      <c r="H693" s="192" t="str">
        <f>IF(I678&lt;&gt;"",1,"")</f>
        <v/>
      </c>
      <c r="I693" s="192" t="str">
        <f>IF(ISNUMBER(H693),VLOOKUP(H693,H676:I679,2,TRUE),"")</f>
        <v/>
      </c>
      <c r="J693" s="192"/>
      <c r="K693" s="192" t="str">
        <f>VLOOKUP(I693,I676:L679,3,FALSE)</f>
        <v/>
      </c>
      <c r="L693" s="253"/>
      <c r="M693" s="254"/>
      <c r="N693" s="254"/>
      <c r="O693" s="152"/>
      <c r="P693" s="153"/>
      <c r="Q693" s="255" t="str">
        <f>IF(L693="","",IF(AND(L693-L694&gt;1,L693&gt;10),1,0)+IF(AND(M693-M694&gt;1,M693&gt;10),1,0)+IF(AND(N693-N694&gt;1,N693&gt;10),1,0)+IF(AND(O693-O694&gt;1,O693&gt;10),1,0)+IF(AND(P693-P694&gt;1,P693&gt;10),1,0))</f>
        <v/>
      </c>
      <c r="R693" s="203" t="str">
        <f>IF(AND(I693="",I694=""),"",ABS(VLOOKUP(I693,I676:L679,4,FALSE)-VLOOKUP(I694,I676:L679,4,FALSE)))</f>
        <v/>
      </c>
      <c r="S693" s="256" t="str">
        <f>IF(R694="","",IF(Q693=3,+R694,-R694))</f>
        <v/>
      </c>
      <c r="T693" s="192"/>
      <c r="U693" s="235"/>
      <c r="V693" s="235"/>
      <c r="W693" s="235"/>
      <c r="X693" s="235"/>
      <c r="Y693" s="235"/>
      <c r="Z693" s="235"/>
      <c r="AA693" s="243">
        <v>1</v>
      </c>
      <c r="AB693" s="222" t="str">
        <f>IF(AND(COUNTBLANK(I676:I679)=0,Group_players=4,M676=M677,M677=M678),IF(U683="","",IF(COUNTIF(U683:U686,U683)=3,"Tied",IF(AND(COUNTIF(U683:U686,U683)=1,U684&lt;&gt;U685),IF(M676=2,IF(SMALL(U683:U686,1)=U683,1,IF(SMALL(U683:U686,2)=U683,2,IF(SMALL(U683:U686,3)=U683,3))),IF(M676=1,IF(SMALL(U683:U686,1)=U683,2,IF(SMALL(U683:U686,2)=U683,3,IF(SMALL(U683:U686,3)=U683,4))),"")),IF(COUNTIF(U683:U686,U683)=1,IF(U683&lt;U684,IF(M676=2,1,2),IF(M676=2,3,4)),IF(COUNTIF(U683:U686,U683)=2,IF(U683=U684,IF(U683&lt;U685,IF(M676=2,IF(Q699=3,1,2),IF(M676=1,IF(Q699=3,2,3))),IF(U683&gt;U685,IF(M676=2,IF(Q699=3,2,3),IF(M676=1,IF(Q699=3,3,4))))),IF(U683=U685,IF(U683&lt;U684,IF(M676=2,IF(Q687=3,1,2),IF(M676=1,IF(Q687=3,2,3))),IF(U683&gt;U684,IF(M676=2,IF(Q687=3,2,3),IF(M676=1,IF(Q687=3,3,4)))))))))))),"")</f>
        <v/>
      </c>
      <c r="AC693" s="192"/>
      <c r="AD693" s="192"/>
      <c r="AE693" s="192"/>
      <c r="AF693" s="203"/>
      <c r="AG693" s="203"/>
      <c r="AH693" s="203"/>
      <c r="AI693" s="203"/>
      <c r="AJ693" s="203"/>
      <c r="AK693" s="203"/>
      <c r="AL693" s="203"/>
      <c r="AM693" s="203"/>
      <c r="AN693" s="192"/>
      <c r="AO693" s="192"/>
      <c r="AP693" s="192"/>
      <c r="AQ693" s="192"/>
      <c r="AR693" s="192"/>
      <c r="AS693" s="192"/>
      <c r="AT693" s="192"/>
      <c r="AU693" s="192"/>
      <c r="AV693" s="192"/>
      <c r="AW693" s="192"/>
      <c r="AX693" s="192"/>
    </row>
    <row r="694" spans="2:50" ht="15" customHeight="1" thickBot="1" x14ac:dyDescent="0.35">
      <c r="B694" s="192"/>
      <c r="C694" s="192"/>
      <c r="D694" s="192"/>
      <c r="E694" s="164" t="str">
        <f>IF(Q694="","",IF(Q694=3,1,0))</f>
        <v/>
      </c>
      <c r="F694" s="164" t="str">
        <f>IF(Q694="","",IF(Q694&lt;3,1,0))</f>
        <v/>
      </c>
      <c r="G694" s="192"/>
      <c r="H694" s="192" t="str">
        <f>IF(I678="","",IF(I679&lt;&gt;"",4,2))</f>
        <v/>
      </c>
      <c r="I694" s="192" t="str">
        <f>IF(ISNUMBER(H694),VLOOKUP(H694,H676:I679,2,TRUE),"")</f>
        <v/>
      </c>
      <c r="J694" s="192"/>
      <c r="K694" s="192" t="str">
        <f>VLOOKUP(I694,I676:L679,3,FALSE)</f>
        <v/>
      </c>
      <c r="L694" s="155"/>
      <c r="M694" s="259"/>
      <c r="N694" s="259"/>
      <c r="O694" s="156"/>
      <c r="P694" s="157"/>
      <c r="Q694" s="260" t="str">
        <f>IF(L694="","",IF(AND(L694-L693&gt;1,L694&gt;10),1,0)+IF(AND(M694-M693&gt;1,M694&gt;10),1,0)+IF(AND(N694-N693&gt;1,N694&gt;10),1,0)+IF(AND(O694-O693&gt;1,O694&gt;10),1,0)+IF(AND(P694-P693&gt;1,P694&gt;10),1,0))</f>
        <v/>
      </c>
      <c r="R694" s="203" t="str">
        <f>IF(AND(Q693&lt;&gt;3,Q694&lt;&gt;3),"",IF(Q693=3,IF(VLOOKUP(I693,I676:L679,4,FALSE)&gt;VLOOKUP(I694,I676:L679,4,FALSE),VLOOKUP(R693,Point_dif,2,FALSE),VLOOKUP(R693,Point_dif,3,FALSE)),IF(Q694=3,IF(VLOOKUP(I694,I676:L679,4,FALSE)&gt;VLOOKUP(I693,I676:L679,4,FALSE),VLOOKUP(R693,Point_dif,2,FALSE),VLOOKUP(R693,Point_dif,3,FALSE)))))</f>
        <v/>
      </c>
      <c r="S694" s="256" t="str">
        <f>IF(R694="","",IF(Q694=3,+R694,-R694))</f>
        <v/>
      </c>
      <c r="T694" s="192"/>
      <c r="U694" s="235"/>
      <c r="V694" s="235"/>
      <c r="W694" s="235"/>
      <c r="X694" s="235"/>
      <c r="Y694" s="235"/>
      <c r="Z694" s="235"/>
      <c r="AA694" s="246">
        <v>2</v>
      </c>
      <c r="AB694" s="222" t="str">
        <f>IF(AND(COUNTBLANK(I676:I679)=0,Group_players=4,M676=M677,M677=M678),IF(U684="","",IF(COUNTIF(U683:U686,U684)=3,"Tied",IF(AND(COUNTIF(U683:U686,U684)=1,U683&lt;&gt;U685),IF(M677=2,IF(SMALL(U683:U686,1)=U684,1,IF(SMALL(U683:U686,2)=U684,2,IF(SMALL(U683:U686,3)=U684,3))),IF(M677=1,IF(SMALL(U683:U686,1)=U684,2,IF(SMALL(U683:U686,2)=U684,3,IF(SMALL(U683:U686,3)=U684,4))),"")),IF(COUNTIF(U683:U686,U684)=1,IF(U684&lt;U683,IF(M677=2,1,2),IF(M677=2,3,4)),IF(COUNTIF(U683:U686,U684)=2,IF(U684=U683,IF(U684&lt;U685,IF(M677=2,IF(Q700=3,1,2),IF(M677=1,IF(Q700=3,2,3))),IF(U684&gt;U685,IF(M677=2,IF(Q700=3,2,3),IF(M677=1,IF(Q700=3,3,4))))),IF(U684=U685,IF(U684&lt;U683,IF(M677=2,IF(Q696=3,1,2),IF(M677=1,IF(Q696=3,2,3))),IF(U684&gt;U683,IF(M677=2,IF(Q696=3,2,3),IF(M677=1,IF(Q696=3,3,4)))))))))))),"")</f>
        <v/>
      </c>
      <c r="AC694" s="192"/>
      <c r="AD694" s="192"/>
      <c r="AE694" s="192"/>
      <c r="AF694" s="203"/>
      <c r="AG694" s="203"/>
      <c r="AH694" s="203"/>
      <c r="AI694" s="203"/>
      <c r="AJ694" s="203"/>
      <c r="AK694" s="203"/>
      <c r="AL694" s="203"/>
      <c r="AM694" s="203"/>
      <c r="AN694" s="192"/>
      <c r="AO694" s="192"/>
      <c r="AP694" s="192"/>
      <c r="AQ694" s="192"/>
      <c r="AR694" s="192"/>
      <c r="AS694" s="192"/>
      <c r="AT694" s="192"/>
      <c r="AU694" s="192"/>
      <c r="AV694" s="192"/>
      <c r="AW694" s="192"/>
      <c r="AX694" s="192"/>
    </row>
    <row r="695" spans="2:50" ht="15" customHeight="1" thickTop="1" thickBot="1" x14ac:dyDescent="0.35">
      <c r="B695" s="192"/>
      <c r="C695" s="192"/>
      <c r="D695" s="192"/>
      <c r="E695" s="164"/>
      <c r="F695" s="164"/>
      <c r="G695" s="192"/>
      <c r="H695" s="192"/>
      <c r="I695" s="249" t="s">
        <v>118</v>
      </c>
      <c r="J695" s="249"/>
      <c r="K695" s="249"/>
      <c r="L695" s="250" t="s">
        <v>115</v>
      </c>
      <c r="M695" s="250" t="s">
        <v>116</v>
      </c>
      <c r="N695" s="250" t="s">
        <v>117</v>
      </c>
      <c r="O695" s="250" t="s">
        <v>118</v>
      </c>
      <c r="P695" s="250" t="s">
        <v>119</v>
      </c>
      <c r="Q695" s="250" t="s">
        <v>120</v>
      </c>
      <c r="R695" s="250"/>
      <c r="S695" s="251"/>
      <c r="T695" s="192"/>
      <c r="U695" s="235"/>
      <c r="V695" s="235"/>
      <c r="W695" s="235"/>
      <c r="X695" s="235"/>
      <c r="Y695" s="235"/>
      <c r="Z695" s="235"/>
      <c r="AA695" s="240">
        <v>3</v>
      </c>
      <c r="AB695" s="241" t="str">
        <f>IF(AND(COUNTBLANK(I676:I679)=0,Group_players=4,M676=M677,M677=M678),IF(U685="","",IF(COUNTIF(U683:U686,U685)=3,"Tied",IF(AND(COUNTIF(U683:U686,U685)=1,U683&lt;&gt;U684),IF(M676=2,IF(SMALL(U683:U686,1)=U685,1,IF(SMALL(U683:U686,2)=U685,2,IF(SMALL(U683:U686,3)=U685,3))),IF(M678=1,IF(SMALL(U683:U686,1)=U685,2,IF(SMALL(U683:U686,2)=U685,3,IF(SMALL(U683:U686,3)=U685,4))),"")),IF(COUNTIF(U683:U686,U685)=1,IF(U685&lt;U684,IF(M678=2,1,2),IF(M678=2,3,4)),IF(COUNTIF(U683:U686,U685)=2,IF(U685=U684,IF(U685&lt;U683,IF(M678=2,IF(Q697=3,1,2),IF(M678=1,IF(Q697=3,2,3))),IF(U685&gt;U683,IF(M678=2,IF(Q697=3,2,3),IF(M678=1,IF(Q697=3,3,4))))),IF(U685=U683,IF(U685&lt;U684,IF(M678=2,IF(Q688=3,1,2),IF(M678=1,IF(Q688=3,2,3))),IF(U685&gt;U684,IF(M678=2,IF(Q688=3,2,3),IF(M678=1,IF(Q688=3,3,4)))))))))))),"")</f>
        <v/>
      </c>
      <c r="AC695" s="192"/>
      <c r="AD695" s="192"/>
      <c r="AE695" s="192"/>
      <c r="AF695" s="203"/>
      <c r="AG695" s="203"/>
      <c r="AH695" s="203"/>
      <c r="AI695" s="203"/>
      <c r="AJ695" s="203"/>
      <c r="AK695" s="203"/>
      <c r="AL695" s="203"/>
      <c r="AM695" s="203"/>
      <c r="AN695" s="192"/>
      <c r="AO695" s="192"/>
      <c r="AP695" s="192"/>
      <c r="AQ695" s="192"/>
      <c r="AR695" s="192"/>
      <c r="AS695" s="192"/>
      <c r="AT695" s="192"/>
      <c r="AU695" s="192"/>
      <c r="AV695" s="192"/>
      <c r="AW695" s="192"/>
      <c r="AX695" s="192"/>
    </row>
    <row r="696" spans="2:50" ht="15" customHeight="1" thickTop="1" x14ac:dyDescent="0.3">
      <c r="B696" s="192"/>
      <c r="C696" s="192"/>
      <c r="D696" s="192"/>
      <c r="E696" s="164" t="str">
        <f>IF(Q696="","",IF(Q696=3,1,0))</f>
        <v/>
      </c>
      <c r="F696" s="164" t="str">
        <f>IF(Q696="","",IF(Q696&lt;3,1,0))</f>
        <v/>
      </c>
      <c r="G696" s="192"/>
      <c r="H696" s="192" t="str">
        <f>IF(I679&lt;&gt;"",2,"")</f>
        <v/>
      </c>
      <c r="I696" s="192" t="str">
        <f>IF(ISNUMBER(H696),VLOOKUP(H696,H676:I679,2,TRUE),"")</f>
        <v/>
      </c>
      <c r="J696" s="192"/>
      <c r="K696" s="192" t="str">
        <f>VLOOKUP(I696,I676:L679,3,FALSE)</f>
        <v/>
      </c>
      <c r="L696" s="253"/>
      <c r="M696" s="254"/>
      <c r="N696" s="254"/>
      <c r="O696" s="152"/>
      <c r="P696" s="153"/>
      <c r="Q696" s="255" t="str">
        <f>IF(L696="","",IF(AND(L696-L697&gt;1,L696&gt;10),1,0)+IF(AND(M696-M697&gt;1,M696&gt;10),1,0)+IF(AND(N696-N697&gt;1,N696&gt;10),1,0)+IF(AND(O696-O697&gt;1,O696&gt;10),1,0)+IF(AND(P696-P697&gt;1,P696&gt;10),1,0))</f>
        <v/>
      </c>
      <c r="R696" s="203" t="str">
        <f>IF(AND(I696="",I697=""),"",ABS(VLOOKUP(I696,I676:L679,4,FALSE)-VLOOKUP(I697,I676:L679,4,FALSE)))</f>
        <v/>
      </c>
      <c r="S696" s="256" t="str">
        <f>IF(R697="","",IF(Q696=3,+R697,-R697))</f>
        <v/>
      </c>
      <c r="T696" s="192"/>
      <c r="U696" s="235"/>
      <c r="V696" s="235"/>
      <c r="W696" s="235"/>
      <c r="X696" s="235"/>
      <c r="Y696" s="235"/>
      <c r="Z696" s="235"/>
      <c r="AA696" s="243">
        <v>1</v>
      </c>
      <c r="AB696" s="222" t="str">
        <f>IF(AND(COUNTBLANK(I676:I679)=0,Group_players=4,M676=M678,M678=M679),IF(V683="","",IF(COUNTIF(V683:V686,V683)=3,"Tied",IF(AND(COUNTIF(V683:V686,V683)=1,V685&lt;&gt;U686),IF(M676=2,IF(SMALL(V683:V686,1)=V683,1,IF(SMALL(V683:V686,2)=V683,2,IF(SMALL(V683:V686,3)=V683,3))),IF(M676=1,IF(SMALL(V683:V686,1)=V683,2,IF(SMALL(V683:V686,2)=V683,3,IF(SMALL(V683:V686,3)=V683,4))),"")),IF(COUNTIF(V683:V686,V683)=1,IF(V683&lt;V685,IF(M676=2,1,2),IF(M676=2,3,4)),IF(COUNTIF(V683:V686,V683)=2,IF(V683=V685,IF(V683&lt;V686,IF(M676=2,IF(Q687=3,1,2),IF(M676=1,IF(Q687=3,2,3))),IF(V683&gt;V686,IF(M676=2,IF(Q687=3,2,3),IF(M676=1,IF(Q687=3,3,4))))),IF(V683=V686,IF(V683&lt;V685,IF(M676=2,IF(Q693=3,1,2),IF(M676=1,IF(Q693=3,2,3))),IF(V683&gt;V684,IF(M676=2,IF(Q693=3,2,3),IF(M676=1,IF(Q693=3,3,4)))))))))))),"")</f>
        <v/>
      </c>
      <c r="AC696" s="192"/>
      <c r="AD696" s="192"/>
      <c r="AE696" s="192"/>
      <c r="AF696" s="203"/>
      <c r="AG696" s="203"/>
      <c r="AH696" s="203"/>
      <c r="AI696" s="203"/>
      <c r="AJ696" s="203"/>
      <c r="AK696" s="203"/>
      <c r="AL696" s="203"/>
      <c r="AM696" s="203"/>
      <c r="AN696" s="192"/>
      <c r="AO696" s="192"/>
      <c r="AP696" s="192"/>
      <c r="AQ696" s="192"/>
      <c r="AR696" s="192"/>
      <c r="AS696" s="192"/>
      <c r="AT696" s="192"/>
      <c r="AU696" s="192"/>
      <c r="AV696" s="192"/>
      <c r="AW696" s="192"/>
      <c r="AX696" s="192"/>
    </row>
    <row r="697" spans="2:50" ht="15" customHeight="1" thickBot="1" x14ac:dyDescent="0.35">
      <c r="B697" s="192"/>
      <c r="C697" s="192"/>
      <c r="D697" s="192"/>
      <c r="E697" s="164" t="str">
        <f>IF(Q697="","",IF(Q697=3,1,0))</f>
        <v/>
      </c>
      <c r="F697" s="164" t="str">
        <f>IF(Q697="","",IF(Q697&lt;3,1,0))</f>
        <v/>
      </c>
      <c r="G697" s="192"/>
      <c r="H697" s="192" t="str">
        <f>IF(I679&lt;&gt;"",3,"")</f>
        <v/>
      </c>
      <c r="I697" s="192" t="str">
        <f>IF(ISNUMBER(H697),VLOOKUP(H697,H676:I679,2,TRUE),"")</f>
        <v/>
      </c>
      <c r="J697" s="192"/>
      <c r="K697" s="192" t="str">
        <f>VLOOKUP(I697,I676:L679,3,FALSE)</f>
        <v/>
      </c>
      <c r="L697" s="155"/>
      <c r="M697" s="259"/>
      <c r="N697" s="259"/>
      <c r="O697" s="156"/>
      <c r="P697" s="157"/>
      <c r="Q697" s="260" t="str">
        <f>IF(L697="","",IF(AND(L697-L696&gt;1,L697&gt;10),1,0)+IF(AND(M697-M696&gt;1,M697&gt;10),1,0)+IF(AND(N697-N696&gt;1,N697&gt;10),1,0)+IF(AND(O697-O696&gt;1,O697&gt;10),1,0)+IF(AND(P697-P696&gt;1,P697&gt;10),1,0))</f>
        <v/>
      </c>
      <c r="R697" s="203" t="str">
        <f>IF(AND(Q696&lt;&gt;3,Q697&lt;&gt;3),"",IF(Q696=3,IF(VLOOKUP(I696,I676:L679,4,FALSE)&gt;VLOOKUP(I697,I676:L679,4,FALSE),VLOOKUP(R696,Point_dif,2,FALSE),VLOOKUP(R696,Point_dif,3,FALSE)),IF(Q697=3,IF(VLOOKUP(I697,I676:L679,4,FALSE)&gt;VLOOKUP(I696,I676:L679,4,FALSE),VLOOKUP(R696,Point_dif,2,FALSE),VLOOKUP(R696,Point_dif,3,FALSE)))))</f>
        <v/>
      </c>
      <c r="S697" s="256" t="str">
        <f>IF(R697="","",IF(Q697=3,+R697,-R697))</f>
        <v/>
      </c>
      <c r="T697" s="192"/>
      <c r="U697" s="159"/>
      <c r="V697" s="266"/>
      <c r="W697" s="266"/>
      <c r="X697" s="266"/>
      <c r="Y697" s="192"/>
      <c r="Z697" s="203"/>
      <c r="AA697" s="246">
        <v>3</v>
      </c>
      <c r="AB697" s="222" t="str">
        <f>IF(AND(COUNTBLANK(I676:I679)=0,Group_players=4,M676=M678,M678=M679),IF(V685="","",IF(COUNTIF(V683:V686,V685)=3,"Tied",IF(AND(COUNTIF(V683:V686,V685)=1,V683&lt;&gt;V686),IF(M678=2,IF(SMALL(V683:V686,1)=V685,1,IF(SMALL(V683:V686,2)=V685,2,IF(SMALL(V683:V686,3)=V685,3))),IF(M678=1,IF(SMALL(V683:V686,1)=V685,2,IF(SMALL(V683:V686,2)=V685,3,IF(SMALL(V683:V686,3)=V685,4))),"")),IF(COUNTIF(V683:V686,V685)=1,IF(V685&lt;V683,IF(M678=2,1,2),IF(M678=2,3,4)),IF(COUNTIF(V683:V686,V685)=2,IF(V685=V683,IF(V685&lt;V686,IF(M678=2,IF(Q688=3,1,2),IF(M678=1,IF(Q688=3,2,3))),IF(V685&gt;V686,IF(M678=2,IF(Q688=3,2,3),IF(M678=1,IF(Q688=3,3,4))))),IF(V685=V686,IF(V685&lt;V683,IF(M678=2,IF(Q702=3,1,2),IF(M678=1,IF(Q702=3,2,3))),IF(V685&gt;V683,IF(M678=2,IF(Q702=3,2,3),IF(M678=1,IF(Q702=3,3,4)))))))))))),"")</f>
        <v/>
      </c>
      <c r="AC697" s="192"/>
      <c r="AD697" s="192"/>
      <c r="AE697" s="192"/>
      <c r="AF697" s="203"/>
      <c r="AG697" s="203"/>
      <c r="AH697" s="203"/>
      <c r="AI697" s="203"/>
      <c r="AJ697" s="203"/>
      <c r="AK697" s="203"/>
      <c r="AL697" s="203"/>
      <c r="AM697" s="203"/>
      <c r="AN697" s="192"/>
      <c r="AO697" s="192"/>
      <c r="AP697" s="192"/>
      <c r="AQ697" s="192"/>
      <c r="AR697" s="192"/>
      <c r="AS697" s="192"/>
      <c r="AT697" s="192"/>
      <c r="AU697" s="192"/>
      <c r="AV697" s="192"/>
      <c r="AW697" s="192"/>
      <c r="AX697" s="192"/>
    </row>
    <row r="698" spans="2:50" ht="15" customHeight="1" thickTop="1" thickBot="1" x14ac:dyDescent="0.35">
      <c r="B698" s="192"/>
      <c r="C698" s="192"/>
      <c r="D698" s="192"/>
      <c r="E698" s="164"/>
      <c r="F698" s="164"/>
      <c r="G698" s="192"/>
      <c r="H698" s="192"/>
      <c r="I698" s="249" t="s">
        <v>119</v>
      </c>
      <c r="J698" s="249"/>
      <c r="K698" s="249"/>
      <c r="L698" s="250" t="s">
        <v>115</v>
      </c>
      <c r="M698" s="250" t="s">
        <v>116</v>
      </c>
      <c r="N698" s="250" t="s">
        <v>117</v>
      </c>
      <c r="O698" s="250" t="s">
        <v>118</v>
      </c>
      <c r="P698" s="250" t="s">
        <v>119</v>
      </c>
      <c r="Q698" s="250" t="s">
        <v>120</v>
      </c>
      <c r="R698" s="250"/>
      <c r="S698" s="251"/>
      <c r="T698" s="247"/>
      <c r="U698" s="235"/>
      <c r="V698" s="235"/>
      <c r="W698" s="235"/>
      <c r="X698" s="235"/>
      <c r="Y698" s="235"/>
      <c r="Z698" s="235"/>
      <c r="AA698" s="240">
        <v>4</v>
      </c>
      <c r="AB698" s="241" t="str">
        <f>IF(AND(COUNTBLANK(I676:I679)=0,Group_players=4,M676=M678,M678=M679),IF(V686="","",IF(COUNTIF(V683:V686,V686)=3,"Tied",IF(AND(COUNTIF(V683:V686,V686)=1,V685&lt;&gt;V683),IF(M679=2,IF(SMALL(V683:V686,1)=V686,1,IF(SMALL(V683:V686,2)=V686,2,IF(SMALL(V683:V686,3)=V686,3))),IF(M679=1,IF(SMALL(V683:V686,1)=V686,2,IF(SMALL(V683:V686,2)=V686,3,IF(SMALL(V683:V686,3)=V686,4))),"")),IF(COUNTIF(V683:V686,V686)=1,IF(V686&lt;V683,IF(M679=2,1,2),IF(M679=2,3,4)),IF(COUNTIF(V683:V686,V686)=2,IF(V686=V683,IF(V686&lt;V685,IF(M679=2,IF(Q694=3,1,2),IF(M679=1,IF(Q694=3,2,3))),IF(V686&gt;V685,IF(M679=2,IF(Q694=3,2,3),IF(M679=1,IF(Q694=3,3,4))))),IF(V686=V685,IF(V686&lt;V683,IF(M679=2,IF(Q703=3,1,2),IF(M679=1,IF(Q703=3,2,3))),IF(V686&gt;V683,IF(M679=2,IF(Q703=3,2,3),IF(M679=1,IF(Q703=3,3,4)))))))))))),"")</f>
        <v/>
      </c>
      <c r="AC698" s="192"/>
      <c r="AD698" s="192"/>
      <c r="AE698" s="192"/>
      <c r="AF698" s="203"/>
      <c r="AG698" s="203"/>
      <c r="AH698" s="203"/>
      <c r="AI698" s="203"/>
      <c r="AJ698" s="203"/>
      <c r="AK698" s="203"/>
      <c r="AL698" s="203"/>
      <c r="AM698" s="203"/>
      <c r="AN698" s="192"/>
      <c r="AO698" s="192"/>
      <c r="AP698" s="192"/>
      <c r="AQ698" s="192"/>
      <c r="AR698" s="192"/>
      <c r="AS698" s="192"/>
      <c r="AT698" s="192"/>
      <c r="AU698" s="192"/>
      <c r="AV698" s="192"/>
      <c r="AW698" s="192"/>
      <c r="AX698" s="192"/>
    </row>
    <row r="699" spans="2:50" ht="15" customHeight="1" thickTop="1" x14ac:dyDescent="0.3">
      <c r="B699" s="192"/>
      <c r="C699" s="192"/>
      <c r="D699" s="192"/>
      <c r="E699" s="164" t="str">
        <f>IF(Q699="","",IF(Q699=3,1,0))</f>
        <v/>
      </c>
      <c r="F699" s="164" t="str">
        <f>IF(Q699="","",IF(Q699&lt;3,1,0))</f>
        <v/>
      </c>
      <c r="G699" s="192"/>
      <c r="H699" s="192" t="str">
        <f>IF(I679&lt;&gt;"",1,"")</f>
        <v/>
      </c>
      <c r="I699" s="192" t="str">
        <f>IF(ISNUMBER(H699),VLOOKUP(H699,H676:I679,2,TRUE),"")</f>
        <v/>
      </c>
      <c r="J699" s="192"/>
      <c r="K699" s="192" t="str">
        <f>VLOOKUP(I699,I676:L679,3,FALSE)</f>
        <v/>
      </c>
      <c r="L699" s="253"/>
      <c r="M699" s="254"/>
      <c r="N699" s="254"/>
      <c r="O699" s="152"/>
      <c r="P699" s="153"/>
      <c r="Q699" s="255" t="str">
        <f>IF(L699="","",IF(AND(L699-L700&gt;1,L699&gt;10),1,0)+IF(AND(M699-M700&gt;1,M699&gt;10),1,0)+IF(AND(N699-N700&gt;1,N699&gt;10),1,0)+IF(AND(O699-O700&gt;1,O699&gt;10),1,0)+IF(AND(P699-P700&gt;1,P699&gt;10),1,0))</f>
        <v/>
      </c>
      <c r="R699" s="203" t="str">
        <f>IF(AND(I699="",I700=""),"",ABS(VLOOKUP(I699,I676:L679,4,FALSE)-VLOOKUP(I700,I676:L679,4,FALSE)))</f>
        <v/>
      </c>
      <c r="S699" s="256" t="str">
        <f>IF(R700="","",IF(Q699=3,+R700,-R700))</f>
        <v/>
      </c>
      <c r="T699" s="247"/>
      <c r="U699" s="235"/>
      <c r="V699" s="235"/>
      <c r="W699" s="235"/>
      <c r="X699" s="235"/>
      <c r="Y699" s="235"/>
      <c r="Z699" s="235"/>
      <c r="AA699" s="243">
        <v>1</v>
      </c>
      <c r="AB699" s="222" t="str">
        <f>IF(AND(COUNTBLANK(I676:I679)=0,Group_players=4,M676=M677,M677=M679),IF(W683="","",IF(COUNTIF(W683:W686,W683)=3,"Tied",IF(AND(COUNTIF(W683:W686,W683)=1,W684&lt;&gt;W685),IF(M676=2,IF(SMALL(W683:W686,1)=W683,1,IF(SMALL(W683:W686,2)=W683,2,IF(SMALL(W683:W686,3)=W683,3))),IF(M676=1,IF(SMALL(W683:W686,1)=W683,2,IF(SMALL(W683:W686,2)=W683,3,IF(SMALL(W683:W686,3)=W683,4))),"")),IF(COUNTIF(W683:W686,W683)=1,IF(W683&lt;W684,IF(M676=2,1,2),IF(M676=2,3,4)),IF(COUNTIF(W683:W686,W683)=2,IF(W683=W684,IF(W683&lt;W686,IF(M676=2,IF(Q699=3,1,2),IF(M676=1,IF(Q699=3,2,3))),IF(W683&gt;W686,IF(M676=2,IF(Q699=3,2,3),IF(M676=1,IF(Q699=3,3,4))))),IF(W683=W686,IF(W683&lt;W684,IF(M676=2,IF(Q693=3,1,2),IF(M676=1,IF(Q693=3,2,3))),IF(W683&gt;W684,IF(M676=2,IF(Q693=3,2,3),IF(M676=1,IF(Q693=3,3,4)))))))))))),"")</f>
        <v/>
      </c>
      <c r="AC699" s="192"/>
      <c r="AD699" s="192"/>
      <c r="AE699" s="192"/>
      <c r="AF699" s="203"/>
      <c r="AG699" s="203"/>
      <c r="AH699" s="203"/>
      <c r="AI699" s="203"/>
      <c r="AJ699" s="203"/>
      <c r="AK699" s="203"/>
      <c r="AL699" s="203"/>
      <c r="AM699" s="203"/>
      <c r="AN699" s="192"/>
      <c r="AO699" s="192"/>
      <c r="AP699" s="192"/>
      <c r="AQ699" s="192"/>
      <c r="AR699" s="192"/>
      <c r="AS699" s="192"/>
      <c r="AT699" s="192"/>
      <c r="AU699" s="192"/>
      <c r="AV699" s="192"/>
      <c r="AW699" s="192"/>
      <c r="AX699" s="192"/>
    </row>
    <row r="700" spans="2:50" ht="15" customHeight="1" thickBot="1" x14ac:dyDescent="0.35">
      <c r="B700" s="192"/>
      <c r="C700" s="192"/>
      <c r="D700" s="192"/>
      <c r="E700" s="164" t="str">
        <f>IF(Q700="","",IF(Q700=3,1,0))</f>
        <v/>
      </c>
      <c r="F700" s="164" t="str">
        <f>IF(Q700="","",IF(Q700&lt;3,1,0))</f>
        <v/>
      </c>
      <c r="G700" s="192"/>
      <c r="H700" s="192" t="str">
        <f>IF(I679&lt;&gt;"",2,"")</f>
        <v/>
      </c>
      <c r="I700" s="192" t="str">
        <f>IF(ISNUMBER(H700),VLOOKUP(H700,H676:I679,2,TRUE),"")</f>
        <v/>
      </c>
      <c r="J700" s="192"/>
      <c r="K700" s="192" t="str">
        <f>VLOOKUP(I700,I676:L679,3,FALSE)</f>
        <v/>
      </c>
      <c r="L700" s="155"/>
      <c r="M700" s="259"/>
      <c r="N700" s="259"/>
      <c r="O700" s="156"/>
      <c r="P700" s="157"/>
      <c r="Q700" s="260" t="str">
        <f>IF(L700="","",IF(AND(L700-L699&gt;1,L700&gt;10),1,0)+IF(AND(M700-M699&gt;1,M700&gt;10),1,0)+IF(AND(N700-N699&gt;1,N700&gt;10),1,0)+IF(AND(O700-O699&gt;1,O700&gt;10),1,0)+IF(AND(P700-P699&gt;1,P700&gt;10),1,0))</f>
        <v/>
      </c>
      <c r="R700" s="203" t="str">
        <f>IF(AND(Q699&lt;&gt;3,Q700&lt;&gt;3),"",IF(Q699=3,IF(VLOOKUP(I699,I676:L679,4,FALSE)&gt;VLOOKUP(I700,I676:L679,4,FALSE),VLOOKUP(R699,Point_dif,2,FALSE),VLOOKUP(R699,Point_dif,3,FALSE)),IF(Q700=3,IF(VLOOKUP(I700,I676:L679,4,FALSE)&gt;VLOOKUP(I700,I676:L679,4,FALSE),VLOOKUP(R699,Point_dif,2,FALSE),VLOOKUP(R699,Point_dif,3,FALSE)))))</f>
        <v/>
      </c>
      <c r="S700" s="256" t="str">
        <f>IF(R700="","",IF(Q700=3,+R700,-R700))</f>
        <v/>
      </c>
      <c r="T700" s="247"/>
      <c r="U700" s="235"/>
      <c r="V700" s="235"/>
      <c r="W700" s="235"/>
      <c r="X700" s="235"/>
      <c r="Y700" s="235"/>
      <c r="Z700" s="235"/>
      <c r="AA700" s="246">
        <v>2</v>
      </c>
      <c r="AB700" s="222" t="str">
        <f>IF(AND(COUNTBLANK(I676:I679)=0,Group_players=4,M676=M677,M677=M679),IF(W684="","",IF(COUNTIF(W683:W686,W684)=3,"Tied",IF(AND(COUNTIF(W683:W686,W684)=1,W683&lt;&gt;W685),IF(M677=2,IF(SMALL(W683:W686,1)=W684,1,IF(SMALL(W683:W686,2)=W684,2,IF(SMALL(W683:W686,3)=W684,3))),IF(M677=1,IF(SMALL(W683:W686,1)=W684,2,IF(SMALL(W683:W686,2)=W684,3,IF(SMALL(W683:W686,3)=W684,4))),"")),IF(COUNTIF(W683:W686,W684)=1,IF(W684&lt;W683,IF(M677=2,1,2),IF(M677=2,3,4)),IF(COUNTIF(W683:W686,W684)=2,IF(W684=W683,IF(W684&lt;W686,IF(M677=2,IF(Q700=3,1,2),IF(M677=1,IF(Q700=3,2,3))),IF(W684&gt;W686,IF(M677=2,IF(Q700=3,2,3),IF(M677=1,IF(Q700=3,3,4))))),IF(W684=W686,IF(W684&lt;W683,IF(M677=2,IF(Q690=3,1,2),IF(M677=1,IF(Q690=3,2,3))),IF(W684&gt;W683,IF(M677=2,IF(Q690=3,2,3),IF(M677=1,IF(Q690=3,3,4)))))))))))),"")</f>
        <v/>
      </c>
      <c r="AC700" s="192"/>
      <c r="AD700" s="192"/>
      <c r="AE700" s="192"/>
      <c r="AF700" s="203"/>
      <c r="AG700" s="203"/>
      <c r="AH700" s="203"/>
      <c r="AI700" s="203"/>
      <c r="AJ700" s="203"/>
      <c r="AK700" s="203"/>
      <c r="AL700" s="203"/>
      <c r="AM700" s="203"/>
      <c r="AN700" s="192"/>
      <c r="AO700" s="192"/>
      <c r="AP700" s="192"/>
      <c r="AQ700" s="192"/>
      <c r="AR700" s="192"/>
      <c r="AS700" s="192"/>
      <c r="AT700" s="192"/>
      <c r="AU700" s="192"/>
      <c r="AV700" s="192"/>
      <c r="AW700" s="192"/>
      <c r="AX700" s="192"/>
    </row>
    <row r="701" spans="2:50" ht="15" customHeight="1" thickTop="1" thickBot="1" x14ac:dyDescent="0.35">
      <c r="B701" s="192"/>
      <c r="C701" s="192"/>
      <c r="D701" s="192"/>
      <c r="E701" s="164"/>
      <c r="F701" s="164"/>
      <c r="G701" s="192"/>
      <c r="H701" s="192"/>
      <c r="I701" s="249" t="s">
        <v>121</v>
      </c>
      <c r="J701" s="249"/>
      <c r="K701" s="249"/>
      <c r="L701" s="250" t="s">
        <v>115</v>
      </c>
      <c r="M701" s="250" t="s">
        <v>116</v>
      </c>
      <c r="N701" s="250" t="s">
        <v>117</v>
      </c>
      <c r="O701" s="250" t="s">
        <v>118</v>
      </c>
      <c r="P701" s="250" t="s">
        <v>119</v>
      </c>
      <c r="Q701" s="250" t="s">
        <v>120</v>
      </c>
      <c r="R701" s="250"/>
      <c r="S701" s="251"/>
      <c r="T701" s="247"/>
      <c r="U701" s="235"/>
      <c r="V701" s="235"/>
      <c r="W701" s="235"/>
      <c r="X701" s="235"/>
      <c r="Y701" s="235"/>
      <c r="Z701" s="235"/>
      <c r="AA701" s="240">
        <v>4</v>
      </c>
      <c r="AB701" s="241" t="str">
        <f>IF(AND(COUNTBLANK(I676:I679)=0,Group_players=4,M676=M677,M677=M679),IF(W686="","",IF(COUNTIF(W683:W686,W686)=3,"Tied",IF(AND(COUNTIF(W683:W686,W686)=1,W683&lt;&gt;W684),IF(M679=2,IF(SMALL(W683:W686,1)=W686,1,IF(SMALL(W683:W686,2)=W686,2,IF(SMALL(W683:W686,3)=W686,3))),IF(M679=1,IF(SMALL(W683:W686,1)=W686,2,IF(SMALL(W683:W686,2)=W686,3,IF(SMALL(W683:W686,3)=W686,4))),"")),IF(COUNTIF(W683:W686,W686)=1,IF(W686&lt;W683,IF(M679=2,1,2),IF(M679=2,3,4)),IF(COUNTIF(W683:W686,W686)=2,IF(W686=W683,IF(W686&lt;W684,IF(M679=2,IF(Q694=3,1,2),IF(M679=1,IF(Q694=3,2,3))),IF(W686&gt;W685,IF(M679=2,IF(Q694=3,2,3),IF(M679=1,IF(Q694=3,3,4))))),IF(W686=W684,IF(W686&lt;W683,IF(M679=2,IF(Q691=3,1,2),IF(M679=1,IF(Q691=3,2,3))),IF(W686&gt;W683,IF(M679=2,IF(Q691=3,2,3),IF(M679=1,IF(Q691=3,3,4)))))))))))),"")</f>
        <v/>
      </c>
      <c r="AC701" s="192"/>
      <c r="AD701" s="192"/>
      <c r="AE701" s="192"/>
      <c r="AF701" s="203"/>
      <c r="AG701" s="203"/>
      <c r="AH701" s="203"/>
      <c r="AI701" s="203"/>
      <c r="AJ701" s="203"/>
      <c r="AK701" s="203"/>
      <c r="AL701" s="203"/>
      <c r="AM701" s="203"/>
      <c r="AN701" s="192"/>
      <c r="AO701" s="192"/>
      <c r="AP701" s="192"/>
      <c r="AQ701" s="192"/>
      <c r="AR701" s="192"/>
      <c r="AS701" s="192"/>
      <c r="AT701" s="192"/>
      <c r="AU701" s="192"/>
      <c r="AV701" s="192"/>
      <c r="AW701" s="192"/>
      <c r="AX701" s="192"/>
    </row>
    <row r="702" spans="2:50" ht="15" customHeight="1" thickTop="1" x14ac:dyDescent="0.3">
      <c r="B702" s="192"/>
      <c r="C702" s="192"/>
      <c r="D702" s="192"/>
      <c r="E702" s="164" t="str">
        <f>IF(Q702="","",IF(Q702=3,1,0))</f>
        <v/>
      </c>
      <c r="F702" s="164" t="str">
        <f>IF(Q702="","",IF(Q702&lt;3,1,0))</f>
        <v/>
      </c>
      <c r="G702" s="192"/>
      <c r="H702" s="192" t="str">
        <f>IF(I679&lt;&gt;"",3,"")</f>
        <v/>
      </c>
      <c r="I702" s="192" t="str">
        <f>IF(ISNUMBER(H702),VLOOKUP(H702,H676:I679,2,TRUE),"")</f>
        <v/>
      </c>
      <c r="J702" s="192"/>
      <c r="K702" s="192" t="str">
        <f>VLOOKUP(I702,I676:L679,3,FALSE)</f>
        <v/>
      </c>
      <c r="L702" s="253"/>
      <c r="M702" s="254"/>
      <c r="N702" s="254"/>
      <c r="O702" s="152"/>
      <c r="P702" s="153"/>
      <c r="Q702" s="255" t="str">
        <f>IF(L702="","",IF(AND(L702-L703&gt;1,L702&gt;10),1,0)+IF(AND(M702-M703&gt;1,M702&gt;10),1,0)+IF(AND(N702-N703&gt;1,N702&gt;10),1,0)+IF(AND(O702-O703&gt;1,O702&gt;10),1,0)+IF(AND(P702-P703&gt;1,P702&gt;10),1,0))</f>
        <v/>
      </c>
      <c r="R702" s="203" t="str">
        <f>IF(AND(I702="",I703=""),"",ABS(VLOOKUP(I702,I676:L679,4,FALSE)-VLOOKUP(I703,I676:L679,4,FALSE)))</f>
        <v/>
      </c>
      <c r="S702" s="256" t="str">
        <f>IF(R703="","",IF(Q702=3,+R703,-R703))</f>
        <v/>
      </c>
      <c r="T702" s="247"/>
      <c r="U702" s="264"/>
      <c r="V702" s="242"/>
      <c r="W702" s="192"/>
      <c r="X702" s="264"/>
      <c r="Y702" s="192"/>
      <c r="Z702" s="192"/>
      <c r="AA702" s="243">
        <v>2</v>
      </c>
      <c r="AB702" s="222" t="str">
        <f>IF(AND(COUNTBLANK(I676:I679)=0,Group_players=4,M677=M678,M678=M679),IF(X684="","",IF(COUNTIF(X683:X686,X684)=3,"Tied",IF(AND(COUNTIF(X683:X686,X684)=1,X685&lt;&gt;X686),IF(M677=2,IF(SMALL(X683:X686,1)=X684,1,IF(SMALL(X683:X686,2)=X684,2,IF(SMALL(X683:X686,3)=X684,3))),IF(M677=1,IF(SMALL(X683:X686,1)=X684,2,IF(SMALL(X683:X686,2)=X684,3,IF(SMALL(X683:X686,3)=X684,4))),"")),IF(COUNTIF(X683:X686,X684)=1,IF(X684&lt;X686,IF(M677=2,1,2),IF(M677=1,4)),IF(COUNTIF(X683:X686,X684)=2,IF(X684=X685,IF(X684&lt;X686,IF(M677=2,IF(Q696=3,1,2),IF(M677=1,IF(Q696=3,2,3))),IF(X684&gt;X686,IF(M677=2,IF(Q696=3,2,3),IF(M677=1,IF(Q696=3,3,4))))),IF(X684=X686,IF(X684&lt;X685,IF(M677=2,IF(Q690=3,1,2),IF(M677=1,IF(Q690=3,2,3))),IF(X684&gt;X685,IF(M677=2,IF(Q690=3,2,3),IF(M677=1,IF(Q690=3,3,4)))))))))))),"")</f>
        <v/>
      </c>
      <c r="AC702" s="192"/>
      <c r="AD702" s="192"/>
      <c r="AE702" s="192"/>
      <c r="AF702" s="203"/>
      <c r="AG702" s="203"/>
      <c r="AH702" s="203"/>
      <c r="AI702" s="203"/>
      <c r="AJ702" s="203"/>
      <c r="AK702" s="203"/>
      <c r="AL702" s="203"/>
      <c r="AM702" s="203"/>
      <c r="AN702" s="192"/>
      <c r="AO702" s="192"/>
      <c r="AP702" s="192"/>
      <c r="AQ702" s="192"/>
      <c r="AR702" s="192"/>
      <c r="AS702" s="192"/>
      <c r="AT702" s="192"/>
      <c r="AU702" s="192"/>
      <c r="AV702" s="192"/>
      <c r="AW702" s="192"/>
      <c r="AX702" s="192"/>
    </row>
    <row r="703" spans="2:50" ht="15" customHeight="1" thickBot="1" x14ac:dyDescent="0.35">
      <c r="B703" s="192"/>
      <c r="C703" s="192"/>
      <c r="D703" s="192"/>
      <c r="E703" s="164" t="str">
        <f>IF(Q703="","",IF(Q703=3,1,0))</f>
        <v/>
      </c>
      <c r="F703" s="164" t="str">
        <f>IF(Q703="","",IF(Q703&lt;3,1,0))</f>
        <v/>
      </c>
      <c r="G703" s="192"/>
      <c r="H703" s="192" t="str">
        <f>IF(I679&lt;&gt;"",4,"")</f>
        <v/>
      </c>
      <c r="I703" s="192" t="str">
        <f>IF(ISNUMBER(H703),VLOOKUP(H703,H676:I679,2,TRUE),"")</f>
        <v/>
      </c>
      <c r="J703" s="192"/>
      <c r="K703" s="192" t="str">
        <f>VLOOKUP(I703,I676:L679,3,FALSE)</f>
        <v/>
      </c>
      <c r="L703" s="155"/>
      <c r="M703" s="259"/>
      <c r="N703" s="259"/>
      <c r="O703" s="156"/>
      <c r="P703" s="157"/>
      <c r="Q703" s="260" t="str">
        <f>IF(L703="","",IF(AND(L703-L702&gt;1,L703&gt;10),1,0)+IF(AND(M703-M702&gt;1,M703&gt;10),1,0)+IF(AND(N703-N702&gt;1,N703&gt;10),1,0)+IF(AND(O703-O702&gt;1,O703&gt;10),1,0)+IF(AND(P703-P702&gt;1,P703&gt;10),1,0))</f>
        <v/>
      </c>
      <c r="R703" s="203" t="str">
        <f>IF(AND(Q702&lt;&gt;3,Q703&lt;&gt;3),"",IF(Q702=3,IF(VLOOKUP(I702,I676:L679,4,FALSE)&gt;VLOOKUP(I703,I676:L679,4,FALSE),VLOOKUP(R702,Point_dif,2,FALSE),VLOOKUP(R702,Point_dif,3,FALSE)),IF(Q703=3,IF(VLOOKUP(I703,I676:L679,4,FALSE)&gt;VLOOKUP(I702,I676:L679,4,FALSE),VLOOKUP(R702,Point_dif,2,FALSE),VLOOKUP(R702,Point_dif,3,FALSE)))))</f>
        <v/>
      </c>
      <c r="S703" s="260" t="str">
        <f>IF(R703="","",IF(Q703=3,+R703,-R703))</f>
        <v/>
      </c>
      <c r="T703" s="247"/>
      <c r="U703" s="235"/>
      <c r="V703" s="235"/>
      <c r="W703" s="235"/>
      <c r="X703" s="235"/>
      <c r="Y703" s="235"/>
      <c r="Z703" s="235"/>
      <c r="AA703" s="246">
        <v>3</v>
      </c>
      <c r="AB703" s="222" t="str">
        <f>IF(AND(COUNTBLANK(I676:I679)=0,Group_players=4,Group_players=4,M677=M678,M678=M679),IF(X685="","",IF(COUNTIF(X683:X686,X685)=3,"Tied",IF(AND(COUNTIF(X683:X686,X685)=1,X684&lt;&gt;X686),IF(M678=2,IF(SMALL(X683:X686,1)=X685,1,IF(SMALL(X683:X686,2)=X685,2,IF(SMALL(X683:X686,3)=X685,3))),IF(M678=1,IF(SMALL(X683:X686,1)=X685,2,IF(SMALL(X683:X686,2)=X685,3,IF(SMALL(X683:X686,3)=X685,4))),"")),IF(COUNTIF(X683:X686,X685)=1,IF(X685&lt;X684,IF(M678=2,1,2),IF(M678=2,3,4)),IF(COUNTIF(X683:X686,X685)=2,IF(X685=X684,IF(X685&lt;X686,IF(M678=2,IF(Q697=3,1,2),IF(M678=1,IF(Q697=3,2,3))),IF(X685&gt;X686,IF(M678=2,IF(Q697=3,2,3),IF(M678=1,IF(Q697=3,3,4))))),IF(X685=X686,IF(X685&lt;X684,IF(M678=2,IF(Q702=3,1,2),IF(M678=1,IF(Q702=3,2,3))),IF(X685&gt;X684,IF(M678=2,IF(Q702=3,2,3),IF(M678=1,IF(Q702=3,3,4)))))))))))),"")</f>
        <v/>
      </c>
      <c r="AC703" s="192"/>
      <c r="AD703" s="192"/>
      <c r="AE703" s="192"/>
      <c r="AF703" s="203"/>
      <c r="AG703" s="203"/>
      <c r="AH703" s="203"/>
      <c r="AI703" s="203"/>
      <c r="AJ703" s="203"/>
      <c r="AK703" s="203"/>
      <c r="AL703" s="203"/>
      <c r="AM703" s="203"/>
      <c r="AN703" s="192"/>
      <c r="AO703" s="192"/>
      <c r="AP703" s="192"/>
      <c r="AQ703" s="192"/>
      <c r="AR703" s="192"/>
      <c r="AS703" s="192"/>
      <c r="AT703" s="192"/>
      <c r="AU703" s="192"/>
      <c r="AV703" s="192"/>
      <c r="AW703" s="192"/>
      <c r="AX703" s="192"/>
    </row>
    <row r="704" spans="2:50" ht="15" customHeight="1" thickTop="1" thickBot="1" x14ac:dyDescent="0.35">
      <c r="B704" s="192"/>
      <c r="C704" s="192"/>
      <c r="D704" s="192"/>
      <c r="E704" s="192"/>
      <c r="F704" s="192"/>
      <c r="G704" s="192"/>
      <c r="H704" s="192"/>
      <c r="I704" s="192"/>
      <c r="J704" s="192"/>
      <c r="K704" s="192"/>
      <c r="L704" s="192"/>
      <c r="M704" s="192"/>
      <c r="N704" s="192"/>
      <c r="O704" s="268"/>
      <c r="P704" s="192"/>
      <c r="Q704" s="192"/>
      <c r="R704" s="247"/>
      <c r="S704" s="247"/>
      <c r="T704" s="247"/>
      <c r="U704" s="235"/>
      <c r="V704" s="235"/>
      <c r="W704" s="235"/>
      <c r="X704" s="235"/>
      <c r="Y704" s="235"/>
      <c r="Z704" s="235"/>
      <c r="AA704" s="261">
        <v>4</v>
      </c>
      <c r="AB704" s="233" t="str">
        <f>IF(AND(COUNTBLANK(I676:I679)=0,Group_players=4,M677=M678,M678=M679),IF(X686="","",IF(COUNTIF(X683:X686,X686)=3,"Tied",IF(AND(COUNTIF(X683:X686,X686)=1,X685&lt;&gt;X684),IF(M679=2,IF(SMALL(X683:X686,1)=X686,1,IF(SMALL(X683:X686,2)=X686,2,IF(SMALL(X683:X686,3)=X686,3))),IF(M679=1,IF(SMALL(X683:X686,1)=X686,2,IF(SMALL(X683:X686,2)=X686,3,IF(SMALL(X683:X686,3)=X686,4))),"")),IF(COUNTIF(X683:X686,X686)=1,IF(X686&lt;X684,IF(M679=2,1,2),IF(M679=2,3,4)),IF(COUNTIF(X683:X686,X686)=2,IF(X686=X684,IF(X686&lt;X685,IF(M679=2,IF(Q691=3,1,2),IF(M679=1,IF(Q691=3,2,3))),IF(X686&gt;X685,IF(M679=2,IF(Q691=3,2,3),IF(M679=1,IF(Q691=3,3,4))))),IF(X686=X685,IF(X686&lt;X684,IF(M679=2,IF(Q703=3,1,2),IF(M679=1,IF(Q703=3,2,3))),IF(X686&gt;X684,IF(M679=2,IF(Q703=3,2,3),IF(M679=1,IF(Q703=3,3,4)))))))))))),"")</f>
        <v/>
      </c>
      <c r="AC704" s="192"/>
      <c r="AD704" s="192"/>
      <c r="AE704" s="192"/>
      <c r="AF704" s="203"/>
      <c r="AG704" s="203"/>
      <c r="AH704" s="203"/>
      <c r="AI704" s="203"/>
      <c r="AJ704" s="203"/>
      <c r="AK704" s="203"/>
      <c r="AL704" s="203"/>
      <c r="AM704" s="203"/>
      <c r="AN704" s="192"/>
      <c r="AO704" s="192"/>
      <c r="AP704" s="192"/>
      <c r="AQ704" s="192"/>
      <c r="AR704" s="192"/>
      <c r="AS704" s="192"/>
      <c r="AT704" s="192"/>
      <c r="AU704" s="192"/>
      <c r="AV704" s="192"/>
      <c r="AW704" s="192"/>
      <c r="AX704" s="192"/>
    </row>
    <row r="705" spans="2:50" ht="15" customHeight="1" thickTop="1" x14ac:dyDescent="0.3">
      <c r="B705" s="192"/>
      <c r="C705" s="192"/>
      <c r="D705" s="192"/>
      <c r="E705" s="192"/>
      <c r="F705" s="192"/>
      <c r="G705" s="192"/>
      <c r="H705" s="192"/>
      <c r="I705" s="192"/>
      <c r="J705" s="192"/>
      <c r="K705" s="192"/>
      <c r="L705" s="192"/>
      <c r="M705" s="192"/>
      <c r="N705" s="192"/>
      <c r="O705" s="192"/>
      <c r="P705" s="192"/>
      <c r="Q705" s="192"/>
      <c r="R705" s="192"/>
      <c r="S705" s="192"/>
      <c r="T705" s="203"/>
      <c r="U705" s="192"/>
      <c r="V705" s="192"/>
      <c r="W705" s="192"/>
      <c r="X705" s="192"/>
      <c r="Y705" s="192"/>
      <c r="Z705" s="192"/>
      <c r="AA705" s="192"/>
      <c r="AB705" s="192"/>
      <c r="AC705" s="192"/>
      <c r="AD705" s="192"/>
      <c r="AE705" s="192"/>
      <c r="AF705" s="203"/>
      <c r="AG705" s="203"/>
      <c r="AH705" s="203"/>
      <c r="AI705" s="203"/>
      <c r="AJ705" s="203"/>
      <c r="AK705" s="203"/>
      <c r="AL705" s="203"/>
      <c r="AM705" s="203"/>
      <c r="AN705" s="192"/>
      <c r="AO705" s="192"/>
      <c r="AP705" s="192"/>
      <c r="AQ705" s="192"/>
      <c r="AR705" s="192"/>
      <c r="AS705" s="192"/>
      <c r="AT705" s="192"/>
      <c r="AU705" s="192"/>
      <c r="AV705" s="192"/>
      <c r="AW705" s="192"/>
      <c r="AX705" s="192"/>
    </row>
    <row r="706" spans="2:50" ht="15" customHeight="1" x14ac:dyDescent="0.3">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c r="AA706" s="192"/>
      <c r="AB706" s="192"/>
      <c r="AC706" s="192"/>
      <c r="AD706" s="192"/>
      <c r="AE706" s="192"/>
      <c r="AF706" s="203"/>
      <c r="AG706" s="203"/>
      <c r="AH706" s="203"/>
      <c r="AI706" s="203"/>
      <c r="AJ706" s="203"/>
      <c r="AK706" s="203"/>
      <c r="AL706" s="203"/>
      <c r="AM706" s="203"/>
      <c r="AN706" s="192"/>
      <c r="AO706" s="192"/>
      <c r="AP706" s="192"/>
      <c r="AQ706" s="192"/>
      <c r="AR706" s="192"/>
      <c r="AS706" s="192"/>
      <c r="AT706" s="192"/>
      <c r="AU706" s="192"/>
      <c r="AV706" s="192"/>
      <c r="AW706" s="192"/>
      <c r="AX706" s="192"/>
    </row>
    <row r="707" spans="2:50" ht="15" customHeight="1" x14ac:dyDescent="0.3">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269"/>
      <c r="AA707" s="192"/>
      <c r="AB707" s="192"/>
      <c r="AC707" s="192"/>
      <c r="AD707" s="192"/>
      <c r="AE707" s="192"/>
      <c r="AF707" s="203"/>
      <c r="AG707" s="203"/>
      <c r="AH707" s="203"/>
      <c r="AI707" s="203"/>
      <c r="AJ707" s="203"/>
      <c r="AK707" s="203"/>
      <c r="AL707" s="203"/>
      <c r="AM707" s="203"/>
      <c r="AN707" s="192"/>
      <c r="AO707" s="192"/>
      <c r="AP707" s="192"/>
      <c r="AQ707" s="192"/>
      <c r="AR707" s="192"/>
      <c r="AS707" s="192"/>
      <c r="AT707" s="192"/>
      <c r="AU707" s="192"/>
      <c r="AV707" s="192"/>
      <c r="AW707" s="192"/>
      <c r="AX707" s="192"/>
    </row>
    <row r="708" spans="2:50" ht="15" customHeight="1" x14ac:dyDescent="0.3">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c r="AA708" s="192"/>
      <c r="AB708" s="192"/>
      <c r="AC708" s="192"/>
      <c r="AD708" s="192"/>
      <c r="AE708" s="192"/>
      <c r="AF708" s="203"/>
      <c r="AG708" s="203"/>
      <c r="AH708" s="203"/>
      <c r="AI708" s="203"/>
      <c r="AJ708" s="203"/>
      <c r="AK708" s="203"/>
      <c r="AL708" s="203"/>
      <c r="AM708" s="203"/>
      <c r="AN708" s="192"/>
      <c r="AO708" s="192"/>
      <c r="AP708" s="192"/>
      <c r="AQ708" s="192"/>
      <c r="AR708" s="192"/>
      <c r="AS708" s="192"/>
      <c r="AT708" s="192"/>
      <c r="AU708" s="192"/>
      <c r="AV708" s="192"/>
      <c r="AW708" s="192"/>
      <c r="AX708" s="192"/>
    </row>
    <row r="709" spans="2:50" ht="15" customHeight="1" x14ac:dyDescent="0.3">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c r="AA709" s="192"/>
      <c r="AB709" s="192"/>
      <c r="AC709" s="192"/>
      <c r="AD709" s="192"/>
      <c r="AE709" s="192"/>
      <c r="AF709" s="203"/>
      <c r="AG709" s="203"/>
      <c r="AH709" s="203"/>
      <c r="AI709" s="203"/>
      <c r="AJ709" s="203"/>
      <c r="AK709" s="203"/>
      <c r="AL709" s="203"/>
      <c r="AM709" s="203"/>
      <c r="AN709" s="192"/>
      <c r="AO709" s="192"/>
      <c r="AP709" s="192"/>
      <c r="AQ709" s="192"/>
      <c r="AR709" s="192"/>
      <c r="AS709" s="192"/>
      <c r="AT709" s="192"/>
      <c r="AU709" s="192"/>
      <c r="AV709" s="192"/>
      <c r="AW709" s="192"/>
      <c r="AX709" s="192"/>
    </row>
    <row r="710" spans="2:50" ht="15" customHeight="1" thickBot="1" x14ac:dyDescent="0.4">
      <c r="B710" s="192"/>
      <c r="C710" s="192"/>
      <c r="D710" s="192"/>
      <c r="E710" s="192"/>
      <c r="F710" s="192"/>
      <c r="G710" s="192"/>
      <c r="H710" s="192"/>
      <c r="I710" s="383" t="s">
        <v>142</v>
      </c>
      <c r="J710" s="383"/>
      <c r="K710" s="383"/>
      <c r="L710" s="383"/>
      <c r="M710" s="383"/>
      <c r="N710" s="383"/>
      <c r="O710" s="383"/>
      <c r="P710" s="383"/>
      <c r="Q710" s="383"/>
      <c r="R710" s="383"/>
      <c r="S710" s="192"/>
      <c r="T710" s="192"/>
      <c r="U710" s="370" t="s">
        <v>92</v>
      </c>
      <c r="V710" s="371"/>
      <c r="W710" s="371"/>
      <c r="X710" s="372"/>
      <c r="Y710" s="192"/>
      <c r="Z710" s="192"/>
      <c r="AA710" s="192"/>
      <c r="AB710" s="192"/>
      <c r="AC710" s="192"/>
      <c r="AD710" s="192"/>
      <c r="AE710" s="192"/>
      <c r="AF710" s="203"/>
      <c r="AG710" s="203"/>
      <c r="AH710" s="203"/>
      <c r="AI710" s="203"/>
      <c r="AJ710" s="203"/>
      <c r="AK710" s="203"/>
      <c r="AL710" s="203"/>
      <c r="AM710" s="203"/>
      <c r="AN710" s="192"/>
      <c r="AO710" s="192"/>
      <c r="AP710" s="192"/>
      <c r="AQ710" s="192"/>
      <c r="AR710" s="192"/>
      <c r="AS710" s="192"/>
      <c r="AT710" s="192"/>
      <c r="AU710" s="192"/>
      <c r="AV710" s="192"/>
      <c r="AW710" s="192"/>
      <c r="AX710" s="192"/>
    </row>
    <row r="711" spans="2:50" ht="15" customHeight="1" thickTop="1" thickBot="1" x14ac:dyDescent="0.35">
      <c r="B711" s="192"/>
      <c r="C711" s="192"/>
      <c r="D711" s="192"/>
      <c r="E711" s="192"/>
      <c r="F711" s="192"/>
      <c r="G711" s="192"/>
      <c r="H711" s="192"/>
      <c r="I711" s="400" t="s">
        <v>93</v>
      </c>
      <c r="J711" s="160"/>
      <c r="K711" s="396" t="s">
        <v>94</v>
      </c>
      <c r="L711" s="398" t="s">
        <v>95</v>
      </c>
      <c r="M711" s="390" t="s">
        <v>96</v>
      </c>
      <c r="N711" s="390" t="s">
        <v>97</v>
      </c>
      <c r="O711" s="373" t="s">
        <v>98</v>
      </c>
      <c r="P711" s="373" t="str">
        <f>IF(COUNT(U712:X723)=3,"LM/WM Ratio",IF(COUNT(U712:X723)=6,"LP/WP Ratio",""))</f>
        <v/>
      </c>
      <c r="Q711" s="390" t="s">
        <v>99</v>
      </c>
      <c r="R711" s="392" t="s">
        <v>100</v>
      </c>
      <c r="S711" s="192"/>
      <c r="T711" s="120"/>
      <c r="U711" s="121" t="s">
        <v>101</v>
      </c>
      <c r="V711" s="122" t="s">
        <v>102</v>
      </c>
      <c r="W711" s="122" t="s">
        <v>103</v>
      </c>
      <c r="X711" s="123" t="s">
        <v>104</v>
      </c>
      <c r="Y711" s="380" t="s">
        <v>105</v>
      </c>
      <c r="Z711" s="379"/>
      <c r="AA711" s="378" t="s">
        <v>106</v>
      </c>
      <c r="AB711" s="379"/>
      <c r="AC711" s="192"/>
      <c r="AD711" s="192"/>
      <c r="AE711" s="203"/>
      <c r="AF711" s="203"/>
      <c r="AG711" s="203"/>
      <c r="AH711" s="203"/>
      <c r="AI711" s="203"/>
      <c r="AJ711" s="203"/>
      <c r="AK711" s="203"/>
      <c r="AL711" s="203"/>
      <c r="AM711" s="203"/>
      <c r="AN711" s="192"/>
      <c r="AO711" s="192"/>
      <c r="AP711" s="192"/>
      <c r="AQ711" s="192"/>
      <c r="AR711" s="192"/>
      <c r="AS711" s="192"/>
      <c r="AT711" s="192"/>
      <c r="AU711" s="192"/>
      <c r="AV711" s="192"/>
      <c r="AW711" s="192"/>
      <c r="AX711" s="192"/>
    </row>
    <row r="712" spans="2:50" ht="15" customHeight="1" thickTop="1" thickBot="1" x14ac:dyDescent="0.35">
      <c r="B712" s="192"/>
      <c r="C712" s="192"/>
      <c r="D712" s="192"/>
      <c r="E712" s="192"/>
      <c r="F712" s="192"/>
      <c r="G712" s="192"/>
      <c r="H712" s="192"/>
      <c r="I712" s="401"/>
      <c r="J712" s="161"/>
      <c r="K712" s="397"/>
      <c r="L712" s="399"/>
      <c r="M712" s="391"/>
      <c r="N712" s="391"/>
      <c r="O712" s="374"/>
      <c r="P712" s="374"/>
      <c r="Q712" s="391"/>
      <c r="R712" s="393"/>
      <c r="S712" s="192"/>
      <c r="T712" s="208">
        <v>1</v>
      </c>
      <c r="U712" s="209" t="str">
        <f>IF(M713="","",IF(COUNTIF(M713:M715,M713)=3,IF(COUNTBLANK(I713:I716)=1,(Q725+Q731)/(Q724+Q730),IF(COUNTBLANK(I713:I716)=0,(Q737+Q725)/(Q736+Q724),"")),""))</f>
        <v/>
      </c>
      <c r="V712" s="125" t="str">
        <f>IF(AND(COUNTBLANK(I713:I716)=0,M713=M715,M715=M716),(Q725+Q731)/(Q724+Q730),"")</f>
        <v/>
      </c>
      <c r="W712" s="210" t="str">
        <f>IF(AND(COUNTBLANK(I713:I716)=0,M713=M714,M714=M716),(Q737+Q731)/(Q736+Q730),"")</f>
        <v/>
      </c>
      <c r="X712" s="211"/>
      <c r="Y712" s="169" t="s">
        <v>93</v>
      </c>
      <c r="Z712" s="170" t="s">
        <v>107</v>
      </c>
      <c r="AA712" s="169" t="s">
        <v>93</v>
      </c>
      <c r="AB712" s="170" t="s">
        <v>107</v>
      </c>
      <c r="AC712" s="192"/>
      <c r="AD712" s="192"/>
      <c r="AE712" s="192"/>
      <c r="AF712" s="203"/>
      <c r="AG712" s="203"/>
      <c r="AH712" s="203"/>
      <c r="AI712" s="203"/>
      <c r="AJ712" s="203"/>
      <c r="AK712" s="203"/>
      <c r="AL712" s="203"/>
      <c r="AM712" s="203"/>
      <c r="AN712" s="192"/>
      <c r="AO712" s="192"/>
      <c r="AP712" s="192"/>
      <c r="AQ712" s="192"/>
      <c r="AR712" s="192"/>
      <c r="AS712" s="192"/>
      <c r="AT712" s="192"/>
      <c r="AU712" s="192"/>
      <c r="AV712" s="192"/>
      <c r="AW712" s="192"/>
      <c r="AX712" s="192"/>
    </row>
    <row r="713" spans="2:50" ht="15" customHeight="1" thickTop="1" thickBot="1" x14ac:dyDescent="0.35">
      <c r="B713" s="192"/>
      <c r="C713" s="192"/>
      <c r="D713" s="192"/>
      <c r="E713" s="192"/>
      <c r="F713" s="192" t="str">
        <f>IF(I713="","",VLOOKUP(I713,Siembra,2,FALSE))</f>
        <v/>
      </c>
      <c r="G713" s="192" t="str">
        <f>O713</f>
        <v/>
      </c>
      <c r="H713" s="192">
        <v>1</v>
      </c>
      <c r="I713" s="128" t="str">
        <f>IF(K713="","",IF(ISNUMBER(Sorteo!$A$17),VLOOKUP(K713,Draw,2,FALSE),""))</f>
        <v/>
      </c>
      <c r="J713" s="129" t="str">
        <f>O713</f>
        <v/>
      </c>
      <c r="K713" s="130" t="str">
        <f>IF($K$9="","",IF(Group_players=4,IF(Tablas!CA$3="","",Tablas!CA$3),IF(Group_players=3,IF(Tablas!CA$11="","",Tablas!CA$11),"")))</f>
        <v/>
      </c>
      <c r="L713" s="131" t="str">
        <f>IF(K713="","",VLOOKUP(I713,Siembra,3,FALSE))</f>
        <v/>
      </c>
      <c r="M713" s="132" t="str">
        <f>IF(AND(Q724="",Q725=""),"",IF(I713="","",SUMIFS(E724:E740,I724:I740,I713)))</f>
        <v/>
      </c>
      <c r="N713" s="132" t="str">
        <f>IF(M713="","",IF(I713="","",SUMIFS(F724:F740,I724:I740,I713)))</f>
        <v/>
      </c>
      <c r="O713" s="132" t="str">
        <f>IF(M713="","",IF(COUNTBLANK(I713:I716)=1,IF(M713=2,1,IF(M713=0,3,IF(AND(M713=1,M714&lt;&gt;1),2,IF(COUNTIF(M713:M715,1)&gt;1,Z713)))),IF(COUNTBLANK(I713:I716)=0,IF(COUNTIF(M713:M716,M713)=1,IF(M713=3,1,IF(M713=2,2,IF(M713=1,3,IF(M713=0,4)))),IF(Group_players=3,Z713,IF(COUNTIF(M713:M716,M713)=2,AB713,IF(AND(M713=M714,M714=M715),AB717,IF(AND(M713=M715,M715=M716),AB720,IF(AND(M713=M714,M714=M716),AB723,"")))))),99)))</f>
        <v/>
      </c>
      <c r="P713" s="133" t="str">
        <f>IF(COUNT(U712:X723)=3,IF(ISNUMBER(U712),U712,IF(ISNUMBER(V712),V712,IF(ISNUMBER(W712),W712,IF(X712="","")))),IF(COUNT(U712:X723)=6,IF(ISNUMBER(U720),U720,IF(ISNUMBER(V720),V720,IF(ISNUMBER(W720),W720,IF(ISBLANK(X712),"")))),""))</f>
        <v/>
      </c>
      <c r="Q713" s="132" t="str">
        <f>IF(M713="","",SUMIF(I724:S740,I713,S724:S740))</f>
        <v/>
      </c>
      <c r="R713" s="134" t="str">
        <f>IF(M713="","",L713+Q713)</f>
        <v/>
      </c>
      <c r="S713" s="203"/>
      <c r="T713" s="208">
        <v>2</v>
      </c>
      <c r="U713" s="209" t="str">
        <f>IF(M714="","",IF(COUNTIF(M713:M715,M714)=3,IF(COUNTBLANK(I713:I716)=1,(Q728+Q730)/(Q727+Q731),IF(COUNTBLANK(I713:I716)=0,(Q734+Q736)/(Q733+Q737),"")),""))</f>
        <v/>
      </c>
      <c r="V713" s="135"/>
      <c r="W713" s="212" t="str">
        <f>IF(AND(COUNTBLANK(I713:I716)=0,M714=M713,M713=M716),(Q736+Q728)/(Q737+Q727),"")</f>
        <v/>
      </c>
      <c r="X713" s="213" t="str">
        <f>IF(AND(COUNTBLANK(I713:I716)=0,M714=M715,M715=M716),(Q734+Q728)/(Q733+Q727),"")</f>
        <v/>
      </c>
      <c r="Y713" s="214">
        <v>1</v>
      </c>
      <c r="Z713" s="215" t="str">
        <f>IF(U712="","",IF(OR(Group_players=3,AND(Group_players=4,COUNTBLANK(I713:I716)=1)),IF(COUNTIF(M713:M715,M713)=1,"",IF(AND(U712=U713,U713=U714),Z717,IF(AND(U712&lt;&gt;U713,U712&lt;&gt;U714,U713&lt;&gt;U714),(IF(SMALL(U712:U714,1)=U712,1,IF(SMALL(U712:U714,2)=U712,2,IF(SMALL(U712:U714,3)=U712,3)))),IF(AND(U712&lt;U713,U713=U714),1,IF(AND(U712&gt;U713,U713=U714),3,IF(AND(U712=U713,U712&lt;U714),(IF(Q730=3,1,2)),IF(AND(U712=U713,U712&gt;U714),(IF(Q730=3,2,3)),IF(AND(U712=U714,U712&lt;U713),(IF(Q724=3,1,2)),IF(AND(U712=U714,U712&gt;U713),(IF(Q724=3,2,3)),99))))))))),""))</f>
        <v/>
      </c>
      <c r="AA713" s="216">
        <v>1</v>
      </c>
      <c r="AB713" s="217" t="str">
        <f>IF(COUNTIF(M713:M716,M713)&lt;&gt;2,"",IF(COUNTIF(M713:M716,M713)=1,"",IF(AND(COUNTIF(M713:M716,M713)=2,M713=2),IF(M713=M714,IF(Q736=3,1,2),IF(M713=M715,IF(Q724=3,1,2),IF(M713=M716,IF(Q730=3,1,2)))),IF(AND(COUNTIF(M713:M716,M713)=2,M713=1),IF(M713=M714,IF(Q736=3,3,4),IF(M713=M715,IF(Q724=3,3,4),IF(M713=M716,IF(Q730=3,3,4)))),IF(COUNTIF(M713:M716,M713)=3,AB717)))))</f>
        <v/>
      </c>
      <c r="AC713" s="192"/>
      <c r="AD713" s="192"/>
      <c r="AE713" s="192"/>
      <c r="AF713" s="203"/>
      <c r="AG713" s="203"/>
      <c r="AH713" s="203"/>
      <c r="AI713" s="203"/>
      <c r="AJ713" s="203"/>
      <c r="AK713" s="203"/>
      <c r="AL713" s="203"/>
      <c r="AM713" s="203"/>
      <c r="AN713" s="192"/>
      <c r="AO713" s="192"/>
      <c r="AP713" s="192"/>
      <c r="AQ713" s="192"/>
      <c r="AR713" s="192"/>
      <c r="AS713" s="192"/>
      <c r="AT713" s="192"/>
      <c r="AU713" s="192"/>
      <c r="AV713" s="192"/>
      <c r="AW713" s="192"/>
      <c r="AX713" s="192"/>
    </row>
    <row r="714" spans="2:50" ht="15" customHeight="1" thickTop="1" thickBot="1" x14ac:dyDescent="0.35">
      <c r="B714" s="192"/>
      <c r="C714" s="192"/>
      <c r="D714" s="192"/>
      <c r="E714" s="192"/>
      <c r="F714" s="192" t="str">
        <f>IF(I714="","",VLOOKUP(I714,Siembra,2,FALSE))</f>
        <v/>
      </c>
      <c r="G714" s="192" t="str">
        <f>O714</f>
        <v/>
      </c>
      <c r="H714" s="192">
        <v>2</v>
      </c>
      <c r="I714" s="128" t="str">
        <f>IF(K714="","",IF(ISNUMBER(Sorteo!$A$17),VLOOKUP(K714,Draw,2,FALSE),""))</f>
        <v/>
      </c>
      <c r="J714" s="129" t="str">
        <f>O714</f>
        <v/>
      </c>
      <c r="K714" s="136" t="str">
        <f>IF($K$9="","",IF(Group_players=4,IF(Tablas!CA$4="","",Tablas!CA$4),IF(Group_players=3,IF(Tablas!CA$12="","",Tablas!CA$12),"")))</f>
        <v/>
      </c>
      <c r="L714" s="137" t="str">
        <f>IF(K714="","",VLOOKUP(I714,Siembra,3,FALSE))</f>
        <v/>
      </c>
      <c r="M714" s="132" t="str">
        <f>IF(AND(L724="",L725=""),"",IF(I714="","",SUMIFS(E724:E741,I724:I741,I714)))</f>
        <v/>
      </c>
      <c r="N714" s="138" t="str">
        <f>IF(M714="","",IF(I714="","",SUMIFS(F724:F740,I724:I740,I714)))</f>
        <v/>
      </c>
      <c r="O714" s="132" t="str">
        <f>IF(M714="","",IF(COUNTBLANK(I713:I716)=1,IF(M714=2,1,IF(M714=0,3,IF(AND(M714=1,M715&lt;&gt;1),2,IF(COUNTIF(M713:M716,1)&gt;1,Z714)))),IF(COUNTBLANK(I713:I716)=0,IF(COUNTIF(M713:M716,M714)=1,IF(M714=3,1,IF(M714=2,2,IF(M714=1,3,IF(M714=0,4)))),IF(Group_players=3,Z714,IF(COUNTIF(M713:M716,M714)=2,AB714,IF(AND(M714=M713,M713=M715),AB718,IF(AND(M714=M713,M713=M716),AB724,IF(AND(M714=M715,M715=M716),AB726,"")))))))))</f>
        <v/>
      </c>
      <c r="P714" s="133" t="str">
        <f>IF(COUNT(U712:X723)=3,IF(ISNUMBER(U713),U713,IF(ISNUMBER(W713),W713,IF(ISNUMBER(X713),X713,IF(X713="","")))),IF(COUNT(U712:X723)=6,IF(ISNUMBER(U721),U721,IF(ISNUMBER(W721),W721,IF(ISNUMBER(X721),X721,IF(ISBLANK(X720),"")))),""))</f>
        <v/>
      </c>
      <c r="Q714" s="138" t="str">
        <f>IF(M714="","",SUMIF(I724:S740,I714,S724:$S740))</f>
        <v/>
      </c>
      <c r="R714" s="139" t="str">
        <f>IF(M714="","",L714+Q714)</f>
        <v/>
      </c>
      <c r="S714" s="203"/>
      <c r="T714" s="208">
        <v>3</v>
      </c>
      <c r="U714" s="209" t="str">
        <f>IF(M715="","",IF(COUNTIF(M713:M715,M715)=3,IF(COUNTBLANK(I713:I716)=1,(Q724+Q727)/(Q725+Q728),IF(COUNTBLANK(I713:I716)=0,(Q724+Q733)/(Q725+Q734),"")),""))</f>
        <v/>
      </c>
      <c r="V714" s="125" t="str">
        <f>IF(AND(COUNTBLANK(I713:I716)=0,M715=M716,M716=M713),(Q724+Q740)/(Q725+Q739),"")</f>
        <v/>
      </c>
      <c r="W714" s="218"/>
      <c r="X714" s="213" t="str">
        <f>IF(AND(COUNTBLANK(I713:I716)=0,M715=M716,M716=M714),(Q733+Q740)/(Q734+Q739),"")</f>
        <v/>
      </c>
      <c r="Y714" s="219">
        <v>2</v>
      </c>
      <c r="Z714" s="220" t="str">
        <f>IF(U713="","",IF(OR(Group_players=3,AND(Group_players=4,COUNTBLANK(I713:I716)=1)),IF(COUNTIF(M713:M715,M714)=1,"",IF(AND(U713=U712,U713=U714),Z718,IF(AND(U713&lt;&gt;U712,U713&lt;&gt;U714,U712&lt;&gt;U714),(IF(SMALL(U712:U714,1)=U713,1,IF(SMALL(U712:U714,2)=U713,2,IF(SMALL(U712:U714,3)=U713,3)))),IF(AND(U713&lt;U712,U712=U714),1,IF(AND(U713&gt;U712,U712=U714),3,IF(AND(U713=U712,U713&lt;U714),(IF(Q731=3,1,2)),IF(AND(U713=U712,U713&gt;U714),(IF(Q731=3,2,3)),IF(AND(U713=U714,U713&lt;U712),(IF(Q727=3,1,2)),IF(AND(U713=U714,U713&gt;U712),(IF(Q727=3,2,3)),99))))))))),""))</f>
        <v/>
      </c>
      <c r="AA714" s="221">
        <v>2</v>
      </c>
      <c r="AB714" s="222" t="str">
        <f>IF(COUNTIF(M713:M716,M714)&lt;&gt;2,"",IF(COUNTIF(M713:M716,M714)=1,"",IF(AND(COUNTIF(M713:M716,M714)=2,M714=2),IF(M714=M713,IF(Q737=3,1,2),IF(M714=M715,IF(Q733=3,1,2),IF(M714=M716,IF(Q727=3,1,2)))),IF(AND(COUNTIF(M713:M716,M714)=2,M714=1),IF(M714=M713,IF(Q737=3,3,4),IF(M714=M715,IF(Q733=3,3,4),IF(M714=M716,IF(Q727=3,3,4)))),AB719))))</f>
        <v/>
      </c>
      <c r="AC714" s="192"/>
      <c r="AD714" s="192"/>
      <c r="AE714" s="192"/>
      <c r="AF714" s="203"/>
      <c r="AG714" s="203"/>
      <c r="AH714" s="203"/>
      <c r="AI714" s="203"/>
      <c r="AJ714" s="203"/>
      <c r="AK714" s="203"/>
      <c r="AL714" s="203"/>
      <c r="AM714" s="203"/>
      <c r="AN714" s="192"/>
      <c r="AO714" s="192"/>
      <c r="AP714" s="192"/>
      <c r="AQ714" s="192"/>
      <c r="AR714" s="192"/>
      <c r="AS714" s="192"/>
      <c r="AT714" s="192"/>
      <c r="AU714" s="192"/>
      <c r="AV714" s="192"/>
      <c r="AW714" s="192"/>
      <c r="AX714" s="192"/>
    </row>
    <row r="715" spans="2:50" ht="15" customHeight="1" thickBot="1" x14ac:dyDescent="0.35">
      <c r="B715" s="192"/>
      <c r="C715" s="192"/>
      <c r="D715" s="192"/>
      <c r="E715" s="192"/>
      <c r="F715" s="192" t="str">
        <f>IF(I715="","",VLOOKUP(I715,Siembra,2,FALSE))</f>
        <v/>
      </c>
      <c r="G715" s="192" t="str">
        <f>O715</f>
        <v/>
      </c>
      <c r="H715" s="192">
        <v>3</v>
      </c>
      <c r="I715" s="128" t="str">
        <f>IF(K715="","",IF(ISNUMBER(Sorteo!$A$17),VLOOKUP(K715,Draw,2,FALSE),""))</f>
        <v/>
      </c>
      <c r="J715" s="129" t="str">
        <f>O715</f>
        <v/>
      </c>
      <c r="K715" s="136" t="str">
        <f>IF($K$9="","",IF(Group_players=4,IF(Tablas!CA$5="","",Tablas!CA$5),IF(Group_players=3,IF(Tablas!CA$13="","",Tablas!CA$13),"")))</f>
        <v/>
      </c>
      <c r="L715" s="137" t="str">
        <f>IF(K715="","",VLOOKUP(I715,Siembra,3,FALSE))</f>
        <v/>
      </c>
      <c r="M715" s="132" t="str">
        <f>IF(AND(L725="",L724=""),"",IF(I715="","",SUMIFS(E724:E742,I724:I742,I715)))</f>
        <v/>
      </c>
      <c r="N715" s="138" t="str">
        <f>IF(M715="","",IF(I715="","",SUMIFS(F724:F740,I724:I740,I715)))</f>
        <v/>
      </c>
      <c r="O715" s="132" t="str">
        <f>IF(M715="","",IF(COUNTBLANK(I713:I716)=1,IF(M715=2,1,IF(M715=0,3,IF(AND(M715=1,M715&lt;&gt;M713),2,IF(COUNTIF(M713:M716,1)&gt;1,Z715)))),IF(COUNTBLANK(I713:I716)=0,IF(COUNTIF(M713:M716,M715)=1,IF(M715=3,1,IF(M715=2,2,IF(M715=1,3,IF(M715=0,4)))),IF(Group_players=3,Z715,IF(COUNTIF(M713:M716,M715)=2,AB715,IF(AND(M715=M713,M713=M714),AB719,IF(AND(M715=M713,M713=M716),AB721,IF(AND(M715=M714,M714=M716),AB727,"")))))))))</f>
        <v/>
      </c>
      <c r="P715" s="133" t="str">
        <f>IF(COUNT(U712:X723)=3,IF(ISNUMBER(U714),U714,IF(ISNUMBER(V714),V714,IF(ISNUMBER(X714),X714,IF(W714="","")))),IF(COUNT(U712:X723)=6,IF(ISNUMBER(U722),U722,IF(ISNUMBER(V722),V722,IF(ISNUMBER(X722),X722,""))),""))</f>
        <v/>
      </c>
      <c r="Q715" s="138" t="str">
        <f>IF(M715="","",SUMIF(I724:S740,I715,S724:S740))</f>
        <v/>
      </c>
      <c r="R715" s="139" t="str">
        <f>IF(M715="","",L715+Q715)</f>
        <v/>
      </c>
      <c r="S715" s="203"/>
      <c r="T715" s="208">
        <v>4</v>
      </c>
      <c r="U715" s="223"/>
      <c r="V715" s="140" t="str">
        <f>IF(AND(COUNTBLANK(I713:I716)=0,M716=M713,M713=M715),(Q730+Q739)/(Q731+Q740),"")</f>
        <v/>
      </c>
      <c r="W715" s="224" t="str">
        <f>IF(AND(COUNTBLANK(I713:I716)=0,M716=M713,M713=M714),(Q730+Q727)/(Q731+Q728),"")</f>
        <v/>
      </c>
      <c r="X715" s="225" t="str">
        <f>IF(AND(COUNTBLANK(I713:I716)=0,M716=M714,M714=M715),(Q727+Q739)/(Q728+Q740),"")</f>
        <v/>
      </c>
      <c r="Y715" s="226">
        <v>3</v>
      </c>
      <c r="Z715" s="227" t="str">
        <f>IF(U714="","",IF(OR(Group_players=3,AND(Group_players=4,COUNTBLANK(I713:I716)=1)),IF(COUNTIF(M713:M715,M715)=1,"",IF(AND(U714=U712,U714=U713),Z719,IF(AND(U714&lt;&gt;U713,U713&lt;&gt;U712,U714&lt;&gt;U712),(IF(SMALL(U712:U714,1)=U714,1,IF(SMALL(U712:U714,2)=U714,2,IF(SMALL(U712:U714,3)=U714,3)))),IF(AND(U714&lt;U713,U713=U712),1,IF(AND(U714&gt;U713,U713=U712),3,IF(AND(U714=U713,U714&lt;U712),(IF(Q728=3,1,2)),IF(AND(U714=U713,U714&gt;U712),(IF(Q728=3,2,3)),IF(AND(U714=U712,U714&lt;U713),(IF(Q725=3,1,2)),IF(AND(U714=U712,U714&gt;U713),(IF(Q725=3,2,3)),99))))))))),""))</f>
        <v/>
      </c>
      <c r="AA715" s="221">
        <v>3</v>
      </c>
      <c r="AB715" s="222" t="str">
        <f>IF(COUNTIF(M713:M716,M715)&lt;&gt;2,"",IF(COUNTIF(M713:M716,M715)=1,"",IF(AND(COUNTIF(M713:M716,M715)=2,M715=2),IF(M715=M713,IF(Q725=3,1,2),IF(M715=M714,IF(Q734=3,1,2),IF(M715=M716,IF(Q739=3,1,2)))),IF(AND(COUNTIF(M713:M716,M715)=2,M715=1),IF(M715=M713,IF(Q725=3,3,4),IF(M715=M714,IF(Q734=3,3,4),IF(M715=M716,IF(Q739=3,3,4)))),AB719))))</f>
        <v/>
      </c>
      <c r="AC715" s="192"/>
      <c r="AD715" s="192"/>
      <c r="AE715" s="192"/>
      <c r="AF715" s="203"/>
      <c r="AG715" s="203"/>
      <c r="AH715" s="203"/>
      <c r="AI715" s="203"/>
      <c r="AJ715" s="203"/>
      <c r="AK715" s="203"/>
      <c r="AL715" s="203"/>
      <c r="AM715" s="203"/>
      <c r="AN715" s="192"/>
      <c r="AO715" s="192"/>
      <c r="AP715" s="192"/>
      <c r="AQ715" s="192"/>
      <c r="AR715" s="192"/>
      <c r="AS715" s="192"/>
      <c r="AT715" s="192"/>
      <c r="AU715" s="192"/>
      <c r="AV715" s="192"/>
      <c r="AW715" s="192"/>
      <c r="AX715" s="192"/>
    </row>
    <row r="716" spans="2:50" ht="15" customHeight="1" thickTop="1" thickBot="1" x14ac:dyDescent="0.35">
      <c r="B716" s="192"/>
      <c r="C716" s="192"/>
      <c r="D716" s="192"/>
      <c r="E716" s="192"/>
      <c r="F716" s="192" t="str">
        <f>IF(I716="","",VLOOKUP(I716,Siembra,2,FALSE))</f>
        <v/>
      </c>
      <c r="G716" s="192" t="str">
        <f>O716</f>
        <v/>
      </c>
      <c r="H716" s="192">
        <v>4</v>
      </c>
      <c r="I716" s="141" t="str">
        <f>IF(K716="","",IF(ISNUMBER(Sorteo!$A$17),VLOOKUP(K716,Draw,2,FALSE),""))</f>
        <v/>
      </c>
      <c r="J716" s="142" t="str">
        <f>O716</f>
        <v/>
      </c>
      <c r="K716" s="143" t="str">
        <f>IF($K$9="","",IF(Group_players=4,IF(Tablas!CA6="","",Tablas!CA6),""))</f>
        <v/>
      </c>
      <c r="L716" s="144" t="str">
        <f>IF(K716="","",VLOOKUP(I716,Siembra,3,FALSE))</f>
        <v/>
      </c>
      <c r="M716" s="145" t="str">
        <f>IF(AND(Q727="",Q728=""),"",IF(I716="","",SUMIFS(E724:E743,I724:I743,I716)))</f>
        <v/>
      </c>
      <c r="N716" s="145" t="str">
        <f>IF(M716="","",IF(I716="","",SUMIFS(F724:F740,I724:I740,I716)))</f>
        <v/>
      </c>
      <c r="O716" s="145" t="str">
        <f>IF(M716="","",IF(COUNTIF(M713:M716,M716)=1,IF(M716=3,1,IF(M716=2,2,IF(M716=1,3,IF(M716=0,4)))),IF(COUNTIF(M713:M716,M716)=2,AB716,IF(AND(M716=M713,M713=M715),AB722,IF(AND(M716=M713,M713=M714),AB725,IF(AND(M716=M714,M714=M715),AB728,""))))))</f>
        <v/>
      </c>
      <c r="P716" s="146" t="str">
        <f>IF(COUNT(U712:X723)=3,IF(ISNUMBER(V715),V715,IF(ISNUMBER(W715),W715,IF(ISNUMBER(X715),X715,IF(X715="","")))),IF(COUNT(U712:X723)=6,IF(ISNUMBER(V723),V723,IF(ISNUMBER(W723),W723,IF(ISNUMBER(X723),X723,""))),""))</f>
        <v/>
      </c>
      <c r="Q716" s="145" t="str">
        <f>IF(M716="","",SUMIF(I724:S740,I716,S724:$S740))</f>
        <v/>
      </c>
      <c r="R716" s="147" t="str">
        <f>IF(M716="","",L716+Q716)</f>
        <v/>
      </c>
      <c r="S716" s="203"/>
      <c r="T716" s="192"/>
      <c r="U716" s="192"/>
      <c r="V716" s="192"/>
      <c r="W716" s="192"/>
      <c r="X716" s="192"/>
      <c r="Y716" s="230" t="s">
        <v>93</v>
      </c>
      <c r="Z716" s="231" t="s">
        <v>110</v>
      </c>
      <c r="AA716" s="232">
        <v>4</v>
      </c>
      <c r="AB716" s="233" t="str">
        <f>IF(COUNTIF(M713:M716,M716)&lt;&gt;2,"",IF(COUNTIF(M713:M716,M716)=1,"",IF(AND(COUNTIF(M713:M716,M716)=2,M716=2),IF(M716=M713,IF(Q731=3,1,2),IF(M716=M714,IF(Q728=3,1,2),IF(M716=M715,IF(Q740=3,1,2)))),IF(AND(COUNTIF(M713:M716,M716)=2,M716=1),IF(M716=M713,IF(Q731=3,3,4),IF(M716=M714,IF(Q728=3,3,4),IF(M716=M715,IF(Q740=3,3,4)))),AB722))))</f>
        <v/>
      </c>
      <c r="AC716" s="192"/>
      <c r="AD716" s="192"/>
      <c r="AE716" s="192"/>
      <c r="AF716" s="203"/>
      <c r="AG716" s="203"/>
      <c r="AH716" s="203"/>
      <c r="AI716" s="203"/>
      <c r="AJ716" s="203"/>
      <c r="AK716" s="203"/>
      <c r="AL716" s="203"/>
      <c r="AM716" s="203"/>
      <c r="AN716" s="192"/>
      <c r="AO716" s="192"/>
      <c r="AP716" s="192"/>
      <c r="AQ716" s="192"/>
      <c r="AR716" s="192"/>
      <c r="AS716" s="192"/>
      <c r="AT716" s="192"/>
      <c r="AU716" s="192"/>
      <c r="AV716" s="192"/>
      <c r="AW716" s="192"/>
      <c r="AX716" s="192"/>
    </row>
    <row r="717" spans="2:50" ht="15" customHeight="1" thickTop="1" x14ac:dyDescent="0.3">
      <c r="B717" s="192"/>
      <c r="C717" s="192"/>
      <c r="D717" s="192"/>
      <c r="E717" s="192"/>
      <c r="F717" s="192"/>
      <c r="G717" s="192"/>
      <c r="H717" s="192"/>
      <c r="I717" s="192"/>
      <c r="J717" s="192"/>
      <c r="K717" s="192"/>
      <c r="L717" s="192"/>
      <c r="M717" s="192"/>
      <c r="N717" s="192"/>
      <c r="O717" s="192"/>
      <c r="P717" s="192"/>
      <c r="Q717" s="192"/>
      <c r="R717" s="192"/>
      <c r="S717" s="192"/>
      <c r="T717" s="208"/>
      <c r="U717" s="192"/>
      <c r="V717" s="148"/>
      <c r="W717" s="148"/>
      <c r="X717" s="234"/>
      <c r="Y717" s="214">
        <v>1</v>
      </c>
      <c r="Z717" s="215" t="str">
        <f>IF(U720="","",IF(OR(Group_players=3,AND(Group_players=4,COUNTBLANK(I713:I716)=1)),IF(COUNTIF(M713:M715,M713)=1,"",IF(COUNTIF(U712:U714,U712)=3,IF(AND(U720=U721,U721=U722),"Tied",IF(AND(U720&lt;&gt;U721,U720&lt;&gt;U722,U721&lt;&gt;U722),(IF(SMALL(U720:U722,1)=U720,1,IF(SMALL(U720:U722,2)=U720,2,IF(SMALL(U720:U722,3)=U720,3)))),IF(AND(U720&lt;U721,U721=U722),1,IF(AND(U720&gt;U721,U721=U722),3,IF(AND(U720=U721,U720&lt;U722),(IF(Q730=3,1,2)),IF(AND(U720=U721,U720&gt;U722),(IF(Q730=3,2,3)),IF(AND(U720=U722,U720&lt;U721),(IF(Q724=3,1,2)),IF(AND(U720=U722,U720&gt;U721),(IF(Q724=3,2,3)),99)))))))),"")),""))</f>
        <v/>
      </c>
      <c r="AA717" s="208">
        <v>1</v>
      </c>
      <c r="AB717" s="222" t="str">
        <f>IF(AND(COUNTBLANK(I713:I716)=0,Group_players=4,M713=M714,M714=M715),IF(COUNTIF(U712:U715,U712)=3,AB730,IF(AND(COUNTIF(U712:U715,U712)=1,U713&lt;&gt;U714),IF(M713=2,IF(SMALL(U712:U715,1)=U712,1,IF(SMALL(U712:U715,2)=U712,2,IF(SMALL(U712:U715,3)=U712,3))),IF(M713=1,IF(SMALL(U712:U715,1)=U712,2,IF(SMALL(U712:U715,2)=U712,3,IF(SMALL(U712:U715,3)=U712,4))),"")),IF(COUNTIF(U712:U715,U712)=1,IF(U712&lt;U713,IF(M713=2,1,2),IF(M713=2,3,4)),IF(COUNTIF(U712:U715,U712)=2,IF(U712=U713,IF(U712&lt;U714,IF(M713=2,IF(Q736=3,1,2),IF(M713=1,IF(Q736=3,2,3))),IF(U712&gt;U714,IF(M713=2,IF(Q736=3,2,3),IF(M713=1,IF(Q736=3,3,4))))),IF(U712=U714,IF(U712&lt;U713,IF(M713=2,IF(Q724=3,1,2),IF(M713=1,IF(Q724=3,2,3))),IF(U712&gt;U713,IF(M713=2,IF(Q724=3,2,3),IF(M713=1,IF(Q724=3,3,4))))))),"")))),"")</f>
        <v/>
      </c>
      <c r="AC717" s="192"/>
      <c r="AD717" s="192"/>
      <c r="AE717" s="269"/>
      <c r="AF717" s="203"/>
      <c r="AG717" s="203"/>
      <c r="AH717" s="203"/>
      <c r="AI717" s="203"/>
      <c r="AJ717" s="203"/>
      <c r="AK717" s="203"/>
      <c r="AL717" s="203"/>
      <c r="AM717" s="203"/>
      <c r="AN717" s="192"/>
      <c r="AO717" s="192"/>
      <c r="AP717" s="192"/>
      <c r="AQ717" s="192"/>
      <c r="AR717" s="192"/>
      <c r="AS717" s="192"/>
      <c r="AT717" s="192"/>
      <c r="AU717" s="192"/>
      <c r="AV717" s="192"/>
      <c r="AW717" s="192"/>
      <c r="AX717" s="192"/>
    </row>
    <row r="718" spans="2:50" ht="15" customHeight="1" thickBot="1" x14ac:dyDescent="0.35">
      <c r="B718" s="192"/>
      <c r="C718" s="192"/>
      <c r="D718" s="192"/>
      <c r="E718" s="192"/>
      <c r="F718" s="192"/>
      <c r="G718" s="192"/>
      <c r="H718" s="192"/>
      <c r="I718" s="269"/>
      <c r="J718" s="269"/>
      <c r="K718" s="192"/>
      <c r="L718" s="192"/>
      <c r="M718" s="192"/>
      <c r="N718" s="192"/>
      <c r="O718" s="192"/>
      <c r="P718" s="192"/>
      <c r="Q718" s="192"/>
      <c r="R718" s="192"/>
      <c r="S718" s="192"/>
      <c r="T718" s="208"/>
      <c r="U718" s="368" t="s">
        <v>111</v>
      </c>
      <c r="V718" s="369"/>
      <c r="W718" s="369"/>
      <c r="X718" s="369"/>
      <c r="Y718" s="236">
        <v>2</v>
      </c>
      <c r="Z718" s="220" t="str">
        <f>IF(U713="","",IF(OR(Group_players=3,AND(Group_players=4,COUNTBLANK(I713:I716)=1)),IF(COUNTIF(M713:M715,M714)=1,"",IF(COUNTIF(U712:U714,U713)=3,IF(AND(U721=U720,U721=U722),"Tied",IF(AND(U721&lt;&gt;U720,U721&lt;&gt;U722,U720&lt;&gt;U722),(IF(SMALL(U720:U722,1)=U721,1,IF(SMALL(U720:U722,2)=U721,2,IF(SMALL(U720:U722,3)=U721,3)))),IF(AND(U721&lt;U720,U720=U722),1,IF(AND(U721&gt;U720,U720=U722),3,IF(AND(U721=U720,U721&lt;U722),(IF(Q731=3,1,2)),IF(AND(U721=U720,U721&gt;U722),(IF(Q731=3,2,3)),IF(AND(U721=U722,U721&lt;U720),(IF(Q727=3,1,2)),IF(AND(U721=U722,U721&gt;U720),(IF(Q727=3,2,3)),99)))))))),"")),""))</f>
        <v/>
      </c>
      <c r="AA718" s="208">
        <v>2</v>
      </c>
      <c r="AB718" s="222" t="str">
        <f>IF(AND(COUNTBLANK(I713:I716)=0,Group_players=4,M713=M714,M714=M715),IF(COUNTIF(U712:U715,U713)=3,AB731,IF(AND(COUNTIF(U712:U715,U713)=1,U712&lt;&gt;U714),IF(M714=2,IF(SMALL(U712:U715,1)=U713,1,IF(SMALL(U712:U715,2)=U713,2,IF(SMALL(U712:U715,3)=U713,3))),IF(M714=1,IF(SMALL(U712:U715,1)=U713,2,IF(SMALL(U712:U715,2)=U713,3,IF(SMALL(U712:U715,3)=U713,4))),"")),IF(COUNTIF(U712:U714,U713)=1,IF(U713&lt;U712,IF(M714=2,1,2),IF(M714=2,3,99)),IF(COUNTIF(U712:U715,U713)=2,IF(U713=U712,IF(U713&lt;U714,IF(M714=2,IF(Q737=3,1,2),IF(M714=1,IF(Q737=3,2,3))),IF(U713&gt;U714,IF(M714=2,IF(Q737=3,2,3),IF(M714=1,IF(Q737=3,3,4))))),IF(U713=U714,IF(U713&lt;U712,IF(M714=2,IF(Q733=3,1,2),IF(M714=1,IF(Q733=3,2,3))),IF(U713&gt;U712,IF(M714=2,IF(Q733=3,2,3),IF(M714=1,IF(Q733=3,3,4))))))),"")))),"")</f>
        <v/>
      </c>
      <c r="AC718" s="192"/>
      <c r="AD718" s="192"/>
      <c r="AE718" s="192"/>
      <c r="AF718" s="203"/>
      <c r="AG718" s="203"/>
      <c r="AH718" s="203"/>
      <c r="AI718" s="203"/>
      <c r="AJ718" s="203"/>
      <c r="AK718" s="203"/>
      <c r="AL718" s="203"/>
      <c r="AM718" s="203"/>
      <c r="AN718" s="192"/>
      <c r="AO718" s="192"/>
      <c r="AP718" s="192"/>
      <c r="AQ718" s="192"/>
      <c r="AR718" s="192"/>
      <c r="AS718" s="192"/>
      <c r="AT718" s="192"/>
      <c r="AU718" s="192"/>
      <c r="AV718" s="192"/>
      <c r="AW718" s="192"/>
      <c r="AX718" s="192"/>
    </row>
    <row r="719" spans="2:50" ht="15" customHeight="1" thickTop="1" thickBot="1" x14ac:dyDescent="0.35">
      <c r="B719" s="192"/>
      <c r="C719" s="192"/>
      <c r="D719" s="192"/>
      <c r="E719" s="192"/>
      <c r="F719" s="192"/>
      <c r="G719" s="192"/>
      <c r="H719" s="192"/>
      <c r="I719" s="192"/>
      <c r="J719" s="192"/>
      <c r="K719" s="192"/>
      <c r="L719" s="192"/>
      <c r="M719" s="192"/>
      <c r="N719" s="192"/>
      <c r="O719" s="192"/>
      <c r="P719" s="192"/>
      <c r="Q719" s="192"/>
      <c r="R719" s="192"/>
      <c r="S719" s="192"/>
      <c r="T719" s="120"/>
      <c r="U719" s="121" t="s">
        <v>101</v>
      </c>
      <c r="V719" s="122" t="s">
        <v>102</v>
      </c>
      <c r="W719" s="122" t="s">
        <v>103</v>
      </c>
      <c r="X719" s="123" t="s">
        <v>104</v>
      </c>
      <c r="Y719" s="238">
        <v>3</v>
      </c>
      <c r="Z719" s="239" t="str">
        <f>IF(U714="","",IF(OR(Group_players=3,AND(Group_players=4,COUNTBLANK(I713:I716)=1)),IF(COUNTIF(M713:M715,M715)=1,"",IF(COUNTIF(U712:U714,U714)=3,IF(AND(U722=U720,U722=U721),"Tied",IF(AND(U722&lt;&gt;U721,U721&lt;&gt;U720,U722&lt;&gt;U720),(IF(SMALL(U720:U722,1)=U722,1,IF(SMALL(U720:U722,2)=U722,2,IF(SMALL(U720:U722,3)=U722,3)))),IF(AND(U722&lt;U721,U721=U720),1,IF(AND(U722&gt;U721,U721=U720),3,IF(AND(U722=U721,U722&lt;U720),(IF(Q728=3,1,2)),IF(AND(U722=U721,U722&gt;U720),(IF(Q728=3,2,3)),IF(AND(U722=U720,U722&lt;U721),(IF(Q725=3,1,2)),IF(AND(U722=U720,U722&gt;U721),(IF(Q725=3,2,3)),99)))))))),"")),""))</f>
        <v/>
      </c>
      <c r="AA719" s="240">
        <v>3</v>
      </c>
      <c r="AB719" s="241" t="str">
        <f>IF(AND(COUNTBLANK(I713:I716)=0,Group_players=4,M713=M714,M714=M715),IF(COUNTIF(U712:U715,U714)=3,AB732,IF(AND(COUNTIF(U712:U715,U714)=1,U712&lt;&gt;U713),IF(M713=2,IF(SMALL(U712:U715,1)=U714,1,IF(SMALL(U712:U715,2)=U714,2,IF(SMALL(U712:U715,3)=U714,3))),IF(M715=1,IF(SMALL(U712:U715,1)=U714,2,IF(SMALL(U712:U715,2)=U714,3,IF(SMALL(U712:U715,3)=U714,4))),"")),IF(COUNTIF(U712:U715,U714)=1,IF(U714&lt;U713,IF(M715=2,1,2),IF(M715=2,3,4)),IF(COUNTIF(U712:U715,U714)=2,IF(U714=U713,IF(U714&lt;U712,IF(M715=2,IF(Q734=3,1,2),IF(M715=1,IF(Q734=3,2,3))),IF(U714&gt;U712,IF(M715=2,IF(Q734=3,2,3),IF(M715=1,IF(Q734=3,3,4))))),IF(U714=U712,IF(U714&lt;U713,IF(M715=2,IF(Q725=3,1,2),IF(M715=1,IF(Q725=3,2,3))),IF(U714&gt;U713,IF(M715=2,IF(Q725=3,2,3),IF(M715=1,IF(Q725=3,3,4))))))),"")))),"")</f>
        <v/>
      </c>
      <c r="AC719" s="192"/>
      <c r="AD719" s="192"/>
      <c r="AE719" s="192"/>
      <c r="AF719" s="203"/>
      <c r="AG719" s="203"/>
      <c r="AH719" s="203"/>
      <c r="AI719" s="203"/>
      <c r="AJ719" s="203"/>
      <c r="AK719" s="203"/>
      <c r="AL719" s="203"/>
      <c r="AM719" s="203"/>
      <c r="AN719" s="192"/>
      <c r="AO719" s="192"/>
      <c r="AP719" s="192"/>
      <c r="AQ719" s="192"/>
      <c r="AR719" s="192"/>
      <c r="AS719" s="192"/>
      <c r="AT719" s="192"/>
      <c r="AU719" s="192"/>
      <c r="AV719" s="192"/>
      <c r="AW719" s="192"/>
      <c r="AX719" s="192"/>
    </row>
    <row r="720" spans="2:50" ht="15" customHeight="1" thickTop="1" thickBot="1" x14ac:dyDescent="0.35">
      <c r="B720" s="192"/>
      <c r="C720" s="192"/>
      <c r="D720" s="192"/>
      <c r="E720" s="192"/>
      <c r="F720" s="192"/>
      <c r="G720" s="192"/>
      <c r="H720" s="192"/>
      <c r="I720" s="192"/>
      <c r="J720" s="192"/>
      <c r="K720" s="192"/>
      <c r="L720" s="192"/>
      <c r="M720" s="192"/>
      <c r="N720" s="192"/>
      <c r="O720" s="192"/>
      <c r="P720" s="192"/>
      <c r="Q720" s="192"/>
      <c r="R720" s="192"/>
      <c r="S720" s="192"/>
      <c r="T720" s="208">
        <v>1</v>
      </c>
      <c r="U720" s="209" t="str">
        <f>IF(U712="","",IF(OR(U712&lt;&gt;U713,U712&lt;&gt;U714),"",IF(COUNTIF(M713:M715,M713)=1,"",IF(COUNTBLANK(I713:I716)=1,(SUM(L725:P725)+SUM(L731:P731))/(SUM(L724:P724)+SUM(L730:P730)),IF(COUNTBLANK(I713:I716)=0,(SUM(L737:P737)+SUM(L725:P725))/(SUM(L736:P736)+SUM(L724:P724)),"")))))</f>
        <v/>
      </c>
      <c r="V720" s="125" t="str">
        <f>IF(V712="","",IF(OR(V712&lt;&gt;V714,V712&lt;&gt;V715),"",IF(AND(COUNTBLANK(I713:I716)=0,M713=M715,M715=M716),(SUM(L725:P725)+SUM(L731:P731))/(SUM(L724:P724)+SUM(L730:P730)),"")))</f>
        <v/>
      </c>
      <c r="W720" s="210" t="str">
        <f>IF(W712="","",IF(OR(W712&lt;&gt;W713,W712&lt;&gt;W715),"",IF(AND(COUNTBLANK(I713:I716)=0,M713=M714,M714=M716),(SUM(L737:P737)+SUM(L731:P731))/(SUM(L736:P736)+SUM(L730:P730)),"")))</f>
        <v/>
      </c>
      <c r="X720" s="211"/>
      <c r="Y720" s="242"/>
      <c r="Z720" s="242"/>
      <c r="AA720" s="243">
        <v>1</v>
      </c>
      <c r="AB720" s="244" t="str">
        <f>IF(AND(COUNTBLANK(I713:I716)=0,Group_players=4,M713=M715,M715=M716),IF(COUNTIF(V712:V715,V712)=3,AB733,IF(AND(COUNTIF(V712:V715,V712)=1,V714&lt;&gt;U723),IF(M713=2,IF(SMALL(V712:V715,1)=V712,1,IF(SMALL(V712:V715,2)=V712,2,IF(SMALL(V712:V715,3)=V712,3))),IF(M713=1,IF(SMALL(V712:V715,1)=V712,2,IF(SMALL(V712:V715,2)=V712,3,IF(SMALL(V712:V715,3)=V712,4))),"")),IF(COUNTIF(V712:V715,V712)=1,IF(V712&lt;V714,IF(M713=2,1,2),IF(M713=2,3,4)),IF(COUNTIF(V712:V715,V712)=2,IF(V712=V714,IF(V712&lt;V715,IF(M713=2,IF(Q724=3,1,2),IF(M713=1,IF(Q724=3,2,3))),IF(V712&gt;V715,IF(M713=2,IF(Q724=3,2,3),IF(M713=1,IF(Q724=3,3,4))))),IF(V712=V715,IF(V712&lt;V714,IF(M713=2,IF(Q730=3,1,2),IF(M713=1,IF(Q730=3,2,3))),IF(V712&gt;V713,IF(M713=2,IF(Q730=3,2,3),IF(M713=1,IF(Q730=3,3,4))))))),"")))),"")</f>
        <v/>
      </c>
      <c r="AC720" s="192"/>
      <c r="AD720" s="192"/>
      <c r="AE720" s="192"/>
      <c r="AF720" s="203"/>
      <c r="AG720" s="203"/>
      <c r="AH720" s="203"/>
      <c r="AI720" s="203"/>
      <c r="AJ720" s="203"/>
      <c r="AK720" s="203"/>
      <c r="AL720" s="203"/>
      <c r="AM720" s="203"/>
      <c r="AN720" s="192"/>
      <c r="AO720" s="192"/>
      <c r="AP720" s="192"/>
      <c r="AQ720" s="192"/>
      <c r="AR720" s="192"/>
      <c r="AS720" s="192"/>
      <c r="AT720" s="192"/>
      <c r="AU720" s="192"/>
      <c r="AV720" s="192"/>
      <c r="AW720" s="192"/>
      <c r="AX720" s="192"/>
    </row>
    <row r="721" spans="2:50" ht="15" customHeight="1" thickTop="1" thickBot="1" x14ac:dyDescent="0.35">
      <c r="B721" s="192"/>
      <c r="C721" s="192"/>
      <c r="D721" s="192"/>
      <c r="E721" s="117"/>
      <c r="F721" s="117"/>
      <c r="G721" s="117"/>
      <c r="H721" s="192"/>
      <c r="I721" s="192"/>
      <c r="J721" s="192"/>
      <c r="K721" s="192"/>
      <c r="L721" s="192"/>
      <c r="M721" s="192"/>
      <c r="N721" s="192"/>
      <c r="O721" s="192"/>
      <c r="P721" s="192"/>
      <c r="Q721" s="192"/>
      <c r="R721" s="192"/>
      <c r="S721" s="394" t="s">
        <v>112</v>
      </c>
      <c r="T721" s="208">
        <v>2</v>
      </c>
      <c r="U721" s="209" t="str">
        <f>IF(U712="","",IF(OR(U713&lt;&gt;U712,U713&lt;&gt;U714),"",IF(COUNTIF(M713:M715,M714)=1,"",IF(COUNTBLANK(I713:I716)=1,(SUM(L728:P728)+SUM(L730:P730))/(SUM(L727:P727)+SUM(L731:P731)),IF(COUNTBLANK(I713:I716)=0,(SUM(L736:P736)+SUM(L734:P734))/(SUM(L737:P737)+SUM(L733:P733)))))))</f>
        <v/>
      </c>
      <c r="V721" s="135"/>
      <c r="W721" s="212" t="str">
        <f>IF(W712="","",IF(OR(W713&lt;&gt;W712,W713&lt;&gt;W715),"",IF(AND(COUNTBLANK(I713:I716)=0,M713=M714,M714=M716),(SUM(L728:P728)+SUM(L736:P736))/(SUM(L737:P737)+SUM(L727:P727)),"")))</f>
        <v/>
      </c>
      <c r="X721" s="245" t="str">
        <f>IF(X713="","",IF(OR(X713&lt;&gt;X714,X713&lt;&gt;X715),"",IF(AND(COUNTBLANK(I713:I716)=0,M714=M715,M715=M716),(SUM(L734:P734)+SUM(L728:P728))/(SUM(L733:P733)+SUM(L727:P727)),"")))</f>
        <v/>
      </c>
      <c r="Y721" s="242"/>
      <c r="Z721" s="203"/>
      <c r="AA721" s="246">
        <v>3</v>
      </c>
      <c r="AB721" s="222" t="str">
        <f>IF(AND(COUNTBLANK(I713:I716)=0,Group_players=4,M713=M715,M715=M716),IF(COUNTIF(V712:V715,V714)=3,AB734,IF(AND(COUNTIF(V712:V715,V714)=1,V712&lt;&gt;V715),IF(M715=2,IF(SMALL(V712:V715,1)=V714,1,IF(SMALL(V712:V715,2)=V714,2,IF(SMALL(V712:V715,3)=V714,3))),IF(M715=1,IF(SMALL(V712:V715,1)=V714,2,IF(SMALL(V712:V715,2)=V714,3,IF(SMALL(V712:V715,3)=V714,4))),"")),IF(COUNTIF(V712:V715,V714)=1,IF(V714&lt;V712,IF(M715=2,1,2),IF(M715=2,3,4)),IF(COUNTIF(V712:V715,V714)=2,IF(V714=V712,IF(V714&lt;V715,IF(M715=2,IF(Q725=3,1,2),IF(M715=1,IF(Q725=3,2,3))),IF(V714&gt;V715,IF(M715=2,IF(Q725=3,2,3),IF(M715=1,IF(Q725=3,3,4))))),IF(V714=V715,IF(V714&lt;V712,IF(M715=2,IF(Q739=3,1,2),IF(M715=1,IF(Q739=3,2,3))),IF(V714&gt;V712,IF(M715=2,IF(Q739=3,2,3),IF(M715=1,IF(Q739=3,3,4))))))),"")))),"")</f>
        <v/>
      </c>
      <c r="AC721" s="192"/>
      <c r="AD721" s="192"/>
      <c r="AE721" s="192"/>
      <c r="AF721" s="203"/>
      <c r="AG721" s="203"/>
      <c r="AH721" s="203"/>
      <c r="AI721" s="203"/>
      <c r="AJ721" s="203"/>
      <c r="AK721" s="203"/>
      <c r="AL721" s="203"/>
      <c r="AM721" s="203"/>
      <c r="AN721" s="192"/>
      <c r="AO721" s="192"/>
      <c r="AP721" s="192"/>
      <c r="AQ721" s="192"/>
      <c r="AR721" s="192"/>
      <c r="AS721" s="192"/>
      <c r="AT721" s="192"/>
      <c r="AU721" s="192"/>
      <c r="AV721" s="192"/>
      <c r="AW721" s="192"/>
      <c r="AX721" s="192"/>
    </row>
    <row r="722" spans="2:50" ht="15" customHeight="1" thickTop="1" thickBot="1" x14ac:dyDescent="0.35">
      <c r="B722" s="192"/>
      <c r="C722" s="192"/>
      <c r="D722" s="192"/>
      <c r="E722" s="117"/>
      <c r="F722" s="117"/>
      <c r="G722" s="117"/>
      <c r="H722" s="192"/>
      <c r="I722" s="192"/>
      <c r="J722" s="192"/>
      <c r="K722" s="192"/>
      <c r="L722" s="192"/>
      <c r="M722" s="192"/>
      <c r="N722" s="192"/>
      <c r="O722" s="192"/>
      <c r="P722" s="192"/>
      <c r="Q722" s="192"/>
      <c r="R722" s="247"/>
      <c r="S722" s="395"/>
      <c r="T722" s="208">
        <v>3</v>
      </c>
      <c r="U722" s="209" t="str">
        <f>IF(U712="","",IF(OR(U714&lt;&gt;U712,U714&lt;&gt;U713),"",IF(COUNTIF(M713:M715,M715)=1,"",IF(COUNTBLANK(I713:I716)=1,(SUM(L724:P724)+SUM(L727:P727))/(SUM(L725:P725)+SUM(L728:P728)),IF(COUNTBLANK(I713:I716)=0,(SUM(L724:P724)+SUM(L733:P733))/(SUM(L725:P725)+SUM(L734:P734)))))))</f>
        <v/>
      </c>
      <c r="V722" s="125" t="str">
        <f>IF(V712="","",IF(OR(V714&lt;&gt;V712,V714&lt;&gt;V715),"",IF(AND(COUNTBLANK(I713:I716)=0,M713=M715,M715=M716),(SUM(L724:P724)+SUM(L740:P740))/(SUM(L725:P725)+SUM(L739:P739)),"")))</f>
        <v/>
      </c>
      <c r="W722" s="218"/>
      <c r="X722" s="245" t="str">
        <f>IF(X713="","",IF(OR(X714&lt;&gt;X713,X714&lt;&gt;X715),"",IF(AND(COUNTBLANK(I713:I716)=0,M714=M715,M715=M716),(SUM(L733:P733)+SUM(L740:P740))/(SUM(L734:P734)+SUM(L739:P739)),"")))</f>
        <v/>
      </c>
      <c r="Y722" s="208"/>
      <c r="Z722" s="203"/>
      <c r="AA722" s="240">
        <v>4</v>
      </c>
      <c r="AB722" s="222" t="str">
        <f>IF(AND(COUNTBLANK(I713:I716)=0,Group_players=4,M713=M715,M715=M716),IF(COUNTIF(V712:V715,V715)=3,AB735,IF(AND(COUNTIF(V712:V715,V715)=1,V714&lt;&gt;V712),IF(M716=2,IF(SMALL(V712:V715,1)=V715,1,IF(SMALL(V712:V715,2)=V715,2,IF(SMALL(V712:V715,3)=V715,3))),IF(M716=1,IF(SMALL(V712:V715,1)=V715,2,IF(SMALL(V712:V715,2)=V715,3,IF(SMALL(V712:V715,3)=V715,4))),"")),IF(COUNTIF(V712:V715,V715)=1,IF(V715&lt;V712,IF(M716=2,1,2),IF(M716=2,3,4)),IF(COUNTIF(V712:V715,V715)=2,IF(V715=V712,IF(V715&lt;V714,IF(M716=2,IF(Q731=3,1,2),IF(M716=1,IF(Q731=3,2,3))),IF(V715&gt;V714,IF(M716=2,IF(Q731=3,2,3),IF(M716=1,IF(Q731=3,3,4))))),IF(V715=V714,IF(V715&lt;V712,IF(M716=2,IF(Q740=3,1,2),IF(M716=1,IF(Q740=3,2,3))),IF(V715&gt;V712,IF(M716=2,IF(Q740=3,2,3),IF(M716=1,IF(Q740=3,3,4))))))),"")))),"")</f>
        <v/>
      </c>
      <c r="AC722" s="192"/>
      <c r="AD722" s="192"/>
      <c r="AE722" s="192"/>
      <c r="AF722" s="203"/>
      <c r="AG722" s="203"/>
      <c r="AH722" s="203"/>
      <c r="AI722" s="203"/>
      <c r="AJ722" s="203"/>
      <c r="AK722" s="203"/>
      <c r="AL722" s="203"/>
      <c r="AM722" s="203"/>
      <c r="AN722" s="192"/>
      <c r="AO722" s="192"/>
      <c r="AP722" s="192"/>
      <c r="AQ722" s="192"/>
      <c r="AR722" s="192"/>
      <c r="AS722" s="192"/>
      <c r="AT722" s="192"/>
      <c r="AU722" s="192"/>
      <c r="AV722" s="192"/>
      <c r="AW722" s="192"/>
      <c r="AX722" s="192"/>
    </row>
    <row r="723" spans="2:50" ht="15" customHeight="1" thickTop="1" thickBot="1" x14ac:dyDescent="0.35">
      <c r="B723" s="192"/>
      <c r="C723" s="192"/>
      <c r="D723" s="192"/>
      <c r="E723" s="168" t="s">
        <v>113</v>
      </c>
      <c r="F723" s="168" t="s">
        <v>114</v>
      </c>
      <c r="G723" s="117"/>
      <c r="H723" s="192"/>
      <c r="I723" s="249" t="s">
        <v>115</v>
      </c>
      <c r="J723" s="249"/>
      <c r="K723" s="249"/>
      <c r="L723" s="250" t="s">
        <v>115</v>
      </c>
      <c r="M723" s="250" t="s">
        <v>116</v>
      </c>
      <c r="N723" s="250" t="s">
        <v>117</v>
      </c>
      <c r="O723" s="250" t="s">
        <v>118</v>
      </c>
      <c r="P723" s="250" t="s">
        <v>119</v>
      </c>
      <c r="Q723" s="250" t="s">
        <v>120</v>
      </c>
      <c r="R723" s="250"/>
      <c r="S723" s="251"/>
      <c r="T723" s="208">
        <v>4</v>
      </c>
      <c r="U723" s="223"/>
      <c r="V723" s="140" t="str">
        <f>IF(V712="","",IF(OR(V715&lt;&gt;V712,V715&lt;&gt;V714),"",IF(AND(COUNTBLANK(I713:I716)=0,M713=M715,M715=M716),(SUM(L730:P730)+SUM(L739:P739))/(SUM(L731:P731)+SUM(L740:P740)),"")))</f>
        <v/>
      </c>
      <c r="W723" s="224" t="str">
        <f>IF(W712="","",IF(OR(W715&lt;&gt;W712,W715&lt;&gt;W713),"",IF(AND(COUNTBLANK(I713:I716)=0,M713=M714,M714=M716),(SUM(L730:P730)+SUM(L727:P727))/(SUM(L731:P731)+SUM(L728:P728)),"")))</f>
        <v/>
      </c>
      <c r="X723" s="252" t="str">
        <f>IF(X713="","",IF(OR(X715&lt;&gt;X713,X715&lt;&gt;X714),"",IF(AND(COUNTBLANK(I713:I716)=0,M714=M715,M715=M716),(SUM(L727:P727)+SUM(L739:P739))/(SUM(L728:P728)+SUM(L740:P740)),"")))</f>
        <v/>
      </c>
      <c r="Y723" s="192"/>
      <c r="Z723" s="203"/>
      <c r="AA723" s="243">
        <v>1</v>
      </c>
      <c r="AB723" s="151" t="str">
        <f>IF(AND(COUNTBLANK(I713:I716)=0,Group_players=4,M713=M714,M714=M716),IF(COUNTIF(W712:W715,W712)=3,AB736,IF(AND(COUNTIF(W712:W715,W712)=1,W713&lt;&gt;W715),IF(M713=2,IF(SMALL(W712:W715,1)=W712,1,IF(SMALL(W712:W715,2)=W712,2,IF(SMALL(W712:W715,3)=W712,3))),IF(M713=1,IF(SMALL(W712:W715,1)=W712,2,IF(SMALL(W712:W715,2)=W712,3,IF(SMALL(W712:W715,3)=W712,4))),"")),IF(COUNTIF(W712:W715,W712)=1,IF(W712&lt;W713,IF(M713=2,1,2),IF(M713=2,3,4)),IF(COUNTIF(W712:W715,W712)=2,IF(W712=W713,IF(W712&lt;W715,IF(M713=2,IF(Q736=3,1,2),IF(M713=1,IF(Q736=3,2,3))),IF(W712&gt;W715,IF(M713=2,IF(Q736=3,2,3),IF(M713=1,IF(Q736=3,3,4))))),IF(W712=W715,IF(W712&lt;W713,IF(M713=2,IF(Q730=3,1,2),IF(M713=1,IF(Q730=3,2,3))),IF(W712&gt;W713,IF(M713=2,IF(Q730=3,2,3),IF(M713=1,IF(Q730=3,3,4))))))),"")))),"")</f>
        <v/>
      </c>
      <c r="AC723" s="192"/>
      <c r="AD723" s="192"/>
      <c r="AE723" s="192"/>
      <c r="AF723" s="203"/>
      <c r="AG723" s="203"/>
      <c r="AH723" s="203"/>
      <c r="AI723" s="203"/>
      <c r="AJ723" s="203"/>
      <c r="AK723" s="203"/>
      <c r="AL723" s="203"/>
      <c r="AM723" s="203"/>
      <c r="AN723" s="192"/>
      <c r="AO723" s="192"/>
      <c r="AP723" s="192"/>
      <c r="AQ723" s="192"/>
      <c r="AR723" s="192"/>
      <c r="AS723" s="192"/>
      <c r="AT723" s="192"/>
      <c r="AU723" s="192"/>
      <c r="AV723" s="192"/>
      <c r="AW723" s="192"/>
      <c r="AX723" s="192"/>
    </row>
    <row r="724" spans="2:50" ht="15" customHeight="1" thickTop="1" x14ac:dyDescent="0.3">
      <c r="B724" s="192"/>
      <c r="C724" s="192"/>
      <c r="D724" s="192"/>
      <c r="E724" s="164" t="str">
        <f>IF(Q724="","",IF(Q724=3,1,0))</f>
        <v/>
      </c>
      <c r="F724" s="164" t="str">
        <f>IF(Q724="","",IF(Q724&lt;3,1,0))</f>
        <v/>
      </c>
      <c r="G724" s="192"/>
      <c r="H724" s="192" t="str">
        <f>IF(I713="","",1)</f>
        <v/>
      </c>
      <c r="I724" s="192" t="str">
        <f>IF(ISNUMBER(H724),VLOOKUP(H724,H713:I716,2,TRUE),"")</f>
        <v/>
      </c>
      <c r="J724" s="192"/>
      <c r="K724" s="192" t="str">
        <f>VLOOKUP(I724,I713:L716,3,FALSE)</f>
        <v/>
      </c>
      <c r="L724" s="253"/>
      <c r="M724" s="254"/>
      <c r="N724" s="254"/>
      <c r="O724" s="152"/>
      <c r="P724" s="153"/>
      <c r="Q724" s="255" t="str">
        <f>IF(L724="","",IF(AND(L724-L725&gt;1,L724&gt;10),1,0)+IF(AND(M724-M725&gt;1,M724&gt;10),1,0)+IF(AND(N724-N725&gt;1,N724&gt;10),1,0)+IF(AND(O724-O725&gt;1,O724&gt;10),1,0)+IF(AND(P724-P725&gt;1,P724&gt;10),1,0))</f>
        <v/>
      </c>
      <c r="R724" s="203" t="str">
        <f>IF(AND(I724="",I725=""),"",ABS(VLOOKUP(I724,I713:L716,4,FALSE)-VLOOKUP(I725,I713:L716,4,FALSE)))</f>
        <v/>
      </c>
      <c r="S724" s="256" t="str">
        <f>IF(R725="","",IF(Q724=3,+R725,-R725))</f>
        <v/>
      </c>
      <c r="T724" s="257"/>
      <c r="U724" s="258"/>
      <c r="V724" s="258"/>
      <c r="W724" s="258"/>
      <c r="X724" s="258"/>
      <c r="Y724" s="192"/>
      <c r="Z724" s="203"/>
      <c r="AA724" s="246">
        <v>2</v>
      </c>
      <c r="AB724" s="154" t="str">
        <f>IF(AND(COUNTBLANK(I713:I716)=0,Group_players=4,M713=M714,M714=M716),IF(COUNTIF(W712:W715,W713)=3,AB737,IF(AND(COUNTIF(W712:W715,W713)=1,W712&lt;&gt;W714),IF(M714=2,IF(SMALL(W712:W715,1)=W713,1,IF(SMALL(W712:W715,2)=W713,2,IF(SMALL(W712:W715,3)=W713,3))),IF(M714=1,IF(SMALL(W712:W715,1)=W713,2,IF(SMALL(W712:W715,2)=W713,3,IF(SMALL(W712:W715,3)=W713,4))),"")),IF(COUNTIF(W712:W715,W713)=1,IF(W713&lt;W712,IF(M714=2,1,2),IF(M714=2,3,4)),IF(COUNTIF(W712:W715,W713)=2,IF(W713=W712,IF(W713&lt;W715,IF(M714=2,IF(Q737=3,1,2),IF(M714=1,IF(Q737=3,2,3))),IF(W713&gt;W715,IF(M714=2,IF(Q737=3,2,3),IF(M714=1,IF(Q737=3,3,4))))),IF(W713=W715,IF(W713&lt;W712,IF(M714=2,IF(Q727=3,1,2),IF(M714=1,IF(Q727=3,2,3))),IF(W713&gt;W712,IF(M714=2,IF(Q727=3,2,3),IF(M714=1,IF(Q727=3,3,4))))))),"")))),"")</f>
        <v/>
      </c>
      <c r="AC724" s="192"/>
      <c r="AD724" s="192"/>
      <c r="AE724" s="192"/>
      <c r="AF724" s="203"/>
      <c r="AG724" s="203"/>
      <c r="AH724" s="203"/>
      <c r="AI724" s="203"/>
      <c r="AJ724" s="203"/>
      <c r="AK724" s="203"/>
      <c r="AL724" s="203"/>
      <c r="AM724" s="203"/>
      <c r="AN724" s="192"/>
      <c r="AO724" s="192"/>
      <c r="AP724" s="192"/>
      <c r="AQ724" s="192"/>
      <c r="AR724" s="192"/>
      <c r="AS724" s="192"/>
      <c r="AT724" s="192"/>
      <c r="AU724" s="192"/>
      <c r="AV724" s="192"/>
      <c r="AW724" s="192"/>
      <c r="AX724" s="192"/>
    </row>
    <row r="725" spans="2:50" ht="15" customHeight="1" thickBot="1" x14ac:dyDescent="0.35">
      <c r="B725" s="192"/>
      <c r="C725" s="192"/>
      <c r="D725" s="192"/>
      <c r="E725" s="164" t="str">
        <f>IF(Q725="","",IF(Q725=3,1,0))</f>
        <v/>
      </c>
      <c r="F725" s="164" t="str">
        <f>IF(Q725="","",IF(Q725&lt;3,1,0))</f>
        <v/>
      </c>
      <c r="G725" s="192"/>
      <c r="H725" s="192" t="str">
        <f>IF(I714="","",IF(I715="",2,3))</f>
        <v/>
      </c>
      <c r="I725" s="192" t="str">
        <f>IF(ISNUMBER(H725),VLOOKUP(H725,H713:I716,2,TRUE),"")</f>
        <v/>
      </c>
      <c r="J725" s="192"/>
      <c r="K725" s="192" t="str">
        <f>VLOOKUP(I725,I713:L716,3,FALSE)</f>
        <v/>
      </c>
      <c r="L725" s="155"/>
      <c r="M725" s="259"/>
      <c r="N725" s="259"/>
      <c r="O725" s="156"/>
      <c r="P725" s="157"/>
      <c r="Q725" s="260" t="str">
        <f>IF(L725="","",IF(AND(L725-L724&gt;1,L725&gt;10),1,0)+IF(AND(M725-M724&gt;1,M725&gt;10),1,0)+IF(AND(N725-N724&gt;1,N725&gt;10),1,0)+IF(AND(O725-O724&gt;1,O725&gt;10),1,0)+IF(AND(P725-P724&gt;1,P725&gt;10),1,0))</f>
        <v/>
      </c>
      <c r="R725" s="203" t="str">
        <f>IF(AND(Q724&lt;&gt;3,Q725&lt;&gt;3),"",IF(Q724=3,IF(VLOOKUP(I724,I713:L716,4,FALSE)&gt;VLOOKUP(I725,I713:L716,4,FALSE),VLOOKUP(R724,Point_dif,2,FALSE),VLOOKUP(R724,Point_dif,3,FALSE)),IF(Q725=3,IF(VLOOKUP(I725,I713:L716,4,FALSE)&gt;VLOOKUP(I724,I713:L716,4,FALSE),VLOOKUP(R724,Point_dif,2,FALSE),VLOOKUP(R724,Point_dif,3,FALSE)))))</f>
        <v/>
      </c>
      <c r="S725" s="256" t="str">
        <f>IF(R725="","",IF(Q725=3,+R725,-R725))</f>
        <v/>
      </c>
      <c r="T725" s="192"/>
      <c r="U725" s="235"/>
      <c r="V725" s="235"/>
      <c r="W725" s="235"/>
      <c r="X725" s="235"/>
      <c r="Y725" s="235"/>
      <c r="Z725" s="235"/>
      <c r="AA725" s="240">
        <v>4</v>
      </c>
      <c r="AB725" s="158" t="str">
        <f>IF(AND(COUNTBLANK(I713:I716)=0,Group_players=4,M713=M714,M714=M716),IF(COUNTIF(W712:W715,W715)=3,AB738,IF(AND(COUNTIF(W712:W715,W715)=1,W712&lt;&gt;W713),IF(M716=2,IF(SMALL(W712:W715,1)=W715,1,IF(SMALL(W712:W715,2)=W715,2,IF(SMALL(W712:W715,3)=W715,3))),IF(M716=1,IF(SMALL(W712:W715,1)=W715,2,IF(SMALL(W712:W715,2)=W715,3,IF(SMALL(W712:W715,3)=W715,4))),"")),IF(COUNTIF(W712:W715,W715)=1,IF(W715&lt;W712,IF(M716=2,1,2),IF(M716=2,3,4)),IF(COUNTIF(W712:W715,W715)=2,IF(W715=W712,IF(W715&lt;W713,IF(M716=2,IF(Q731=3,1,2),IF(M716=1,IF(Q731=3,2,3))),IF(W715&gt;W714,IF(M716=2,IF(Q731=3,2,3),IF(M716=1,IF(Q731=3,3,4))))),IF(W715=W713,IF(W715&lt;W712,IF(M716=2,IF(Q728=3,1,2),IF(M716=1,IF(Q728=3,2,3))),IF(W715&gt;W712,IF(M716=2,IF(Q728=3,2,3),IF(M716=1,IF(Q728=3,3,4))))))),"")))),"")</f>
        <v/>
      </c>
      <c r="AC725" s="192"/>
      <c r="AD725" s="192"/>
      <c r="AE725" s="192"/>
      <c r="AF725" s="203"/>
      <c r="AG725" s="203"/>
      <c r="AH725" s="203"/>
      <c r="AI725" s="203"/>
      <c r="AJ725" s="203"/>
      <c r="AK725" s="203"/>
      <c r="AL725" s="203"/>
      <c r="AM725" s="203"/>
      <c r="AN725" s="192"/>
      <c r="AO725" s="192"/>
      <c r="AP725" s="192"/>
      <c r="AQ725" s="192"/>
      <c r="AR725" s="192"/>
      <c r="AS725" s="192"/>
      <c r="AT725" s="192"/>
      <c r="AU725" s="192"/>
      <c r="AV725" s="192"/>
      <c r="AW725" s="192"/>
      <c r="AX725" s="192"/>
    </row>
    <row r="726" spans="2:50" ht="15" customHeight="1" thickTop="1" thickBot="1" x14ac:dyDescent="0.35">
      <c r="B726" s="192"/>
      <c r="C726" s="192"/>
      <c r="D726" s="192"/>
      <c r="E726" s="164"/>
      <c r="F726" s="164"/>
      <c r="G726" s="192"/>
      <c r="H726" s="192"/>
      <c r="I726" s="249" t="s">
        <v>116</v>
      </c>
      <c r="J726" s="249"/>
      <c r="K726" s="249"/>
      <c r="L726" s="250" t="s">
        <v>115</v>
      </c>
      <c r="M726" s="250" t="s">
        <v>116</v>
      </c>
      <c r="N726" s="250" t="s">
        <v>117</v>
      </c>
      <c r="O726" s="250" t="s">
        <v>118</v>
      </c>
      <c r="P726" s="250" t="s">
        <v>119</v>
      </c>
      <c r="Q726" s="250" t="s">
        <v>120</v>
      </c>
      <c r="R726" s="250"/>
      <c r="S726" s="251"/>
      <c r="T726" s="192"/>
      <c r="U726" s="235"/>
      <c r="V726" s="235"/>
      <c r="W726" s="235"/>
      <c r="X726" s="235"/>
      <c r="Y726" s="235"/>
      <c r="Z726" s="235"/>
      <c r="AA726" s="243">
        <v>2</v>
      </c>
      <c r="AB726" s="151" t="str">
        <f>IF(AND(COUNTBLANK(I713:I716)=0,Group_players=4,M714=M715,M715=M716),IF(COUNTIF(X712:X715,X713)=3,AB739,IF(AND(COUNTIF(X712:X715,X713)=1,X714&lt;&gt;X715),IF(M714=2,IF(SMALL(X712:X715,1)=X713,1,IF(SMALL(X712:X715,2)=X713,2,IF(SMALL(X712:X715,3)=X713,3))),IF(M714=1,IF(SMALL(X712:X715,1)=X713,2,IF(SMALL(X712:X715,2)=X713,3,IF(SMALL(X712:X715,3)=X713,4))),"")),IF(COUNTIF(X712:X715,X713)=1,IF(X713&lt;X715,IF(M714=2,1,2),IF(M714=1,3,3)),IF(COUNTIF(X712:X715,X713)=2,IF(X713=X714,IF(X713&lt;X715,IF(M714=2,IF(Q733=3,1,2),IF(M714=1,IF(Q733=3,2,3))),IF(X713&gt;X715,IF(M714=2,IF(Q733=3,2,3),IF(M714=1,IF(Q733=3,3,4))))),IF(X713=X715,IF(X713&lt;X714,IF(M714=2,IF(Q727=3,1,2),IF(M714=1,IF(Q727=3,2,3))),IF(X713&gt;X714,IF(M714=2,IF(Q727=3,2,3),IF(M714=1,IF(Q727=3,3,4))))))),"")))),"")</f>
        <v/>
      </c>
      <c r="AC726" s="192"/>
      <c r="AD726" s="192"/>
      <c r="AE726" s="192"/>
      <c r="AF726" s="203"/>
      <c r="AG726" s="203"/>
      <c r="AH726" s="203"/>
      <c r="AI726" s="203"/>
      <c r="AJ726" s="203"/>
      <c r="AK726" s="203"/>
      <c r="AL726" s="203"/>
      <c r="AM726" s="203"/>
      <c r="AN726" s="192"/>
      <c r="AO726" s="192"/>
      <c r="AP726" s="192"/>
      <c r="AQ726" s="192"/>
      <c r="AR726" s="192"/>
      <c r="AS726" s="192"/>
      <c r="AT726" s="192"/>
      <c r="AU726" s="192"/>
      <c r="AV726" s="192"/>
      <c r="AW726" s="192"/>
      <c r="AX726" s="192"/>
    </row>
    <row r="727" spans="2:50" ht="15" customHeight="1" thickTop="1" x14ac:dyDescent="0.3">
      <c r="B727" s="192"/>
      <c r="C727" s="192"/>
      <c r="D727" s="192"/>
      <c r="E727" s="164" t="str">
        <f>IF(Q727="","",IF(Q727=3,1,0))</f>
        <v/>
      </c>
      <c r="F727" s="164" t="str">
        <f>IF(Q727="","",IF(Q727&lt;3,1,0))</f>
        <v/>
      </c>
      <c r="G727" s="192"/>
      <c r="H727" s="192" t="str">
        <f>IF(I715="","",2)</f>
        <v/>
      </c>
      <c r="I727" s="192" t="str">
        <f>IF(ISNUMBER(H727),VLOOKUP(H727,H713:I716,2,TRUE),"")</f>
        <v/>
      </c>
      <c r="J727" s="192"/>
      <c r="K727" s="192" t="str">
        <f>VLOOKUP(I727,I713:L716,3,FALSE)</f>
        <v/>
      </c>
      <c r="L727" s="253"/>
      <c r="M727" s="254"/>
      <c r="N727" s="254"/>
      <c r="O727" s="152"/>
      <c r="P727" s="153"/>
      <c r="Q727" s="255" t="str">
        <f>IF(L727="","",IF(AND(L727-L728&gt;1,L727&gt;10),1,0)+IF(AND(M727-M728&gt;1,M727&gt;10),1,0)+IF(AND(N727-N728&gt;1,N727&gt;10),1,0)+IF(AND(O727-O728&gt;1,O727&gt;10),1,0)+IF(AND(P727-P728&gt;1,P727&gt;10),1,0))</f>
        <v/>
      </c>
      <c r="R727" s="203" t="str">
        <f>IF(AND(I727="",I728=""),"",ABS(VLOOKUP(I727,I713:L716,4,FALSE)-VLOOKUP(I728,I713:L716,4,FALSE)))</f>
        <v/>
      </c>
      <c r="S727" s="256" t="str">
        <f>IF(R728="","",IF(Q727=3,+R728,-R728))</f>
        <v/>
      </c>
      <c r="T727" s="192"/>
      <c r="U727" s="235"/>
      <c r="V727" s="235"/>
      <c r="W727" s="235"/>
      <c r="X727" s="235"/>
      <c r="Y727" s="235"/>
      <c r="Z727" s="235"/>
      <c r="AA727" s="246">
        <v>3</v>
      </c>
      <c r="AB727" s="154" t="str">
        <f>IF(AND(COUNTBLANK(I713:I716)=0,Group_players=4,M714=M715,M715=M716),IF(COUNTIF(X712:X715,X714)=3,AB740,IF(AND(COUNTIF(X712:X715,X714)=1,X713&lt;&gt;X715),IF(M715=2,IF(SMALL(X712:X715,1)=X714,1,IF(SMALL(X712:X715,2)=X714,2,IF(SMALL(X712:X715,3)=X714,3))),IF(M715=1,IF(SMALL(X712:X715,1)=X714,2,IF(SMALL(X712:X715,2)=X714,3,IF(SMALL(X712:X715,3)=X714,4))),"")),IF(COUNTIF(X712:X715,X714)=1,IF(X714&lt;X713,IF(M715=2,1,2),IF(M715=2,3,4)),IF(COUNTIF(X712:X715,X714)=2,IF(X714=X713,IF(X714&lt;X715,IF(M715=2,IF(Q734=3,1,2),IF(M715=1,IF(Q734=3,2,3))),IF(X714&gt;X715,IF(M715=2,IF(Q734=3,2,3),IF(M715=1,IF(Q734=3,3,4))))),IF(X714=X715,IF(X714&lt;X713,IF(M715=2,IF(Q739=3,1,2),IF(M715=1,IF(Q739=3,2,3))),IF(X714&gt;X713,IF(M715=2,IF(Q739=3,2,3),IF(M715=1,IF(Q739=3,3,4))))))),"")))),"")</f>
        <v/>
      </c>
      <c r="AC727" s="192"/>
      <c r="AD727" s="192"/>
      <c r="AE727" s="192"/>
      <c r="AF727" s="203"/>
      <c r="AG727" s="203"/>
      <c r="AH727" s="203"/>
      <c r="AI727" s="203"/>
      <c r="AJ727" s="203"/>
      <c r="AK727" s="203"/>
      <c r="AL727" s="203"/>
      <c r="AM727" s="203"/>
      <c r="AN727" s="192"/>
      <c r="AO727" s="192"/>
      <c r="AP727" s="192"/>
      <c r="AQ727" s="192"/>
      <c r="AR727" s="192"/>
      <c r="AS727" s="192"/>
      <c r="AT727" s="192"/>
      <c r="AU727" s="192"/>
      <c r="AV727" s="192"/>
      <c r="AW727" s="192"/>
      <c r="AX727" s="192"/>
    </row>
    <row r="728" spans="2:50" ht="15" customHeight="1" thickBot="1" x14ac:dyDescent="0.35">
      <c r="B728" s="192"/>
      <c r="C728" s="192"/>
      <c r="D728" s="192"/>
      <c r="E728" s="164" t="str">
        <f>IF(Q728="","",IF(Q728=3,1,0))</f>
        <v/>
      </c>
      <c r="F728" s="164" t="str">
        <f>IF(Q728="","",IF(Q728&lt;3,1,0))</f>
        <v/>
      </c>
      <c r="G728" s="192"/>
      <c r="H728" s="192" t="str">
        <f>IF(I715="","",IF(I716="",3,4))</f>
        <v/>
      </c>
      <c r="I728" s="192" t="str">
        <f>IF(ISNUMBER(H728),VLOOKUP(H728,H713:I716,2,TRUE),"")</f>
        <v/>
      </c>
      <c r="J728" s="192"/>
      <c r="K728" s="192" t="str">
        <f>VLOOKUP(I728,I713:L716,3,FALSE)</f>
        <v/>
      </c>
      <c r="L728" s="155"/>
      <c r="M728" s="259"/>
      <c r="N728" s="259"/>
      <c r="O728" s="156"/>
      <c r="P728" s="157"/>
      <c r="Q728" s="260" t="str">
        <f>IF(L728="","",IF(AND(L728-L727&gt;1,L728&gt;10),1,0)+IF(AND(M728-M727&gt;1,M728&gt;10),1,0)+IF(AND(N728-N727&gt;1,N728&gt;10),1,0)+IF(AND(O728-O727&gt;1,O728&gt;10),1,0)+IF(AND(P728-P727&gt;1,P728&gt;10),1,0))</f>
        <v/>
      </c>
      <c r="R728" s="203" t="str">
        <f>IF(AND(Q727&lt;&gt;3,Q728&lt;&gt;3),"",IF(Q727=3,IF(VLOOKUP(I727,I713:L716,4,FALSE)&gt;VLOOKUP(I728,I713:L716,4,FALSE),VLOOKUP(R727,Point_dif,2,FALSE),VLOOKUP(R727,Point_dif,3,FALSE)),IF(Q728=3,IF(VLOOKUP(I728,I713:L716,4,FALSE)&gt;VLOOKUP(I727,I713:L716,4,FALSE),VLOOKUP(R727,Point_dif,2,FALSE),VLOOKUP(R727,Point_dif,3,FALSE)))))</f>
        <v/>
      </c>
      <c r="S728" s="256" t="str">
        <f>IF(R728="","",IF(Q728=3,+R728,-R728))</f>
        <v/>
      </c>
      <c r="T728" s="192"/>
      <c r="U728" s="235"/>
      <c r="V728" s="235"/>
      <c r="W728" s="235"/>
      <c r="X728" s="235"/>
      <c r="Y728" s="235"/>
      <c r="Z728" s="235"/>
      <c r="AA728" s="261">
        <v>4</v>
      </c>
      <c r="AB728" s="158" t="str">
        <f>IF(AND(COUNTBLANK(I713:I716)=0,Group_players=4,M714=M715,M715=M716),IF(COUNTIF(X712:X715,X715)=3,AB741,IF(AND(COUNTIF(X712:X715,X715)=1,X714&lt;&gt;X713),IF(M716=2,IF(SMALL(X712:X715,1)=X715,1,IF(SMALL(X712:X715,2)=X715,2,IF(SMALL(X712:X715,3)=X715,3))),IF(M716=1,IF(SMALL(X712:X715,1)=X715,2,IF(SMALL(X712:X715,2)=X715,3,IF(SMALL(X712:X715,3)=X715,4))),"")),IF(COUNTIF(X712:X715,X715)=1,IF(X715&lt;X713,IF(M716=2,1,2),IF(M716=2,3,4)),IF(COUNTIF(X712:X715,X715)=2,IF(X715=X713,IF(X715&lt;X714,IF(M716=2,IF(Q728=3,1,2),IF(M716=1,IF(Q728=3,2,3))),IF(X715&gt;X714,IF(M716=2,IF(Q728=3,2,3),IF(M716=1,IF(Q728=3,3,4))))),IF(X715=X714,IF(X715&lt;X713,IF(M716=2,IF(Q740=3,1,2),IF(M716=1,IF(Q740=3,2,3))),IF(X715&gt;X713,IF(M716=2,IF(Q740=3,2,3),IF(M716=1,IF(Q740=3,3,4))))))),"")))),"")</f>
        <v/>
      </c>
      <c r="AC728" s="192"/>
      <c r="AD728" s="192"/>
      <c r="AE728" s="192"/>
      <c r="AF728" s="203"/>
      <c r="AG728" s="203"/>
      <c r="AH728" s="203"/>
      <c r="AI728" s="203"/>
      <c r="AJ728" s="203"/>
      <c r="AK728" s="203"/>
      <c r="AL728" s="203"/>
      <c r="AM728" s="203"/>
      <c r="AN728" s="192"/>
      <c r="AO728" s="192"/>
      <c r="AP728" s="192"/>
      <c r="AQ728" s="192"/>
      <c r="AR728" s="192"/>
      <c r="AS728" s="192"/>
      <c r="AT728" s="192"/>
      <c r="AU728" s="192"/>
      <c r="AV728" s="192"/>
      <c r="AW728" s="192"/>
      <c r="AX728" s="192"/>
    </row>
    <row r="729" spans="2:50" ht="15" customHeight="1" thickTop="1" thickBot="1" x14ac:dyDescent="0.35">
      <c r="B729" s="192"/>
      <c r="C729" s="192"/>
      <c r="D729" s="192"/>
      <c r="E729" s="164"/>
      <c r="F729" s="164"/>
      <c r="G729" s="192"/>
      <c r="H729" s="192"/>
      <c r="I729" s="249" t="s">
        <v>117</v>
      </c>
      <c r="J729" s="249"/>
      <c r="K729" s="249"/>
      <c r="L729" s="250" t="s">
        <v>115</v>
      </c>
      <c r="M729" s="250" t="s">
        <v>116</v>
      </c>
      <c r="N729" s="250" t="s">
        <v>117</v>
      </c>
      <c r="O729" s="250" t="s">
        <v>118</v>
      </c>
      <c r="P729" s="250" t="s">
        <v>119</v>
      </c>
      <c r="Q729" s="250" t="s">
        <v>120</v>
      </c>
      <c r="R729" s="250"/>
      <c r="S729" s="251"/>
      <c r="T729" s="263"/>
      <c r="U729" s="264"/>
      <c r="V729" s="242"/>
      <c r="W729" s="242"/>
      <c r="X729" s="264"/>
      <c r="Y729" s="192"/>
      <c r="Z729" s="203"/>
      <c r="AA729" s="126" t="s">
        <v>93</v>
      </c>
      <c r="AB729" s="265" t="s">
        <v>110</v>
      </c>
      <c r="AC729" s="192"/>
      <c r="AD729" s="192"/>
      <c r="AE729" s="192"/>
      <c r="AF729" s="203"/>
      <c r="AG729" s="203"/>
      <c r="AH729" s="203"/>
      <c r="AI729" s="203"/>
      <c r="AJ729" s="203"/>
      <c r="AK729" s="203"/>
      <c r="AL729" s="203"/>
      <c r="AM729" s="203"/>
      <c r="AN729" s="192"/>
      <c r="AO729" s="192"/>
      <c r="AP729" s="192"/>
      <c r="AQ729" s="192"/>
      <c r="AR729" s="192"/>
      <c r="AS729" s="192"/>
      <c r="AT729" s="192"/>
      <c r="AU729" s="192"/>
      <c r="AV729" s="192"/>
      <c r="AW729" s="192"/>
      <c r="AX729" s="192"/>
    </row>
    <row r="730" spans="2:50" ht="15" customHeight="1" thickTop="1" x14ac:dyDescent="0.3">
      <c r="B730" s="192"/>
      <c r="C730" s="192"/>
      <c r="D730" s="192"/>
      <c r="E730" s="164" t="str">
        <f>IF(Q730="","",IF(Q730=3,1,0))</f>
        <v/>
      </c>
      <c r="F730" s="164" t="str">
        <f>IF(Q730="","",IF(Q730&lt;3,1,0))</f>
        <v/>
      </c>
      <c r="G730" s="192"/>
      <c r="H730" s="192" t="str">
        <f>IF(I715&lt;&gt;"",1,"")</f>
        <v/>
      </c>
      <c r="I730" s="192" t="str">
        <f>IF(ISNUMBER(H730),VLOOKUP(H730,H713:I716,2,TRUE),"")</f>
        <v/>
      </c>
      <c r="J730" s="192"/>
      <c r="K730" s="192" t="str">
        <f>VLOOKUP(I730,I713:L716,3,FALSE)</f>
        <v/>
      </c>
      <c r="L730" s="253"/>
      <c r="M730" s="254"/>
      <c r="N730" s="254"/>
      <c r="O730" s="152"/>
      <c r="P730" s="153"/>
      <c r="Q730" s="255" t="str">
        <f>IF(L730="","",IF(AND(L730-L731&gt;1,L730&gt;10),1,0)+IF(AND(M730-M731&gt;1,M730&gt;10),1,0)+IF(AND(N730-N731&gt;1,N730&gt;10),1,0)+IF(AND(O730-O731&gt;1,O730&gt;10),1,0)+IF(AND(P730-P731&gt;1,P730&gt;10),1,0))</f>
        <v/>
      </c>
      <c r="R730" s="203" t="str">
        <f>IF(AND(I730="",I731=""),"",ABS(VLOOKUP(I730,I713:L716,4,FALSE)-VLOOKUP(I731,I713:L716,4,FALSE)))</f>
        <v/>
      </c>
      <c r="S730" s="256" t="str">
        <f>IF(R731="","",IF(Q730=3,+R731,-R731))</f>
        <v/>
      </c>
      <c r="T730" s="192"/>
      <c r="U730" s="235"/>
      <c r="V730" s="235"/>
      <c r="W730" s="235"/>
      <c r="X730" s="235"/>
      <c r="Y730" s="235"/>
      <c r="Z730" s="235"/>
      <c r="AA730" s="243">
        <v>1</v>
      </c>
      <c r="AB730" s="222" t="str">
        <f>IF(AND(COUNTBLANK(I713:I716)=0,Group_players=4,M713=M714,M714=M715),IF(U720="","",IF(COUNTIF(U720:U723,U720)=3,"Tied",IF(AND(COUNTIF(U720:U723,U720)=1,U721&lt;&gt;U722),IF(M713=2,IF(SMALL(U720:U723,1)=U720,1,IF(SMALL(U720:U723,2)=U720,2,IF(SMALL(U720:U723,3)=U720,3))),IF(M713=1,IF(SMALL(U720:U723,1)=U720,2,IF(SMALL(U720:U723,2)=U720,3,IF(SMALL(U720:U723,3)=U720,4))),"")),IF(COUNTIF(U720:U723,U720)=1,IF(U720&lt;U721,IF(M713=2,1,2),IF(M713=2,3,4)),IF(COUNTIF(U720:U723,U720)=2,IF(U720=U721,IF(U720&lt;U722,IF(M713=2,IF(Q736=3,1,2),IF(M713=1,IF(Q736=3,2,3))),IF(U720&gt;U722,IF(M713=2,IF(Q736=3,2,3),IF(M713=1,IF(Q736=3,3,4))))),IF(U720=U722,IF(U720&lt;U721,IF(M713=2,IF(Q724=3,1,2),IF(M713=1,IF(Q724=3,2,3))),IF(U720&gt;U721,IF(M713=2,IF(Q724=3,2,3),IF(M713=1,IF(Q724=3,3,4)))))))))))),"")</f>
        <v/>
      </c>
      <c r="AC730" s="192"/>
      <c r="AD730" s="192"/>
      <c r="AE730" s="192"/>
      <c r="AF730" s="203"/>
      <c r="AG730" s="203"/>
      <c r="AH730" s="203"/>
      <c r="AI730" s="203"/>
      <c r="AJ730" s="203"/>
      <c r="AK730" s="203"/>
      <c r="AL730" s="203"/>
      <c r="AM730" s="203"/>
      <c r="AN730" s="192"/>
      <c r="AO730" s="192"/>
      <c r="AP730" s="192"/>
      <c r="AQ730" s="192"/>
      <c r="AR730" s="192"/>
      <c r="AS730" s="192"/>
      <c r="AT730" s="192"/>
      <c r="AU730" s="192"/>
      <c r="AV730" s="192"/>
      <c r="AW730" s="192"/>
      <c r="AX730" s="192"/>
    </row>
    <row r="731" spans="2:50" ht="15" customHeight="1" thickBot="1" x14ac:dyDescent="0.35">
      <c r="B731" s="192"/>
      <c r="C731" s="192"/>
      <c r="D731" s="192"/>
      <c r="E731" s="164" t="str">
        <f>IF(Q731="","",IF(Q731=3,1,0))</f>
        <v/>
      </c>
      <c r="F731" s="164" t="str">
        <f>IF(Q731="","",IF(Q731&lt;3,1,0))</f>
        <v/>
      </c>
      <c r="G731" s="192"/>
      <c r="H731" s="192" t="str">
        <f>IF(I715="","",IF(I716&lt;&gt;"",4,2))</f>
        <v/>
      </c>
      <c r="I731" s="192" t="str">
        <f>IF(ISNUMBER(H731),VLOOKUP(H731,H713:I716,2,TRUE),"")</f>
        <v/>
      </c>
      <c r="J731" s="192"/>
      <c r="K731" s="192" t="str">
        <f>VLOOKUP(I731,I713:L716,3,FALSE)</f>
        <v/>
      </c>
      <c r="L731" s="155"/>
      <c r="M731" s="259"/>
      <c r="N731" s="259"/>
      <c r="O731" s="156"/>
      <c r="P731" s="157"/>
      <c r="Q731" s="260" t="str">
        <f>IF(L731="","",IF(AND(L731-L730&gt;1,L731&gt;10),1,0)+IF(AND(M731-M730&gt;1,M731&gt;10),1,0)+IF(AND(N731-N730&gt;1,N731&gt;10),1,0)+IF(AND(O731-O730&gt;1,O731&gt;10),1,0)+IF(AND(P731-P730&gt;1,P731&gt;10),1,0))</f>
        <v/>
      </c>
      <c r="R731" s="203" t="str">
        <f>IF(AND(Q730&lt;&gt;3,Q731&lt;&gt;3),"",IF(Q730=3,IF(VLOOKUP(I730,I713:L716,4,FALSE)&gt;VLOOKUP(I731,I713:L716,4,FALSE),VLOOKUP(R730,Point_dif,2,FALSE),VLOOKUP(R730,Point_dif,3,FALSE)),IF(Q731=3,IF(VLOOKUP(I731,I713:L716,4,FALSE)&gt;VLOOKUP(I730,I713:L716,4,FALSE),VLOOKUP(R730,Point_dif,2,FALSE),VLOOKUP(R730,Point_dif,3,FALSE)))))</f>
        <v/>
      </c>
      <c r="S731" s="256" t="str">
        <f>IF(R731="","",IF(Q731=3,+R731,-R731))</f>
        <v/>
      </c>
      <c r="T731" s="192"/>
      <c r="U731" s="235"/>
      <c r="V731" s="235"/>
      <c r="W731" s="235"/>
      <c r="X731" s="235"/>
      <c r="Y731" s="235"/>
      <c r="Z731" s="235"/>
      <c r="AA731" s="246">
        <v>2</v>
      </c>
      <c r="AB731" s="222" t="str">
        <f>IF(AND(COUNTBLANK(I713:I716)=0,Group_players=4,M713=M714,M714=M715),IF(U721="","",IF(COUNTIF(U720:U723,U721)=3,"Tied",IF(AND(COUNTIF(U720:U723,U721)=1,U720&lt;&gt;U722),IF(M714=2,IF(SMALL(U720:U723,1)=U721,1,IF(SMALL(U720:U723,2)=U721,2,IF(SMALL(U720:U723,3)=U721,3))),IF(M714=1,IF(SMALL(U720:U723,1)=U721,2,IF(SMALL(U720:U723,2)=U721,3,IF(SMALL(U720:U723,3)=U721,4))),"")),IF(COUNTIF(U720:U723,U721)=1,IF(U721&lt;U720,IF(M714=2,1,2),IF(M714=2,3,4)),IF(COUNTIF(U720:U723,U721)=2,IF(U721=U720,IF(U721&lt;U722,IF(M714=2,IF(Q737=3,1,2),IF(M714=1,IF(Q737=3,2,3))),IF(U721&gt;U722,IF(M714=2,IF(Q737=3,2,3),IF(M714=1,IF(Q737=3,3,4))))),IF(U721=U722,IF(U721&lt;U720,IF(M714=2,IF(Q733=3,1,2),IF(M714=1,IF(Q733=3,2,3))),IF(U721&gt;U720,IF(M714=2,IF(Q733=3,2,3),IF(M714=1,IF(Q733=3,3,4)))))))))))),"")</f>
        <v/>
      </c>
      <c r="AC731" s="192"/>
      <c r="AD731" s="192"/>
      <c r="AE731" s="192"/>
      <c r="AF731" s="203"/>
      <c r="AG731" s="203"/>
      <c r="AH731" s="203"/>
      <c r="AI731" s="203"/>
      <c r="AJ731" s="203"/>
      <c r="AK731" s="203"/>
      <c r="AL731" s="203"/>
      <c r="AM731" s="203"/>
      <c r="AN731" s="192"/>
      <c r="AO731" s="192"/>
      <c r="AP731" s="192"/>
      <c r="AQ731" s="192"/>
      <c r="AR731" s="192"/>
      <c r="AS731" s="192"/>
      <c r="AT731" s="192"/>
      <c r="AU731" s="192"/>
      <c r="AV731" s="192"/>
      <c r="AW731" s="192"/>
      <c r="AX731" s="192"/>
    </row>
    <row r="732" spans="2:50" ht="15" customHeight="1" thickTop="1" thickBot="1" x14ac:dyDescent="0.35">
      <c r="B732" s="192"/>
      <c r="C732" s="192"/>
      <c r="D732" s="192"/>
      <c r="E732" s="164"/>
      <c r="F732" s="164"/>
      <c r="G732" s="192"/>
      <c r="H732" s="192"/>
      <c r="I732" s="249" t="s">
        <v>118</v>
      </c>
      <c r="J732" s="249"/>
      <c r="K732" s="249"/>
      <c r="L732" s="250" t="s">
        <v>115</v>
      </c>
      <c r="M732" s="250" t="s">
        <v>116</v>
      </c>
      <c r="N732" s="250" t="s">
        <v>117</v>
      </c>
      <c r="O732" s="250" t="s">
        <v>118</v>
      </c>
      <c r="P732" s="250" t="s">
        <v>119</v>
      </c>
      <c r="Q732" s="250" t="s">
        <v>120</v>
      </c>
      <c r="R732" s="250"/>
      <c r="S732" s="251"/>
      <c r="T732" s="192"/>
      <c r="U732" s="235"/>
      <c r="V732" s="235"/>
      <c r="W732" s="235"/>
      <c r="X732" s="235"/>
      <c r="Y732" s="235"/>
      <c r="Z732" s="235"/>
      <c r="AA732" s="240">
        <v>3</v>
      </c>
      <c r="AB732" s="241" t="str">
        <f>IF(AND(COUNTBLANK(I713:I716)=0,Group_players=4,M713=M714,M714=M715),IF(U722="","",IF(COUNTIF(U720:U723,U722)=3,"Tied",IF(AND(COUNTIF(U720:U723,U722)=1,U720&lt;&gt;U721),IF(M713=2,IF(SMALL(U720:U723,1)=U722,1,IF(SMALL(U720:U723,2)=U722,2,IF(SMALL(U720:U723,3)=U722,3))),IF(M715=1,IF(SMALL(U720:U723,1)=U722,2,IF(SMALL(U720:U723,2)=U722,3,IF(SMALL(U720:U723,3)=U722,4))),"")),IF(COUNTIF(U720:U723,U722)=1,IF(U722&lt;U721,IF(M715=2,1,2),IF(M715=2,3,4)),IF(COUNTIF(U720:U723,U722)=2,IF(U722=U721,IF(U722&lt;U720,IF(M715=2,IF(Q734=3,1,2),IF(M715=1,IF(Q734=3,2,3))),IF(U722&gt;U720,IF(M715=2,IF(Q734=3,2,3),IF(M715=1,IF(Q734=3,3,4))))),IF(U722=U720,IF(U722&lt;U721,IF(M715=2,IF(Q725=3,1,2),IF(M715=1,IF(Q725=3,2,3))),IF(U722&gt;U721,IF(M715=2,IF(Q725=3,2,3),IF(M715=1,IF(Q725=3,3,4)))))))))))),"")</f>
        <v/>
      </c>
      <c r="AC732" s="192"/>
      <c r="AD732" s="192"/>
      <c r="AE732" s="192"/>
      <c r="AF732" s="203"/>
      <c r="AG732" s="203"/>
      <c r="AH732" s="203"/>
      <c r="AI732" s="203"/>
      <c r="AJ732" s="203"/>
      <c r="AK732" s="203"/>
      <c r="AL732" s="203"/>
      <c r="AM732" s="203"/>
      <c r="AN732" s="192"/>
      <c r="AO732" s="192"/>
      <c r="AP732" s="192"/>
      <c r="AQ732" s="192"/>
      <c r="AR732" s="192"/>
      <c r="AS732" s="192"/>
      <c r="AT732" s="192"/>
      <c r="AU732" s="192"/>
      <c r="AV732" s="192"/>
      <c r="AW732" s="192"/>
      <c r="AX732" s="192"/>
    </row>
    <row r="733" spans="2:50" ht="15" customHeight="1" thickTop="1" x14ac:dyDescent="0.3">
      <c r="B733" s="192"/>
      <c r="C733" s="192"/>
      <c r="D733" s="192"/>
      <c r="E733" s="164" t="str">
        <f>IF(Q733="","",IF(Q733=3,1,0))</f>
        <v/>
      </c>
      <c r="F733" s="164" t="str">
        <f>IF(Q733="","",IF(Q733&lt;3,1,0))</f>
        <v/>
      </c>
      <c r="G733" s="192"/>
      <c r="H733" s="192" t="str">
        <f>IF(I716&lt;&gt;"",2,"")</f>
        <v/>
      </c>
      <c r="I733" s="192" t="str">
        <f>IF(ISNUMBER(H733),VLOOKUP(H733,H713:I716,2,TRUE),"")</f>
        <v/>
      </c>
      <c r="J733" s="192"/>
      <c r="K733" s="192" t="str">
        <f>VLOOKUP(I733,I713:L716,3,FALSE)</f>
        <v/>
      </c>
      <c r="L733" s="253"/>
      <c r="M733" s="254"/>
      <c r="N733" s="254"/>
      <c r="O733" s="152"/>
      <c r="P733" s="153"/>
      <c r="Q733" s="255" t="str">
        <f>IF(L733="","",IF(AND(L733-L734&gt;1,L733&gt;10),1,0)+IF(AND(M733-M734&gt;1,M733&gt;10),1,0)+IF(AND(N733-N734&gt;1,N733&gt;10),1,0)+IF(AND(O733-O734&gt;1,O733&gt;10),1,0)+IF(AND(P733-P734&gt;1,P733&gt;10),1,0))</f>
        <v/>
      </c>
      <c r="R733" s="203" t="str">
        <f>IF(AND(I733="",I734=""),"",ABS(VLOOKUP(I733,I713:L716,4,FALSE)-VLOOKUP(I734,I713:L716,4,FALSE)))</f>
        <v/>
      </c>
      <c r="S733" s="256" t="str">
        <f>IF(R734="","",IF(Q733=3,+R734,-R734))</f>
        <v/>
      </c>
      <c r="T733" s="192"/>
      <c r="U733" s="235"/>
      <c r="V733" s="235"/>
      <c r="W733" s="235"/>
      <c r="X733" s="235"/>
      <c r="Y733" s="235"/>
      <c r="Z733" s="235"/>
      <c r="AA733" s="243">
        <v>1</v>
      </c>
      <c r="AB733" s="222" t="str">
        <f>IF(AND(COUNTBLANK(I713:I716)=0,Group_players=4,M713=M715,M715=M716),IF(V720="","",IF(COUNTIF(V720:V723,V720)=3,"Tied",IF(AND(COUNTIF(V720:V723,V720)=1,V722&lt;&gt;U723),IF(M713=2,IF(SMALL(V720:V723,1)=V720,1,IF(SMALL(V720:V723,2)=V720,2,IF(SMALL(V720:V723,3)=V720,3))),IF(M713=1,IF(SMALL(V720:V723,1)=V720,2,IF(SMALL(V720:V723,2)=V720,3,IF(SMALL(V720:V723,3)=V720,4))),"")),IF(COUNTIF(V720:V723,V720)=1,IF(V720&lt;V722,IF(M713=2,1,2),IF(M713=2,3,4)),IF(COUNTIF(V720:V723,V720)=2,IF(V720=V722,IF(V720&lt;V723,IF(M713=2,IF(Q724=3,1,2),IF(M713=1,IF(Q724=3,2,3))),IF(V720&gt;V723,IF(M713=2,IF(Q724=3,2,3),IF(M713=1,IF(Q724=3,3,4))))),IF(V720=V723,IF(V720&lt;V722,IF(M713=2,IF(Q730=3,1,2),IF(M713=1,IF(Q730=3,2,3))),IF(V720&gt;V721,IF(M713=2,IF(Q730=3,2,3),IF(M713=1,IF(Q730=3,3,4)))))))))))),"")</f>
        <v/>
      </c>
      <c r="AC733" s="192"/>
      <c r="AD733" s="192"/>
      <c r="AE733" s="192"/>
      <c r="AF733" s="203"/>
      <c r="AG733" s="203"/>
      <c r="AH733" s="203"/>
      <c r="AI733" s="203"/>
      <c r="AJ733" s="203"/>
      <c r="AK733" s="203"/>
      <c r="AL733" s="203"/>
      <c r="AM733" s="203"/>
      <c r="AN733" s="192"/>
      <c r="AO733" s="192"/>
      <c r="AP733" s="192"/>
      <c r="AQ733" s="192"/>
      <c r="AR733" s="192"/>
      <c r="AS733" s="192"/>
      <c r="AT733" s="192"/>
      <c r="AU733" s="192"/>
      <c r="AV733" s="192"/>
      <c r="AW733" s="192"/>
      <c r="AX733" s="192"/>
    </row>
    <row r="734" spans="2:50" ht="15" customHeight="1" thickBot="1" x14ac:dyDescent="0.35">
      <c r="B734" s="192"/>
      <c r="C734" s="192"/>
      <c r="D734" s="192"/>
      <c r="E734" s="164" t="str">
        <f>IF(Q734="","",IF(Q734=3,1,0))</f>
        <v/>
      </c>
      <c r="F734" s="164" t="str">
        <f>IF(Q734="","",IF(Q734&lt;3,1,0))</f>
        <v/>
      </c>
      <c r="G734" s="192"/>
      <c r="H734" s="192" t="str">
        <f>IF(I716&lt;&gt;"",3,"")</f>
        <v/>
      </c>
      <c r="I734" s="192" t="str">
        <f>IF(ISNUMBER(H734),VLOOKUP(H734,H713:I716,2,TRUE),"")</f>
        <v/>
      </c>
      <c r="J734" s="192"/>
      <c r="K734" s="192" t="str">
        <f>VLOOKUP(I734,I713:L716,3,FALSE)</f>
        <v/>
      </c>
      <c r="L734" s="155"/>
      <c r="M734" s="259"/>
      <c r="N734" s="259"/>
      <c r="O734" s="156"/>
      <c r="P734" s="157"/>
      <c r="Q734" s="260" t="str">
        <f>IF(L734="","",IF(AND(L734-L733&gt;1,L734&gt;10),1,0)+IF(AND(M734-M733&gt;1,M734&gt;10),1,0)+IF(AND(N734-N733&gt;1,N734&gt;10),1,0)+IF(AND(O734-O733&gt;1,O734&gt;10),1,0)+IF(AND(P734-P733&gt;1,P734&gt;10),1,0))</f>
        <v/>
      </c>
      <c r="R734" s="203" t="str">
        <f>IF(AND(Q733&lt;&gt;3,Q734&lt;&gt;3),"",IF(Q733=3,IF(VLOOKUP(I733,I713:L716,4,FALSE)&gt;VLOOKUP(I734,I713:L716,4,FALSE),VLOOKUP(R733,Point_dif,2,FALSE),VLOOKUP(R733,Point_dif,3,FALSE)),IF(Q734=3,IF(VLOOKUP(I734,I713:L716,4,FALSE)&gt;VLOOKUP(I733,I713:L716,4,FALSE),VLOOKUP(R733,Point_dif,2,FALSE),VLOOKUP(R733,Point_dif,3,FALSE)))))</f>
        <v/>
      </c>
      <c r="S734" s="256" t="str">
        <f>IF(R734="","",IF(Q734=3,+R734,-R734))</f>
        <v/>
      </c>
      <c r="T734" s="192"/>
      <c r="U734" s="159"/>
      <c r="V734" s="266"/>
      <c r="W734" s="266"/>
      <c r="X734" s="266"/>
      <c r="Y734" s="192"/>
      <c r="Z734" s="203"/>
      <c r="AA734" s="246">
        <v>3</v>
      </c>
      <c r="AB734" s="222" t="str">
        <f>IF(AND(COUNTBLANK(I713:I716)=0,Group_players=4,M713=M715,M715=M716),IF(V722="","",IF(COUNTIF(V720:V723,V722)=3,"Tied",IF(AND(COUNTIF(V720:V723,V722)=1,V720&lt;&gt;V723),IF(M715=2,IF(SMALL(V720:V723,1)=V722,1,IF(SMALL(V720:V723,2)=V722,2,IF(SMALL(V720:V723,3)=V722,3))),IF(M715=1,IF(SMALL(V720:V723,1)=V722,2,IF(SMALL(V720:V723,2)=V722,3,IF(SMALL(V720:V723,3)=V722,4))),"")),IF(COUNTIF(V720:V723,V722)=1,IF(V722&lt;V720,IF(M715=2,1,2),IF(M715=2,3,4)),IF(COUNTIF(V720:V723,V722)=2,IF(V722=V720,IF(V722&lt;V723,IF(M715=2,IF(Q725=3,1,2),IF(M715=1,IF(Q725=3,2,3))),IF(V722&gt;V723,IF(M715=2,IF(Q725=3,2,3),IF(M715=1,IF(Q725=3,3,4))))),IF(V722=V723,IF(V722&lt;V720,IF(M715=2,IF(Q739=3,1,2),IF(M715=1,IF(Q739=3,2,3))),IF(V722&gt;V720,IF(M715=2,IF(Q739=3,2,3),IF(M715=1,IF(Q739=3,3,4)))))))))))),"")</f>
        <v/>
      </c>
      <c r="AC734" s="192"/>
      <c r="AD734" s="192"/>
      <c r="AE734" s="192"/>
      <c r="AF734" s="203"/>
      <c r="AG734" s="203"/>
      <c r="AH734" s="203"/>
      <c r="AI734" s="203"/>
      <c r="AJ734" s="203"/>
      <c r="AK734" s="203"/>
      <c r="AL734" s="203"/>
      <c r="AM734" s="203"/>
      <c r="AN734" s="192"/>
      <c r="AO734" s="192"/>
      <c r="AP734" s="192"/>
      <c r="AQ734" s="192"/>
      <c r="AR734" s="192"/>
      <c r="AS734" s="192"/>
      <c r="AT734" s="192"/>
      <c r="AU734" s="192"/>
      <c r="AV734" s="192"/>
      <c r="AW734" s="192"/>
      <c r="AX734" s="192"/>
    </row>
    <row r="735" spans="2:50" ht="15" customHeight="1" thickTop="1" thickBot="1" x14ac:dyDescent="0.35">
      <c r="B735" s="192"/>
      <c r="C735" s="192"/>
      <c r="D735" s="192"/>
      <c r="E735" s="164"/>
      <c r="F735" s="164"/>
      <c r="G735" s="192"/>
      <c r="H735" s="192"/>
      <c r="I735" s="249" t="s">
        <v>119</v>
      </c>
      <c r="J735" s="249"/>
      <c r="K735" s="249"/>
      <c r="L735" s="250" t="s">
        <v>115</v>
      </c>
      <c r="M735" s="250" t="s">
        <v>116</v>
      </c>
      <c r="N735" s="250" t="s">
        <v>117</v>
      </c>
      <c r="O735" s="250" t="s">
        <v>118</v>
      </c>
      <c r="P735" s="250" t="s">
        <v>119</v>
      </c>
      <c r="Q735" s="250" t="s">
        <v>120</v>
      </c>
      <c r="R735" s="250"/>
      <c r="S735" s="251"/>
      <c r="T735" s="247"/>
      <c r="U735" s="235"/>
      <c r="V735" s="235"/>
      <c r="W735" s="235"/>
      <c r="X735" s="235"/>
      <c r="Y735" s="235"/>
      <c r="Z735" s="235"/>
      <c r="AA735" s="240">
        <v>4</v>
      </c>
      <c r="AB735" s="241" t="str">
        <f>IF(AND(COUNTBLANK(I713:I716)=0,Group_players=4,M713=M715,M715=M716),IF(V723="","",IF(COUNTIF(V720:V723,V723)=3,"Tied",IF(AND(COUNTIF(V720:V723,V723)=1,V722&lt;&gt;V720),IF(M716=2,IF(SMALL(V720:V723,1)=V723,1,IF(SMALL(V720:V723,2)=V723,2,IF(SMALL(V720:V723,3)=V723,3))),IF(M716=1,IF(SMALL(V720:V723,1)=V723,2,IF(SMALL(V720:V723,2)=V723,3,IF(SMALL(V720:V723,3)=V723,4))),"")),IF(COUNTIF(V720:V723,V723)=1,IF(V723&lt;V720,IF(M716=2,1,2),IF(M716=2,3,4)),IF(COUNTIF(V720:V723,V723)=2,IF(V723=V720,IF(V723&lt;V722,IF(M716=2,IF(Q731=3,1,2),IF(M716=1,IF(Q731=3,2,3))),IF(V723&gt;V722,IF(M716=2,IF(Q731=3,2,3),IF(M716=1,IF(Q731=3,3,4))))),IF(V723=V722,IF(V723&lt;V720,IF(M716=2,IF(Q740=3,1,2),IF(M716=1,IF(Q740=3,2,3))),IF(V723&gt;V720,IF(M716=2,IF(Q740=3,2,3),IF(M716=1,IF(Q740=3,3,4)))))))))))),"")</f>
        <v/>
      </c>
      <c r="AC735" s="192"/>
      <c r="AD735" s="192"/>
      <c r="AE735" s="192"/>
      <c r="AF735" s="203"/>
      <c r="AG735" s="203"/>
      <c r="AH735" s="203"/>
      <c r="AI735" s="203"/>
      <c r="AJ735" s="203"/>
      <c r="AK735" s="203"/>
      <c r="AL735" s="203"/>
      <c r="AM735" s="203"/>
      <c r="AN735" s="192"/>
      <c r="AO735" s="192"/>
      <c r="AP735" s="192"/>
      <c r="AQ735" s="192"/>
      <c r="AR735" s="192"/>
      <c r="AS735" s="192"/>
      <c r="AT735" s="192"/>
      <c r="AU735" s="192"/>
      <c r="AV735" s="192"/>
      <c r="AW735" s="192"/>
      <c r="AX735" s="192"/>
    </row>
    <row r="736" spans="2:50" ht="15" customHeight="1" thickTop="1" x14ac:dyDescent="0.3">
      <c r="B736" s="192"/>
      <c r="C736" s="192"/>
      <c r="D736" s="192"/>
      <c r="E736" s="164" t="str">
        <f>IF(Q736="","",IF(Q736=3,1,0))</f>
        <v/>
      </c>
      <c r="F736" s="164" t="str">
        <f>IF(Q736="","",IF(Q736&lt;3,1,0))</f>
        <v/>
      </c>
      <c r="G736" s="192"/>
      <c r="H736" s="192" t="str">
        <f>IF(I716&lt;&gt;"",1,"")</f>
        <v/>
      </c>
      <c r="I736" s="192" t="str">
        <f>IF(ISNUMBER(H736),VLOOKUP(H736,H713:I716,2,TRUE),"")</f>
        <v/>
      </c>
      <c r="J736" s="192"/>
      <c r="K736" s="192" t="str">
        <f>VLOOKUP(I736,I713:L716,3,FALSE)</f>
        <v/>
      </c>
      <c r="L736" s="253"/>
      <c r="M736" s="254"/>
      <c r="N736" s="254"/>
      <c r="O736" s="152"/>
      <c r="P736" s="153"/>
      <c r="Q736" s="255" t="str">
        <f>IF(L736="","",IF(AND(L736-L737&gt;1,L736&gt;10),1,0)+IF(AND(M736-M737&gt;1,M736&gt;10),1,0)+IF(AND(N736-N737&gt;1,N736&gt;10),1,0)+IF(AND(O736-O737&gt;1,O736&gt;10),1,0)+IF(AND(P736-P737&gt;1,P736&gt;10),1,0))</f>
        <v/>
      </c>
      <c r="R736" s="203" t="str">
        <f>IF(AND(I736="",I737=""),"",ABS(VLOOKUP(I736,I713:L716,4,FALSE)-VLOOKUP(I737,I713:L716,4,FALSE)))</f>
        <v/>
      </c>
      <c r="S736" s="256" t="str">
        <f>IF(R737="","",IF(Q736=3,+R737,-R737))</f>
        <v/>
      </c>
      <c r="T736" s="247"/>
      <c r="U736" s="235"/>
      <c r="V736" s="235"/>
      <c r="W736" s="235"/>
      <c r="X736" s="235"/>
      <c r="Y736" s="235"/>
      <c r="Z736" s="235"/>
      <c r="AA736" s="243">
        <v>1</v>
      </c>
      <c r="AB736" s="222" t="str">
        <f>IF(AND(COUNTBLANK(I713:I716)=0,Group_players=4,M713=M714,M714=M716),IF(W720="","",IF(COUNTIF(W720:W723,W720)=3,"Tied",IF(AND(COUNTIF(W720:W723,W720)=1,W721&lt;&gt;W722),IF(M713=2,IF(SMALL(W720:W723,1)=W720,1,IF(SMALL(W720:W723,2)=W720,2,IF(SMALL(W720:W723,3)=W720,3))),IF(M713=1,IF(SMALL(W720:W723,1)=W720,2,IF(SMALL(W720:W723,2)=W720,3,IF(SMALL(W720:W723,3)=W720,4))),"")),IF(COUNTIF(W720:W723,W720)=1,IF(W720&lt;W721,IF(M713=2,1,2),IF(M713=2,3,4)),IF(COUNTIF(W720:W723,W720)=2,IF(W720=W721,IF(W720&lt;W723,IF(M713=2,IF(Q736=3,1,2),IF(M713=1,IF(Q736=3,2,3))),IF(W720&gt;W723,IF(M713=2,IF(Q736=3,2,3),IF(M713=1,IF(Q736=3,3,4))))),IF(W720=W723,IF(W720&lt;W721,IF(M713=2,IF(Q730=3,1,2),IF(M713=1,IF(Q730=3,2,3))),IF(W720&gt;W721,IF(M713=2,IF(Q730=3,2,3),IF(M713=1,IF(Q730=3,3,4)))))))))))),"")</f>
        <v/>
      </c>
      <c r="AC736" s="192"/>
      <c r="AD736" s="192"/>
      <c r="AE736" s="192"/>
      <c r="AF736" s="203"/>
      <c r="AG736" s="203"/>
      <c r="AH736" s="203"/>
      <c r="AI736" s="203"/>
      <c r="AJ736" s="203"/>
      <c r="AK736" s="203"/>
      <c r="AL736" s="203"/>
      <c r="AM736" s="203"/>
      <c r="AN736" s="192"/>
      <c r="AO736" s="192"/>
      <c r="AP736" s="192"/>
      <c r="AQ736" s="192"/>
      <c r="AR736" s="192"/>
      <c r="AS736" s="192"/>
      <c r="AT736" s="192"/>
      <c r="AU736" s="192"/>
      <c r="AV736" s="192"/>
      <c r="AW736" s="192"/>
      <c r="AX736" s="192"/>
    </row>
    <row r="737" spans="2:50" ht="15" customHeight="1" thickBot="1" x14ac:dyDescent="0.35">
      <c r="B737" s="192"/>
      <c r="C737" s="192"/>
      <c r="D737" s="192"/>
      <c r="E737" s="164" t="str">
        <f>IF(Q737="","",IF(Q737=3,1,0))</f>
        <v/>
      </c>
      <c r="F737" s="164" t="str">
        <f>IF(Q737="","",IF(Q737&lt;3,1,0))</f>
        <v/>
      </c>
      <c r="G737" s="192"/>
      <c r="H737" s="192" t="str">
        <f>IF(I716&lt;&gt;"",2,"")</f>
        <v/>
      </c>
      <c r="I737" s="192" t="str">
        <f>IF(ISNUMBER(H737),VLOOKUP(H737,H713:I716,2,TRUE),"")</f>
        <v/>
      </c>
      <c r="J737" s="192"/>
      <c r="K737" s="192" t="str">
        <f>VLOOKUP(I737,I713:L716,3,FALSE)</f>
        <v/>
      </c>
      <c r="L737" s="155"/>
      <c r="M737" s="259"/>
      <c r="N737" s="259"/>
      <c r="O737" s="156"/>
      <c r="P737" s="157"/>
      <c r="Q737" s="260" t="str">
        <f>IF(L737="","",IF(AND(L737-L736&gt;1,L737&gt;10),1,0)+IF(AND(M737-M736&gt;1,M737&gt;10),1,0)+IF(AND(N737-N736&gt;1,N737&gt;10),1,0)+IF(AND(O737-O736&gt;1,O737&gt;10),1,0)+IF(AND(P737-P736&gt;1,P737&gt;10),1,0))</f>
        <v/>
      </c>
      <c r="R737" s="203" t="str">
        <f>IF(AND(Q736&lt;&gt;3,Q737&lt;&gt;3),"",IF(Q736=3,IF(VLOOKUP(I736,I713:L716,4,FALSE)&gt;VLOOKUP(I737,I713:L716,4,FALSE),VLOOKUP(R736,Point_dif,2,FALSE),VLOOKUP(R736,Point_dif,3,FALSE)),IF(Q737=3,IF(VLOOKUP(I737,I713:L716,4,FALSE)&gt;VLOOKUP(I737,I713:L716,4,FALSE),VLOOKUP(R736,Point_dif,2,FALSE),VLOOKUP(R736,Point_dif,3,FALSE)))))</f>
        <v/>
      </c>
      <c r="S737" s="256" t="str">
        <f>IF(R737="","",IF(Q737=3,+R737,-R737))</f>
        <v/>
      </c>
      <c r="T737" s="247"/>
      <c r="U737" s="235"/>
      <c r="V737" s="235"/>
      <c r="W737" s="235"/>
      <c r="X737" s="235"/>
      <c r="Y737" s="235"/>
      <c r="Z737" s="235"/>
      <c r="AA737" s="246">
        <v>2</v>
      </c>
      <c r="AB737" s="222" t="str">
        <f>IF(AND(COUNTBLANK(I713:I716)=0,Group_players=4,M713=M714,M714=M716),IF(W721="","",IF(COUNTIF(W720:W723,W721)=3,"Tied",IF(AND(COUNTIF(W720:W723,W721)=1,W720&lt;&gt;W722),IF(M714=2,IF(SMALL(W720:W723,1)=W721,1,IF(SMALL(W720:W723,2)=W721,2,IF(SMALL(W720:W723,3)=W721,3))),IF(M714=1,IF(SMALL(W720:W723,1)=W721,2,IF(SMALL(W720:W723,2)=W721,3,IF(SMALL(W720:W723,3)=W721,4))),"")),IF(COUNTIF(W720:W723,W721)=1,IF(W721&lt;W720,IF(M714=2,1,2),IF(M714=2,3,4)),IF(COUNTIF(W720:W723,W721)=2,IF(W721=W720,IF(W721&lt;W723,IF(M714=2,IF(Q737=3,1,2),IF(M714=1,IF(Q737=3,2,3))),IF(W721&gt;W723,IF(M714=2,IF(Q737=3,2,3),IF(M714=1,IF(Q737=3,3,4))))),IF(W721=W723,IF(W721&lt;W720,IF(M714=2,IF(Q727=3,1,2),IF(M714=1,IF(Q727=3,2,3))),IF(W721&gt;W720,IF(M714=2,IF(Q727=3,2,3),IF(M714=1,IF(Q727=3,3,4)))))))))))),"")</f>
        <v/>
      </c>
      <c r="AC737" s="192"/>
      <c r="AD737" s="192"/>
      <c r="AE737" s="192"/>
      <c r="AF737" s="203"/>
      <c r="AG737" s="203"/>
      <c r="AH737" s="203"/>
      <c r="AI737" s="203"/>
      <c r="AJ737" s="203"/>
      <c r="AK737" s="203"/>
      <c r="AL737" s="203"/>
      <c r="AM737" s="203"/>
      <c r="AN737" s="192"/>
      <c r="AO737" s="192"/>
      <c r="AP737" s="192"/>
      <c r="AQ737" s="192"/>
      <c r="AR737" s="192"/>
      <c r="AS737" s="192"/>
      <c r="AT737" s="192"/>
      <c r="AU737" s="192"/>
      <c r="AV737" s="192"/>
      <c r="AW737" s="192"/>
      <c r="AX737" s="192"/>
    </row>
    <row r="738" spans="2:50" ht="15" customHeight="1" thickTop="1" thickBot="1" x14ac:dyDescent="0.35">
      <c r="B738" s="192"/>
      <c r="C738" s="192"/>
      <c r="D738" s="192"/>
      <c r="E738" s="164"/>
      <c r="F738" s="164"/>
      <c r="G738" s="192"/>
      <c r="H738" s="192"/>
      <c r="I738" s="249" t="s">
        <v>121</v>
      </c>
      <c r="J738" s="249"/>
      <c r="K738" s="249"/>
      <c r="L738" s="250" t="s">
        <v>115</v>
      </c>
      <c r="M738" s="250" t="s">
        <v>116</v>
      </c>
      <c r="N738" s="250" t="s">
        <v>117</v>
      </c>
      <c r="O738" s="250" t="s">
        <v>118</v>
      </c>
      <c r="P738" s="250" t="s">
        <v>119</v>
      </c>
      <c r="Q738" s="250" t="s">
        <v>120</v>
      </c>
      <c r="R738" s="250"/>
      <c r="S738" s="251"/>
      <c r="T738" s="247"/>
      <c r="U738" s="235"/>
      <c r="V738" s="235"/>
      <c r="W738" s="235"/>
      <c r="X738" s="235"/>
      <c r="Y738" s="235"/>
      <c r="Z738" s="235"/>
      <c r="AA738" s="240">
        <v>4</v>
      </c>
      <c r="AB738" s="241" t="str">
        <f>IF(AND(COUNTBLANK(I713:I716)=0,Group_players=4,M713=M714,M714=M716),IF(W723="","",IF(COUNTIF(W720:W723,W723)=3,"Tied",IF(AND(COUNTIF(W720:W723,W723)=1,W720&lt;&gt;W721),IF(M716=2,IF(SMALL(W720:W723,1)=W723,1,IF(SMALL(W720:W723,2)=W723,2,IF(SMALL(W720:W723,3)=W723,3))),IF(M716=1,IF(SMALL(W720:W723,1)=W723,2,IF(SMALL(W720:W723,2)=W723,3,IF(SMALL(W720:W723,3)=W723,4))),"")),IF(COUNTIF(W720:W723,W723)=1,IF(W723&lt;W720,IF(M716=2,1,2),IF(M716=2,3,4)),IF(COUNTIF(W720:W723,W723)=2,IF(W723=W720,IF(W723&lt;W721,IF(M716=2,IF(Q731=3,1,2),IF(M716=1,IF(Q731=3,2,3))),IF(W723&gt;W722,IF(M716=2,IF(Q731=3,2,3),IF(M716=1,IF(Q731=3,3,4))))),IF(W723=W721,IF(W723&lt;W720,IF(M716=2,IF(Q728=3,1,2),IF(M716=1,IF(Q728=3,2,3))),IF(W723&gt;W720,IF(M716=2,IF(Q728=3,2,3),IF(M716=1,IF(Q728=3,3,4)))))))))))),"")</f>
        <v/>
      </c>
      <c r="AC738" s="192"/>
      <c r="AD738" s="192"/>
      <c r="AE738" s="192"/>
      <c r="AF738" s="203"/>
      <c r="AG738" s="203"/>
      <c r="AH738" s="203"/>
      <c r="AI738" s="203"/>
      <c r="AJ738" s="203"/>
      <c r="AK738" s="203"/>
      <c r="AL738" s="203"/>
      <c r="AM738" s="203"/>
      <c r="AN738" s="192"/>
      <c r="AO738" s="192"/>
      <c r="AP738" s="192"/>
      <c r="AQ738" s="192"/>
      <c r="AR738" s="192"/>
      <c r="AS738" s="192"/>
      <c r="AT738" s="192"/>
      <c r="AU738" s="192"/>
      <c r="AV738" s="192"/>
      <c r="AW738" s="192"/>
      <c r="AX738" s="192"/>
    </row>
    <row r="739" spans="2:50" ht="15" customHeight="1" thickTop="1" x14ac:dyDescent="0.3">
      <c r="B739" s="192"/>
      <c r="C739" s="192"/>
      <c r="D739" s="192"/>
      <c r="E739" s="164" t="str">
        <f>IF(Q739="","",IF(Q739=3,1,0))</f>
        <v/>
      </c>
      <c r="F739" s="164" t="str">
        <f>IF(Q739="","",IF(Q739&lt;3,1,0))</f>
        <v/>
      </c>
      <c r="G739" s="192"/>
      <c r="H739" s="192" t="str">
        <f>IF(I716&lt;&gt;"",3,"")</f>
        <v/>
      </c>
      <c r="I739" s="192" t="str">
        <f>IF(ISNUMBER(H739),VLOOKUP(H739,H713:I716,2,TRUE),"")</f>
        <v/>
      </c>
      <c r="J739" s="192"/>
      <c r="K739" s="192" t="str">
        <f>VLOOKUP(I739,I713:L716,3,FALSE)</f>
        <v/>
      </c>
      <c r="L739" s="253"/>
      <c r="M739" s="254"/>
      <c r="N739" s="254"/>
      <c r="O739" s="152"/>
      <c r="P739" s="153"/>
      <c r="Q739" s="255" t="str">
        <f>IF(L739="","",IF(AND(L739-L740&gt;1,L739&gt;10),1,0)+IF(AND(M739-M740&gt;1,M739&gt;10),1,0)+IF(AND(N739-N740&gt;1,N739&gt;10),1,0)+IF(AND(O739-O740&gt;1,O739&gt;10),1,0)+IF(AND(P739-P740&gt;1,P739&gt;10),1,0))</f>
        <v/>
      </c>
      <c r="R739" s="203" t="str">
        <f>IF(AND(I739="",I740=""),"",ABS(VLOOKUP(I739,I713:L716,4,FALSE)-VLOOKUP(I740,I713:L716,4,FALSE)))</f>
        <v/>
      </c>
      <c r="S739" s="256" t="str">
        <f>IF(R740="","",IF(Q739=3,+R740,-R740))</f>
        <v/>
      </c>
      <c r="T739" s="247"/>
      <c r="U739" s="264"/>
      <c r="V739" s="242"/>
      <c r="W739" s="192"/>
      <c r="X739" s="264"/>
      <c r="Y739" s="192"/>
      <c r="Z739" s="192"/>
      <c r="AA739" s="243">
        <v>2</v>
      </c>
      <c r="AB739" s="222" t="str">
        <f>IF(AND(COUNTBLANK(I713:I716)=0,Group_players=4,M714=M715,M715=M716),IF(X721="","",IF(COUNTIF(X720:X723,X721)=3,"Tied",IF(AND(COUNTIF(X720:X723,X721)=1,X722&lt;&gt;X723),IF(M714=2,IF(SMALL(X720:X723,1)=X721,1,IF(SMALL(X720:X723,2)=X721,2,IF(SMALL(X720:X723,3)=X721,3))),IF(M714=1,IF(SMALL(X720:X723,1)=X721,2,IF(SMALL(X720:X723,2)=X721,3,IF(SMALL(X720:X723,3)=X721,4))),"")),IF(COUNTIF(X720:X723,X721)=1,IF(X721&lt;X723,IF(M714=2,1,2),IF(M714=1,4)),IF(COUNTIF(X720:X723,X721)=2,IF(X721=X722,IF(X721&lt;X723,IF(M714=2,IF(Q733=3,1,2),IF(M714=1,IF(Q733=3,2,3))),IF(X721&gt;X723,IF(M714=2,IF(Q733=3,2,3),IF(M714=1,IF(Q733=3,3,4))))),IF(X721=X723,IF(X721&lt;X722,IF(M714=2,IF(Q727=3,1,2),IF(M714=1,IF(Q727=3,2,3))),IF(X721&gt;X722,IF(M714=2,IF(Q727=3,2,3),IF(M714=1,IF(Q727=3,3,4)))))))))))),"")</f>
        <v/>
      </c>
      <c r="AC739" s="192"/>
      <c r="AD739" s="192"/>
      <c r="AE739" s="192"/>
      <c r="AF739" s="203"/>
      <c r="AG739" s="203"/>
      <c r="AH739" s="203"/>
      <c r="AI739" s="203"/>
      <c r="AJ739" s="203"/>
      <c r="AK739" s="203"/>
      <c r="AL739" s="203"/>
      <c r="AM739" s="203"/>
      <c r="AN739" s="192"/>
      <c r="AO739" s="192"/>
      <c r="AP739" s="192"/>
      <c r="AQ739" s="192"/>
      <c r="AR739" s="192"/>
      <c r="AS739" s="192"/>
      <c r="AT739" s="192"/>
      <c r="AU739" s="192"/>
      <c r="AV739" s="192"/>
      <c r="AW739" s="192"/>
      <c r="AX739" s="192"/>
    </row>
    <row r="740" spans="2:50" ht="15" customHeight="1" thickBot="1" x14ac:dyDescent="0.35">
      <c r="B740" s="192"/>
      <c r="C740" s="192"/>
      <c r="D740" s="192"/>
      <c r="E740" s="164" t="str">
        <f>IF(Q740="","",IF(Q740=3,1,0))</f>
        <v/>
      </c>
      <c r="F740" s="164" t="str">
        <f>IF(Q740="","",IF(Q740&lt;3,1,0))</f>
        <v/>
      </c>
      <c r="G740" s="192"/>
      <c r="H740" s="192" t="str">
        <f>IF(I716&lt;&gt;"",4,"")</f>
        <v/>
      </c>
      <c r="I740" s="192" t="str">
        <f>IF(ISNUMBER(H740),VLOOKUP(H740,H713:I716,2,TRUE),"")</f>
        <v/>
      </c>
      <c r="J740" s="192"/>
      <c r="K740" s="192" t="str">
        <f>VLOOKUP(I740,I713:L716,3,FALSE)</f>
        <v/>
      </c>
      <c r="L740" s="155"/>
      <c r="M740" s="259"/>
      <c r="N740" s="259"/>
      <c r="O740" s="156"/>
      <c r="P740" s="157"/>
      <c r="Q740" s="260" t="str">
        <f>IF(L740="","",IF(AND(L740-L739&gt;1,L740&gt;10),1,0)+IF(AND(M740-M739&gt;1,M740&gt;10),1,0)+IF(AND(N740-N739&gt;1,N740&gt;10),1,0)+IF(AND(O740-O739&gt;1,O740&gt;10),1,0)+IF(AND(P740-P739&gt;1,P740&gt;10),1,0))</f>
        <v/>
      </c>
      <c r="R740" s="203" t="str">
        <f>IF(AND(Q739&lt;&gt;3,Q740&lt;&gt;3),"",IF(Q739=3,IF(VLOOKUP(I739,I713:L716,4,FALSE)&gt;VLOOKUP(I740,I713:L716,4,FALSE),VLOOKUP(R739,Point_dif,2,FALSE),VLOOKUP(R739,Point_dif,3,FALSE)),IF(Q740=3,IF(VLOOKUP(I740,I713:L716,4,FALSE)&gt;VLOOKUP(I739,I713:L716,4,FALSE),VLOOKUP(R739,Point_dif,2,FALSE),VLOOKUP(R739,Point_dif,3,FALSE)))))</f>
        <v/>
      </c>
      <c r="S740" s="260" t="str">
        <f>IF(R740="","",IF(Q740=3,+R740,-R740))</f>
        <v/>
      </c>
      <c r="T740" s="247"/>
      <c r="U740" s="235"/>
      <c r="V740" s="235"/>
      <c r="W740" s="235"/>
      <c r="X740" s="235"/>
      <c r="Y740" s="235"/>
      <c r="Z740" s="235"/>
      <c r="AA740" s="246">
        <v>3</v>
      </c>
      <c r="AB740" s="222" t="str">
        <f>IF(AND(COUNTBLANK(I713:I716)=0,Group_players=4,Group_players=4,M714=M715,M715=M716),IF(X722="","",IF(COUNTIF(X720:X723,X722)=3,"Tied",IF(AND(COUNTIF(X720:X723,X722)=1,X721&lt;&gt;X723),IF(M715=2,IF(SMALL(X720:X723,1)=X722,1,IF(SMALL(X720:X723,2)=X722,2,IF(SMALL(X720:X723,3)=X722,3))),IF(M715=1,IF(SMALL(X720:X723,1)=X722,2,IF(SMALL(X720:X723,2)=X722,3,IF(SMALL(X720:X723,3)=X722,4))),"")),IF(COUNTIF(X720:X723,X722)=1,IF(X722&lt;X721,IF(M715=2,1,2),IF(M715=2,3,4)),IF(COUNTIF(X720:X723,X722)=2,IF(X722=X721,IF(X722&lt;X723,IF(M715=2,IF(Q734=3,1,2),IF(M715=1,IF(Q734=3,2,3))),IF(X722&gt;X723,IF(M715=2,IF(Q734=3,2,3),IF(M715=1,IF(Q734=3,3,4))))),IF(X722=X723,IF(X722&lt;X721,IF(M715=2,IF(Q739=3,1,2),IF(M715=1,IF(Q739=3,2,3))),IF(X722&gt;X721,IF(M715=2,IF(Q739=3,2,3),IF(M715=1,IF(Q739=3,3,4)))))))))))),"")</f>
        <v/>
      </c>
      <c r="AC740" s="192"/>
      <c r="AD740" s="192"/>
      <c r="AE740" s="192"/>
      <c r="AF740" s="203"/>
      <c r="AG740" s="203"/>
      <c r="AH740" s="203"/>
      <c r="AI740" s="203"/>
      <c r="AJ740" s="203"/>
      <c r="AK740" s="203"/>
      <c r="AL740" s="203"/>
      <c r="AM740" s="203"/>
      <c r="AN740" s="192"/>
      <c r="AO740" s="192"/>
      <c r="AP740" s="192"/>
      <c r="AQ740" s="192"/>
      <c r="AR740" s="192"/>
      <c r="AS740" s="192"/>
      <c r="AT740" s="192"/>
      <c r="AU740" s="192"/>
      <c r="AV740" s="192"/>
      <c r="AW740" s="192"/>
      <c r="AX740" s="192"/>
    </row>
    <row r="741" spans="2:50" ht="15" customHeight="1" thickTop="1" thickBot="1" x14ac:dyDescent="0.35">
      <c r="B741" s="192"/>
      <c r="C741" s="192"/>
      <c r="D741" s="192"/>
      <c r="E741" s="192"/>
      <c r="F741" s="192"/>
      <c r="G741" s="192"/>
      <c r="H741" s="192"/>
      <c r="I741" s="192"/>
      <c r="J741" s="192"/>
      <c r="K741" s="192"/>
      <c r="L741" s="192"/>
      <c r="M741" s="192"/>
      <c r="N741" s="192"/>
      <c r="O741" s="268"/>
      <c r="P741" s="192"/>
      <c r="Q741" s="192"/>
      <c r="R741" s="247"/>
      <c r="S741" s="247"/>
      <c r="T741" s="247"/>
      <c r="U741" s="235"/>
      <c r="V741" s="235"/>
      <c r="W741" s="235"/>
      <c r="X741" s="235"/>
      <c r="Y741" s="235"/>
      <c r="Z741" s="235"/>
      <c r="AA741" s="261">
        <v>4</v>
      </c>
      <c r="AB741" s="233" t="str">
        <f>IF(AND(COUNTBLANK(I713:I716)=0,Group_players=4,M714=M715,M715=M716),IF(X723="","",IF(COUNTIF(X720:X723,X723)=3,"Tied",IF(AND(COUNTIF(X720:X723,X723)=1,X722&lt;&gt;X721),IF(M716=2,IF(SMALL(X720:X723,1)=X723,1,IF(SMALL(X720:X723,2)=X723,2,IF(SMALL(X720:X723,3)=X723,3))),IF(M716=1,IF(SMALL(X720:X723,1)=X723,2,IF(SMALL(X720:X723,2)=X723,3,IF(SMALL(X720:X723,3)=X723,4))),"")),IF(COUNTIF(X720:X723,X723)=1,IF(X723&lt;X721,IF(M716=2,1,2),IF(M716=2,3,4)),IF(COUNTIF(X720:X723,X723)=2,IF(X723=X721,IF(X723&lt;X722,IF(M716=2,IF(Q728=3,1,2),IF(M716=1,IF(Q728=3,2,3))),IF(X723&gt;X722,IF(M716=2,IF(Q728=3,2,3),IF(M716=1,IF(Q728=3,3,4))))),IF(X723=X722,IF(X723&lt;X721,IF(M716=2,IF(Q740=3,1,2),IF(M716=1,IF(Q740=3,2,3))),IF(X723&gt;X721,IF(M716=2,IF(Q740=3,2,3),IF(M716=1,IF(Q740=3,3,4)))))))))))),"")</f>
        <v/>
      </c>
      <c r="AC741" s="192"/>
      <c r="AD741" s="192"/>
      <c r="AE741" s="192"/>
      <c r="AF741" s="203"/>
      <c r="AG741" s="203"/>
      <c r="AH741" s="203"/>
      <c r="AI741" s="203"/>
      <c r="AJ741" s="203"/>
      <c r="AK741" s="203"/>
      <c r="AL741" s="203"/>
      <c r="AM741" s="203"/>
      <c r="AN741" s="192"/>
      <c r="AO741" s="192"/>
      <c r="AP741" s="192"/>
      <c r="AQ741" s="192"/>
      <c r="AR741" s="192"/>
      <c r="AS741" s="192"/>
      <c r="AT741" s="192"/>
      <c r="AU741" s="192"/>
      <c r="AV741" s="192"/>
      <c r="AW741" s="192"/>
      <c r="AX741" s="192"/>
    </row>
    <row r="742" spans="2:50" ht="15" customHeight="1" thickTop="1" x14ac:dyDescent="0.3">
      <c r="B742" s="192"/>
      <c r="C742" s="192"/>
      <c r="D742" s="192"/>
      <c r="E742" s="192"/>
      <c r="F742" s="192"/>
      <c r="G742" s="192"/>
      <c r="H742" s="192"/>
      <c r="I742" s="192"/>
      <c r="J742" s="192"/>
      <c r="K742" s="192"/>
      <c r="L742" s="192"/>
      <c r="M742" s="192"/>
      <c r="N742" s="192"/>
      <c r="O742" s="192"/>
      <c r="P742" s="192"/>
      <c r="Q742" s="192"/>
      <c r="R742" s="192"/>
      <c r="S742" s="192"/>
      <c r="T742" s="203"/>
      <c r="U742" s="192"/>
      <c r="V742" s="192"/>
      <c r="W742" s="192"/>
      <c r="X742" s="192"/>
      <c r="Y742" s="192"/>
      <c r="Z742" s="192"/>
      <c r="AA742" s="192"/>
      <c r="AB742" s="192"/>
      <c r="AC742" s="192"/>
      <c r="AD742" s="192"/>
      <c r="AE742" s="192"/>
      <c r="AF742" s="203"/>
      <c r="AG742" s="203"/>
      <c r="AH742" s="203"/>
      <c r="AI742" s="203"/>
      <c r="AJ742" s="203"/>
      <c r="AK742" s="203"/>
      <c r="AL742" s="203"/>
      <c r="AM742" s="203"/>
      <c r="AN742" s="192"/>
      <c r="AO742" s="192"/>
      <c r="AP742" s="192"/>
      <c r="AQ742" s="192"/>
      <c r="AR742" s="192"/>
      <c r="AS742" s="192"/>
      <c r="AT742" s="192"/>
      <c r="AU742" s="192"/>
      <c r="AV742" s="192"/>
      <c r="AW742" s="192"/>
      <c r="AX742" s="192"/>
    </row>
    <row r="743" spans="2:50" ht="15" customHeight="1" x14ac:dyDescent="0.3">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c r="AA743" s="192"/>
      <c r="AB743" s="192"/>
      <c r="AC743" s="192"/>
      <c r="AD743" s="192"/>
      <c r="AE743" s="192"/>
      <c r="AF743" s="203"/>
      <c r="AG743" s="203"/>
      <c r="AH743" s="203"/>
      <c r="AI743" s="203"/>
      <c r="AJ743" s="203"/>
      <c r="AK743" s="203"/>
      <c r="AL743" s="203"/>
      <c r="AM743" s="203"/>
      <c r="AN743" s="192"/>
      <c r="AO743" s="192"/>
      <c r="AP743" s="192"/>
      <c r="AQ743" s="192"/>
      <c r="AR743" s="192"/>
      <c r="AS743" s="192"/>
      <c r="AT743" s="192"/>
      <c r="AU743" s="192"/>
      <c r="AV743" s="192"/>
      <c r="AW743" s="192"/>
      <c r="AX743" s="192"/>
    </row>
    <row r="744" spans="2:50" ht="15" customHeight="1" x14ac:dyDescent="0.3">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269"/>
      <c r="AA744" s="192"/>
      <c r="AB744" s="192"/>
      <c r="AC744" s="192"/>
      <c r="AD744" s="192"/>
      <c r="AE744" s="192"/>
      <c r="AF744" s="203"/>
      <c r="AG744" s="203"/>
      <c r="AH744" s="203"/>
      <c r="AI744" s="203"/>
      <c r="AJ744" s="203"/>
      <c r="AK744" s="203"/>
      <c r="AL744" s="203"/>
      <c r="AM744" s="203"/>
      <c r="AN744" s="192"/>
      <c r="AO744" s="192"/>
      <c r="AP744" s="192"/>
      <c r="AQ744" s="192"/>
      <c r="AR744" s="192"/>
      <c r="AS744" s="192"/>
      <c r="AT744" s="192"/>
      <c r="AU744" s="192"/>
      <c r="AV744" s="192"/>
      <c r="AW744" s="192"/>
      <c r="AX744" s="192"/>
    </row>
    <row r="745" spans="2:50" ht="15" customHeight="1" x14ac:dyDescent="0.3">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c r="AA745" s="192"/>
      <c r="AB745" s="192"/>
      <c r="AC745" s="192"/>
      <c r="AD745" s="192"/>
      <c r="AE745" s="192"/>
      <c r="AF745" s="203"/>
      <c r="AG745" s="203"/>
      <c r="AH745" s="203"/>
      <c r="AI745" s="203"/>
      <c r="AJ745" s="203"/>
      <c r="AK745" s="203"/>
      <c r="AL745" s="203"/>
      <c r="AM745" s="203"/>
      <c r="AN745" s="192"/>
      <c r="AO745" s="192"/>
      <c r="AP745" s="192"/>
      <c r="AQ745" s="192"/>
      <c r="AR745" s="192"/>
      <c r="AS745" s="192"/>
      <c r="AT745" s="192"/>
      <c r="AU745" s="192"/>
      <c r="AV745" s="192"/>
      <c r="AW745" s="192"/>
      <c r="AX745" s="192"/>
    </row>
    <row r="746" spans="2:50" ht="15" customHeight="1" x14ac:dyDescent="0.3">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c r="AA746" s="192"/>
      <c r="AB746" s="192"/>
      <c r="AC746" s="192"/>
      <c r="AD746" s="192"/>
      <c r="AE746" s="192"/>
      <c r="AF746" s="203"/>
      <c r="AG746" s="203"/>
      <c r="AH746" s="203"/>
      <c r="AI746" s="203"/>
      <c r="AJ746" s="203"/>
      <c r="AK746" s="203"/>
      <c r="AL746" s="203"/>
      <c r="AM746" s="203"/>
      <c r="AN746" s="192"/>
      <c r="AO746" s="192"/>
      <c r="AP746" s="192"/>
      <c r="AQ746" s="192"/>
      <c r="AR746" s="192"/>
      <c r="AS746" s="192"/>
      <c r="AT746" s="192"/>
      <c r="AU746" s="192"/>
      <c r="AV746" s="192"/>
      <c r="AW746" s="192"/>
      <c r="AX746" s="192"/>
    </row>
    <row r="747" spans="2:50" ht="15" customHeight="1" thickBot="1" x14ac:dyDescent="0.4">
      <c r="B747" s="192"/>
      <c r="C747" s="192"/>
      <c r="D747" s="192"/>
      <c r="E747" s="192"/>
      <c r="F747" s="192"/>
      <c r="G747" s="192"/>
      <c r="H747" s="192"/>
      <c r="I747" s="383" t="s">
        <v>143</v>
      </c>
      <c r="J747" s="383"/>
      <c r="K747" s="383"/>
      <c r="L747" s="383"/>
      <c r="M747" s="383"/>
      <c r="N747" s="383"/>
      <c r="O747" s="383"/>
      <c r="P747" s="383"/>
      <c r="Q747" s="383"/>
      <c r="R747" s="383"/>
      <c r="S747" s="192"/>
      <c r="T747" s="192"/>
      <c r="U747" s="370" t="s">
        <v>92</v>
      </c>
      <c r="V747" s="371"/>
      <c r="W747" s="371"/>
      <c r="X747" s="372"/>
      <c r="Y747" s="192"/>
      <c r="Z747" s="192"/>
      <c r="AA747" s="192"/>
      <c r="AB747" s="192"/>
      <c r="AC747" s="192"/>
      <c r="AD747" s="192"/>
      <c r="AE747" s="192"/>
      <c r="AF747" s="203"/>
      <c r="AG747" s="203"/>
      <c r="AH747" s="203"/>
      <c r="AI747" s="203"/>
      <c r="AJ747" s="203"/>
      <c r="AK747" s="203"/>
      <c r="AL747" s="203"/>
      <c r="AM747" s="203"/>
      <c r="AN747" s="192"/>
      <c r="AO747" s="192"/>
      <c r="AP747" s="192"/>
      <c r="AQ747" s="192"/>
      <c r="AR747" s="192"/>
      <c r="AS747" s="192"/>
      <c r="AT747" s="192"/>
      <c r="AU747" s="192"/>
      <c r="AV747" s="192"/>
      <c r="AW747" s="192"/>
      <c r="AX747" s="192"/>
    </row>
    <row r="748" spans="2:50" ht="15" customHeight="1" thickTop="1" thickBot="1" x14ac:dyDescent="0.35">
      <c r="B748" s="192"/>
      <c r="C748" s="192"/>
      <c r="D748" s="192"/>
      <c r="E748" s="192"/>
      <c r="F748" s="192"/>
      <c r="G748" s="192"/>
      <c r="H748" s="192"/>
      <c r="I748" s="400" t="s">
        <v>93</v>
      </c>
      <c r="J748" s="160"/>
      <c r="K748" s="396" t="s">
        <v>94</v>
      </c>
      <c r="L748" s="398" t="s">
        <v>95</v>
      </c>
      <c r="M748" s="390" t="s">
        <v>96</v>
      </c>
      <c r="N748" s="390" t="s">
        <v>97</v>
      </c>
      <c r="O748" s="373" t="s">
        <v>98</v>
      </c>
      <c r="P748" s="373" t="str">
        <f>IF(COUNT(U749:X760)=3,"LM/WM Ratio",IF(COUNT(U749:X760)=6,"LP/WP Ratio",""))</f>
        <v/>
      </c>
      <c r="Q748" s="390" t="s">
        <v>99</v>
      </c>
      <c r="R748" s="392" t="s">
        <v>100</v>
      </c>
      <c r="S748" s="192"/>
      <c r="T748" s="120"/>
      <c r="U748" s="121" t="s">
        <v>101</v>
      </c>
      <c r="V748" s="122" t="s">
        <v>102</v>
      </c>
      <c r="W748" s="122" t="s">
        <v>103</v>
      </c>
      <c r="X748" s="123" t="s">
        <v>104</v>
      </c>
      <c r="Y748" s="380" t="s">
        <v>105</v>
      </c>
      <c r="Z748" s="379"/>
      <c r="AA748" s="378" t="s">
        <v>106</v>
      </c>
      <c r="AB748" s="379"/>
      <c r="AC748" s="192"/>
      <c r="AD748" s="192"/>
      <c r="AE748" s="203"/>
      <c r="AF748" s="203"/>
      <c r="AG748" s="203"/>
      <c r="AH748" s="203"/>
      <c r="AI748" s="203"/>
      <c r="AJ748" s="203"/>
      <c r="AK748" s="203"/>
      <c r="AL748" s="203"/>
      <c r="AM748" s="203"/>
      <c r="AN748" s="192"/>
      <c r="AO748" s="192"/>
      <c r="AP748" s="192"/>
      <c r="AQ748" s="192"/>
      <c r="AR748" s="192"/>
      <c r="AS748" s="192"/>
      <c r="AT748" s="192"/>
      <c r="AU748" s="192"/>
      <c r="AV748" s="192"/>
      <c r="AW748" s="192"/>
      <c r="AX748" s="192"/>
    </row>
    <row r="749" spans="2:50" ht="15" customHeight="1" thickTop="1" thickBot="1" x14ac:dyDescent="0.35">
      <c r="B749" s="192"/>
      <c r="C749" s="192"/>
      <c r="D749" s="192"/>
      <c r="E749" s="192"/>
      <c r="F749" s="192"/>
      <c r="G749" s="192"/>
      <c r="H749" s="192"/>
      <c r="I749" s="401"/>
      <c r="J749" s="161"/>
      <c r="K749" s="397"/>
      <c r="L749" s="399"/>
      <c r="M749" s="391"/>
      <c r="N749" s="391"/>
      <c r="O749" s="374"/>
      <c r="P749" s="374"/>
      <c r="Q749" s="391"/>
      <c r="R749" s="393"/>
      <c r="S749" s="192"/>
      <c r="T749" s="208">
        <v>1</v>
      </c>
      <c r="U749" s="209" t="str">
        <f>IF(M750="","",IF(COUNTIF(M750:M752,M750)=3,IF(COUNTBLANK(I750:I753)=1,(Q762+Q768)/(Q761+Q767),IF(COUNTBLANK(I750:I753)=0,(Q774+Q762)/(Q773+Q761),"")),""))</f>
        <v/>
      </c>
      <c r="V749" s="125" t="str">
        <f>IF(AND(COUNTBLANK(I750:I753)=0,M750=M752,M752=M753),(Q762+Q768)/(Q761+Q767),"")</f>
        <v/>
      </c>
      <c r="W749" s="210" t="str">
        <f>IF(AND(COUNTBLANK(I750:I753)=0,M750=M751,M751=M753),(Q774+Q768)/(Q773+Q767),"")</f>
        <v/>
      </c>
      <c r="X749" s="211"/>
      <c r="Y749" s="169" t="s">
        <v>93</v>
      </c>
      <c r="Z749" s="170" t="s">
        <v>107</v>
      </c>
      <c r="AA749" s="169" t="s">
        <v>93</v>
      </c>
      <c r="AB749" s="170" t="s">
        <v>107</v>
      </c>
      <c r="AC749" s="192"/>
      <c r="AD749" s="192"/>
      <c r="AE749" s="192"/>
      <c r="AF749" s="203"/>
      <c r="AG749" s="203"/>
      <c r="AH749" s="203"/>
      <c r="AI749" s="203"/>
      <c r="AJ749" s="203"/>
      <c r="AK749" s="203"/>
      <c r="AL749" s="203"/>
      <c r="AM749" s="203"/>
      <c r="AN749" s="192"/>
      <c r="AO749" s="192"/>
      <c r="AP749" s="192"/>
      <c r="AQ749" s="192"/>
      <c r="AR749" s="192"/>
      <c r="AS749" s="192"/>
      <c r="AT749" s="192"/>
      <c r="AU749" s="192"/>
      <c r="AV749" s="192"/>
      <c r="AW749" s="192"/>
      <c r="AX749" s="192"/>
    </row>
    <row r="750" spans="2:50" ht="15" customHeight="1" thickTop="1" thickBot="1" x14ac:dyDescent="0.35">
      <c r="B750" s="192"/>
      <c r="C750" s="192"/>
      <c r="D750" s="192"/>
      <c r="E750" s="192"/>
      <c r="F750" s="192" t="str">
        <f>IF(I750="","",VLOOKUP(I750,Siembra,2,FALSE))</f>
        <v/>
      </c>
      <c r="G750" s="192" t="str">
        <f>O750</f>
        <v/>
      </c>
      <c r="H750" s="192">
        <v>1</v>
      </c>
      <c r="I750" s="128" t="str">
        <f>IF(K750="","",IF(ISNUMBER(Sorteo!$A$17),VLOOKUP(K750,Draw,2,FALSE),""))</f>
        <v/>
      </c>
      <c r="J750" s="129" t="str">
        <f>O750</f>
        <v/>
      </c>
      <c r="K750" s="130" t="str">
        <f>IF($K$9="","",IF(Group_players=4,IF(Tablas!CB3="","",Tablas!CB$3),IF(Group_players=3,IF(Tablas!CB$11="","",Tablas!CB$11),"")))</f>
        <v/>
      </c>
      <c r="L750" s="131" t="str">
        <f>IF(K750="","",VLOOKUP(I750,Siembra,3,FALSE))</f>
        <v/>
      </c>
      <c r="M750" s="132" t="str">
        <f>IF(AND(Q761="",Q762=""),"",IF(I750="","",SUMIFS(E761:E777,I761:I777,I750)))</f>
        <v/>
      </c>
      <c r="N750" s="132" t="str">
        <f>IF(M750="","",IF(I750="","",SUMIFS(F761:F777,I761:I777,I750)))</f>
        <v/>
      </c>
      <c r="O750" s="132" t="str">
        <f>IF(M750="","",IF(COUNTBLANK(I750:I753)=1,IF(M750=2,1,IF(M750=0,3,IF(AND(M750=1,M751&lt;&gt;1),2,IF(COUNTIF(M750:M752,1)&gt;1,Z750)))),IF(COUNTBLANK(I750:I753)=0,IF(COUNTIF(M750:M753,M750)=1,IF(M750=3,1,IF(M750=2,2,IF(M750=1,3,IF(M750=0,4)))),IF(Group_players=3,Z750,IF(COUNTIF(M750:M753,M750)=2,AB750,IF(AND(M750=M751,M751=M752),AB754,IF(AND(M750=M752,M752=M753),AB757,IF(AND(M750=M751,M751=M753),AB760,"")))))),99)))</f>
        <v/>
      </c>
      <c r="P750" s="133" t="str">
        <f>IF(COUNT(U749:X760)=3,IF(ISNUMBER(U749),U749,IF(ISNUMBER(V749),V749,IF(ISNUMBER(W749),W749,IF(X749="","")))),IF(COUNT(U749:X760)=6,IF(ISNUMBER(U757),U757,IF(ISNUMBER(V757),V757,IF(ISNUMBER(W757),W757,IF(ISBLANK(X749),"")))),""))</f>
        <v/>
      </c>
      <c r="Q750" s="132" t="str">
        <f>IF(M750="","",SUMIF(I761:S777,I750,S761:S777))</f>
        <v/>
      </c>
      <c r="R750" s="134" t="str">
        <f>IF(M750="","",L750+Q750)</f>
        <v/>
      </c>
      <c r="S750" s="203"/>
      <c r="T750" s="208">
        <v>2</v>
      </c>
      <c r="U750" s="209" t="str">
        <f>IF(M751="","",IF(COUNTIF(M750:M752,M751)=3,IF(COUNTBLANK(I750:I753)=1,(Q765+Q767)/(Q764+Q768),IF(COUNTBLANK(I750:I753)=0,(Q771+Q773)/(Q770+Q774),"")),""))</f>
        <v/>
      </c>
      <c r="V750" s="135"/>
      <c r="W750" s="212" t="str">
        <f>IF(AND(COUNTBLANK(I750:I753)=0,M751=M750,M750=M753),(Q773+Q765)/(Q774+Q764),"")</f>
        <v/>
      </c>
      <c r="X750" s="213" t="str">
        <f>IF(AND(COUNTBLANK(I750:I753)=0,M751=M752,M752=M753),(Q771+Q765)/(Q770+Q764),"")</f>
        <v/>
      </c>
      <c r="Y750" s="214">
        <v>1</v>
      </c>
      <c r="Z750" s="215" t="str">
        <f>IF(U749="","",IF(OR(Group_players=3,AND(Group_players=4,COUNTBLANK(I750:I753)=1)),IF(COUNTIF(M750:M752,M750)=1,"",IF(AND(U749=U750,U750=U751),Z754,IF(AND(U749&lt;&gt;U750,U749&lt;&gt;U751,U750&lt;&gt;U751),(IF(SMALL(U749:U751,1)=U749,1,IF(SMALL(U749:U751,2)=U749,2,IF(SMALL(U749:U751,3)=U749,3)))),IF(AND(U749&lt;U750,U750=U751),1,IF(AND(U749&gt;U750,U750=U751),3,IF(AND(U749=U750,U749&lt;U751),(IF(Q767=3,1,2)),IF(AND(U749=U750,U749&gt;U751),(IF(Q767=3,2,3)),IF(AND(U749=U751,U749&lt;U750),(IF(Q761=3,1,2)),IF(AND(U749=U751,U749&gt;U750),(IF(Q761=3,2,3)),99))))))))),""))</f>
        <v/>
      </c>
      <c r="AA750" s="216">
        <v>1</v>
      </c>
      <c r="AB750" s="217" t="str">
        <f>IF(COUNTIF(M750:M753,M750)&lt;&gt;2,"",IF(COUNTIF(M750:M753,M750)=1,"",IF(AND(COUNTIF(M750:M753,M750)=2,M750=2),IF(M750=M751,IF(Q773=3,1,2),IF(M750=M752,IF(Q761=3,1,2),IF(M750=M753,IF(Q767=3,1,2)))),IF(AND(COUNTIF(M750:M753,M750)=2,M750=1),IF(M750=M751,IF(Q773=3,3,4),IF(M750=M752,IF(Q761=3,3,4),IF(M750=M753,IF(Q767=3,3,4)))),IF(COUNTIF(M750:M753,M750)=3,AB754)))))</f>
        <v/>
      </c>
      <c r="AC750" s="192"/>
      <c r="AD750" s="192"/>
      <c r="AE750" s="192"/>
      <c r="AF750" s="203"/>
      <c r="AG750" s="203"/>
      <c r="AH750" s="203"/>
      <c r="AI750" s="203"/>
      <c r="AJ750" s="203"/>
      <c r="AK750" s="203"/>
      <c r="AL750" s="203"/>
      <c r="AM750" s="203"/>
      <c r="AN750" s="192"/>
      <c r="AO750" s="192"/>
      <c r="AP750" s="192"/>
      <c r="AQ750" s="192"/>
      <c r="AR750" s="192"/>
      <c r="AS750" s="192"/>
      <c r="AT750" s="192"/>
      <c r="AU750" s="192"/>
      <c r="AV750" s="192"/>
      <c r="AW750" s="192"/>
      <c r="AX750" s="192"/>
    </row>
    <row r="751" spans="2:50" ht="15" customHeight="1" thickTop="1" thickBot="1" x14ac:dyDescent="0.35">
      <c r="B751" s="192"/>
      <c r="C751" s="192"/>
      <c r="D751" s="192"/>
      <c r="E751" s="192"/>
      <c r="F751" s="192" t="str">
        <f>IF(I751="","",VLOOKUP(I751,Siembra,2,FALSE))</f>
        <v/>
      </c>
      <c r="G751" s="192" t="str">
        <f>O751</f>
        <v/>
      </c>
      <c r="H751" s="192">
        <v>2</v>
      </c>
      <c r="I751" s="128" t="str">
        <f>IF(K751="","",IF(ISNUMBER(Sorteo!$A$17),VLOOKUP(K751,Draw,2,FALSE),""))</f>
        <v/>
      </c>
      <c r="J751" s="129" t="str">
        <f>O751</f>
        <v/>
      </c>
      <c r="K751" s="136" t="str">
        <f>IF($K$9="","",IF(Group_players=4,IF(Tablas!CB$4="","",Tablas!CB$4),IF(Group_players=3,IF(Tablas!CB$12="","",Tablas!CB$12),"")))</f>
        <v/>
      </c>
      <c r="L751" s="137" t="str">
        <f>IF(K751="","",VLOOKUP(I751,Siembra,3,FALSE))</f>
        <v/>
      </c>
      <c r="M751" s="132" t="str">
        <f>IF(AND(L761="",L762=""),"",IF(I751="","",SUMIFS(E761:E778,I761:I778,I751)))</f>
        <v/>
      </c>
      <c r="N751" s="138" t="str">
        <f>IF(M751="","",IF(I751="","",SUMIFS(F761:F777,I761:I777,I751)))</f>
        <v/>
      </c>
      <c r="O751" s="132" t="str">
        <f>IF(M751="","",IF(COUNTBLANK(I750:I753)=1,IF(M751=2,1,IF(M751=0,3,IF(AND(M751=1,M752&lt;&gt;1),2,IF(COUNTIF(M750:M753,1)&gt;1,Z751)))),IF(COUNTBLANK(I750:I753)=0,IF(COUNTIF(M750:M753,M751)=1,IF(M751=3,1,IF(M751=2,2,IF(M751=1,3,IF(M751=0,4)))),IF(Group_players=3,Z751,IF(COUNTIF(M750:M753,M751)=2,AB751,IF(AND(M751=M750,M750=M752),AB755,IF(AND(M751=M750,M750=M753),AB761,IF(AND(M751=M752,M752=M753),AB763,"")))))))))</f>
        <v/>
      </c>
      <c r="P751" s="133" t="str">
        <f>IF(COUNT(U749:X760)=3,IF(ISNUMBER(U750),U750,IF(ISNUMBER(W750),W750,IF(ISNUMBER(X750),X750,IF(X750="","")))),IF(COUNT(U749:X760)=6,IF(ISNUMBER(U758),U758,IF(ISNUMBER(W758),W758,IF(ISNUMBER(X758),X758,IF(ISBLANK(X757),"")))),""))</f>
        <v/>
      </c>
      <c r="Q751" s="138" t="str">
        <f>IF(M751="","",SUMIF(I761:S777,I751,S761:$S777))</f>
        <v/>
      </c>
      <c r="R751" s="139" t="str">
        <f>IF(M751="","",L751+Q751)</f>
        <v/>
      </c>
      <c r="S751" s="203"/>
      <c r="T751" s="208">
        <v>3</v>
      </c>
      <c r="U751" s="209" t="str">
        <f>IF(M752="","",IF(COUNTIF(M750:M752,M752)=3,IF(COUNTBLANK(I750:I753)=1,(Q761+Q764)/(Q762+Q765),IF(COUNTBLANK(I750:I753)=0,(Q761+Q770)/(Q762+Q771),"")),""))</f>
        <v/>
      </c>
      <c r="V751" s="125" t="str">
        <f>IF(AND(COUNTBLANK(I750:I753)=0,M752=M753,M753=M750),(Q761+Q777)/(Q762+Q776),"")</f>
        <v/>
      </c>
      <c r="W751" s="218"/>
      <c r="X751" s="213" t="str">
        <f>IF(AND(COUNTBLANK(I750:I753)=0,M752=M753,M753=M751),(Q770+Q777)/(Q771+Q776),"")</f>
        <v/>
      </c>
      <c r="Y751" s="219">
        <v>2</v>
      </c>
      <c r="Z751" s="220" t="str">
        <f>IF(U750="","",IF(OR(Group_players=3,AND(Group_players=4,COUNTBLANK(I750:I753)=1)),IF(COUNTIF(M750:M752,M751)=1,"",IF(AND(U750=U749,U750=U751),Z755,IF(AND(U750&lt;&gt;U749,U750&lt;&gt;U751,U749&lt;&gt;U751),(IF(SMALL(U749:U751,1)=U750,1,IF(SMALL(U749:U751,2)=U750,2,IF(SMALL(U749:U751,3)=U750,3)))),IF(AND(U750&lt;U749,U749=U751),1,IF(AND(U750&gt;U749,U749=U751),3,IF(AND(U750=U749,U750&lt;U751),(IF(Q768=3,1,2)),IF(AND(U750=U749,U750&gt;U751),(IF(Q768=3,2,3)),IF(AND(U750=U751,U750&lt;U749),(IF(Q764=3,1,2)),IF(AND(U750=U751,U750&gt;U749),(IF(Q764=3,2,3)),99))))))))),""))</f>
        <v/>
      </c>
      <c r="AA751" s="221">
        <v>2</v>
      </c>
      <c r="AB751" s="222" t="str">
        <f>IF(COUNTIF(M750:M753,M751)&lt;&gt;2,"",IF(COUNTIF(M750:M753,M751)=1,"",IF(AND(COUNTIF(M750:M753,M751)=2,M751=2),IF(M751=M750,IF(Q774=3,1,2),IF(M751=M752,IF(Q770=3,1,2),IF(M751=M753,IF(Q764=3,1,2)))),IF(AND(COUNTIF(M750:M753,M751)=2,M751=1),IF(M751=M750,IF(Q774=3,3,4),IF(M751=M752,IF(Q770=3,3,4),IF(M751=M753,IF(Q764=3,3,4)))),AB756))))</f>
        <v/>
      </c>
      <c r="AC751" s="192"/>
      <c r="AD751" s="192"/>
      <c r="AE751" s="192"/>
      <c r="AF751" s="203"/>
      <c r="AG751" s="203"/>
      <c r="AH751" s="203"/>
      <c r="AI751" s="203"/>
      <c r="AJ751" s="203"/>
      <c r="AK751" s="203"/>
      <c r="AL751" s="203"/>
      <c r="AM751" s="203"/>
      <c r="AN751" s="192"/>
      <c r="AO751" s="192"/>
      <c r="AP751" s="192"/>
      <c r="AQ751" s="192"/>
      <c r="AR751" s="192"/>
      <c r="AS751" s="192"/>
      <c r="AT751" s="192"/>
      <c r="AU751" s="192"/>
      <c r="AV751" s="192"/>
      <c r="AW751" s="192"/>
      <c r="AX751" s="192"/>
    </row>
    <row r="752" spans="2:50" ht="15" customHeight="1" thickBot="1" x14ac:dyDescent="0.35">
      <c r="B752" s="192"/>
      <c r="C752" s="192"/>
      <c r="D752" s="192"/>
      <c r="E752" s="192"/>
      <c r="F752" s="192" t="str">
        <f>IF(I752="","",VLOOKUP(I752,Siembra,2,FALSE))</f>
        <v/>
      </c>
      <c r="G752" s="192" t="str">
        <f>O752</f>
        <v/>
      </c>
      <c r="H752" s="192">
        <v>3</v>
      </c>
      <c r="I752" s="128" t="str">
        <f>IF(K752="","",IF(ISNUMBER(Sorteo!$A$17),VLOOKUP(K752,Draw,2,FALSE),""))</f>
        <v/>
      </c>
      <c r="J752" s="129" t="str">
        <f>O752</f>
        <v/>
      </c>
      <c r="K752" s="136" t="str">
        <f>IF($K$9="","",IF(Group_players=4,IF(Tablas!CB$5="","",Tablas!CB$5),IF(Group_players=3,IF(Tablas!CB$13="","",Tablas!CB$13),"")))</f>
        <v/>
      </c>
      <c r="L752" s="137" t="str">
        <f>IF(K752="","",VLOOKUP(I752,Siembra,3,FALSE))</f>
        <v/>
      </c>
      <c r="M752" s="132" t="str">
        <f>IF(AND(L762="",L761=""),"",IF(I752="","",SUMIFS(E761:E779,I761:I779,I752)))</f>
        <v/>
      </c>
      <c r="N752" s="138" t="str">
        <f>IF(M752="","",IF(I752="","",SUMIFS(F761:F777,I761:I777,I752)))</f>
        <v/>
      </c>
      <c r="O752" s="132" t="str">
        <f>IF(M752="","",IF(COUNTBLANK(I750:I753)=1,IF(M752=2,1,IF(M752=0,3,IF(AND(M752=1,M752&lt;&gt;M750),2,IF(COUNTIF(M750:M753,1)&gt;1,Z752)))),IF(COUNTBLANK(I750:I753)=0,IF(COUNTIF(M750:M753,M752)=1,IF(M752=3,1,IF(M752=2,2,IF(M752=1,3,IF(M752=0,4)))),IF(Group_players=3,Z752,IF(COUNTIF(M750:M753,M752)=2,AB752,IF(AND(M752=M750,M750=M751),AB756,IF(AND(M752=M750,M750=M753),AB758,IF(AND(M752=M751,M751=M753),AB764,"")))))))))</f>
        <v/>
      </c>
      <c r="P752" s="133" t="str">
        <f>IF(COUNT(U749:X760)=3,IF(ISNUMBER(U751),U751,IF(ISNUMBER(V751),V751,IF(ISNUMBER(X751),X751,IF(W751="","")))),IF(COUNT(U749:X760)=6,IF(ISNUMBER(U759),U759,IF(ISNUMBER(V759),V759,IF(ISNUMBER(X759),X759,""))),""))</f>
        <v/>
      </c>
      <c r="Q752" s="138" t="str">
        <f>IF(M752="","",SUMIF(I761:S777,I752,S761:S777))</f>
        <v/>
      </c>
      <c r="R752" s="139" t="str">
        <f>IF(M752="","",L752+Q752)</f>
        <v/>
      </c>
      <c r="S752" s="203"/>
      <c r="T752" s="208">
        <v>4</v>
      </c>
      <c r="U752" s="223"/>
      <c r="V752" s="140" t="str">
        <f>IF(AND(COUNTBLANK(I750:I753)=0,M753=M750,M750=M752),(Q767+Q776)/(Q768+Q777),"")</f>
        <v/>
      </c>
      <c r="W752" s="224" t="str">
        <f>IF(AND(COUNTBLANK(I750:I753)=0,M753=M750,M750=M751),(Q767+Q764)/(Q768+Q765),"")</f>
        <v/>
      </c>
      <c r="X752" s="225" t="str">
        <f>IF(AND(COUNTBLANK(I750:I753)=0,M753=M751,M751=M752),(Q764+Q776)/(Q765+Q777),"")</f>
        <v/>
      </c>
      <c r="Y752" s="226">
        <v>3</v>
      </c>
      <c r="Z752" s="227" t="str">
        <f>IF(U751="","",IF(OR(Group_players=3,AND(Group_players=4,COUNTBLANK(I750:I753)=1)),IF(COUNTIF(M750:M752,M752)=1,"",IF(AND(U751=U749,U751=U750),Z756,IF(AND(U751&lt;&gt;U750,U750&lt;&gt;U749,U751&lt;&gt;U749),(IF(SMALL(U749:U751,1)=U751,1,IF(SMALL(U749:U751,2)=U751,2,IF(SMALL(U749:U751,3)=U751,3)))),IF(AND(U751&lt;U750,U750=U749),1,IF(AND(U751&gt;U750,U750=U749),3,IF(AND(U751=U750,U751&lt;U749),(IF(Q765=3,1,2)),IF(AND(U751=U750,U751&gt;U749),(IF(Q765=3,2,3)),IF(AND(U751=U749,U751&lt;U750),(IF(Q762=3,1,2)),IF(AND(U751=U749,U751&gt;U750),(IF(Q762=3,2,3)),99))))))))),""))</f>
        <v/>
      </c>
      <c r="AA752" s="221">
        <v>3</v>
      </c>
      <c r="AB752" s="222" t="str">
        <f>IF(COUNTIF(M750:M753,M752)&lt;&gt;2,"",IF(COUNTIF(M750:M753,M752)=1,"",IF(AND(COUNTIF(M750:M753,M752)=2,M752=2),IF(M752=M750,IF(Q762=3,1,2),IF(M752=M751,IF(Q771=3,1,2),IF(M752=M753,IF(Q776=3,1,2)))),IF(AND(COUNTIF(M750:M753,M752)=2,M752=1),IF(M752=M750,IF(Q762=3,3,4),IF(M752=M751,IF(Q771=3,3,4),IF(M752=M753,IF(Q776=3,3,4)))),AB756))))</f>
        <v/>
      </c>
      <c r="AC752" s="192"/>
      <c r="AD752" s="192"/>
      <c r="AE752" s="192"/>
      <c r="AF752" s="203"/>
      <c r="AG752" s="203"/>
      <c r="AH752" s="203"/>
      <c r="AI752" s="203"/>
      <c r="AJ752" s="203"/>
      <c r="AK752" s="203"/>
      <c r="AL752" s="203"/>
      <c r="AM752" s="203"/>
      <c r="AN752" s="192"/>
      <c r="AO752" s="192"/>
      <c r="AP752" s="192"/>
      <c r="AQ752" s="192"/>
      <c r="AR752" s="192"/>
      <c r="AS752" s="192"/>
      <c r="AT752" s="192"/>
      <c r="AU752" s="192"/>
      <c r="AV752" s="192"/>
      <c r="AW752" s="192"/>
      <c r="AX752" s="192"/>
    </row>
    <row r="753" spans="2:50" ht="15" customHeight="1" thickTop="1" thickBot="1" x14ac:dyDescent="0.35">
      <c r="B753" s="192"/>
      <c r="C753" s="192"/>
      <c r="D753" s="192"/>
      <c r="E753" s="192"/>
      <c r="F753" s="192" t="str">
        <f>IF(I753="","",VLOOKUP(I753,Siembra,2,FALSE))</f>
        <v/>
      </c>
      <c r="G753" s="192" t="str">
        <f>O753</f>
        <v/>
      </c>
      <c r="H753" s="192">
        <v>4</v>
      </c>
      <c r="I753" s="141" t="str">
        <f>IF(K753="","",IF(ISNUMBER(Sorteo!$A$17),VLOOKUP(K753,Draw,2,FALSE),""))</f>
        <v/>
      </c>
      <c r="J753" s="142" t="str">
        <f>O753</f>
        <v/>
      </c>
      <c r="K753" s="143" t="str">
        <f>IF($K$9="","",IF(Group_players=4,IF(Tablas!CB6="","",Tablas!CB6),""))</f>
        <v/>
      </c>
      <c r="L753" s="144" t="str">
        <f>IF(K753="","",VLOOKUP(I753,Siembra,3,FALSE))</f>
        <v/>
      </c>
      <c r="M753" s="145" t="str">
        <f>IF(AND(Q764="",Q765=""),"",IF(I753="","",SUMIFS(E761:E780,I761:I780,I753)))</f>
        <v/>
      </c>
      <c r="N753" s="145" t="str">
        <f>IF(M753="","",IF(I753="","",SUMIFS(F761:F777,I761:I777,I753)))</f>
        <v/>
      </c>
      <c r="O753" s="145" t="str">
        <f>IF(M753="","",IF(COUNTIF(M750:M753,M753)=1,IF(M753=3,1,IF(M753=2,2,IF(M753=1,3,IF(M753=0,4)))),IF(COUNTIF(M750:M753,M753)=2,AB753,IF(AND(M753=M750,M750=M752),AB759,IF(AND(M753=M750,M750=M751),AB762,IF(AND(M753=M751,M751=M752),AB765,""))))))</f>
        <v/>
      </c>
      <c r="P753" s="146" t="str">
        <f>IF(COUNT(U749:X760)=3,IF(ISNUMBER(V752),V752,IF(ISNUMBER(W752),W752,IF(ISNUMBER(X752),X752,IF(X752="","")))),IF(COUNT(U749:X760)=6,IF(ISNUMBER(V760),V760,IF(ISNUMBER(W760),W760,IF(ISNUMBER(X760),X760,""))),""))</f>
        <v/>
      </c>
      <c r="Q753" s="145" t="str">
        <f>IF(M753="","",SUMIF(I761:S777,I753,S761:$S777))</f>
        <v/>
      </c>
      <c r="R753" s="147" t="str">
        <f>IF(M753="","",L753+Q753)</f>
        <v/>
      </c>
      <c r="S753" s="203"/>
      <c r="T753" s="192"/>
      <c r="U753" s="192"/>
      <c r="V753" s="192"/>
      <c r="W753" s="192"/>
      <c r="X753" s="192"/>
      <c r="Y753" s="230" t="s">
        <v>93</v>
      </c>
      <c r="Z753" s="231" t="s">
        <v>110</v>
      </c>
      <c r="AA753" s="232">
        <v>4</v>
      </c>
      <c r="AB753" s="233" t="str">
        <f>IF(COUNTIF(M750:M753,M753)&lt;&gt;2,"",IF(COUNTIF(M750:M753,M753)=1,"",IF(AND(COUNTIF(M750:M753,M753)=2,M753=2),IF(M753=M750,IF(Q768=3,1,2),IF(M753=M751,IF(Q765=3,1,2),IF(M753=M752,IF(Q777=3,1,2)))),IF(AND(COUNTIF(M750:M753,M753)=2,M753=1),IF(M753=M750,IF(Q768=3,3,4),IF(M753=M751,IF(Q765=3,3,4),IF(M753=M752,IF(Q777=3,3,4)))),AB759))))</f>
        <v/>
      </c>
      <c r="AC753" s="192"/>
      <c r="AD753" s="192"/>
      <c r="AE753" s="192"/>
      <c r="AF753" s="203"/>
      <c r="AG753" s="203"/>
      <c r="AH753" s="203"/>
      <c r="AI753" s="203"/>
      <c r="AJ753" s="203"/>
      <c r="AK753" s="203"/>
      <c r="AL753" s="203"/>
      <c r="AM753" s="203"/>
      <c r="AN753" s="192"/>
      <c r="AO753" s="192"/>
      <c r="AP753" s="192"/>
      <c r="AQ753" s="192"/>
      <c r="AR753" s="192"/>
      <c r="AS753" s="192"/>
      <c r="AT753" s="192"/>
      <c r="AU753" s="192"/>
      <c r="AV753" s="192"/>
      <c r="AW753" s="192"/>
      <c r="AX753" s="192"/>
    </row>
    <row r="754" spans="2:50" ht="15" customHeight="1" thickTop="1" x14ac:dyDescent="0.3">
      <c r="B754" s="192"/>
      <c r="C754" s="192"/>
      <c r="D754" s="192"/>
      <c r="E754" s="192"/>
      <c r="F754" s="192"/>
      <c r="G754" s="192"/>
      <c r="H754" s="192"/>
      <c r="I754" s="192"/>
      <c r="J754" s="192"/>
      <c r="K754" s="192"/>
      <c r="L754" s="192"/>
      <c r="M754" s="192"/>
      <c r="N754" s="192"/>
      <c r="O754" s="192"/>
      <c r="P754" s="192"/>
      <c r="Q754" s="192"/>
      <c r="R754" s="192"/>
      <c r="S754" s="192"/>
      <c r="T754" s="208"/>
      <c r="U754" s="192"/>
      <c r="V754" s="148"/>
      <c r="W754" s="148"/>
      <c r="X754" s="234"/>
      <c r="Y754" s="214">
        <v>1</v>
      </c>
      <c r="Z754" s="215" t="str">
        <f>IF(U757="","",IF(OR(Group_players=3,AND(Group_players=4,COUNTBLANK(I750:I753)=1)),IF(COUNTIF(M750:M752,M750)=1,"",IF(COUNTIF(U749:U751,U749)=3,IF(AND(U757=U758,U758=U759),"Tied",IF(AND(U757&lt;&gt;U758,U757&lt;&gt;U759,U758&lt;&gt;U759),(IF(SMALL(U757:U759,1)=U757,1,IF(SMALL(U757:U759,2)=U757,2,IF(SMALL(U757:U759,3)=U757,3)))),IF(AND(U757&lt;U758,U758=U759),1,IF(AND(U757&gt;U758,U758=U759),3,IF(AND(U757=U758,U757&lt;U759),(IF(Q767=3,1,2)),IF(AND(U757=U758,U757&gt;U759),(IF(Q767=3,2,3)),IF(AND(U757=U759,U757&lt;U758),(IF(Q761=3,1,2)),IF(AND(U757=U759,U757&gt;U758),(IF(Q761=3,2,3)),99)))))))),"")),""))</f>
        <v/>
      </c>
      <c r="AA754" s="208">
        <v>1</v>
      </c>
      <c r="AB754" s="222" t="str">
        <f>IF(AND(COUNTBLANK(I750:I753)=0,Group_players=4,M750=M751,M751=M752),IF(COUNTIF(U749:U752,U749)=3,AB767,IF(AND(COUNTIF(U749:U752,U749)=1,U750&lt;&gt;U751),IF(M750=2,IF(SMALL(U749:U752,1)=U749,1,IF(SMALL(U749:U752,2)=U749,2,IF(SMALL(U749:U752,3)=U749,3))),IF(M750=1,IF(SMALL(U749:U752,1)=U749,2,IF(SMALL(U749:U752,2)=U749,3,IF(SMALL(U749:U752,3)=U749,4))),"")),IF(COUNTIF(U749:U752,U749)=1,IF(U749&lt;U750,IF(M750=2,1,2),IF(M750=2,3,4)),IF(COUNTIF(U749:U752,U749)=2,IF(U749=U750,IF(U749&lt;U751,IF(M750=2,IF(Q773=3,1,2),IF(M750=1,IF(Q773=3,2,3))),IF(U749&gt;U751,IF(M750=2,IF(Q773=3,2,3),IF(M750=1,IF(Q773=3,3,4))))),IF(U749=U751,IF(U749&lt;U750,IF(M750=2,IF(Q761=3,1,2),IF(M750=1,IF(Q761=3,2,3))),IF(U749&gt;U750,IF(M750=2,IF(Q761=3,2,3),IF(M750=1,IF(Q761=3,3,4))))))),"")))),"")</f>
        <v/>
      </c>
      <c r="AC754" s="192"/>
      <c r="AD754" s="192"/>
      <c r="AE754" s="269"/>
      <c r="AF754" s="203"/>
      <c r="AG754" s="203"/>
      <c r="AH754" s="203"/>
      <c r="AI754" s="203"/>
      <c r="AJ754" s="203"/>
      <c r="AK754" s="203"/>
      <c r="AL754" s="203"/>
      <c r="AM754" s="203"/>
      <c r="AN754" s="192"/>
      <c r="AO754" s="192"/>
      <c r="AP754" s="192"/>
      <c r="AQ754" s="192"/>
      <c r="AR754" s="192"/>
      <c r="AS754" s="192"/>
      <c r="AT754" s="192"/>
      <c r="AU754" s="192"/>
      <c r="AV754" s="192"/>
      <c r="AW754" s="192"/>
      <c r="AX754" s="192"/>
    </row>
    <row r="755" spans="2:50" ht="15" customHeight="1" thickBot="1" x14ac:dyDescent="0.35">
      <c r="B755" s="192"/>
      <c r="C755" s="192"/>
      <c r="D755" s="192"/>
      <c r="E755" s="192"/>
      <c r="F755" s="192"/>
      <c r="G755" s="192"/>
      <c r="H755" s="192"/>
      <c r="I755" s="269"/>
      <c r="J755" s="269"/>
      <c r="K755" s="192"/>
      <c r="L755" s="192"/>
      <c r="M755" s="192"/>
      <c r="N755" s="192"/>
      <c r="O755" s="192"/>
      <c r="P755" s="192"/>
      <c r="Q755" s="192"/>
      <c r="R755" s="192"/>
      <c r="S755" s="192"/>
      <c r="T755" s="208"/>
      <c r="U755" s="368" t="s">
        <v>111</v>
      </c>
      <c r="V755" s="369"/>
      <c r="W755" s="369"/>
      <c r="X755" s="369"/>
      <c r="Y755" s="236">
        <v>2</v>
      </c>
      <c r="Z755" s="220" t="str">
        <f>IF(U750="","",IF(OR(Group_players=3,AND(Group_players=4,COUNTBLANK(I750:I753)=1)),IF(COUNTIF(M750:M752,M751)=1,"",IF(COUNTIF(U749:U751,U750)=3,IF(AND(U758=U757,U758=U759),"Tied",IF(AND(U758&lt;&gt;U757,U758&lt;&gt;U759,U757&lt;&gt;U759),(IF(SMALL(U757:U759,1)=U758,1,IF(SMALL(U757:U759,2)=U758,2,IF(SMALL(U757:U759,3)=U758,3)))),IF(AND(U758&lt;U757,U757=U759),1,IF(AND(U758&gt;U757,U757=U759),3,IF(AND(U758=U757,U758&lt;U759),(IF(Q768=3,1,2)),IF(AND(U758=U757,U758&gt;U759),(IF(Q768=3,2,3)),IF(AND(U758=U759,U758&lt;U757),(IF(Q764=3,1,2)),IF(AND(U758=U759,U758&gt;U757),(IF(Q764=3,2,3)),99)))))))),"")),""))</f>
        <v/>
      </c>
      <c r="AA755" s="208">
        <v>2</v>
      </c>
      <c r="AB755" s="222" t="str">
        <f>IF(AND(COUNTBLANK(I750:I753)=0,Group_players=4,M750=M751,M751=M752),IF(COUNTIF(U749:U752,U750)=3,AB768,IF(AND(COUNTIF(U749:U752,U750)=1,U749&lt;&gt;U751),IF(M751=2,IF(SMALL(U749:U752,1)=U750,1,IF(SMALL(U749:U752,2)=U750,2,IF(SMALL(U749:U752,3)=U750,3))),IF(M751=1,IF(SMALL(U749:U752,1)=U750,2,IF(SMALL(U749:U752,2)=U750,3,IF(SMALL(U749:U752,3)=U750,4))),"")),IF(COUNTIF(U749:U751,U750)=1,IF(U750&lt;U749,IF(M751=2,1,2),IF(M751=2,3,99)),IF(COUNTIF(U749:U752,U750)=2,IF(U750=U749,IF(U750&lt;U751,IF(M751=2,IF(Q774=3,1,2),IF(M751=1,IF(Q774=3,2,3))),IF(U750&gt;U751,IF(M751=2,IF(Q774=3,2,3),IF(M751=1,IF(Q774=3,3,4))))),IF(U750=U751,IF(U750&lt;U749,IF(M751=2,IF(Q770=3,1,2),IF(M751=1,IF(Q770=3,2,3))),IF(U750&gt;U749,IF(M751=2,IF(Q770=3,2,3),IF(M751=1,IF(Q770=3,3,4))))))),"")))),"")</f>
        <v/>
      </c>
      <c r="AC755" s="192"/>
      <c r="AD755" s="192"/>
      <c r="AE755" s="192"/>
      <c r="AF755" s="203"/>
      <c r="AG755" s="203"/>
      <c r="AH755" s="203"/>
      <c r="AI755" s="203"/>
      <c r="AJ755" s="203"/>
      <c r="AK755" s="203"/>
      <c r="AL755" s="203"/>
      <c r="AM755" s="203"/>
      <c r="AN755" s="192"/>
      <c r="AO755" s="192"/>
      <c r="AP755" s="192"/>
      <c r="AQ755" s="192"/>
      <c r="AR755" s="192"/>
      <c r="AS755" s="192"/>
      <c r="AT755" s="192"/>
      <c r="AU755" s="192"/>
      <c r="AV755" s="192"/>
      <c r="AW755" s="192"/>
      <c r="AX755" s="192"/>
    </row>
    <row r="756" spans="2:50" ht="15" customHeight="1" thickTop="1" thickBot="1" x14ac:dyDescent="0.35">
      <c r="B756" s="192"/>
      <c r="C756" s="192"/>
      <c r="D756" s="192"/>
      <c r="E756" s="192"/>
      <c r="F756" s="192"/>
      <c r="G756" s="192"/>
      <c r="H756" s="192"/>
      <c r="I756" s="192"/>
      <c r="J756" s="192"/>
      <c r="K756" s="192"/>
      <c r="L756" s="192"/>
      <c r="M756" s="192"/>
      <c r="N756" s="192"/>
      <c r="O756" s="192"/>
      <c r="P756" s="192"/>
      <c r="Q756" s="192"/>
      <c r="R756" s="192"/>
      <c r="S756" s="192"/>
      <c r="T756" s="120"/>
      <c r="U756" s="121" t="s">
        <v>101</v>
      </c>
      <c r="V756" s="122" t="s">
        <v>102</v>
      </c>
      <c r="W756" s="122" t="s">
        <v>103</v>
      </c>
      <c r="X756" s="123" t="s">
        <v>104</v>
      </c>
      <c r="Y756" s="238">
        <v>3</v>
      </c>
      <c r="Z756" s="239" t="str">
        <f>IF(U751="","",IF(OR(Group_players=3,AND(Group_players=4,COUNTBLANK(I750:I753)=1)),IF(COUNTIF(M750:M752,M752)=1,"",IF(COUNTIF(U749:U751,U751)=3,IF(AND(U759=U757,U759=U758),"Tied",IF(AND(U759&lt;&gt;U758,U758&lt;&gt;U757,U759&lt;&gt;U757),(IF(SMALL(U757:U759,1)=U759,1,IF(SMALL(U757:U759,2)=U759,2,IF(SMALL(U757:U759,3)=U759,3)))),IF(AND(U759&lt;U758,U758=U757),1,IF(AND(U759&gt;U758,U758=U757),3,IF(AND(U759=U758,U759&lt;U757),(IF(Q765=3,1,2)),IF(AND(U759=U758,U759&gt;U757),(IF(Q765=3,2,3)),IF(AND(U759=U757,U759&lt;U758),(IF(Q762=3,1,2)),IF(AND(U759=U757,U759&gt;U758),(IF(Q762=3,2,3)),99)))))))),"")),""))</f>
        <v/>
      </c>
      <c r="AA756" s="240">
        <v>3</v>
      </c>
      <c r="AB756" s="241" t="str">
        <f>IF(AND(COUNTBLANK(I750:I753)=0,Group_players=4,M750=M751,M751=M752),IF(COUNTIF(U749:U752,U751)=3,AB769,IF(AND(COUNTIF(U749:U752,U751)=1,U749&lt;&gt;U750),IF(M750=2,IF(SMALL(U749:U752,1)=U751,1,IF(SMALL(U749:U752,2)=U751,2,IF(SMALL(U749:U752,3)=U751,3))),IF(M752=1,IF(SMALL(U749:U752,1)=U751,2,IF(SMALL(U749:U752,2)=U751,3,IF(SMALL(U749:U752,3)=U751,4))),"")),IF(COUNTIF(U749:U752,U751)=1,IF(U751&lt;U750,IF(M752=2,1,2),IF(M752=2,3,4)),IF(COUNTIF(U749:U752,U751)=2,IF(U751=U750,IF(U751&lt;U749,IF(M752=2,IF(Q771=3,1,2),IF(M752=1,IF(Q771=3,2,3))),IF(U751&gt;U749,IF(M752=2,IF(Q771=3,2,3),IF(M752=1,IF(Q771=3,3,4))))),IF(U751=U749,IF(U751&lt;U750,IF(M752=2,IF(Q762=3,1,2),IF(M752=1,IF(Q762=3,2,3))),IF(U751&gt;U750,IF(M752=2,IF(Q762=3,2,3),IF(M752=1,IF(Q762=3,3,4))))))),"")))),"")</f>
        <v/>
      </c>
      <c r="AC756" s="192"/>
      <c r="AD756" s="192"/>
      <c r="AE756" s="192"/>
      <c r="AF756" s="203"/>
      <c r="AG756" s="203"/>
      <c r="AH756" s="203"/>
      <c r="AI756" s="203"/>
      <c r="AJ756" s="203"/>
      <c r="AK756" s="203"/>
      <c r="AL756" s="203"/>
      <c r="AM756" s="203"/>
      <c r="AN756" s="192"/>
      <c r="AO756" s="192"/>
      <c r="AP756" s="192"/>
      <c r="AQ756" s="192"/>
      <c r="AR756" s="192"/>
      <c r="AS756" s="192"/>
      <c r="AT756" s="192"/>
      <c r="AU756" s="192"/>
      <c r="AV756" s="192"/>
      <c r="AW756" s="192"/>
      <c r="AX756" s="192"/>
    </row>
    <row r="757" spans="2:50" ht="15" customHeight="1" thickTop="1" thickBot="1" x14ac:dyDescent="0.35">
      <c r="B757" s="192"/>
      <c r="C757" s="192"/>
      <c r="D757" s="192"/>
      <c r="E757" s="192"/>
      <c r="F757" s="192"/>
      <c r="G757" s="192"/>
      <c r="H757" s="192"/>
      <c r="I757" s="192"/>
      <c r="J757" s="192"/>
      <c r="K757" s="192"/>
      <c r="L757" s="192"/>
      <c r="M757" s="192"/>
      <c r="N757" s="192"/>
      <c r="O757" s="192"/>
      <c r="P757" s="192"/>
      <c r="Q757" s="192"/>
      <c r="R757" s="192"/>
      <c r="S757" s="192"/>
      <c r="T757" s="208">
        <v>1</v>
      </c>
      <c r="U757" s="209" t="str">
        <f>IF(U749="","",IF(OR(U749&lt;&gt;U750,U749&lt;&gt;U751),"",IF(COUNTIF(M750:M752,M750)=1,"",IF(COUNTBLANK(I750:I753)=1,(SUM(L762:P762)+SUM(L768:P768))/(SUM(L761:P761)+SUM(L767:P767)),IF(COUNTBLANK(I750:I753)=0,(SUM(L774:P774)+SUM(L762:P762))/(SUM(L773:P773)+SUM(L761:P761)),"")))))</f>
        <v/>
      </c>
      <c r="V757" s="125" t="str">
        <f>IF(V749="","",IF(OR(V749&lt;&gt;V751,V749&lt;&gt;V752),"",IF(AND(COUNTBLANK(I750:I753)=0,M750=M752,M752=M753),(SUM(L762:P762)+SUM(L768:P768))/(SUM(L761:P761)+SUM(L767:P767)),"")))</f>
        <v/>
      </c>
      <c r="W757" s="210" t="str">
        <f>IF(W749="","",IF(OR(W749&lt;&gt;W750,W749&lt;&gt;W752),"",IF(AND(COUNTBLANK(I750:I753)=0,M750=M751,M751=M753),(SUM(L774:P774)+SUM(L768:P768))/(SUM(L773:P773)+SUM(L767:P767)),"")))</f>
        <v/>
      </c>
      <c r="X757" s="211"/>
      <c r="Y757" s="242"/>
      <c r="Z757" s="242"/>
      <c r="AA757" s="243">
        <v>1</v>
      </c>
      <c r="AB757" s="244" t="str">
        <f>IF(AND(COUNTBLANK(I750:I753)=0,Group_players=4,M750=M752,M752=M753),IF(COUNTIF(V749:V752,V749)=3,AB770,IF(AND(COUNTIF(V749:V752,V749)=1,V751&lt;&gt;U760),IF(M750=2,IF(SMALL(V749:V752,1)=V749,1,IF(SMALL(V749:V752,2)=V749,2,IF(SMALL(V749:V752,3)=V749,3))),IF(M750=1,IF(SMALL(V749:V752,1)=V749,2,IF(SMALL(V749:V752,2)=V749,3,IF(SMALL(V749:V752,3)=V749,4))),"")),IF(COUNTIF(V749:V752,V749)=1,IF(V749&lt;V751,IF(M750=2,1,2),IF(M750=2,3,4)),IF(COUNTIF(V749:V752,V749)=2,IF(V749=V751,IF(V749&lt;V752,IF(M750=2,IF(Q761=3,1,2),IF(M750=1,IF(Q761=3,2,3))),IF(V749&gt;V752,IF(M750=2,IF(Q761=3,2,3),IF(M750=1,IF(Q761=3,3,4))))),IF(V749=V752,IF(V749&lt;V751,IF(M750=2,IF(Q767=3,1,2),IF(M750=1,IF(Q767=3,2,3))),IF(V749&gt;V750,IF(M750=2,IF(Q767=3,2,3),IF(M750=1,IF(Q767=3,3,4))))))),"")))),"")</f>
        <v/>
      </c>
      <c r="AC757" s="192"/>
      <c r="AD757" s="192"/>
      <c r="AE757" s="192"/>
      <c r="AF757" s="203"/>
      <c r="AG757" s="203"/>
      <c r="AH757" s="203"/>
      <c r="AI757" s="203"/>
      <c r="AJ757" s="203"/>
      <c r="AK757" s="203"/>
      <c r="AL757" s="203"/>
      <c r="AM757" s="203"/>
      <c r="AN757" s="192"/>
      <c r="AO757" s="192"/>
      <c r="AP757" s="192"/>
      <c r="AQ757" s="192"/>
      <c r="AR757" s="192"/>
      <c r="AS757" s="192"/>
      <c r="AT757" s="192"/>
      <c r="AU757" s="192"/>
      <c r="AV757" s="192"/>
      <c r="AW757" s="192"/>
      <c r="AX757" s="192"/>
    </row>
    <row r="758" spans="2:50" ht="15" customHeight="1" thickTop="1" thickBot="1" x14ac:dyDescent="0.35">
      <c r="B758" s="192"/>
      <c r="C758" s="192"/>
      <c r="D758" s="192"/>
      <c r="E758" s="117"/>
      <c r="F758" s="117"/>
      <c r="G758" s="117"/>
      <c r="H758" s="192"/>
      <c r="I758" s="192"/>
      <c r="J758" s="192"/>
      <c r="K758" s="192"/>
      <c r="L758" s="192"/>
      <c r="M758" s="192"/>
      <c r="N758" s="192"/>
      <c r="O758" s="192"/>
      <c r="P758" s="192"/>
      <c r="Q758" s="192"/>
      <c r="R758" s="192"/>
      <c r="S758" s="394" t="s">
        <v>112</v>
      </c>
      <c r="T758" s="208">
        <v>2</v>
      </c>
      <c r="U758" s="209" t="str">
        <f>IF(U749="","",IF(OR(U750&lt;&gt;U749,U750&lt;&gt;U751),"",IF(COUNTIF(M750:M752,M751)=1,"",IF(COUNTBLANK(I750:I753)=1,(SUM(L765:P765)+SUM(L767:P767))/(SUM(L764:P764)+SUM(L768:P768)),IF(COUNTBLANK(I750:I753)=0,(SUM(L773:P773)+SUM(L771:P771))/(SUM(L774:P774)+SUM(L770:P770)))))))</f>
        <v/>
      </c>
      <c r="V758" s="135"/>
      <c r="W758" s="212" t="str">
        <f>IF(W749="","",IF(OR(W750&lt;&gt;W749,W750&lt;&gt;W752),"",IF(AND(COUNTBLANK(I750:I753)=0,M750=M751,M751=M753),(SUM(L765:P765)+SUM(L773:P773))/(SUM(L774:P774)+SUM(L764:P764)),"")))</f>
        <v/>
      </c>
      <c r="X758" s="245" t="str">
        <f>IF(X750="","",IF(OR(X750&lt;&gt;X751,X750&lt;&gt;X752),"",IF(AND(COUNTBLANK(I750:I753)=0,M751=M752,M752=M753),(SUM(L771:P771)+SUM(L765:P765))/(SUM(L770:P770)+SUM(L764:P764)),"")))</f>
        <v/>
      </c>
      <c r="Y758" s="242"/>
      <c r="Z758" s="203"/>
      <c r="AA758" s="246">
        <v>3</v>
      </c>
      <c r="AB758" s="222" t="str">
        <f>IF(AND(COUNTBLANK(I750:I753)=0,Group_players=4,M750=M752,M752=M753),IF(COUNTIF(V749:V752,V751)=3,AB771,IF(AND(COUNTIF(V749:V752,V751)=1,V749&lt;&gt;V752),IF(M752=2,IF(SMALL(V749:V752,1)=V751,1,IF(SMALL(V749:V752,2)=V751,2,IF(SMALL(V749:V752,3)=V751,3))),IF(M752=1,IF(SMALL(V749:V752,1)=V751,2,IF(SMALL(V749:V752,2)=V751,3,IF(SMALL(V749:V752,3)=V751,4))),"")),IF(COUNTIF(V749:V752,V751)=1,IF(V751&lt;V749,IF(M752=2,1,2),IF(M752=2,3,4)),IF(COUNTIF(V749:V752,V751)=2,IF(V751=V749,IF(V751&lt;V752,IF(M752=2,IF(Q762=3,1,2),IF(M752=1,IF(Q762=3,2,3))),IF(V751&gt;V752,IF(M752=2,IF(Q762=3,2,3),IF(M752=1,IF(Q762=3,3,4))))),IF(V751=V752,IF(V751&lt;V749,IF(M752=2,IF(Q776=3,1,2),IF(M752=1,IF(Q776=3,2,3))),IF(V751&gt;V749,IF(M752=2,IF(Q776=3,2,3),IF(M752=1,IF(Q776=3,3,4))))))),"")))),"")</f>
        <v/>
      </c>
      <c r="AC758" s="192"/>
      <c r="AD758" s="192"/>
      <c r="AE758" s="192"/>
      <c r="AF758" s="203"/>
      <c r="AG758" s="203"/>
      <c r="AH758" s="203"/>
      <c r="AI758" s="203"/>
      <c r="AJ758" s="203"/>
      <c r="AK758" s="203"/>
      <c r="AL758" s="203"/>
      <c r="AM758" s="203"/>
      <c r="AN758" s="192"/>
      <c r="AO758" s="192"/>
      <c r="AP758" s="192"/>
      <c r="AQ758" s="192"/>
      <c r="AR758" s="192"/>
      <c r="AS758" s="192"/>
      <c r="AT758" s="192"/>
      <c r="AU758" s="192"/>
      <c r="AV758" s="192"/>
      <c r="AW758" s="192"/>
      <c r="AX758" s="192"/>
    </row>
    <row r="759" spans="2:50" ht="15" customHeight="1" thickTop="1" thickBot="1" x14ac:dyDescent="0.35">
      <c r="B759" s="192"/>
      <c r="C759" s="192"/>
      <c r="D759" s="192"/>
      <c r="E759" s="117"/>
      <c r="F759" s="117"/>
      <c r="G759" s="117"/>
      <c r="H759" s="192"/>
      <c r="I759" s="192"/>
      <c r="J759" s="192"/>
      <c r="K759" s="192"/>
      <c r="L759" s="192"/>
      <c r="M759" s="192"/>
      <c r="N759" s="192"/>
      <c r="O759" s="192"/>
      <c r="P759" s="192"/>
      <c r="Q759" s="192"/>
      <c r="R759" s="247"/>
      <c r="S759" s="395"/>
      <c r="T759" s="208">
        <v>3</v>
      </c>
      <c r="U759" s="209" t="str">
        <f>IF(U749="","",IF(OR(U751&lt;&gt;U749,U751&lt;&gt;U750),"",IF(COUNTIF(M750:M752,M752)=1,"",IF(COUNTBLANK(I750:I753)=1,(SUM(L761:P761)+SUM(L764:P764))/(SUM(L762:P762)+SUM(L765:P765)),IF(COUNTBLANK(I750:I753)=0,(SUM(L761:P761)+SUM(L770:P770))/(SUM(L762:P762)+SUM(L771:P771)))))))</f>
        <v/>
      </c>
      <c r="V759" s="125" t="str">
        <f>IF(V749="","",IF(OR(V751&lt;&gt;V749,V751&lt;&gt;V752),"",IF(AND(COUNTBLANK(I750:I753)=0,M750=M752,M752=M753),(SUM(L761:P761)+SUM(L777:P777))/(SUM(L762:P762)+SUM(L776:P776)),"")))</f>
        <v/>
      </c>
      <c r="W759" s="218"/>
      <c r="X759" s="245" t="str">
        <f>IF(X750="","",IF(OR(X751&lt;&gt;X750,X751&lt;&gt;X752),"",IF(AND(COUNTBLANK(I750:I753)=0,M751=M752,M752=M753),(SUM(L770:P770)+SUM(L777:P777))/(SUM(L771:P771)+SUM(L776:P776)),"")))</f>
        <v/>
      </c>
      <c r="Y759" s="208"/>
      <c r="Z759" s="203"/>
      <c r="AA759" s="240">
        <v>4</v>
      </c>
      <c r="AB759" s="222" t="str">
        <f>IF(AND(COUNTBLANK(I750:I753)=0,Group_players=4,M750=M752,M752=M753),IF(COUNTIF(V749:V752,V752)=3,AB772,IF(AND(COUNTIF(V749:V752,V752)=1,V751&lt;&gt;V749),IF(M753=2,IF(SMALL(V749:V752,1)=V752,1,IF(SMALL(V749:V752,2)=V752,2,IF(SMALL(V749:V752,3)=V752,3))),IF(M753=1,IF(SMALL(V749:V752,1)=V752,2,IF(SMALL(V749:V752,2)=V752,3,IF(SMALL(V749:V752,3)=V752,4))),"")),IF(COUNTIF(V749:V752,V752)=1,IF(V752&lt;V749,IF(M753=2,1,2),IF(M753=2,3,4)),IF(COUNTIF(V749:V752,V752)=2,IF(V752=V749,IF(V752&lt;V751,IF(M753=2,IF(Q768=3,1,2),IF(M753=1,IF(Q768=3,2,3))),IF(V752&gt;V751,IF(M753=2,IF(Q768=3,2,3),IF(M753=1,IF(Q768=3,3,4))))),IF(V752=V751,IF(V752&lt;V749,IF(M753=2,IF(Q777=3,1,2),IF(M753=1,IF(Q777=3,2,3))),IF(V752&gt;V749,IF(M753=2,IF(Q777=3,2,3),IF(M753=1,IF(Q777=3,3,4))))))),"")))),"")</f>
        <v/>
      </c>
      <c r="AC759" s="192"/>
      <c r="AD759" s="192"/>
      <c r="AE759" s="192"/>
      <c r="AF759" s="203"/>
      <c r="AG759" s="203"/>
      <c r="AH759" s="203"/>
      <c r="AI759" s="203"/>
      <c r="AJ759" s="203"/>
      <c r="AK759" s="203"/>
      <c r="AL759" s="203"/>
      <c r="AM759" s="203"/>
      <c r="AN759" s="192"/>
      <c r="AO759" s="192"/>
      <c r="AP759" s="192"/>
      <c r="AQ759" s="192"/>
      <c r="AR759" s="192"/>
      <c r="AS759" s="192"/>
      <c r="AT759" s="192"/>
      <c r="AU759" s="192"/>
      <c r="AV759" s="192"/>
      <c r="AW759" s="192"/>
      <c r="AX759" s="192"/>
    </row>
    <row r="760" spans="2:50" ht="15" customHeight="1" thickTop="1" thickBot="1" x14ac:dyDescent="0.35">
      <c r="B760" s="192"/>
      <c r="C760" s="192"/>
      <c r="D760" s="192"/>
      <c r="E760" s="168" t="s">
        <v>113</v>
      </c>
      <c r="F760" s="168" t="s">
        <v>114</v>
      </c>
      <c r="G760" s="117"/>
      <c r="H760" s="192"/>
      <c r="I760" s="249" t="s">
        <v>115</v>
      </c>
      <c r="J760" s="249"/>
      <c r="K760" s="249"/>
      <c r="L760" s="250" t="s">
        <v>115</v>
      </c>
      <c r="M760" s="250" t="s">
        <v>116</v>
      </c>
      <c r="N760" s="250" t="s">
        <v>117</v>
      </c>
      <c r="O760" s="250" t="s">
        <v>118</v>
      </c>
      <c r="P760" s="250" t="s">
        <v>119</v>
      </c>
      <c r="Q760" s="250" t="s">
        <v>120</v>
      </c>
      <c r="R760" s="250"/>
      <c r="S760" s="251"/>
      <c r="T760" s="208">
        <v>4</v>
      </c>
      <c r="U760" s="223"/>
      <c r="V760" s="140" t="str">
        <f>IF(V749="","",IF(OR(V752&lt;&gt;V749,V752&lt;&gt;V751),"",IF(AND(COUNTBLANK(I750:I753)=0,M750=M752,M752=M753),(SUM(L767:P767)+SUM(L776:P776))/(SUM(L768:P768)+SUM(L777:P777)),"")))</f>
        <v/>
      </c>
      <c r="W760" s="224" t="str">
        <f>IF(W749="","",IF(OR(W752&lt;&gt;W749,W752&lt;&gt;W750),"",IF(AND(COUNTBLANK(I750:I753)=0,M750=M751,M751=M753),(SUM(L767:P767)+SUM(L764:P764))/(SUM(L768:P768)+SUM(L765:P765)),"")))</f>
        <v/>
      </c>
      <c r="X760" s="252" t="str">
        <f>IF(X750="","",IF(OR(X752&lt;&gt;X750,X752&lt;&gt;X751),"",IF(AND(COUNTBLANK(I750:I753)=0,M751=M752,M752=M753),(SUM(L764:P764)+SUM(L776:P776))/(SUM(L765:P765)+SUM(L777:P777)),"")))</f>
        <v/>
      </c>
      <c r="Y760" s="192"/>
      <c r="Z760" s="203"/>
      <c r="AA760" s="243">
        <v>1</v>
      </c>
      <c r="AB760" s="151" t="str">
        <f>IF(AND(COUNTBLANK(I750:I753)=0,Group_players=4,M750=M751,M751=M753),IF(COUNTIF(W749:W752,W749)=3,AB773,IF(AND(COUNTIF(W749:W752,W749)=1,W750&lt;&gt;W752),IF(M750=2,IF(SMALL(W749:W752,1)=W749,1,IF(SMALL(W749:W752,2)=W749,2,IF(SMALL(W749:W752,3)=W749,3))),IF(M750=1,IF(SMALL(W749:W752,1)=W749,2,IF(SMALL(W749:W752,2)=W749,3,IF(SMALL(W749:W752,3)=W749,4))),"")),IF(COUNTIF(W749:W752,W749)=1,IF(W749&lt;W750,IF(M750=2,1,2),IF(M750=2,3,4)),IF(COUNTIF(W749:W752,W749)=2,IF(W749=W750,IF(W749&lt;W752,IF(M750=2,IF(Q773=3,1,2),IF(M750=1,IF(Q773=3,2,3))),IF(W749&gt;W752,IF(M750=2,IF(Q773=3,2,3),IF(M750=1,IF(Q773=3,3,4))))),IF(W749=W752,IF(W749&lt;W750,IF(M750=2,IF(Q767=3,1,2),IF(M750=1,IF(Q767=3,2,3))),IF(W749&gt;W750,IF(M750=2,IF(Q767=3,2,3),IF(M750=1,IF(Q767=3,3,4))))))),"")))),"")</f>
        <v/>
      </c>
      <c r="AC760" s="192"/>
      <c r="AD760" s="192"/>
      <c r="AE760" s="192"/>
      <c r="AF760" s="203"/>
      <c r="AG760" s="203"/>
      <c r="AH760" s="203"/>
      <c r="AI760" s="203"/>
      <c r="AJ760" s="203"/>
      <c r="AK760" s="203"/>
      <c r="AL760" s="203"/>
      <c r="AM760" s="203"/>
      <c r="AN760" s="192"/>
      <c r="AO760" s="192"/>
      <c r="AP760" s="192"/>
      <c r="AQ760" s="192"/>
      <c r="AR760" s="192"/>
      <c r="AS760" s="192"/>
      <c r="AT760" s="192"/>
      <c r="AU760" s="192"/>
      <c r="AV760" s="192"/>
      <c r="AW760" s="192"/>
      <c r="AX760" s="192"/>
    </row>
    <row r="761" spans="2:50" ht="15" customHeight="1" thickTop="1" x14ac:dyDescent="0.3">
      <c r="B761" s="192"/>
      <c r="C761" s="192"/>
      <c r="D761" s="192"/>
      <c r="E761" s="164" t="str">
        <f>IF(Q761="","",IF(Q761=3,1,0))</f>
        <v/>
      </c>
      <c r="F761" s="164" t="str">
        <f>IF(Q761="","",IF(Q761&lt;3,1,0))</f>
        <v/>
      </c>
      <c r="G761" s="192"/>
      <c r="H761" s="192" t="str">
        <f>IF(I750="","",1)</f>
        <v/>
      </c>
      <c r="I761" s="192" t="str">
        <f>IF(ISNUMBER(H761),VLOOKUP(H761,H750:I753,2,TRUE),"")</f>
        <v/>
      </c>
      <c r="J761" s="192"/>
      <c r="K761" s="192" t="str">
        <f>VLOOKUP(I761,I750:L753,3,FALSE)</f>
        <v/>
      </c>
      <c r="L761" s="253"/>
      <c r="M761" s="254"/>
      <c r="N761" s="254"/>
      <c r="O761" s="152"/>
      <c r="P761" s="153"/>
      <c r="Q761" s="255" t="str">
        <f>IF(L761="","",IF(AND(L761-L762&gt;1,L761&gt;10),1,0)+IF(AND(M761-M762&gt;1,M761&gt;10),1,0)+IF(AND(N761-N762&gt;1,N761&gt;10),1,0)+IF(AND(O761-O762&gt;1,O761&gt;10),1,0)+IF(AND(P761-P762&gt;1,P761&gt;10),1,0))</f>
        <v/>
      </c>
      <c r="R761" s="203" t="str">
        <f>IF(AND(I761="",I762=""),"",ABS(VLOOKUP(I761,I750:L753,4,FALSE)-VLOOKUP(I762,I750:L753,4,FALSE)))</f>
        <v/>
      </c>
      <c r="S761" s="256" t="str">
        <f>IF(R762="","",IF(Q761=3,+R762,-R762))</f>
        <v/>
      </c>
      <c r="T761" s="257"/>
      <c r="U761" s="258"/>
      <c r="V761" s="258"/>
      <c r="W761" s="258"/>
      <c r="X761" s="258"/>
      <c r="Y761" s="192"/>
      <c r="Z761" s="203"/>
      <c r="AA761" s="246">
        <v>2</v>
      </c>
      <c r="AB761" s="154" t="str">
        <f>IF(AND(COUNTBLANK(I750:I753)=0,Group_players=4,M750=M751,M751=M753),IF(COUNTIF(W749:W752,W750)=3,AB774,IF(AND(COUNTIF(W749:W752,W750)=1,W749&lt;&gt;W751),IF(M751=2,IF(SMALL(W749:W752,1)=W750,1,IF(SMALL(W749:W752,2)=W750,2,IF(SMALL(W749:W752,3)=W750,3))),IF(M751=1,IF(SMALL(W749:W752,1)=W750,2,IF(SMALL(W749:W752,2)=W750,3,IF(SMALL(W749:W752,3)=W750,4))),"")),IF(COUNTIF(W749:W752,W750)=1,IF(W750&lt;W749,IF(M751=2,1,2),IF(M751=2,3,4)),IF(COUNTIF(W749:W752,W750)=2,IF(W750=W749,IF(W750&lt;W752,IF(M751=2,IF(Q774=3,1,2),IF(M751=1,IF(Q774=3,2,3))),IF(W750&gt;W752,IF(M751=2,IF(Q774=3,2,3),IF(M751=1,IF(Q774=3,3,4))))),IF(W750=W752,IF(W750&lt;W749,IF(M751=2,IF(Q764=3,1,2),IF(M751=1,IF(Q764=3,2,3))),IF(W750&gt;W749,IF(M751=2,IF(Q764=3,2,3),IF(M751=1,IF(Q764=3,3,4))))))),"")))),"")</f>
        <v/>
      </c>
      <c r="AC761" s="192"/>
      <c r="AD761" s="192"/>
      <c r="AE761" s="192"/>
      <c r="AF761" s="203"/>
      <c r="AG761" s="203"/>
      <c r="AH761" s="203"/>
      <c r="AI761" s="203"/>
      <c r="AJ761" s="203"/>
      <c r="AK761" s="203"/>
      <c r="AL761" s="203"/>
      <c r="AM761" s="203"/>
      <c r="AN761" s="192"/>
      <c r="AO761" s="192"/>
      <c r="AP761" s="192"/>
      <c r="AQ761" s="192"/>
      <c r="AR761" s="192"/>
      <c r="AS761" s="192"/>
      <c r="AT761" s="192"/>
      <c r="AU761" s="192"/>
      <c r="AV761" s="192"/>
      <c r="AW761" s="192"/>
      <c r="AX761" s="192"/>
    </row>
    <row r="762" spans="2:50" ht="15" customHeight="1" thickBot="1" x14ac:dyDescent="0.35">
      <c r="B762" s="192"/>
      <c r="C762" s="192"/>
      <c r="D762" s="192"/>
      <c r="E762" s="164" t="str">
        <f>IF(Q762="","",IF(Q762=3,1,0))</f>
        <v/>
      </c>
      <c r="F762" s="164" t="str">
        <f>IF(Q762="","",IF(Q762&lt;3,1,0))</f>
        <v/>
      </c>
      <c r="G762" s="192"/>
      <c r="H762" s="192" t="str">
        <f>IF(I751="","",IF(I752="",2,3))</f>
        <v/>
      </c>
      <c r="I762" s="192" t="str">
        <f>IF(ISNUMBER(H762),VLOOKUP(H762,H750:I753,2,TRUE),"")</f>
        <v/>
      </c>
      <c r="J762" s="192"/>
      <c r="K762" s="192" t="str">
        <f>VLOOKUP(I762,I750:L753,3,FALSE)</f>
        <v/>
      </c>
      <c r="L762" s="155"/>
      <c r="M762" s="259"/>
      <c r="N762" s="259"/>
      <c r="O762" s="156"/>
      <c r="P762" s="157"/>
      <c r="Q762" s="260" t="str">
        <f>IF(L762="","",IF(AND(L762-L761&gt;1,L762&gt;10),1,0)+IF(AND(M762-M761&gt;1,M762&gt;10),1,0)+IF(AND(N762-N761&gt;1,N762&gt;10),1,0)+IF(AND(O762-O761&gt;1,O762&gt;10),1,0)+IF(AND(P762-P761&gt;1,P762&gt;10),1,0))</f>
        <v/>
      </c>
      <c r="R762" s="203" t="str">
        <f>IF(AND(Q761&lt;&gt;3,Q762&lt;&gt;3),"",IF(Q761=3,IF(VLOOKUP(I761,I750:L753,4,FALSE)&gt;VLOOKUP(I762,I750:L753,4,FALSE),VLOOKUP(R761,Point_dif,2,FALSE),VLOOKUP(R761,Point_dif,3,FALSE)),IF(Q762=3,IF(VLOOKUP(I762,I750:L753,4,FALSE)&gt;VLOOKUP(I761,I750:L753,4,FALSE),VLOOKUP(R761,Point_dif,2,FALSE),VLOOKUP(R761,Point_dif,3,FALSE)))))</f>
        <v/>
      </c>
      <c r="S762" s="256" t="str">
        <f>IF(R762="","",IF(Q762=3,+R762,-R762))</f>
        <v/>
      </c>
      <c r="T762" s="192"/>
      <c r="U762" s="235"/>
      <c r="V762" s="235"/>
      <c r="W762" s="235"/>
      <c r="X762" s="235"/>
      <c r="Y762" s="235"/>
      <c r="Z762" s="235"/>
      <c r="AA762" s="240">
        <v>4</v>
      </c>
      <c r="AB762" s="158" t="str">
        <f>IF(AND(COUNTBLANK(I750:I753)=0,Group_players=4,M750=M751,M751=M753),IF(COUNTIF(W749:W752,W752)=3,AB775,IF(AND(COUNTIF(W749:W752,W752)=1,W749&lt;&gt;W750),IF(M753=2,IF(SMALL(W749:W752,1)=W752,1,IF(SMALL(W749:W752,2)=W752,2,IF(SMALL(W749:W752,3)=W752,3))),IF(M753=1,IF(SMALL(W749:W752,1)=W752,2,IF(SMALL(W749:W752,2)=W752,3,IF(SMALL(W749:W752,3)=W752,4))),"")),IF(COUNTIF(W749:W752,W752)=1,IF(W752&lt;W749,IF(M753=2,1,2),IF(M753=2,3,4)),IF(COUNTIF(W749:W752,W752)=2,IF(W752=W749,IF(W752&lt;W750,IF(M753=2,IF(Q768=3,1,2),IF(M753=1,IF(Q768=3,2,3))),IF(W752&gt;W751,IF(M753=2,IF(Q768=3,2,3),IF(M753=1,IF(Q768=3,3,4))))),IF(W752=W750,IF(W752&lt;W749,IF(M753=2,IF(Q765=3,1,2),IF(M753=1,IF(Q765=3,2,3))),IF(W752&gt;W749,IF(M753=2,IF(Q765=3,2,3),IF(M753=1,IF(Q765=3,3,4))))))),"")))),"")</f>
        <v/>
      </c>
      <c r="AC762" s="192"/>
      <c r="AD762" s="192"/>
      <c r="AE762" s="192"/>
      <c r="AF762" s="203"/>
      <c r="AG762" s="203"/>
      <c r="AH762" s="203"/>
      <c r="AI762" s="203"/>
      <c r="AJ762" s="203"/>
      <c r="AK762" s="203"/>
      <c r="AL762" s="203"/>
      <c r="AM762" s="203"/>
      <c r="AN762" s="192"/>
      <c r="AO762" s="192"/>
      <c r="AP762" s="192"/>
      <c r="AQ762" s="192"/>
      <c r="AR762" s="192"/>
      <c r="AS762" s="192"/>
      <c r="AT762" s="192"/>
      <c r="AU762" s="192"/>
      <c r="AV762" s="192"/>
      <c r="AW762" s="192"/>
      <c r="AX762" s="192"/>
    </row>
    <row r="763" spans="2:50" ht="15" customHeight="1" thickTop="1" thickBot="1" x14ac:dyDescent="0.35">
      <c r="B763" s="192"/>
      <c r="C763" s="192"/>
      <c r="D763" s="192"/>
      <c r="E763" s="164"/>
      <c r="F763" s="164"/>
      <c r="G763" s="192"/>
      <c r="H763" s="192"/>
      <c r="I763" s="249" t="s">
        <v>116</v>
      </c>
      <c r="J763" s="249"/>
      <c r="K763" s="249"/>
      <c r="L763" s="250" t="s">
        <v>115</v>
      </c>
      <c r="M763" s="250" t="s">
        <v>116</v>
      </c>
      <c r="N763" s="250" t="s">
        <v>117</v>
      </c>
      <c r="O763" s="250" t="s">
        <v>118</v>
      </c>
      <c r="P763" s="250" t="s">
        <v>119</v>
      </c>
      <c r="Q763" s="250" t="s">
        <v>120</v>
      </c>
      <c r="R763" s="250"/>
      <c r="S763" s="251"/>
      <c r="T763" s="192"/>
      <c r="U763" s="235"/>
      <c r="V763" s="235"/>
      <c r="W763" s="235"/>
      <c r="X763" s="235"/>
      <c r="Y763" s="235"/>
      <c r="Z763" s="235"/>
      <c r="AA763" s="243">
        <v>2</v>
      </c>
      <c r="AB763" s="151" t="str">
        <f>IF(AND(COUNTBLANK(I750:I753)=0,Group_players=4,M751=M752,M752=M753),IF(COUNTIF(X749:X752,X750)=3,AB776,IF(AND(COUNTIF(X749:X752,X750)=1,X751&lt;&gt;X752),IF(M751=2,IF(SMALL(X749:X752,1)=X750,1,IF(SMALL(X749:X752,2)=X750,2,IF(SMALL(X749:X752,3)=X750,3))),IF(M751=1,IF(SMALL(X749:X752,1)=X750,2,IF(SMALL(X749:X752,2)=X750,3,IF(SMALL(X749:X752,3)=X750,4))),"")),IF(COUNTIF(X749:X752,X750)=1,IF(X750&lt;X752,IF(M751=2,1,2),IF(M751=1,3,3)),IF(COUNTIF(X749:X752,X750)=2,IF(X750=X751,IF(X750&lt;X752,IF(M751=2,IF(Q770=3,1,2),IF(M751=1,IF(Q770=3,2,3))),IF(X750&gt;X752,IF(M751=2,IF(Q770=3,2,3),IF(M751=1,IF(Q770=3,3,4))))),IF(X750=X752,IF(X750&lt;X751,IF(M751=2,IF(Q764=3,1,2),IF(M751=1,IF(Q764=3,2,3))),IF(X750&gt;X751,IF(M751=2,IF(Q764=3,2,3),IF(M751=1,IF(Q764=3,3,4))))))),"")))),"")</f>
        <v/>
      </c>
      <c r="AC763" s="192"/>
      <c r="AD763" s="192"/>
      <c r="AE763" s="192"/>
      <c r="AF763" s="203"/>
      <c r="AG763" s="203"/>
      <c r="AH763" s="203"/>
      <c r="AI763" s="203"/>
      <c r="AJ763" s="203"/>
      <c r="AK763" s="203"/>
      <c r="AL763" s="203"/>
      <c r="AM763" s="203"/>
      <c r="AN763" s="192"/>
      <c r="AO763" s="192"/>
      <c r="AP763" s="192"/>
      <c r="AQ763" s="192"/>
      <c r="AR763" s="192"/>
      <c r="AS763" s="192"/>
      <c r="AT763" s="192"/>
      <c r="AU763" s="192"/>
      <c r="AV763" s="192"/>
      <c r="AW763" s="192"/>
      <c r="AX763" s="192"/>
    </row>
    <row r="764" spans="2:50" ht="15" customHeight="1" thickTop="1" x14ac:dyDescent="0.3">
      <c r="B764" s="192"/>
      <c r="C764" s="192"/>
      <c r="D764" s="192"/>
      <c r="E764" s="164" t="str">
        <f>IF(Q764="","",IF(Q764=3,1,0))</f>
        <v/>
      </c>
      <c r="F764" s="164" t="str">
        <f>IF(Q764="","",IF(Q764&lt;3,1,0))</f>
        <v/>
      </c>
      <c r="G764" s="192"/>
      <c r="H764" s="192" t="str">
        <f>IF(I752="","",2)</f>
        <v/>
      </c>
      <c r="I764" s="192" t="str">
        <f>IF(ISNUMBER(H764),VLOOKUP(H764,H750:I753,2,TRUE),"")</f>
        <v/>
      </c>
      <c r="J764" s="192"/>
      <c r="K764" s="192" t="str">
        <f>VLOOKUP(I764,I750:L753,3,FALSE)</f>
        <v/>
      </c>
      <c r="L764" s="253"/>
      <c r="M764" s="254"/>
      <c r="N764" s="254"/>
      <c r="O764" s="152"/>
      <c r="P764" s="153"/>
      <c r="Q764" s="255" t="str">
        <f>IF(L764="","",IF(AND(L764-L765&gt;1,L764&gt;10),1,0)+IF(AND(M764-M765&gt;1,M764&gt;10),1,0)+IF(AND(N764-N765&gt;1,N764&gt;10),1,0)+IF(AND(O764-O765&gt;1,O764&gt;10),1,0)+IF(AND(P764-P765&gt;1,P764&gt;10),1,0))</f>
        <v/>
      </c>
      <c r="R764" s="203" t="str">
        <f>IF(AND(I764="",I765=""),"",ABS(VLOOKUP(I764,I750:L753,4,FALSE)-VLOOKUP(I765,I750:L753,4,FALSE)))</f>
        <v/>
      </c>
      <c r="S764" s="256" t="str">
        <f>IF(R765="","",IF(Q764=3,+R765,-R765))</f>
        <v/>
      </c>
      <c r="T764" s="192"/>
      <c r="U764" s="235"/>
      <c r="V764" s="235"/>
      <c r="W764" s="235"/>
      <c r="X764" s="235"/>
      <c r="Y764" s="235"/>
      <c r="Z764" s="235"/>
      <c r="AA764" s="246">
        <v>3</v>
      </c>
      <c r="AB764" s="154" t="str">
        <f>IF(AND(COUNTBLANK(I750:I753)=0,Group_players=4,M751=M752,M752=M753),IF(COUNTIF(X749:X752,X751)=3,AB777,IF(AND(COUNTIF(X749:X752,X751)=1,X750&lt;&gt;X752),IF(M752=2,IF(SMALL(X749:X752,1)=X751,1,IF(SMALL(X749:X752,2)=X751,2,IF(SMALL(X749:X752,3)=X751,3))),IF(M752=1,IF(SMALL(X749:X752,1)=X751,2,IF(SMALL(X749:X752,2)=X751,3,IF(SMALL(X749:X752,3)=X751,4))),"")),IF(COUNTIF(X749:X752,X751)=1,IF(X751&lt;X750,IF(M752=2,1,2),IF(M752=2,3,4)),IF(COUNTIF(X749:X752,X751)=2,IF(X751=X750,IF(X751&lt;X752,IF(M752=2,IF(Q771=3,1,2),IF(M752=1,IF(Q771=3,2,3))),IF(X751&gt;X752,IF(M752=2,IF(Q771=3,2,3),IF(M752=1,IF(Q771=3,3,4))))),IF(X751=X752,IF(X751&lt;X750,IF(M752=2,IF(Q776=3,1,2),IF(M752=1,IF(Q776=3,2,3))),IF(X751&gt;X750,IF(M752=2,IF(Q776=3,2,3),IF(M752=1,IF(Q776=3,3,4))))))),"")))),"")</f>
        <v/>
      </c>
      <c r="AC764" s="192"/>
      <c r="AD764" s="192"/>
      <c r="AE764" s="192"/>
      <c r="AF764" s="203"/>
      <c r="AG764" s="203"/>
      <c r="AH764" s="203"/>
      <c r="AI764" s="203"/>
      <c r="AJ764" s="203"/>
      <c r="AK764" s="203"/>
      <c r="AL764" s="203"/>
      <c r="AM764" s="203"/>
      <c r="AN764" s="192"/>
      <c r="AO764" s="192"/>
      <c r="AP764" s="192"/>
      <c r="AQ764" s="192"/>
      <c r="AR764" s="192"/>
      <c r="AS764" s="192"/>
      <c r="AT764" s="192"/>
      <c r="AU764" s="192"/>
      <c r="AV764" s="192"/>
      <c r="AW764" s="192"/>
      <c r="AX764" s="192"/>
    </row>
    <row r="765" spans="2:50" ht="15" customHeight="1" thickBot="1" x14ac:dyDescent="0.35">
      <c r="B765" s="192"/>
      <c r="C765" s="192"/>
      <c r="D765" s="192"/>
      <c r="E765" s="164" t="str">
        <f>IF(Q765="","",IF(Q765=3,1,0))</f>
        <v/>
      </c>
      <c r="F765" s="164" t="str">
        <f>IF(Q765="","",IF(Q765&lt;3,1,0))</f>
        <v/>
      </c>
      <c r="G765" s="192"/>
      <c r="H765" s="192" t="str">
        <f>IF(I752="","",IF(I753="",3,4))</f>
        <v/>
      </c>
      <c r="I765" s="192" t="str">
        <f>IF(ISNUMBER(H765),VLOOKUP(H765,H750:I753,2,TRUE),"")</f>
        <v/>
      </c>
      <c r="J765" s="192"/>
      <c r="K765" s="192" t="str">
        <f>VLOOKUP(I765,I750:L753,3,FALSE)</f>
        <v/>
      </c>
      <c r="L765" s="155"/>
      <c r="M765" s="259"/>
      <c r="N765" s="259"/>
      <c r="O765" s="156"/>
      <c r="P765" s="157"/>
      <c r="Q765" s="260" t="str">
        <f>IF(L765="","",IF(AND(L765-L764&gt;1,L765&gt;10),1,0)+IF(AND(M765-M764&gt;1,M765&gt;10),1,0)+IF(AND(N765-N764&gt;1,N765&gt;10),1,0)+IF(AND(O765-O764&gt;1,O765&gt;10),1,0)+IF(AND(P765-P764&gt;1,P765&gt;10),1,0))</f>
        <v/>
      </c>
      <c r="R765" s="203" t="str">
        <f>IF(AND(Q764&lt;&gt;3,Q765&lt;&gt;3),"",IF(Q764=3,IF(VLOOKUP(I764,I750:L753,4,FALSE)&gt;VLOOKUP(I765,I750:L753,4,FALSE),VLOOKUP(R764,Point_dif,2,FALSE),VLOOKUP(R764,Point_dif,3,FALSE)),IF(Q765=3,IF(VLOOKUP(I765,I750:L753,4,FALSE)&gt;VLOOKUP(I764,I750:L753,4,FALSE),VLOOKUP(R764,Point_dif,2,FALSE),VLOOKUP(R764,Point_dif,3,FALSE)))))</f>
        <v/>
      </c>
      <c r="S765" s="256" t="str">
        <f>IF(R765="","",IF(Q765=3,+R765,-R765))</f>
        <v/>
      </c>
      <c r="T765" s="192"/>
      <c r="U765" s="235"/>
      <c r="V765" s="235"/>
      <c r="W765" s="235"/>
      <c r="X765" s="235"/>
      <c r="Y765" s="235"/>
      <c r="Z765" s="235"/>
      <c r="AA765" s="261">
        <v>4</v>
      </c>
      <c r="AB765" s="158" t="str">
        <f>IF(AND(COUNTBLANK(I750:I753)=0,Group_players=4,M751=M752,M752=M753),IF(COUNTIF(X749:X752,X752)=3,AB778,IF(AND(COUNTIF(X749:X752,X752)=1,X751&lt;&gt;X750),IF(M753=2,IF(SMALL(X749:X752,1)=X752,1,IF(SMALL(X749:X752,2)=X752,2,IF(SMALL(X749:X752,3)=X752,3))),IF(M753=1,IF(SMALL(X749:X752,1)=X752,2,IF(SMALL(X749:X752,2)=X752,3,IF(SMALL(X749:X752,3)=X752,4))),"")),IF(COUNTIF(X749:X752,X752)=1,IF(X752&lt;X750,IF(M753=2,1,2),IF(M753=2,3,4)),IF(COUNTIF(X749:X752,X752)=2,IF(X752=X750,IF(X752&lt;X751,IF(M753=2,IF(Q765=3,1,2),IF(M753=1,IF(Q765=3,2,3))),IF(X752&gt;X751,IF(M753=2,IF(Q765=3,2,3),IF(M753=1,IF(Q765=3,3,4))))),IF(X752=X751,IF(X752&lt;X750,IF(M753=2,IF(Q777=3,1,2),IF(M753=1,IF(Q777=3,2,3))),IF(X752&gt;X750,IF(M753=2,IF(Q777=3,2,3),IF(M753=1,IF(Q777=3,3,4))))))),"")))),"")</f>
        <v/>
      </c>
      <c r="AC765" s="192"/>
      <c r="AD765" s="192"/>
      <c r="AE765" s="192"/>
      <c r="AF765" s="203"/>
      <c r="AG765" s="203"/>
      <c r="AH765" s="203"/>
      <c r="AI765" s="203"/>
      <c r="AJ765" s="203"/>
      <c r="AK765" s="203"/>
      <c r="AL765" s="203"/>
      <c r="AM765" s="203"/>
      <c r="AN765" s="192"/>
      <c r="AO765" s="192"/>
      <c r="AP765" s="192"/>
      <c r="AQ765" s="192"/>
      <c r="AR765" s="192"/>
      <c r="AS765" s="192"/>
      <c r="AT765" s="192"/>
      <c r="AU765" s="192"/>
      <c r="AV765" s="192"/>
      <c r="AW765" s="192"/>
      <c r="AX765" s="192"/>
    </row>
    <row r="766" spans="2:50" ht="15" customHeight="1" thickTop="1" thickBot="1" x14ac:dyDescent="0.35">
      <c r="B766" s="192"/>
      <c r="C766" s="192"/>
      <c r="D766" s="192"/>
      <c r="E766" s="164"/>
      <c r="F766" s="164"/>
      <c r="G766" s="192"/>
      <c r="H766" s="192"/>
      <c r="I766" s="249" t="s">
        <v>117</v>
      </c>
      <c r="J766" s="249"/>
      <c r="K766" s="249"/>
      <c r="L766" s="250" t="s">
        <v>115</v>
      </c>
      <c r="M766" s="250" t="s">
        <v>116</v>
      </c>
      <c r="N766" s="250" t="s">
        <v>117</v>
      </c>
      <c r="O766" s="250" t="s">
        <v>118</v>
      </c>
      <c r="P766" s="250" t="s">
        <v>119</v>
      </c>
      <c r="Q766" s="250" t="s">
        <v>120</v>
      </c>
      <c r="R766" s="250"/>
      <c r="S766" s="251"/>
      <c r="T766" s="263"/>
      <c r="U766" s="264"/>
      <c r="V766" s="242"/>
      <c r="W766" s="242"/>
      <c r="X766" s="264"/>
      <c r="Y766" s="192"/>
      <c r="Z766" s="203"/>
      <c r="AA766" s="126" t="s">
        <v>93</v>
      </c>
      <c r="AB766" s="265" t="s">
        <v>110</v>
      </c>
      <c r="AC766" s="192"/>
      <c r="AD766" s="192"/>
      <c r="AE766" s="192"/>
      <c r="AF766" s="203"/>
      <c r="AG766" s="203"/>
      <c r="AH766" s="203"/>
      <c r="AI766" s="203"/>
      <c r="AJ766" s="203"/>
      <c r="AK766" s="203"/>
      <c r="AL766" s="203"/>
      <c r="AM766" s="203"/>
      <c r="AN766" s="192"/>
      <c r="AO766" s="192"/>
      <c r="AP766" s="192"/>
      <c r="AQ766" s="192"/>
      <c r="AR766" s="192"/>
      <c r="AS766" s="192"/>
      <c r="AT766" s="192"/>
      <c r="AU766" s="192"/>
      <c r="AV766" s="192"/>
      <c r="AW766" s="192"/>
      <c r="AX766" s="192"/>
    </row>
    <row r="767" spans="2:50" ht="15" customHeight="1" thickTop="1" x14ac:dyDescent="0.3">
      <c r="B767" s="192"/>
      <c r="C767" s="192"/>
      <c r="D767" s="192"/>
      <c r="E767" s="164" t="str">
        <f>IF(Q767="","",IF(Q767=3,1,0))</f>
        <v/>
      </c>
      <c r="F767" s="164" t="str">
        <f>IF(Q767="","",IF(Q767&lt;3,1,0))</f>
        <v/>
      </c>
      <c r="G767" s="192"/>
      <c r="H767" s="192" t="str">
        <f>IF(I752&lt;&gt;"",1,"")</f>
        <v/>
      </c>
      <c r="I767" s="192" t="str">
        <f>IF(ISNUMBER(H767),VLOOKUP(H767,H750:I753,2,TRUE),"")</f>
        <v/>
      </c>
      <c r="J767" s="192"/>
      <c r="K767" s="192" t="str">
        <f>VLOOKUP(I767,I750:L753,3,FALSE)</f>
        <v/>
      </c>
      <c r="L767" s="253"/>
      <c r="M767" s="254"/>
      <c r="N767" s="254"/>
      <c r="O767" s="152"/>
      <c r="P767" s="153"/>
      <c r="Q767" s="255" t="str">
        <f>IF(L767="","",IF(AND(L767-L768&gt;1,L767&gt;10),1,0)+IF(AND(M767-M768&gt;1,M767&gt;10),1,0)+IF(AND(N767-N768&gt;1,N767&gt;10),1,0)+IF(AND(O767-O768&gt;1,O767&gt;10),1,0)+IF(AND(P767-P768&gt;1,P767&gt;10),1,0))</f>
        <v/>
      </c>
      <c r="R767" s="203" t="str">
        <f>IF(AND(I767="",I768=""),"",ABS(VLOOKUP(I767,I750:L753,4,FALSE)-VLOOKUP(I768,I750:L753,4,FALSE)))</f>
        <v/>
      </c>
      <c r="S767" s="256" t="str">
        <f>IF(R768="","",IF(Q767=3,+R768,-R768))</f>
        <v/>
      </c>
      <c r="T767" s="192"/>
      <c r="U767" s="235"/>
      <c r="V767" s="235"/>
      <c r="W767" s="235"/>
      <c r="X767" s="235"/>
      <c r="Y767" s="235"/>
      <c r="Z767" s="235"/>
      <c r="AA767" s="243">
        <v>1</v>
      </c>
      <c r="AB767" s="222" t="str">
        <f>IF(AND(COUNTBLANK(I750:I753)=0,Group_players=4,M750=M751,M751=M752),IF(U757="","",IF(COUNTIF(U757:U760,U757)=3,"Tied",IF(AND(COUNTIF(U757:U760,U757)=1,U758&lt;&gt;U759),IF(M750=2,IF(SMALL(U757:U760,1)=U757,1,IF(SMALL(U757:U760,2)=U757,2,IF(SMALL(U757:U760,3)=U757,3))),IF(M750=1,IF(SMALL(U757:U760,1)=U757,2,IF(SMALL(U757:U760,2)=U757,3,IF(SMALL(U757:U760,3)=U757,4))),"")),IF(COUNTIF(U757:U760,U757)=1,IF(U757&lt;U758,IF(M750=2,1,2),IF(M750=2,3,4)),IF(COUNTIF(U757:U760,U757)=2,IF(U757=U758,IF(U757&lt;U759,IF(M750=2,IF(Q773=3,1,2),IF(M750=1,IF(Q773=3,2,3))),IF(U757&gt;U759,IF(M750=2,IF(Q773=3,2,3),IF(M750=1,IF(Q773=3,3,4))))),IF(U757=U759,IF(U757&lt;U758,IF(M750=2,IF(Q761=3,1,2),IF(M750=1,IF(Q761=3,2,3))),IF(U757&gt;U758,IF(M750=2,IF(Q761=3,2,3),IF(M750=1,IF(Q761=3,3,4)))))))))))),"")</f>
        <v/>
      </c>
      <c r="AC767" s="192"/>
      <c r="AD767" s="192"/>
      <c r="AE767" s="192"/>
      <c r="AF767" s="203"/>
      <c r="AG767" s="203"/>
      <c r="AH767" s="203"/>
      <c r="AI767" s="203"/>
      <c r="AJ767" s="203"/>
      <c r="AK767" s="203"/>
      <c r="AL767" s="203"/>
      <c r="AM767" s="203"/>
      <c r="AN767" s="192"/>
      <c r="AO767" s="192"/>
      <c r="AP767" s="192"/>
      <c r="AQ767" s="192"/>
      <c r="AR767" s="192"/>
      <c r="AS767" s="192"/>
      <c r="AT767" s="192"/>
      <c r="AU767" s="192"/>
      <c r="AV767" s="192"/>
      <c r="AW767" s="192"/>
      <c r="AX767" s="192"/>
    </row>
    <row r="768" spans="2:50" ht="15" customHeight="1" thickBot="1" x14ac:dyDescent="0.35">
      <c r="B768" s="192"/>
      <c r="C768" s="192"/>
      <c r="D768" s="192"/>
      <c r="E768" s="164" t="str">
        <f>IF(Q768="","",IF(Q768=3,1,0))</f>
        <v/>
      </c>
      <c r="F768" s="164" t="str">
        <f>IF(Q768="","",IF(Q768&lt;3,1,0))</f>
        <v/>
      </c>
      <c r="G768" s="192"/>
      <c r="H768" s="192" t="str">
        <f>IF(I752="","",IF(I753&lt;&gt;"",4,2))</f>
        <v/>
      </c>
      <c r="I768" s="192" t="str">
        <f>IF(ISNUMBER(H768),VLOOKUP(H768,H750:I753,2,TRUE),"")</f>
        <v/>
      </c>
      <c r="J768" s="192"/>
      <c r="K768" s="192" t="str">
        <f>VLOOKUP(I768,I750:L753,3,FALSE)</f>
        <v/>
      </c>
      <c r="L768" s="155"/>
      <c r="M768" s="259"/>
      <c r="N768" s="259"/>
      <c r="O768" s="156"/>
      <c r="P768" s="157"/>
      <c r="Q768" s="260" t="str">
        <f>IF(L768="","",IF(AND(L768-L767&gt;1,L768&gt;10),1,0)+IF(AND(M768-M767&gt;1,M768&gt;10),1,0)+IF(AND(N768-N767&gt;1,N768&gt;10),1,0)+IF(AND(O768-O767&gt;1,O768&gt;10),1,0)+IF(AND(P768-P767&gt;1,P768&gt;10),1,0))</f>
        <v/>
      </c>
      <c r="R768" s="203" t="str">
        <f>IF(AND(Q767&lt;&gt;3,Q768&lt;&gt;3),"",IF(Q767=3,IF(VLOOKUP(I767,I750:L753,4,FALSE)&gt;VLOOKUP(I768,I750:L753,4,FALSE),VLOOKUP(R767,Point_dif,2,FALSE),VLOOKUP(R767,Point_dif,3,FALSE)),IF(Q768=3,IF(VLOOKUP(I768,I750:L753,4,FALSE)&gt;VLOOKUP(I767,I750:L753,4,FALSE),VLOOKUP(R767,Point_dif,2,FALSE),VLOOKUP(R767,Point_dif,3,FALSE)))))</f>
        <v/>
      </c>
      <c r="S768" s="256" t="str">
        <f>IF(R768="","",IF(Q768=3,+R768,-R768))</f>
        <v/>
      </c>
      <c r="T768" s="192"/>
      <c r="U768" s="235"/>
      <c r="V768" s="235"/>
      <c r="W768" s="235"/>
      <c r="X768" s="235"/>
      <c r="Y768" s="235"/>
      <c r="Z768" s="235"/>
      <c r="AA768" s="246">
        <v>2</v>
      </c>
      <c r="AB768" s="222" t="str">
        <f>IF(AND(COUNTBLANK(I750:I753)=0,Group_players=4,M750=M751,M751=M752),IF(U758="","",IF(COUNTIF(U757:U760,U758)=3,"Tied",IF(AND(COUNTIF(U757:U760,U758)=1,U757&lt;&gt;U759),IF(M751=2,IF(SMALL(U757:U760,1)=U758,1,IF(SMALL(U757:U760,2)=U758,2,IF(SMALL(U757:U760,3)=U758,3))),IF(M751=1,IF(SMALL(U757:U760,1)=U758,2,IF(SMALL(U757:U760,2)=U758,3,IF(SMALL(U757:U760,3)=U758,4))),"")),IF(COUNTIF(U757:U760,U758)=1,IF(U758&lt;U757,IF(M751=2,1,2),IF(M751=2,3,4)),IF(COUNTIF(U757:U760,U758)=2,IF(U758=U757,IF(U758&lt;U759,IF(M751=2,IF(Q774=3,1,2),IF(M751=1,IF(Q774=3,2,3))),IF(U758&gt;U759,IF(M751=2,IF(Q774=3,2,3),IF(M751=1,IF(Q774=3,3,4))))),IF(U758=U759,IF(U758&lt;U757,IF(M751=2,IF(Q770=3,1,2),IF(M751=1,IF(Q770=3,2,3))),IF(U758&gt;U757,IF(M751=2,IF(Q770=3,2,3),IF(M751=1,IF(Q770=3,3,4)))))))))))),"")</f>
        <v/>
      </c>
      <c r="AC768" s="192"/>
      <c r="AD768" s="192"/>
      <c r="AE768" s="192"/>
      <c r="AF768" s="203"/>
      <c r="AG768" s="203"/>
      <c r="AH768" s="203"/>
      <c r="AI768" s="203"/>
      <c r="AJ768" s="203"/>
      <c r="AK768" s="203"/>
      <c r="AL768" s="203"/>
      <c r="AM768" s="203"/>
      <c r="AN768" s="192"/>
      <c r="AO768" s="192"/>
      <c r="AP768" s="192"/>
      <c r="AQ768" s="192"/>
      <c r="AR768" s="192"/>
      <c r="AS768" s="192"/>
      <c r="AT768" s="192"/>
      <c r="AU768" s="192"/>
      <c r="AV768" s="192"/>
      <c r="AW768" s="192"/>
      <c r="AX768" s="192"/>
    </row>
    <row r="769" spans="2:50" ht="15" customHeight="1" thickTop="1" thickBot="1" x14ac:dyDescent="0.35">
      <c r="B769" s="192"/>
      <c r="C769" s="192"/>
      <c r="D769" s="192"/>
      <c r="E769" s="164"/>
      <c r="F769" s="164"/>
      <c r="G769" s="192"/>
      <c r="H769" s="192"/>
      <c r="I769" s="249" t="s">
        <v>118</v>
      </c>
      <c r="J769" s="249"/>
      <c r="K769" s="249"/>
      <c r="L769" s="250" t="s">
        <v>115</v>
      </c>
      <c r="M769" s="250" t="s">
        <v>116</v>
      </c>
      <c r="N769" s="250" t="s">
        <v>117</v>
      </c>
      <c r="O769" s="250" t="s">
        <v>118</v>
      </c>
      <c r="P769" s="250" t="s">
        <v>119</v>
      </c>
      <c r="Q769" s="250" t="s">
        <v>120</v>
      </c>
      <c r="R769" s="250"/>
      <c r="S769" s="251"/>
      <c r="T769" s="192"/>
      <c r="U769" s="235"/>
      <c r="V769" s="235"/>
      <c r="W769" s="235"/>
      <c r="X769" s="235"/>
      <c r="Y769" s="235"/>
      <c r="Z769" s="235"/>
      <c r="AA769" s="240">
        <v>3</v>
      </c>
      <c r="AB769" s="241" t="str">
        <f>IF(AND(COUNTBLANK(I750:I753)=0,Group_players=4,M750=M751,M751=M752),IF(U759="","",IF(COUNTIF(U757:U760,U759)=3,"Tied",IF(AND(COUNTIF(U757:U760,U759)=1,U757&lt;&gt;U758),IF(M750=2,IF(SMALL(U757:U760,1)=U759,1,IF(SMALL(U757:U760,2)=U759,2,IF(SMALL(U757:U760,3)=U759,3))),IF(M752=1,IF(SMALL(U757:U760,1)=U759,2,IF(SMALL(U757:U760,2)=U759,3,IF(SMALL(U757:U760,3)=U759,4))),"")),IF(COUNTIF(U757:U760,U759)=1,IF(U759&lt;U758,IF(M752=2,1,2),IF(M752=2,3,4)),IF(COUNTIF(U757:U760,U759)=2,IF(U759=U758,IF(U759&lt;U757,IF(M752=2,IF(Q771=3,1,2),IF(M752=1,IF(Q771=3,2,3))),IF(U759&gt;U757,IF(M752=2,IF(Q771=3,2,3),IF(M752=1,IF(Q771=3,3,4))))),IF(U759=U757,IF(U759&lt;U758,IF(M752=2,IF(Q762=3,1,2),IF(M752=1,IF(Q762=3,2,3))),IF(U759&gt;U758,IF(M752=2,IF(Q762=3,2,3),IF(M752=1,IF(Q762=3,3,4)))))))))))),"")</f>
        <v/>
      </c>
      <c r="AC769" s="192"/>
      <c r="AD769" s="192"/>
      <c r="AE769" s="192"/>
      <c r="AF769" s="203"/>
      <c r="AG769" s="203"/>
      <c r="AH769" s="203"/>
      <c r="AI769" s="203"/>
      <c r="AJ769" s="203"/>
      <c r="AK769" s="203"/>
      <c r="AL769" s="203"/>
      <c r="AM769" s="203"/>
      <c r="AN769" s="192"/>
      <c r="AO769" s="192"/>
      <c r="AP769" s="192"/>
      <c r="AQ769" s="192"/>
      <c r="AR769" s="192"/>
      <c r="AS769" s="192"/>
      <c r="AT769" s="192"/>
      <c r="AU769" s="192"/>
      <c r="AV769" s="192"/>
      <c r="AW769" s="192"/>
      <c r="AX769" s="192"/>
    </row>
    <row r="770" spans="2:50" ht="15" customHeight="1" thickTop="1" x14ac:dyDescent="0.3">
      <c r="B770" s="192"/>
      <c r="C770" s="192"/>
      <c r="D770" s="192"/>
      <c r="E770" s="164" t="str">
        <f>IF(Q770="","",IF(Q770=3,1,0))</f>
        <v/>
      </c>
      <c r="F770" s="164" t="str">
        <f>IF(Q770="","",IF(Q770&lt;3,1,0))</f>
        <v/>
      </c>
      <c r="G770" s="192"/>
      <c r="H770" s="192" t="str">
        <f>IF(I753&lt;&gt;"",2,"")</f>
        <v/>
      </c>
      <c r="I770" s="192" t="str">
        <f>IF(ISNUMBER(H770),VLOOKUP(H770,H750:I753,2,TRUE),"")</f>
        <v/>
      </c>
      <c r="J770" s="192"/>
      <c r="K770" s="192" t="str">
        <f>VLOOKUP(I770,I750:L753,3,FALSE)</f>
        <v/>
      </c>
      <c r="L770" s="253"/>
      <c r="M770" s="254"/>
      <c r="N770" s="254"/>
      <c r="O770" s="152"/>
      <c r="P770" s="153"/>
      <c r="Q770" s="255" t="str">
        <f>IF(L770="","",IF(AND(L770-L771&gt;1,L770&gt;10),1,0)+IF(AND(M770-M771&gt;1,M770&gt;10),1,0)+IF(AND(N770-N771&gt;1,N770&gt;10),1,0)+IF(AND(O770-O771&gt;1,O770&gt;10),1,0)+IF(AND(P770-P771&gt;1,P770&gt;10),1,0))</f>
        <v/>
      </c>
      <c r="R770" s="203" t="str">
        <f>IF(AND(I770="",I771=""),"",ABS(VLOOKUP(I770,I750:L753,4,FALSE)-VLOOKUP(I771,I750:L753,4,FALSE)))</f>
        <v/>
      </c>
      <c r="S770" s="256" t="str">
        <f>IF(R771="","",IF(Q770=3,+R771,-R771))</f>
        <v/>
      </c>
      <c r="T770" s="192"/>
      <c r="U770" s="235"/>
      <c r="V770" s="235"/>
      <c r="W770" s="235"/>
      <c r="X770" s="235"/>
      <c r="Y770" s="235"/>
      <c r="Z770" s="235"/>
      <c r="AA770" s="243">
        <v>1</v>
      </c>
      <c r="AB770" s="222" t="str">
        <f>IF(AND(COUNTBLANK(I750:I753)=0,Group_players=4,M750=M752,M752=M753),IF(V757="","",IF(COUNTIF(V757:V760,V757)=3,"Tied",IF(AND(COUNTIF(V757:V760,V757)=1,V759&lt;&gt;U760),IF(M750=2,IF(SMALL(V757:V760,1)=V757,1,IF(SMALL(V757:V760,2)=V757,2,IF(SMALL(V757:V760,3)=V757,3))),IF(M750=1,IF(SMALL(V757:V760,1)=V757,2,IF(SMALL(V757:V760,2)=V757,3,IF(SMALL(V757:V760,3)=V757,4))),"")),IF(COUNTIF(V757:V760,V757)=1,IF(V757&lt;V759,IF(M750=2,1,2),IF(M750=2,3,4)),IF(COUNTIF(V757:V760,V757)=2,IF(V757=V759,IF(V757&lt;V760,IF(M750=2,IF(Q761=3,1,2),IF(M750=1,IF(Q761=3,2,3))),IF(V757&gt;V760,IF(M750=2,IF(Q761=3,2,3),IF(M750=1,IF(Q761=3,3,4))))),IF(V757=V760,IF(V757&lt;V759,IF(M750=2,IF(Q767=3,1,2),IF(M750=1,IF(Q767=3,2,3))),IF(V757&gt;V758,IF(M750=2,IF(Q767=3,2,3),IF(M750=1,IF(Q767=3,3,4)))))))))))),"")</f>
        <v/>
      </c>
      <c r="AC770" s="192"/>
      <c r="AD770" s="192"/>
      <c r="AE770" s="192"/>
      <c r="AF770" s="203"/>
      <c r="AG770" s="203"/>
      <c r="AH770" s="203"/>
      <c r="AI770" s="203"/>
      <c r="AJ770" s="203"/>
      <c r="AK770" s="203"/>
      <c r="AL770" s="203"/>
      <c r="AM770" s="203"/>
      <c r="AN770" s="192"/>
      <c r="AO770" s="192"/>
      <c r="AP770" s="192"/>
      <c r="AQ770" s="192"/>
      <c r="AR770" s="192"/>
      <c r="AS770" s="192"/>
      <c r="AT770" s="192"/>
      <c r="AU770" s="192"/>
      <c r="AV770" s="192"/>
      <c r="AW770" s="192"/>
      <c r="AX770" s="192"/>
    </row>
    <row r="771" spans="2:50" ht="15" customHeight="1" thickBot="1" x14ac:dyDescent="0.35">
      <c r="B771" s="192"/>
      <c r="C771" s="192"/>
      <c r="D771" s="192"/>
      <c r="E771" s="164" t="str">
        <f>IF(Q771="","",IF(Q771=3,1,0))</f>
        <v/>
      </c>
      <c r="F771" s="164" t="str">
        <f>IF(Q771="","",IF(Q771&lt;3,1,0))</f>
        <v/>
      </c>
      <c r="G771" s="192"/>
      <c r="H771" s="192" t="str">
        <f>IF(I753&lt;&gt;"",3,"")</f>
        <v/>
      </c>
      <c r="I771" s="192" t="str">
        <f>IF(ISNUMBER(H771),VLOOKUP(H771,H750:I753,2,TRUE),"")</f>
        <v/>
      </c>
      <c r="J771" s="192"/>
      <c r="K771" s="192" t="str">
        <f>VLOOKUP(I771,I750:L753,3,FALSE)</f>
        <v/>
      </c>
      <c r="L771" s="155"/>
      <c r="M771" s="259"/>
      <c r="N771" s="259"/>
      <c r="O771" s="156"/>
      <c r="P771" s="157"/>
      <c r="Q771" s="260" t="str">
        <f>IF(L771="","",IF(AND(L771-L770&gt;1,L771&gt;10),1,0)+IF(AND(M771-M770&gt;1,M771&gt;10),1,0)+IF(AND(N771-N770&gt;1,N771&gt;10),1,0)+IF(AND(O771-O770&gt;1,O771&gt;10),1,0)+IF(AND(P771-P770&gt;1,P771&gt;10),1,0))</f>
        <v/>
      </c>
      <c r="R771" s="203" t="str">
        <f>IF(AND(Q770&lt;&gt;3,Q771&lt;&gt;3),"",IF(Q770=3,IF(VLOOKUP(I770,I750:L753,4,FALSE)&gt;VLOOKUP(I771,I750:L753,4,FALSE),VLOOKUP(R770,Point_dif,2,FALSE),VLOOKUP(R770,Point_dif,3,FALSE)),IF(Q771=3,IF(VLOOKUP(I771,I750:L753,4,FALSE)&gt;VLOOKUP(I770,I750:L753,4,FALSE),VLOOKUP(R770,Point_dif,2,FALSE),VLOOKUP(R770,Point_dif,3,FALSE)))))</f>
        <v/>
      </c>
      <c r="S771" s="256" t="str">
        <f>IF(R771="","",IF(Q771=3,+R771,-R771))</f>
        <v/>
      </c>
      <c r="T771" s="192"/>
      <c r="U771" s="159"/>
      <c r="V771" s="266"/>
      <c r="W771" s="266"/>
      <c r="X771" s="266"/>
      <c r="Y771" s="192"/>
      <c r="Z771" s="203"/>
      <c r="AA771" s="246">
        <v>3</v>
      </c>
      <c r="AB771" s="222" t="str">
        <f>IF(AND(COUNTBLANK(I750:I753)=0,Group_players=4,M750=M752,M752=M753),IF(V759="","",IF(COUNTIF(V757:V760,V759)=3,"Tied",IF(AND(COUNTIF(V757:V760,V759)=1,V757&lt;&gt;V760),IF(M752=2,IF(SMALL(V757:V760,1)=V759,1,IF(SMALL(V757:V760,2)=V759,2,IF(SMALL(V757:V760,3)=V759,3))),IF(M752=1,IF(SMALL(V757:V760,1)=V759,2,IF(SMALL(V757:V760,2)=V759,3,IF(SMALL(V757:V760,3)=V759,4))),"")),IF(COUNTIF(V757:V760,V759)=1,IF(V759&lt;V757,IF(M752=2,1,2),IF(M752=2,3,4)),IF(COUNTIF(V757:V760,V759)=2,IF(V759=V757,IF(V759&lt;V760,IF(M752=2,IF(Q762=3,1,2),IF(M752=1,IF(Q762=3,2,3))),IF(V759&gt;V760,IF(M752=2,IF(Q762=3,2,3),IF(M752=1,IF(Q762=3,3,4))))),IF(V759=V760,IF(V759&lt;V757,IF(M752=2,IF(Q776=3,1,2),IF(M752=1,IF(Q776=3,2,3))),IF(V759&gt;V757,IF(M752=2,IF(Q776=3,2,3),IF(M752=1,IF(Q776=3,3,4)))))))))))),"")</f>
        <v/>
      </c>
      <c r="AC771" s="192"/>
      <c r="AD771" s="192"/>
      <c r="AE771" s="192"/>
      <c r="AF771" s="203"/>
      <c r="AG771" s="203"/>
      <c r="AH771" s="203"/>
      <c r="AI771" s="203"/>
      <c r="AJ771" s="203"/>
      <c r="AK771" s="203"/>
      <c r="AL771" s="203"/>
      <c r="AM771" s="203"/>
      <c r="AN771" s="192"/>
      <c r="AO771" s="192"/>
      <c r="AP771" s="192"/>
      <c r="AQ771" s="192"/>
      <c r="AR771" s="192"/>
      <c r="AS771" s="192"/>
      <c r="AT771" s="192"/>
      <c r="AU771" s="192"/>
      <c r="AV771" s="192"/>
      <c r="AW771" s="192"/>
      <c r="AX771" s="192"/>
    </row>
    <row r="772" spans="2:50" ht="15" customHeight="1" thickTop="1" thickBot="1" x14ac:dyDescent="0.35">
      <c r="B772" s="192"/>
      <c r="C772" s="192"/>
      <c r="D772" s="192"/>
      <c r="E772" s="164"/>
      <c r="F772" s="164"/>
      <c r="G772" s="192"/>
      <c r="H772" s="192"/>
      <c r="I772" s="249" t="s">
        <v>119</v>
      </c>
      <c r="J772" s="249"/>
      <c r="K772" s="249"/>
      <c r="L772" s="250" t="s">
        <v>115</v>
      </c>
      <c r="M772" s="250" t="s">
        <v>116</v>
      </c>
      <c r="N772" s="250" t="s">
        <v>117</v>
      </c>
      <c r="O772" s="250" t="s">
        <v>118</v>
      </c>
      <c r="P772" s="250" t="s">
        <v>119</v>
      </c>
      <c r="Q772" s="250" t="s">
        <v>120</v>
      </c>
      <c r="R772" s="250"/>
      <c r="S772" s="251"/>
      <c r="T772" s="247"/>
      <c r="U772" s="235"/>
      <c r="V772" s="235"/>
      <c r="W772" s="235"/>
      <c r="X772" s="235"/>
      <c r="Y772" s="235"/>
      <c r="Z772" s="235"/>
      <c r="AA772" s="240">
        <v>4</v>
      </c>
      <c r="AB772" s="241" t="str">
        <f>IF(AND(COUNTBLANK(I750:I753)=0,Group_players=4,M750=M752,M752=M753),IF(V760="","",IF(COUNTIF(V757:V760,V760)=3,"Tied",IF(AND(COUNTIF(V757:V760,V760)=1,V759&lt;&gt;V757),IF(M753=2,IF(SMALL(V757:V760,1)=V760,1,IF(SMALL(V757:V760,2)=V760,2,IF(SMALL(V757:V760,3)=V760,3))),IF(M753=1,IF(SMALL(V757:V760,1)=V760,2,IF(SMALL(V757:V760,2)=V760,3,IF(SMALL(V757:V760,3)=V760,4))),"")),IF(COUNTIF(V757:V760,V760)=1,IF(V760&lt;V757,IF(M753=2,1,2),IF(M753=2,3,4)),IF(COUNTIF(V757:V760,V760)=2,IF(V760=V757,IF(V760&lt;V759,IF(M753=2,IF(Q768=3,1,2),IF(M753=1,IF(Q768=3,2,3))),IF(V760&gt;V759,IF(M753=2,IF(Q768=3,2,3),IF(M753=1,IF(Q768=3,3,4))))),IF(V760=V759,IF(V760&lt;V757,IF(M753=2,IF(Q777=3,1,2),IF(M753=1,IF(Q777=3,2,3))),IF(V760&gt;V757,IF(M753=2,IF(Q777=3,2,3),IF(M753=1,IF(Q777=3,3,4)))))))))))),"")</f>
        <v/>
      </c>
      <c r="AC772" s="192"/>
      <c r="AD772" s="192"/>
      <c r="AE772" s="192"/>
      <c r="AF772" s="203"/>
      <c r="AG772" s="203"/>
      <c r="AH772" s="203"/>
      <c r="AI772" s="203"/>
      <c r="AJ772" s="203"/>
      <c r="AK772" s="203"/>
      <c r="AL772" s="203"/>
      <c r="AM772" s="203"/>
      <c r="AN772" s="192"/>
      <c r="AO772" s="192"/>
      <c r="AP772" s="192"/>
      <c r="AQ772" s="192"/>
      <c r="AR772" s="192"/>
      <c r="AS772" s="192"/>
      <c r="AT772" s="192"/>
      <c r="AU772" s="192"/>
      <c r="AV772" s="192"/>
      <c r="AW772" s="192"/>
      <c r="AX772" s="192"/>
    </row>
    <row r="773" spans="2:50" ht="15" customHeight="1" thickTop="1" x14ac:dyDescent="0.3">
      <c r="B773" s="192"/>
      <c r="C773" s="192"/>
      <c r="D773" s="192"/>
      <c r="E773" s="164" t="str">
        <f>IF(Q773="","",IF(Q773=3,1,0))</f>
        <v/>
      </c>
      <c r="F773" s="164" t="str">
        <f>IF(Q773="","",IF(Q773&lt;3,1,0))</f>
        <v/>
      </c>
      <c r="G773" s="192"/>
      <c r="H773" s="192" t="str">
        <f>IF(I753&lt;&gt;"",1,"")</f>
        <v/>
      </c>
      <c r="I773" s="192" t="str">
        <f>IF(ISNUMBER(H773),VLOOKUP(H773,H750:I753,2,TRUE),"")</f>
        <v/>
      </c>
      <c r="J773" s="192"/>
      <c r="K773" s="192" t="str">
        <f>VLOOKUP(I773,I750:L753,3,FALSE)</f>
        <v/>
      </c>
      <c r="L773" s="253"/>
      <c r="M773" s="254"/>
      <c r="N773" s="254"/>
      <c r="O773" s="152"/>
      <c r="P773" s="153"/>
      <c r="Q773" s="255" t="str">
        <f>IF(L773="","",IF(AND(L773-L774&gt;1,L773&gt;10),1,0)+IF(AND(M773-M774&gt;1,M773&gt;10),1,0)+IF(AND(N773-N774&gt;1,N773&gt;10),1,0)+IF(AND(O773-O774&gt;1,O773&gt;10),1,0)+IF(AND(P773-P774&gt;1,P773&gt;10),1,0))</f>
        <v/>
      </c>
      <c r="R773" s="203" t="str">
        <f>IF(AND(I773="",I774=""),"",ABS(VLOOKUP(I773,I750:L753,4,FALSE)-VLOOKUP(I774,I750:L753,4,FALSE)))</f>
        <v/>
      </c>
      <c r="S773" s="256" t="str">
        <f>IF(R774="","",IF(Q773=3,+R774,-R774))</f>
        <v/>
      </c>
      <c r="T773" s="247"/>
      <c r="U773" s="235"/>
      <c r="V773" s="235"/>
      <c r="W773" s="235"/>
      <c r="X773" s="235"/>
      <c r="Y773" s="235"/>
      <c r="Z773" s="235"/>
      <c r="AA773" s="243">
        <v>1</v>
      </c>
      <c r="AB773" s="222" t="str">
        <f>IF(AND(COUNTBLANK(I750:I753)=0,Group_players=4,M750=M751,M751=M753),IF(W757="","",IF(COUNTIF(W757:W760,W757)=3,"Tied",IF(AND(COUNTIF(W757:W760,W757)=1,W758&lt;&gt;W759),IF(M750=2,IF(SMALL(W757:W760,1)=W757,1,IF(SMALL(W757:W760,2)=W757,2,IF(SMALL(W757:W760,3)=W757,3))),IF(M750=1,IF(SMALL(W757:W760,1)=W757,2,IF(SMALL(W757:W760,2)=W757,3,IF(SMALL(W757:W760,3)=W757,4))),"")),IF(COUNTIF(W757:W760,W757)=1,IF(W757&lt;W758,IF(M750=2,1,2),IF(M750=2,3,4)),IF(COUNTIF(W757:W760,W757)=2,IF(W757=W758,IF(W757&lt;W760,IF(M750=2,IF(Q773=3,1,2),IF(M750=1,IF(Q773=3,2,3))),IF(W757&gt;W760,IF(M750=2,IF(Q773=3,2,3),IF(M750=1,IF(Q773=3,3,4))))),IF(W757=W760,IF(W757&lt;W758,IF(M750=2,IF(Q767=3,1,2),IF(M750=1,IF(Q767=3,2,3))),IF(W757&gt;W758,IF(M750=2,IF(Q767=3,2,3),IF(M750=1,IF(Q767=3,3,4)))))))))))),"")</f>
        <v/>
      </c>
      <c r="AC773" s="192"/>
      <c r="AD773" s="192"/>
      <c r="AE773" s="192"/>
      <c r="AF773" s="203"/>
      <c r="AG773" s="203"/>
      <c r="AH773" s="203"/>
      <c r="AI773" s="203"/>
      <c r="AJ773" s="203"/>
      <c r="AK773" s="203"/>
      <c r="AL773" s="203"/>
      <c r="AM773" s="203"/>
      <c r="AN773" s="192"/>
      <c r="AO773" s="192"/>
      <c r="AP773" s="192"/>
      <c r="AQ773" s="192"/>
      <c r="AR773" s="192"/>
      <c r="AS773" s="192"/>
      <c r="AT773" s="192"/>
      <c r="AU773" s="192"/>
      <c r="AV773" s="192"/>
      <c r="AW773" s="192"/>
      <c r="AX773" s="192"/>
    </row>
    <row r="774" spans="2:50" ht="15" customHeight="1" thickBot="1" x14ac:dyDescent="0.35">
      <c r="B774" s="192"/>
      <c r="C774" s="192"/>
      <c r="D774" s="192"/>
      <c r="E774" s="164" t="str">
        <f>IF(Q774="","",IF(Q774=3,1,0))</f>
        <v/>
      </c>
      <c r="F774" s="164" t="str">
        <f>IF(Q774="","",IF(Q774&lt;3,1,0))</f>
        <v/>
      </c>
      <c r="G774" s="192"/>
      <c r="H774" s="192" t="str">
        <f>IF(I753&lt;&gt;"",2,"")</f>
        <v/>
      </c>
      <c r="I774" s="192" t="str">
        <f>IF(ISNUMBER(H774),VLOOKUP(H774,H750:I753,2,TRUE),"")</f>
        <v/>
      </c>
      <c r="J774" s="192"/>
      <c r="K774" s="192" t="str">
        <f>VLOOKUP(I774,I750:L753,3,FALSE)</f>
        <v/>
      </c>
      <c r="L774" s="155"/>
      <c r="M774" s="259"/>
      <c r="N774" s="259"/>
      <c r="O774" s="156"/>
      <c r="P774" s="157"/>
      <c r="Q774" s="260" t="str">
        <f>IF(L774="","",IF(AND(L774-L773&gt;1,L774&gt;10),1,0)+IF(AND(M774-M773&gt;1,M774&gt;10),1,0)+IF(AND(N774-N773&gt;1,N774&gt;10),1,0)+IF(AND(O774-O773&gt;1,O774&gt;10),1,0)+IF(AND(P774-P773&gt;1,P774&gt;10),1,0))</f>
        <v/>
      </c>
      <c r="R774" s="203" t="str">
        <f>IF(AND(Q773&lt;&gt;3,Q774&lt;&gt;3),"",IF(Q773=3,IF(VLOOKUP(I773,I750:L753,4,FALSE)&gt;VLOOKUP(I774,I750:L753,4,FALSE),VLOOKUP(R773,Point_dif,2,FALSE),VLOOKUP(R773,Point_dif,3,FALSE)),IF(Q774=3,IF(VLOOKUP(I774,I750:L753,4,FALSE)&gt;VLOOKUP(I774,I750:L753,4,FALSE),VLOOKUP(R773,Point_dif,2,FALSE),VLOOKUP(R773,Point_dif,3,FALSE)))))</f>
        <v/>
      </c>
      <c r="S774" s="256" t="str">
        <f>IF(R774="","",IF(Q774=3,+R774,-R774))</f>
        <v/>
      </c>
      <c r="T774" s="247"/>
      <c r="U774" s="235"/>
      <c r="V774" s="235"/>
      <c r="W774" s="235"/>
      <c r="X774" s="235"/>
      <c r="Y774" s="235"/>
      <c r="Z774" s="235"/>
      <c r="AA774" s="246">
        <v>2</v>
      </c>
      <c r="AB774" s="222" t="str">
        <f>IF(AND(COUNTBLANK(I750:I753)=0,Group_players=4,M750=M751,M751=M753),IF(W758="","",IF(COUNTIF(W757:W760,W758)=3,"Tied",IF(AND(COUNTIF(W757:W760,W758)=1,W757&lt;&gt;W759),IF(M751=2,IF(SMALL(W757:W760,1)=W758,1,IF(SMALL(W757:W760,2)=W758,2,IF(SMALL(W757:W760,3)=W758,3))),IF(M751=1,IF(SMALL(W757:W760,1)=W758,2,IF(SMALL(W757:W760,2)=W758,3,IF(SMALL(W757:W760,3)=W758,4))),"")),IF(COUNTIF(W757:W760,W758)=1,IF(W758&lt;W757,IF(M751=2,1,2),IF(M751=2,3,4)),IF(COUNTIF(W757:W760,W758)=2,IF(W758=W757,IF(W758&lt;W760,IF(M751=2,IF(Q774=3,1,2),IF(M751=1,IF(Q774=3,2,3))),IF(W758&gt;W760,IF(M751=2,IF(Q774=3,2,3),IF(M751=1,IF(Q774=3,3,4))))),IF(W758=W760,IF(W758&lt;W757,IF(M751=2,IF(Q764=3,1,2),IF(M751=1,IF(Q764=3,2,3))),IF(W758&gt;W757,IF(M751=2,IF(Q764=3,2,3),IF(M751=1,IF(Q764=3,3,4)))))))))))),"")</f>
        <v/>
      </c>
      <c r="AC774" s="192"/>
      <c r="AD774" s="192"/>
      <c r="AE774" s="192"/>
      <c r="AF774" s="203"/>
      <c r="AG774" s="203"/>
      <c r="AH774" s="203"/>
      <c r="AI774" s="203"/>
      <c r="AJ774" s="203"/>
      <c r="AK774" s="203"/>
      <c r="AL774" s="203"/>
      <c r="AM774" s="203"/>
      <c r="AN774" s="192"/>
      <c r="AO774" s="192"/>
      <c r="AP774" s="192"/>
      <c r="AQ774" s="192"/>
      <c r="AR774" s="192"/>
      <c r="AS774" s="192"/>
      <c r="AT774" s="192"/>
      <c r="AU774" s="192"/>
      <c r="AV774" s="192"/>
      <c r="AW774" s="192"/>
      <c r="AX774" s="192"/>
    </row>
    <row r="775" spans="2:50" ht="15" customHeight="1" thickTop="1" thickBot="1" x14ac:dyDescent="0.35">
      <c r="B775" s="192"/>
      <c r="C775" s="192"/>
      <c r="D775" s="192"/>
      <c r="E775" s="164"/>
      <c r="F775" s="164"/>
      <c r="G775" s="192"/>
      <c r="H775" s="192"/>
      <c r="I775" s="249" t="s">
        <v>121</v>
      </c>
      <c r="J775" s="249"/>
      <c r="K775" s="249"/>
      <c r="L775" s="250" t="s">
        <v>115</v>
      </c>
      <c r="M775" s="250" t="s">
        <v>116</v>
      </c>
      <c r="N775" s="250" t="s">
        <v>117</v>
      </c>
      <c r="O775" s="250" t="s">
        <v>118</v>
      </c>
      <c r="P775" s="250" t="s">
        <v>119</v>
      </c>
      <c r="Q775" s="250" t="s">
        <v>120</v>
      </c>
      <c r="R775" s="250"/>
      <c r="S775" s="251"/>
      <c r="T775" s="247"/>
      <c r="U775" s="235"/>
      <c r="V775" s="235"/>
      <c r="W775" s="235"/>
      <c r="X775" s="235"/>
      <c r="Y775" s="235"/>
      <c r="Z775" s="235"/>
      <c r="AA775" s="240">
        <v>4</v>
      </c>
      <c r="AB775" s="241" t="str">
        <f>IF(AND(COUNTBLANK(I750:I753)=0,Group_players=4,M750=M751,M751=M753),IF(W760="","",IF(COUNTIF(W757:W760,W760)=3,"Tied",IF(AND(COUNTIF(W757:W760,W760)=1,W757&lt;&gt;W758),IF(M753=2,IF(SMALL(W757:W760,1)=W760,1,IF(SMALL(W757:W760,2)=W760,2,IF(SMALL(W757:W760,3)=W760,3))),IF(M753=1,IF(SMALL(W757:W760,1)=W760,2,IF(SMALL(W757:W760,2)=W760,3,IF(SMALL(W757:W760,3)=W760,4))),"")),IF(COUNTIF(W757:W760,W760)=1,IF(W760&lt;W757,IF(M753=2,1,2),IF(M753=2,3,4)),IF(COUNTIF(W757:W760,W760)=2,IF(W760=W757,IF(W760&lt;W758,IF(M753=2,IF(Q768=3,1,2),IF(M753=1,IF(Q768=3,2,3))),IF(W760&gt;W759,IF(M753=2,IF(Q768=3,2,3),IF(M753=1,IF(Q768=3,3,4))))),IF(W760=W758,IF(W760&lt;W757,IF(M753=2,IF(Q765=3,1,2),IF(M753=1,IF(Q765=3,2,3))),IF(W760&gt;W757,IF(M753=2,IF(Q765=3,2,3),IF(M753=1,IF(Q765=3,3,4)))))))))))),"")</f>
        <v/>
      </c>
      <c r="AC775" s="192"/>
      <c r="AD775" s="192"/>
      <c r="AE775" s="192"/>
      <c r="AF775" s="203"/>
      <c r="AG775" s="203"/>
      <c r="AH775" s="203"/>
      <c r="AI775" s="203"/>
      <c r="AJ775" s="203"/>
      <c r="AK775" s="203"/>
      <c r="AL775" s="203"/>
      <c r="AM775" s="203"/>
      <c r="AN775" s="192"/>
      <c r="AO775" s="192"/>
      <c r="AP775" s="192"/>
      <c r="AQ775" s="192"/>
      <c r="AR775" s="192"/>
      <c r="AS775" s="192"/>
      <c r="AT775" s="192"/>
      <c r="AU775" s="192"/>
      <c r="AV775" s="192"/>
      <c r="AW775" s="192"/>
      <c r="AX775" s="192"/>
    </row>
    <row r="776" spans="2:50" ht="15" customHeight="1" thickTop="1" x14ac:dyDescent="0.3">
      <c r="B776" s="192"/>
      <c r="C776" s="192"/>
      <c r="D776" s="192"/>
      <c r="E776" s="164" t="str">
        <f>IF(Q776="","",IF(Q776=3,1,0))</f>
        <v/>
      </c>
      <c r="F776" s="164" t="str">
        <f>IF(Q776="","",IF(Q776&lt;3,1,0))</f>
        <v/>
      </c>
      <c r="G776" s="192"/>
      <c r="H776" s="192" t="str">
        <f>IF(I753&lt;&gt;"",3,"")</f>
        <v/>
      </c>
      <c r="I776" s="192" t="str">
        <f>IF(ISNUMBER(H776),VLOOKUP(H776,H750:I753,2,TRUE),"")</f>
        <v/>
      </c>
      <c r="J776" s="192"/>
      <c r="K776" s="192" t="str">
        <f>VLOOKUP(I776,I750:L753,3,FALSE)</f>
        <v/>
      </c>
      <c r="L776" s="253"/>
      <c r="M776" s="254"/>
      <c r="N776" s="254"/>
      <c r="O776" s="152"/>
      <c r="P776" s="153"/>
      <c r="Q776" s="255" t="str">
        <f>IF(L776="","",IF(AND(L776-L777&gt;1,L776&gt;10),1,0)+IF(AND(M776-M777&gt;1,M776&gt;10),1,0)+IF(AND(N776-N777&gt;1,N776&gt;10),1,0)+IF(AND(O776-O777&gt;1,O776&gt;10),1,0)+IF(AND(P776-P777&gt;1,P776&gt;10),1,0))</f>
        <v/>
      </c>
      <c r="R776" s="203" t="str">
        <f>IF(AND(I776="",I777=""),"",ABS(VLOOKUP(I776,I750:L753,4,FALSE)-VLOOKUP(I777,I750:L753,4,FALSE)))</f>
        <v/>
      </c>
      <c r="S776" s="256" t="str">
        <f>IF(R777="","",IF(Q776=3,+R777,-R777))</f>
        <v/>
      </c>
      <c r="T776" s="247"/>
      <c r="U776" s="264"/>
      <c r="V776" s="242"/>
      <c r="W776" s="192"/>
      <c r="X776" s="264"/>
      <c r="Y776" s="192"/>
      <c r="Z776" s="192"/>
      <c r="AA776" s="243">
        <v>2</v>
      </c>
      <c r="AB776" s="222" t="str">
        <f>IF(AND(COUNTBLANK(I750:I753)=0,Group_players=4,M751=M752,M752=M753),IF(X758="","",IF(COUNTIF(X757:X760,X758)=3,"Tied",IF(AND(COUNTIF(X757:X760,X758)=1,X759&lt;&gt;X760),IF(M751=2,IF(SMALL(X757:X760,1)=X758,1,IF(SMALL(X757:X760,2)=X758,2,IF(SMALL(X757:X760,3)=X758,3))),IF(M751=1,IF(SMALL(X757:X760,1)=X758,2,IF(SMALL(X757:X760,2)=X758,3,IF(SMALL(X757:X760,3)=X758,4))),"")),IF(COUNTIF(X757:X760,X758)=1,IF(X758&lt;X760,IF(M751=2,1,2),IF(M751=1,4)),IF(COUNTIF(X757:X760,X758)=2,IF(X758=X759,IF(X758&lt;X760,IF(M751=2,IF(Q770=3,1,2),IF(M751=1,IF(Q770=3,2,3))),IF(X758&gt;X760,IF(M751=2,IF(Q770=3,2,3),IF(M751=1,IF(Q770=3,3,4))))),IF(X758=X760,IF(X758&lt;X759,IF(M751=2,IF(Q764=3,1,2),IF(M751=1,IF(Q764=3,2,3))),IF(X758&gt;X759,IF(M751=2,IF(Q764=3,2,3),IF(M751=1,IF(Q764=3,3,4)))))))))))),"")</f>
        <v/>
      </c>
      <c r="AC776" s="192"/>
      <c r="AD776" s="192"/>
      <c r="AE776" s="192"/>
      <c r="AF776" s="203"/>
      <c r="AG776" s="203"/>
      <c r="AH776" s="203"/>
      <c r="AI776" s="203"/>
      <c r="AJ776" s="203"/>
      <c r="AK776" s="203"/>
      <c r="AL776" s="203"/>
      <c r="AM776" s="203"/>
      <c r="AN776" s="192"/>
      <c r="AO776" s="192"/>
      <c r="AP776" s="192"/>
      <c r="AQ776" s="192"/>
      <c r="AR776" s="192"/>
      <c r="AS776" s="192"/>
      <c r="AT776" s="192"/>
      <c r="AU776" s="192"/>
      <c r="AV776" s="192"/>
      <c r="AW776" s="192"/>
      <c r="AX776" s="192"/>
    </row>
    <row r="777" spans="2:50" ht="15" customHeight="1" thickBot="1" x14ac:dyDescent="0.35">
      <c r="B777" s="192"/>
      <c r="C777" s="192"/>
      <c r="D777" s="192"/>
      <c r="E777" s="164" t="str">
        <f>IF(Q777="","",IF(Q777=3,1,0))</f>
        <v/>
      </c>
      <c r="F777" s="164" t="str">
        <f>IF(Q777="","",IF(Q777&lt;3,1,0))</f>
        <v/>
      </c>
      <c r="G777" s="192"/>
      <c r="H777" s="192" t="str">
        <f>IF(I753&lt;&gt;"",4,"")</f>
        <v/>
      </c>
      <c r="I777" s="192" t="str">
        <f>IF(ISNUMBER(H777),VLOOKUP(H777,H750:I753,2,TRUE),"")</f>
        <v/>
      </c>
      <c r="J777" s="192"/>
      <c r="K777" s="192" t="str">
        <f>VLOOKUP(I777,I750:L753,3,FALSE)</f>
        <v/>
      </c>
      <c r="L777" s="155"/>
      <c r="M777" s="259"/>
      <c r="N777" s="259"/>
      <c r="O777" s="156"/>
      <c r="P777" s="157"/>
      <c r="Q777" s="260" t="str">
        <f>IF(L777="","",IF(AND(L777-L776&gt;1,L777&gt;10),1,0)+IF(AND(M777-M776&gt;1,M777&gt;10),1,0)+IF(AND(N777-N776&gt;1,N777&gt;10),1,0)+IF(AND(O777-O776&gt;1,O777&gt;10),1,0)+IF(AND(P777-P776&gt;1,P777&gt;10),1,0))</f>
        <v/>
      </c>
      <c r="R777" s="203" t="str">
        <f>IF(AND(Q776&lt;&gt;3,Q777&lt;&gt;3),"",IF(Q776=3,IF(VLOOKUP(I776,I750:L753,4,FALSE)&gt;VLOOKUP(I777,I750:L753,4,FALSE),VLOOKUP(R776,Point_dif,2,FALSE),VLOOKUP(R776,Point_dif,3,FALSE)),IF(Q777=3,IF(VLOOKUP(I777,I750:L753,4,FALSE)&gt;VLOOKUP(I776,I750:L753,4,FALSE),VLOOKUP(R776,Point_dif,2,FALSE),VLOOKUP(R776,Point_dif,3,FALSE)))))</f>
        <v/>
      </c>
      <c r="S777" s="260" t="str">
        <f>IF(R777="","",IF(Q777=3,+R777,-R777))</f>
        <v/>
      </c>
      <c r="T777" s="247"/>
      <c r="U777" s="235"/>
      <c r="V777" s="235"/>
      <c r="W777" s="235"/>
      <c r="X777" s="235"/>
      <c r="Y777" s="235"/>
      <c r="Z777" s="235"/>
      <c r="AA777" s="246">
        <v>3</v>
      </c>
      <c r="AB777" s="222" t="str">
        <f>IF(AND(COUNTBLANK(I750:I753)=0,Group_players=4,Group_players=4,M751=M752,M752=M753),IF(X759="","",IF(COUNTIF(X757:X760,X759)=3,"Tied",IF(AND(COUNTIF(X757:X760,X759)=1,X758&lt;&gt;X760),IF(M752=2,IF(SMALL(X757:X760,1)=X759,1,IF(SMALL(X757:X760,2)=X759,2,IF(SMALL(X757:X760,3)=X759,3))),IF(M752=1,IF(SMALL(X757:X760,1)=X759,2,IF(SMALL(X757:X760,2)=X759,3,IF(SMALL(X757:X760,3)=X759,4))),"")),IF(COUNTIF(X757:X760,X759)=1,IF(X759&lt;X758,IF(M752=2,1,2),IF(M752=2,3,4)),IF(COUNTIF(X757:X760,X759)=2,IF(X759=X758,IF(X759&lt;X760,IF(M752=2,IF(Q771=3,1,2),IF(M752=1,IF(Q771=3,2,3))),IF(X759&gt;X760,IF(M752=2,IF(Q771=3,2,3),IF(M752=1,IF(Q771=3,3,4))))),IF(X759=X760,IF(X759&lt;X758,IF(M752=2,IF(Q776=3,1,2),IF(M752=1,IF(Q776=3,2,3))),IF(X759&gt;X758,IF(M752=2,IF(Q776=3,2,3),IF(M752=1,IF(Q776=3,3,4)))))))))))),"")</f>
        <v/>
      </c>
      <c r="AC777" s="192"/>
      <c r="AD777" s="192"/>
      <c r="AE777" s="192"/>
      <c r="AF777" s="203"/>
      <c r="AG777" s="203"/>
      <c r="AH777" s="203"/>
      <c r="AI777" s="203"/>
      <c r="AJ777" s="203"/>
      <c r="AK777" s="203"/>
      <c r="AL777" s="203"/>
      <c r="AM777" s="203"/>
      <c r="AN777" s="192"/>
      <c r="AO777" s="192"/>
      <c r="AP777" s="192"/>
      <c r="AQ777" s="192"/>
      <c r="AR777" s="192"/>
      <c r="AS777" s="192"/>
      <c r="AT777" s="192"/>
      <c r="AU777" s="192"/>
      <c r="AV777" s="192"/>
      <c r="AW777" s="192"/>
      <c r="AX777" s="192"/>
    </row>
    <row r="778" spans="2:50" ht="15" customHeight="1" thickTop="1" thickBot="1" x14ac:dyDescent="0.35">
      <c r="B778" s="192"/>
      <c r="C778" s="192"/>
      <c r="D778" s="192"/>
      <c r="E778" s="192"/>
      <c r="F778" s="192"/>
      <c r="G778" s="192"/>
      <c r="H778" s="192"/>
      <c r="I778" s="192"/>
      <c r="J778" s="192"/>
      <c r="K778" s="192"/>
      <c r="L778" s="192"/>
      <c r="M778" s="192"/>
      <c r="N778" s="192"/>
      <c r="O778" s="268"/>
      <c r="P778" s="192"/>
      <c r="Q778" s="192"/>
      <c r="R778" s="247"/>
      <c r="S778" s="247"/>
      <c r="T778" s="247"/>
      <c r="U778" s="235"/>
      <c r="V778" s="235"/>
      <c r="W778" s="235"/>
      <c r="X778" s="235"/>
      <c r="Y778" s="235"/>
      <c r="Z778" s="235"/>
      <c r="AA778" s="261">
        <v>4</v>
      </c>
      <c r="AB778" s="233" t="str">
        <f>IF(AND(COUNTBLANK(I750:I753)=0,Group_players=4,M751=M752,M752=M753),IF(X760="","",IF(COUNTIF(X757:X760,X760)=3,"Tied",IF(AND(COUNTIF(X757:X760,X760)=1,X759&lt;&gt;X758),IF(M753=2,IF(SMALL(X757:X760,1)=X760,1,IF(SMALL(X757:X760,2)=X760,2,IF(SMALL(X757:X760,3)=X760,3))),IF(M753=1,IF(SMALL(X757:X760,1)=X760,2,IF(SMALL(X757:X760,2)=X760,3,IF(SMALL(X757:X760,3)=X760,4))),"")),IF(COUNTIF(X757:X760,X760)=1,IF(X760&lt;X758,IF(M753=2,1,2),IF(M753=2,3,4)),IF(COUNTIF(X757:X760,X760)=2,IF(X760=X758,IF(X760&lt;X759,IF(M753=2,IF(Q765=3,1,2),IF(M753=1,IF(Q765=3,2,3))),IF(X760&gt;X759,IF(M753=2,IF(Q765=3,2,3),IF(M753=1,IF(Q765=3,3,4))))),IF(X760=X759,IF(X760&lt;X758,IF(M753=2,IF(Q777=3,1,2),IF(M753=1,IF(Q777=3,2,3))),IF(X760&gt;X758,IF(M753=2,IF(Q777=3,2,3),IF(M753=1,IF(Q777=3,3,4)))))))))))),"")</f>
        <v/>
      </c>
      <c r="AC778" s="192"/>
      <c r="AD778" s="192"/>
      <c r="AE778" s="192"/>
      <c r="AF778" s="203"/>
      <c r="AG778" s="203"/>
      <c r="AH778" s="203"/>
      <c r="AI778" s="203"/>
      <c r="AJ778" s="203"/>
      <c r="AK778" s="203"/>
      <c r="AL778" s="203"/>
      <c r="AM778" s="203"/>
      <c r="AN778" s="192"/>
      <c r="AO778" s="192"/>
      <c r="AP778" s="192"/>
      <c r="AQ778" s="192"/>
      <c r="AR778" s="192"/>
      <c r="AS778" s="192"/>
      <c r="AT778" s="192"/>
      <c r="AU778" s="192"/>
      <c r="AV778" s="192"/>
      <c r="AW778" s="192"/>
      <c r="AX778" s="192"/>
    </row>
    <row r="779" spans="2:50" ht="15" customHeight="1" thickTop="1" x14ac:dyDescent="0.3">
      <c r="B779" s="192"/>
      <c r="C779" s="192"/>
      <c r="D779" s="192"/>
      <c r="E779" s="192"/>
      <c r="F779" s="192"/>
      <c r="G779" s="192"/>
      <c r="H779" s="192"/>
      <c r="I779" s="192"/>
      <c r="J779" s="192"/>
      <c r="K779" s="192"/>
      <c r="L779" s="192"/>
      <c r="M779" s="192"/>
      <c r="N779" s="192"/>
      <c r="O779" s="192"/>
      <c r="P779" s="192"/>
      <c r="Q779" s="192"/>
      <c r="R779" s="192"/>
      <c r="S779" s="192"/>
      <c r="T779" s="203"/>
      <c r="U779" s="192"/>
      <c r="V779" s="192"/>
      <c r="W779" s="192"/>
      <c r="X779" s="192"/>
      <c r="Y779" s="192"/>
      <c r="Z779" s="192"/>
      <c r="AA779" s="192"/>
      <c r="AB779" s="192"/>
      <c r="AC779" s="192"/>
      <c r="AD779" s="192"/>
      <c r="AE779" s="192"/>
      <c r="AF779" s="203"/>
      <c r="AG779" s="203"/>
      <c r="AH779" s="203"/>
      <c r="AI779" s="203"/>
      <c r="AJ779" s="203"/>
      <c r="AK779" s="203"/>
      <c r="AL779" s="203"/>
      <c r="AM779" s="203"/>
      <c r="AN779" s="192"/>
      <c r="AO779" s="192"/>
      <c r="AP779" s="192"/>
      <c r="AQ779" s="192"/>
      <c r="AR779" s="192"/>
      <c r="AS779" s="192"/>
      <c r="AT779" s="192"/>
      <c r="AU779" s="192"/>
      <c r="AV779" s="192"/>
      <c r="AW779" s="192"/>
      <c r="AX779" s="192"/>
    </row>
    <row r="780" spans="2:50" ht="15" customHeight="1" x14ac:dyDescent="0.3">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c r="AA780" s="192"/>
      <c r="AB780" s="192"/>
      <c r="AC780" s="192"/>
      <c r="AD780" s="192"/>
      <c r="AE780" s="192"/>
      <c r="AF780" s="203"/>
      <c r="AG780" s="203"/>
      <c r="AH780" s="203"/>
      <c r="AI780" s="203"/>
      <c r="AJ780" s="203"/>
      <c r="AK780" s="203"/>
      <c r="AL780" s="203"/>
      <c r="AM780" s="203"/>
      <c r="AN780" s="192"/>
      <c r="AO780" s="192"/>
      <c r="AP780" s="192"/>
      <c r="AQ780" s="192"/>
      <c r="AR780" s="192"/>
      <c r="AS780" s="192"/>
      <c r="AT780" s="192"/>
      <c r="AU780" s="192"/>
      <c r="AV780" s="192"/>
      <c r="AW780" s="192"/>
      <c r="AX780" s="192"/>
    </row>
    <row r="781" spans="2:50" ht="15" customHeight="1" x14ac:dyDescent="0.3">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269"/>
      <c r="AA781" s="192"/>
      <c r="AB781" s="192"/>
      <c r="AC781" s="192"/>
      <c r="AD781" s="192"/>
      <c r="AE781" s="192"/>
      <c r="AF781" s="203"/>
      <c r="AG781" s="203"/>
      <c r="AH781" s="203"/>
      <c r="AI781" s="203"/>
      <c r="AJ781" s="203"/>
      <c r="AK781" s="203"/>
      <c r="AL781" s="203"/>
      <c r="AM781" s="203"/>
      <c r="AN781" s="192"/>
      <c r="AO781" s="192"/>
      <c r="AP781" s="192"/>
      <c r="AQ781" s="192"/>
      <c r="AR781" s="192"/>
      <c r="AS781" s="192"/>
      <c r="AT781" s="192"/>
      <c r="AU781" s="192"/>
      <c r="AV781" s="192"/>
      <c r="AW781" s="192"/>
      <c r="AX781" s="192"/>
    </row>
    <row r="782" spans="2:50" ht="15" customHeight="1" x14ac:dyDescent="0.3">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c r="AA782" s="192"/>
      <c r="AB782" s="192"/>
      <c r="AC782" s="192"/>
      <c r="AD782" s="192"/>
      <c r="AE782" s="192"/>
      <c r="AF782" s="203"/>
      <c r="AG782" s="203"/>
      <c r="AH782" s="203"/>
      <c r="AI782" s="203"/>
      <c r="AJ782" s="203"/>
      <c r="AK782" s="203"/>
      <c r="AL782" s="203"/>
      <c r="AM782" s="203"/>
      <c r="AN782" s="192"/>
      <c r="AO782" s="192"/>
      <c r="AP782" s="192"/>
      <c r="AQ782" s="192"/>
      <c r="AR782" s="192"/>
      <c r="AS782" s="192"/>
      <c r="AT782" s="192"/>
      <c r="AU782" s="192"/>
      <c r="AV782" s="192"/>
      <c r="AW782" s="192"/>
      <c r="AX782" s="192"/>
    </row>
    <row r="783" spans="2:50" ht="15" customHeight="1" x14ac:dyDescent="0.3">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c r="AA783" s="192"/>
      <c r="AB783" s="192"/>
      <c r="AC783" s="192"/>
      <c r="AD783" s="192"/>
      <c r="AE783" s="192"/>
      <c r="AF783" s="203"/>
      <c r="AG783" s="203"/>
      <c r="AH783" s="203"/>
      <c r="AI783" s="203"/>
      <c r="AJ783" s="203"/>
      <c r="AK783" s="203"/>
      <c r="AL783" s="203"/>
      <c r="AM783" s="203"/>
      <c r="AN783" s="192"/>
      <c r="AO783" s="192"/>
      <c r="AP783" s="192"/>
      <c r="AQ783" s="192"/>
      <c r="AR783" s="192"/>
      <c r="AS783" s="192"/>
      <c r="AT783" s="192"/>
      <c r="AU783" s="192"/>
      <c r="AV783" s="192"/>
      <c r="AW783" s="192"/>
      <c r="AX783" s="192"/>
    </row>
    <row r="784" spans="2:50" ht="15" customHeight="1" thickBot="1" x14ac:dyDescent="0.4">
      <c r="B784" s="192"/>
      <c r="C784" s="192"/>
      <c r="D784" s="192"/>
      <c r="E784" s="192"/>
      <c r="F784" s="192"/>
      <c r="G784" s="192"/>
      <c r="H784" s="192"/>
      <c r="I784" s="383" t="s">
        <v>144</v>
      </c>
      <c r="J784" s="383"/>
      <c r="K784" s="383"/>
      <c r="L784" s="383"/>
      <c r="M784" s="383"/>
      <c r="N784" s="383"/>
      <c r="O784" s="383"/>
      <c r="P784" s="383"/>
      <c r="Q784" s="383"/>
      <c r="R784" s="383"/>
      <c r="S784" s="192"/>
      <c r="T784" s="192"/>
      <c r="U784" s="370" t="s">
        <v>92</v>
      </c>
      <c r="V784" s="371"/>
      <c r="W784" s="371"/>
      <c r="X784" s="372"/>
      <c r="Y784" s="192"/>
      <c r="Z784" s="192"/>
      <c r="AA784" s="192"/>
      <c r="AB784" s="192"/>
      <c r="AC784" s="192"/>
      <c r="AD784" s="192"/>
      <c r="AE784" s="192"/>
      <c r="AF784" s="203"/>
      <c r="AG784" s="203"/>
      <c r="AH784" s="203"/>
      <c r="AI784" s="203"/>
      <c r="AJ784" s="203"/>
      <c r="AK784" s="203"/>
      <c r="AL784" s="203"/>
      <c r="AM784" s="203"/>
      <c r="AN784" s="192"/>
      <c r="AO784" s="192"/>
      <c r="AP784" s="192"/>
      <c r="AQ784" s="192"/>
      <c r="AR784" s="192"/>
      <c r="AS784" s="192"/>
      <c r="AT784" s="192"/>
      <c r="AU784" s="192"/>
      <c r="AV784" s="192"/>
      <c r="AW784" s="192"/>
      <c r="AX784" s="192"/>
    </row>
    <row r="785" spans="2:50" ht="15" customHeight="1" thickTop="1" thickBot="1" x14ac:dyDescent="0.35">
      <c r="B785" s="192"/>
      <c r="C785" s="192"/>
      <c r="D785" s="192"/>
      <c r="E785" s="192"/>
      <c r="F785" s="192"/>
      <c r="G785" s="192"/>
      <c r="H785" s="192"/>
      <c r="I785" s="400" t="s">
        <v>93</v>
      </c>
      <c r="J785" s="160"/>
      <c r="K785" s="396" t="s">
        <v>94</v>
      </c>
      <c r="L785" s="398" t="s">
        <v>95</v>
      </c>
      <c r="M785" s="390" t="s">
        <v>96</v>
      </c>
      <c r="N785" s="390" t="s">
        <v>97</v>
      </c>
      <c r="O785" s="373" t="s">
        <v>98</v>
      </c>
      <c r="P785" s="373" t="str">
        <f>IF(COUNT(U786:X797)=3,"LM/WM Ratio",IF(COUNT(U786:X797)=6,"LP/WP Ratio",""))</f>
        <v/>
      </c>
      <c r="Q785" s="390" t="s">
        <v>99</v>
      </c>
      <c r="R785" s="392" t="s">
        <v>100</v>
      </c>
      <c r="S785" s="192"/>
      <c r="T785" s="120"/>
      <c r="U785" s="121" t="s">
        <v>101</v>
      </c>
      <c r="V785" s="122" t="s">
        <v>102</v>
      </c>
      <c r="W785" s="122" t="s">
        <v>103</v>
      </c>
      <c r="X785" s="123" t="s">
        <v>104</v>
      </c>
      <c r="Y785" s="380" t="s">
        <v>105</v>
      </c>
      <c r="Z785" s="379"/>
      <c r="AA785" s="378" t="s">
        <v>106</v>
      </c>
      <c r="AB785" s="379"/>
      <c r="AC785" s="192"/>
      <c r="AD785" s="192"/>
      <c r="AE785" s="203"/>
      <c r="AF785" s="203"/>
      <c r="AG785" s="203"/>
      <c r="AH785" s="203"/>
      <c r="AI785" s="203"/>
      <c r="AJ785" s="203"/>
      <c r="AK785" s="203"/>
      <c r="AL785" s="203"/>
      <c r="AM785" s="203"/>
      <c r="AN785" s="192"/>
      <c r="AO785" s="192"/>
      <c r="AP785" s="192"/>
      <c r="AQ785" s="192"/>
      <c r="AR785" s="192"/>
      <c r="AS785" s="192"/>
      <c r="AT785" s="192"/>
      <c r="AU785" s="192"/>
      <c r="AV785" s="192"/>
      <c r="AW785" s="192"/>
      <c r="AX785" s="192"/>
    </row>
    <row r="786" spans="2:50" ht="15" customHeight="1" thickTop="1" thickBot="1" x14ac:dyDescent="0.35">
      <c r="B786" s="192"/>
      <c r="C786" s="192"/>
      <c r="D786" s="192"/>
      <c r="E786" s="192"/>
      <c r="F786" s="192"/>
      <c r="G786" s="192"/>
      <c r="H786" s="192"/>
      <c r="I786" s="401"/>
      <c r="J786" s="161"/>
      <c r="K786" s="397"/>
      <c r="L786" s="399"/>
      <c r="M786" s="391"/>
      <c r="N786" s="391"/>
      <c r="O786" s="374"/>
      <c r="P786" s="374"/>
      <c r="Q786" s="391"/>
      <c r="R786" s="393"/>
      <c r="S786" s="192"/>
      <c r="T786" s="208">
        <v>1</v>
      </c>
      <c r="U786" s="209" t="str">
        <f>IF(M787="","",IF(COUNTIF(M787:M789,M787)=3,IF(COUNTBLANK(I787:I790)=1,(Q799+Q805)/(Q798+Q804),IF(COUNTBLANK(I787:I790)=0,(Q811+Q799)/(Q810+Q798),"")),""))</f>
        <v/>
      </c>
      <c r="V786" s="125" t="str">
        <f>IF(AND(COUNTBLANK(I787:I790)=0,M787=M789,M789=M790),(Q799+Q805)/(Q798+Q804),"")</f>
        <v/>
      </c>
      <c r="W786" s="210" t="str">
        <f>IF(AND(COUNTBLANK(I787:I790)=0,M787=M788,M788=M790),(Q811+Q805)/(Q810+Q804),"")</f>
        <v/>
      </c>
      <c r="X786" s="211"/>
      <c r="Y786" s="169" t="s">
        <v>93</v>
      </c>
      <c r="Z786" s="170" t="s">
        <v>107</v>
      </c>
      <c r="AA786" s="169" t="s">
        <v>93</v>
      </c>
      <c r="AB786" s="170" t="s">
        <v>107</v>
      </c>
      <c r="AC786" s="192"/>
      <c r="AD786" s="192"/>
      <c r="AE786" s="192"/>
      <c r="AF786" s="203"/>
      <c r="AG786" s="203"/>
      <c r="AH786" s="203"/>
      <c r="AI786" s="203"/>
      <c r="AJ786" s="203"/>
      <c r="AK786" s="203"/>
      <c r="AL786" s="203"/>
      <c r="AM786" s="203"/>
      <c r="AN786" s="192"/>
      <c r="AO786" s="192"/>
      <c r="AP786" s="192"/>
      <c r="AQ786" s="192"/>
      <c r="AR786" s="192"/>
      <c r="AS786" s="192"/>
      <c r="AT786" s="192"/>
      <c r="AU786" s="192"/>
      <c r="AV786" s="192"/>
      <c r="AW786" s="192"/>
      <c r="AX786" s="192"/>
    </row>
    <row r="787" spans="2:50" ht="15" customHeight="1" thickTop="1" thickBot="1" x14ac:dyDescent="0.35">
      <c r="B787" s="192"/>
      <c r="C787" s="192"/>
      <c r="D787" s="192"/>
      <c r="E787" s="192"/>
      <c r="F787" s="192" t="str">
        <f>IF(I787="","",VLOOKUP(I787,Siembra,2,FALSE))</f>
        <v/>
      </c>
      <c r="G787" s="192" t="str">
        <f>O787</f>
        <v/>
      </c>
      <c r="H787" s="192">
        <v>1</v>
      </c>
      <c r="I787" s="128" t="str">
        <f>IF(K787="","",IF(ISNUMBER(Sorteo!$A$17),VLOOKUP(K787,Draw,2,FALSE),""))</f>
        <v/>
      </c>
      <c r="J787" s="129" t="str">
        <f>O787</f>
        <v/>
      </c>
      <c r="K787" s="130" t="str">
        <f>IF($K$9="","",IF(Group_players=4,IF(Tablas!CC$3="","",Tablas!CC$3),IF(Group_players=3,IF(Tablas!CC$11="","",Tablas!CC$11),"")))</f>
        <v/>
      </c>
      <c r="L787" s="131" t="str">
        <f>IF(K787="","",VLOOKUP(I787,Siembra,3,FALSE))</f>
        <v/>
      </c>
      <c r="M787" s="132" t="str">
        <f>IF(AND(Q798="",Q799=""),"",IF(I787="","",SUMIFS(E798:E814,I798:I814,I787)))</f>
        <v/>
      </c>
      <c r="N787" s="132" t="str">
        <f>IF(M787="","",IF(I787="","",SUMIFS(F798:F814,I798:I814,I787)))</f>
        <v/>
      </c>
      <c r="O787" s="132" t="str">
        <f>IF(M787="","",IF(COUNTBLANK(I787:I790)=1,IF(M787=2,1,IF(M787=0,3,IF(AND(M787=1,M788&lt;&gt;1),2,IF(COUNTIF(M787:M789,1)&gt;1,Z787)))),IF(COUNTBLANK(I787:I790)=0,IF(COUNTIF(M787:M790,M787)=1,IF(M787=3,1,IF(M787=2,2,IF(M787=1,3,IF(M787=0,4)))),IF(Group_players=3,Z787,IF(COUNTIF(M787:M790,M787)=2,AB787,IF(AND(M787=M788,M788=M789),AB791,IF(AND(M787=M789,M789=M790),AB794,IF(AND(M787=M788,M788=M790),AB797,"")))))),99)))</f>
        <v/>
      </c>
      <c r="P787" s="133" t="str">
        <f>IF(COUNT(U786:X797)=3,IF(ISNUMBER(U786),U786,IF(ISNUMBER(V786),V786,IF(ISNUMBER(W786),W786,IF(X786="","")))),IF(COUNT(U786:X797)=6,IF(ISNUMBER(U794),U794,IF(ISNUMBER(V794),V794,IF(ISNUMBER(W794),W794,IF(ISBLANK(X786),"")))),""))</f>
        <v/>
      </c>
      <c r="Q787" s="132" t="str">
        <f>IF(M787="","",SUMIF(I798:S814,I787,S798:S814))</f>
        <v/>
      </c>
      <c r="R787" s="134" t="str">
        <f>IF(M787="","",L787+Q787)</f>
        <v/>
      </c>
      <c r="S787" s="203"/>
      <c r="T787" s="208">
        <v>2</v>
      </c>
      <c r="U787" s="209" t="str">
        <f>IF(M788="","",IF(COUNTIF(M787:M789,M788)=3,IF(COUNTBLANK(I787:I790)=1,(Q802+Q804)/(Q801+Q805),IF(COUNTBLANK(I787:I790)=0,(Q808+Q810)/(Q807+Q811),"")),""))</f>
        <v/>
      </c>
      <c r="V787" s="135"/>
      <c r="W787" s="212" t="str">
        <f>IF(AND(COUNTBLANK(I787:I790)=0,M788=M787,M787=M790),(Q810+Q802)/(Q811+Q801),"")</f>
        <v/>
      </c>
      <c r="X787" s="213" t="str">
        <f>IF(AND(COUNTBLANK(I787:I790)=0,M788=M789,M789=M790),(Q808+Q802)/(Q807+Q801),"")</f>
        <v/>
      </c>
      <c r="Y787" s="214">
        <v>1</v>
      </c>
      <c r="Z787" s="215" t="str">
        <f>IF(U786="","",IF(OR(Group_players=3,AND(Group_players=4,COUNTBLANK(I787:I790)=1)),IF(COUNTIF(M787:M789,M787)=1,"",IF(AND(U786=U787,U787=U788),Z791,IF(AND(U786&lt;&gt;U787,U786&lt;&gt;U788,U787&lt;&gt;U788),(IF(SMALL(U786:U788,1)=U786,1,IF(SMALL(U786:U788,2)=U786,2,IF(SMALL(U786:U788,3)=U786,3)))),IF(AND(U786&lt;U787,U787=U788),1,IF(AND(U786&gt;U787,U787=U788),3,IF(AND(U786=U787,U786&lt;U788),(IF(Q804=3,1,2)),IF(AND(U786=U787,U786&gt;U788),(IF(Q804=3,2,3)),IF(AND(U786=U788,U786&lt;U787),(IF(Q798=3,1,2)),IF(AND(U786=U788,U786&gt;U787),(IF(Q798=3,2,3)),99))))))))),""))</f>
        <v/>
      </c>
      <c r="AA787" s="216">
        <v>1</v>
      </c>
      <c r="AB787" s="217" t="str">
        <f>IF(COUNTIF(M787:M790,M787)&lt;&gt;2,"",IF(COUNTIF(M787:M790,M787)=1,"",IF(AND(COUNTIF(M787:M790,M787)=2,M787=2),IF(M787=M788,IF(Q810=3,1,2),IF(M787=M789,IF(Q798=3,1,2),IF(M787=M790,IF(Q804=3,1,2)))),IF(AND(COUNTIF(M787:M790,M787)=2,M787=1),IF(M787=M788,IF(Q810=3,3,4),IF(M787=M789,IF(Q798=3,3,4),IF(M787=M790,IF(Q804=3,3,4)))),IF(COUNTIF(M787:M790,M787)=3,AB791)))))</f>
        <v/>
      </c>
      <c r="AC787" s="192"/>
      <c r="AD787" s="192"/>
      <c r="AE787" s="192"/>
      <c r="AF787" s="203"/>
      <c r="AG787" s="203"/>
      <c r="AH787" s="203"/>
      <c r="AI787" s="203"/>
      <c r="AJ787" s="203"/>
      <c r="AK787" s="203"/>
      <c r="AL787" s="203"/>
      <c r="AM787" s="203"/>
      <c r="AN787" s="192"/>
      <c r="AO787" s="192"/>
      <c r="AP787" s="192"/>
      <c r="AQ787" s="192"/>
      <c r="AR787" s="192"/>
      <c r="AS787" s="192"/>
      <c r="AT787" s="192"/>
      <c r="AU787" s="192"/>
      <c r="AV787" s="192"/>
      <c r="AW787" s="192"/>
      <c r="AX787" s="192"/>
    </row>
    <row r="788" spans="2:50" ht="15" customHeight="1" thickTop="1" thickBot="1" x14ac:dyDescent="0.35">
      <c r="B788" s="192"/>
      <c r="C788" s="192"/>
      <c r="D788" s="192"/>
      <c r="E788" s="192"/>
      <c r="F788" s="192" t="str">
        <f>IF(I788="","",VLOOKUP(I788,Siembra,2,FALSE))</f>
        <v/>
      </c>
      <c r="G788" s="192" t="str">
        <f>O788</f>
        <v/>
      </c>
      <c r="H788" s="192">
        <v>2</v>
      </c>
      <c r="I788" s="128" t="str">
        <f>IF(K788="","",IF(ISNUMBER(Sorteo!$A$17),VLOOKUP(K788,Draw,2,FALSE),""))</f>
        <v/>
      </c>
      <c r="J788" s="129" t="str">
        <f>O788</f>
        <v/>
      </c>
      <c r="K788" s="136" t="str">
        <f>IF($K$9="","",IF(Group_players=4,IF(Tablas!CC$4="","",Tablas!CC$4),IF(Group_players=3,IF(Tablas!CC$12="","",Tablas!CC$12),"")))</f>
        <v/>
      </c>
      <c r="L788" s="137" t="str">
        <f>IF(K788="","",VLOOKUP(I788,Siembra,3,FALSE))</f>
        <v/>
      </c>
      <c r="M788" s="132" t="str">
        <f>IF(AND(L798="",L799=""),"",IF(I788="","",SUMIFS(E798:E815,I798:I815,I788)))</f>
        <v/>
      </c>
      <c r="N788" s="138" t="str">
        <f>IF(M788="","",IF(I788="","",SUMIFS(F798:F814,I798:I814,I788)))</f>
        <v/>
      </c>
      <c r="O788" s="132" t="str">
        <f>IF(M788="","",IF(COUNTBLANK(I787:I790)=1,IF(M788=2,1,IF(M788=0,3,IF(AND(M788=1,M789&lt;&gt;1),2,IF(COUNTIF(M787:M790,1)&gt;1,Z788)))),IF(COUNTBLANK(I787:I790)=0,IF(COUNTIF(M787:M790,M788)=1,IF(M788=3,1,IF(M788=2,2,IF(M788=1,3,IF(M788=0,4)))),IF(Group_players=3,Z788,IF(COUNTIF(M787:M790,M788)=2,AB788,IF(AND(M788=M787,M787=M789),AB792,IF(AND(M788=M787,M787=M790),AB798,IF(AND(M788=M789,M789=M790),AB800,"")))))))))</f>
        <v/>
      </c>
      <c r="P788" s="133" t="str">
        <f>IF(COUNT(U786:X797)=3,IF(ISNUMBER(U787),U787,IF(ISNUMBER(W787),W787,IF(ISNUMBER(X787),X787,IF(X787="","")))),IF(COUNT(U786:X797)=6,IF(ISNUMBER(U795),U795,IF(ISNUMBER(W795),W795,IF(ISNUMBER(X795),X795,IF(ISBLANK(X794),"")))),""))</f>
        <v/>
      </c>
      <c r="Q788" s="138" t="str">
        <f>IF(M788="","",SUMIF(I798:S814,I788,S798:$S814))</f>
        <v/>
      </c>
      <c r="R788" s="139" t="str">
        <f>IF(M788="","",L788+Q788)</f>
        <v/>
      </c>
      <c r="S788" s="203"/>
      <c r="T788" s="208">
        <v>3</v>
      </c>
      <c r="U788" s="209" t="str">
        <f>IF(M789="","",IF(COUNTIF(M787:M789,M789)=3,IF(COUNTBLANK(I787:I790)=1,(Q798+Q801)/(Q799+Q802),IF(COUNTBLANK(I787:I790)=0,(Q798+Q807)/(Q799+Q808),"")),""))</f>
        <v/>
      </c>
      <c r="V788" s="125" t="str">
        <f>IF(AND(COUNTBLANK(I787:I790)=0,M789=M790,M790=M787),(Q798+Q814)/(Q799+Q813),"")</f>
        <v/>
      </c>
      <c r="W788" s="218"/>
      <c r="X788" s="213" t="str">
        <f>IF(AND(COUNTBLANK(I787:I790)=0,M789=M790,M790=M788),(Q807+Q814)/(Q808+Q813),"")</f>
        <v/>
      </c>
      <c r="Y788" s="219">
        <v>2</v>
      </c>
      <c r="Z788" s="220" t="str">
        <f>IF(U787="","",IF(OR(Group_players=3,AND(Group_players=4,COUNTBLANK(I787:I790)=1)),IF(COUNTIF(M787:M789,M788)=1,"",IF(AND(U787=U786,U787=U788),Z792,IF(AND(U787&lt;&gt;U786,U787&lt;&gt;U788,U786&lt;&gt;U788),(IF(SMALL(U786:U788,1)=U787,1,IF(SMALL(U786:U788,2)=U787,2,IF(SMALL(U786:U788,3)=U787,3)))),IF(AND(U787&lt;U786,U786=U788),1,IF(AND(U787&gt;U786,U786=U788),3,IF(AND(U787=U786,U787&lt;U788),(IF(Q805=3,1,2)),IF(AND(U787=U786,U787&gt;U788),(IF(Q805=3,2,3)),IF(AND(U787=U788,U787&lt;U786),(IF(Q801=3,1,2)),IF(AND(U787=U788,U787&gt;U786),(IF(Q801=3,2,3)),99))))))))),""))</f>
        <v/>
      </c>
      <c r="AA788" s="221">
        <v>2</v>
      </c>
      <c r="AB788" s="222" t="str">
        <f>IF(COUNTIF(M787:M790,M788)&lt;&gt;2,"",IF(COUNTIF(M787:M790,M788)=1,"",IF(AND(COUNTIF(M787:M790,M788)=2,M788=2),IF(M788=M787,IF(Q811=3,1,2),IF(M788=M789,IF(Q807=3,1,2),IF(M788=M790,IF(Q801=3,1,2)))),IF(AND(COUNTIF(M787:M790,M788)=2,M788=1),IF(M788=M787,IF(Q811=3,3,4),IF(M788=M789,IF(Q807=3,3,4),IF(M788=M790,IF(Q801=3,3,4)))),AB793))))</f>
        <v/>
      </c>
      <c r="AC788" s="192"/>
      <c r="AD788" s="192"/>
      <c r="AE788" s="192"/>
      <c r="AF788" s="203"/>
      <c r="AG788" s="203"/>
      <c r="AH788" s="203"/>
      <c r="AI788" s="203"/>
      <c r="AJ788" s="203"/>
      <c r="AK788" s="203"/>
      <c r="AL788" s="203"/>
      <c r="AM788" s="203"/>
      <c r="AN788" s="192"/>
      <c r="AO788" s="192"/>
      <c r="AP788" s="192"/>
      <c r="AQ788" s="192"/>
      <c r="AR788" s="192"/>
      <c r="AS788" s="192"/>
      <c r="AT788" s="192"/>
      <c r="AU788" s="192"/>
      <c r="AV788" s="192"/>
      <c r="AW788" s="192"/>
      <c r="AX788" s="192"/>
    </row>
    <row r="789" spans="2:50" ht="15" customHeight="1" thickBot="1" x14ac:dyDescent="0.35">
      <c r="B789" s="192"/>
      <c r="C789" s="192"/>
      <c r="D789" s="192"/>
      <c r="E789" s="192"/>
      <c r="F789" s="192" t="str">
        <f>IF(I789="","",VLOOKUP(I789,Siembra,2,FALSE))</f>
        <v/>
      </c>
      <c r="G789" s="192" t="str">
        <f>O789</f>
        <v/>
      </c>
      <c r="H789" s="192">
        <v>3</v>
      </c>
      <c r="I789" s="128" t="str">
        <f>IF(K789="","",IF(ISNUMBER(Sorteo!$A$17),VLOOKUP(K789,Draw,2,FALSE),""))</f>
        <v/>
      </c>
      <c r="J789" s="129" t="str">
        <f>O789</f>
        <v/>
      </c>
      <c r="K789" s="136" t="str">
        <f>IF($K$9="","",IF(Group_players=4,IF(Tablas!CC$5="","",Tablas!CC$5),IF(Group_players=3,IF(Tablas!CC$13="","",Tablas!CC$13),"")))</f>
        <v/>
      </c>
      <c r="L789" s="137" t="str">
        <f>IF(K789="","",VLOOKUP(I789,Siembra,3,FALSE))</f>
        <v/>
      </c>
      <c r="M789" s="132" t="str">
        <f>IF(AND(L799="",L798=""),"",IF(I789="","",SUMIFS(E798:E816,I798:I816,I789)))</f>
        <v/>
      </c>
      <c r="N789" s="138" t="str">
        <f>IF(M789="","",IF(I789="","",SUMIFS(F798:F814,I798:I814,I789)))</f>
        <v/>
      </c>
      <c r="O789" s="132" t="str">
        <f>IF(M789="","",IF(COUNTBLANK(I787:I790)=1,IF(M789=2,1,IF(M789=0,3,IF(AND(M789=1,M789&lt;&gt;M787),2,IF(COUNTIF(M787:M790,1)&gt;1,Z789)))),IF(COUNTBLANK(I787:I790)=0,IF(COUNTIF(M787:M790,M789)=1,IF(M789=3,1,IF(M789=2,2,IF(M789=1,3,IF(M789=0,4)))),IF(Group_players=3,Z789,IF(COUNTIF(M787:M790,M789)=2,AB789,IF(AND(M789=M787,M787=M788),AB793,IF(AND(M789=M787,M787=M790),AB795,IF(AND(M789=M788,M788=M790),AB801,"")))))))))</f>
        <v/>
      </c>
      <c r="P789" s="133" t="str">
        <f>IF(COUNT(U786:X797)=3,IF(ISNUMBER(U788),U788,IF(ISNUMBER(V788),V788,IF(ISNUMBER(X788),X788,IF(W788="","")))),IF(COUNT(U786:X797)=6,IF(ISNUMBER(U796),U796,IF(ISNUMBER(V796),V796,IF(ISNUMBER(X796),X796,""))),""))</f>
        <v/>
      </c>
      <c r="Q789" s="138" t="str">
        <f>IF(M789="","",SUMIF(I798:S814,I789,S798:S814))</f>
        <v/>
      </c>
      <c r="R789" s="139" t="str">
        <f>IF(M789="","",L789+Q789)</f>
        <v/>
      </c>
      <c r="S789" s="203"/>
      <c r="T789" s="208">
        <v>4</v>
      </c>
      <c r="U789" s="223"/>
      <c r="V789" s="140" t="str">
        <f>IF(AND(COUNTBLANK(I787:I790)=0,M790=M787,M787=M789),(Q804+Q813)/(Q805+Q814),"")</f>
        <v/>
      </c>
      <c r="W789" s="224" t="str">
        <f>IF(AND(COUNTBLANK(I787:I790)=0,M790=M787,M787=M788),(Q804+Q801)/(Q805+Q802),"")</f>
        <v/>
      </c>
      <c r="X789" s="225" t="str">
        <f>IF(AND(COUNTBLANK(I787:I790)=0,M790=M788,M788=M789),(Q801+Q813)/(Q802+Q814),"")</f>
        <v/>
      </c>
      <c r="Y789" s="226">
        <v>3</v>
      </c>
      <c r="Z789" s="227" t="str">
        <f>IF(U788="","",IF(OR(Group_players=3,AND(Group_players=4,COUNTBLANK(I787:I790)=1)),IF(COUNTIF(M787:M789,M789)=1,"",IF(AND(U788=U786,U788=U787),Z793,IF(AND(U788&lt;&gt;U787,U787&lt;&gt;U786,U788&lt;&gt;U786),(IF(SMALL(U786:U788,1)=U788,1,IF(SMALL(U786:U788,2)=U788,2,IF(SMALL(U786:U788,3)=U788,3)))),IF(AND(U788&lt;U787,U787=U786),1,IF(AND(U788&gt;U787,U787=U786),3,IF(AND(U788=U787,U788&lt;U786),(IF(Q802=3,1,2)),IF(AND(U788=U787,U788&gt;U786),(IF(Q802=3,2,3)),IF(AND(U788=U786,U788&lt;U787),(IF(Q799=3,1,2)),IF(AND(U788=U786,U788&gt;U787),(IF(Q799=3,2,3)),99))))))))),""))</f>
        <v/>
      </c>
      <c r="AA789" s="221">
        <v>3</v>
      </c>
      <c r="AB789" s="222" t="str">
        <f>IF(COUNTIF(M787:M790,M789)&lt;&gt;2,"",IF(COUNTIF(M787:M790,M789)=1,"",IF(AND(COUNTIF(M787:M790,M789)=2,M789=2),IF(M789=M787,IF(Q799=3,1,2),IF(M789=M788,IF(Q808=3,1,2),IF(M789=M790,IF(Q813=3,1,2)))),IF(AND(COUNTIF(M787:M790,M789)=2,M789=1),IF(M789=M787,IF(Q799=3,3,4),IF(M789=M788,IF(Q808=3,3,4),IF(M789=M790,IF(Q813=3,3,4)))),AB793))))</f>
        <v/>
      </c>
      <c r="AC789" s="192"/>
      <c r="AD789" s="192"/>
      <c r="AE789" s="192"/>
      <c r="AF789" s="203"/>
      <c r="AG789" s="203"/>
      <c r="AH789" s="203"/>
      <c r="AI789" s="203"/>
      <c r="AJ789" s="203"/>
      <c r="AK789" s="203"/>
      <c r="AL789" s="203"/>
      <c r="AM789" s="203"/>
      <c r="AN789" s="192"/>
      <c r="AO789" s="192"/>
      <c r="AP789" s="192"/>
      <c r="AQ789" s="192"/>
      <c r="AR789" s="192"/>
      <c r="AS789" s="192"/>
      <c r="AT789" s="192"/>
      <c r="AU789" s="192"/>
      <c r="AV789" s="192"/>
      <c r="AW789" s="192"/>
      <c r="AX789" s="192"/>
    </row>
    <row r="790" spans="2:50" ht="15" customHeight="1" thickTop="1" thickBot="1" x14ac:dyDescent="0.35">
      <c r="B790" s="192"/>
      <c r="C790" s="192"/>
      <c r="D790" s="192"/>
      <c r="E790" s="192"/>
      <c r="F790" s="192" t="str">
        <f>IF(I790="","",VLOOKUP(I790,Siembra,2,FALSE))</f>
        <v/>
      </c>
      <c r="G790" s="192" t="str">
        <f>O790</f>
        <v/>
      </c>
      <c r="H790" s="192">
        <v>4</v>
      </c>
      <c r="I790" s="141" t="str">
        <f>IF(K790="","",IF(ISNUMBER(Sorteo!$A$17),VLOOKUP(K790,Draw,2,FALSE),""))</f>
        <v/>
      </c>
      <c r="J790" s="142" t="str">
        <f>O790</f>
        <v/>
      </c>
      <c r="K790" s="143" t="str">
        <f>IF($K$9="","",IF(Group_players=4,IF(Tablas!CC6="","",Tablas!CC6),""))</f>
        <v/>
      </c>
      <c r="L790" s="144" t="str">
        <f>IF(K790="","",VLOOKUP(I790,Siembra,3,FALSE))</f>
        <v/>
      </c>
      <c r="M790" s="145" t="str">
        <f>IF(AND(Q801="",Q802=""),"",IF(I790="","",SUMIFS(E798:E817,I798:I817,I790)))</f>
        <v/>
      </c>
      <c r="N790" s="145" t="str">
        <f>IF(M790="","",IF(I790="","",SUMIFS(F798:F814,I798:I814,I790)))</f>
        <v/>
      </c>
      <c r="O790" s="145" t="str">
        <f>IF(M790="","",IF(COUNTIF(M787:M790,M790)=1,IF(M790=3,1,IF(M790=2,2,IF(M790=1,3,IF(M790=0,4)))),IF(COUNTIF(M787:M790,M790)=2,AB790,IF(AND(M790=M787,M787=M789),AB796,IF(AND(M790=M787,M787=M788),AB799,IF(AND(M790=M788,M788=M789),AB802,""))))))</f>
        <v/>
      </c>
      <c r="P790" s="146" t="str">
        <f>IF(COUNT(U786:X797)=3,IF(ISNUMBER(V789),V789,IF(ISNUMBER(W789),W789,IF(ISNUMBER(X789),X789,IF(X789="","")))),IF(COUNT(U786:X797)=6,IF(ISNUMBER(V797),V797,IF(ISNUMBER(W797),W797,IF(ISNUMBER(X797),X797,""))),""))</f>
        <v/>
      </c>
      <c r="Q790" s="145" t="str">
        <f>IF(M790="","",SUMIF(I798:S814,I790,S798:$S814))</f>
        <v/>
      </c>
      <c r="R790" s="147" t="str">
        <f>IF(M790="","",L790+Q790)</f>
        <v/>
      </c>
      <c r="S790" s="203"/>
      <c r="T790" s="192"/>
      <c r="U790" s="192"/>
      <c r="V790" s="192"/>
      <c r="W790" s="192"/>
      <c r="X790" s="192"/>
      <c r="Y790" s="230" t="s">
        <v>93</v>
      </c>
      <c r="Z790" s="231" t="s">
        <v>110</v>
      </c>
      <c r="AA790" s="232">
        <v>4</v>
      </c>
      <c r="AB790" s="233" t="str">
        <f>IF(COUNTIF(M787:M790,M790)&lt;&gt;2,"",IF(COUNTIF(M787:M790,M790)=1,"",IF(AND(COUNTIF(M787:M790,M790)=2,M790=2),IF(M790=M787,IF(Q805=3,1,2),IF(M790=M788,IF(Q802=3,1,2),IF(M790=M789,IF(Q814=3,1,2)))),IF(AND(COUNTIF(M787:M790,M790)=2,M790=1),IF(M790=M787,IF(Q805=3,3,4),IF(M790=M788,IF(Q802=3,3,4),IF(M790=M789,IF(Q814=3,3,4)))),AB796))))</f>
        <v/>
      </c>
      <c r="AC790" s="192"/>
      <c r="AD790" s="192"/>
      <c r="AE790" s="192"/>
      <c r="AF790" s="203"/>
      <c r="AG790" s="203"/>
      <c r="AH790" s="203"/>
      <c r="AI790" s="203"/>
      <c r="AJ790" s="203"/>
      <c r="AK790" s="203"/>
      <c r="AL790" s="203"/>
      <c r="AM790" s="203"/>
      <c r="AN790" s="192"/>
      <c r="AO790" s="192"/>
      <c r="AP790" s="192"/>
      <c r="AQ790" s="192"/>
      <c r="AR790" s="192"/>
      <c r="AS790" s="192"/>
      <c r="AT790" s="192"/>
      <c r="AU790" s="192"/>
      <c r="AV790" s="192"/>
      <c r="AW790" s="192"/>
      <c r="AX790" s="192"/>
    </row>
    <row r="791" spans="2:50" ht="15" customHeight="1" thickTop="1" x14ac:dyDescent="0.3">
      <c r="B791" s="192"/>
      <c r="C791" s="192"/>
      <c r="D791" s="192"/>
      <c r="E791" s="192"/>
      <c r="F791" s="192"/>
      <c r="G791" s="192"/>
      <c r="H791" s="192"/>
      <c r="I791" s="192"/>
      <c r="J791" s="192"/>
      <c r="K791" s="192"/>
      <c r="L791" s="192"/>
      <c r="M791" s="192"/>
      <c r="N791" s="192"/>
      <c r="O791" s="192"/>
      <c r="P791" s="192"/>
      <c r="Q791" s="192"/>
      <c r="R791" s="192"/>
      <c r="S791" s="192"/>
      <c r="T791" s="208"/>
      <c r="U791" s="192"/>
      <c r="V791" s="148"/>
      <c r="W791" s="148"/>
      <c r="X791" s="234"/>
      <c r="Y791" s="214">
        <v>1</v>
      </c>
      <c r="Z791" s="215" t="str">
        <f>IF(U794="","",IF(OR(Group_players=3,AND(Group_players=4,COUNTBLANK(I787:I790)=1)),IF(COUNTIF(M787:M789,M787)=1,"",IF(COUNTIF(U786:U788,U786)=3,IF(AND(U794=U795,U795=U796),"Tied",IF(AND(U794&lt;&gt;U795,U794&lt;&gt;U796,U795&lt;&gt;U796),(IF(SMALL(U794:U796,1)=U794,1,IF(SMALL(U794:U796,2)=U794,2,IF(SMALL(U794:U796,3)=U794,3)))),IF(AND(U794&lt;U795,U795=U796),1,IF(AND(U794&gt;U795,U795=U796),3,IF(AND(U794=U795,U794&lt;U796),(IF(Q804=3,1,2)),IF(AND(U794=U795,U794&gt;U796),(IF(Q804=3,2,3)),IF(AND(U794=U796,U794&lt;U795),(IF(Q798=3,1,2)),IF(AND(U794=U796,U794&gt;U795),(IF(Q798=3,2,3)),99)))))))),"")),""))</f>
        <v/>
      </c>
      <c r="AA791" s="208">
        <v>1</v>
      </c>
      <c r="AB791" s="222" t="str">
        <f>IF(AND(COUNTBLANK(I787:I790)=0,Group_players=4,M787=M788,M788=M789),IF(COUNTIF(U786:U789,U786)=3,AB804,IF(AND(COUNTIF(U786:U789,U786)=1,U787&lt;&gt;U788),IF(M787=2,IF(SMALL(U786:U789,1)=U786,1,IF(SMALL(U786:U789,2)=U786,2,IF(SMALL(U786:U789,3)=U786,3))),IF(M787=1,IF(SMALL(U786:U789,1)=U786,2,IF(SMALL(U786:U789,2)=U786,3,IF(SMALL(U786:U789,3)=U786,4))),"")),IF(COUNTIF(U786:U789,U786)=1,IF(U786&lt;U787,IF(M787=2,1,2),IF(M787=2,3,4)),IF(COUNTIF(U786:U789,U786)=2,IF(U786=U787,IF(U786&lt;U788,IF(M787=2,IF(Q810=3,1,2),IF(M787=1,IF(Q810=3,2,3))),IF(U786&gt;U788,IF(M787=2,IF(Q810=3,2,3),IF(M787=1,IF(Q810=3,3,4))))),IF(U786=U788,IF(U786&lt;U787,IF(M787=2,IF(Q798=3,1,2),IF(M787=1,IF(Q798=3,2,3))),IF(U786&gt;U787,IF(M787=2,IF(Q798=3,2,3),IF(M787=1,IF(Q798=3,3,4))))))),"")))),"")</f>
        <v/>
      </c>
      <c r="AC791" s="192"/>
      <c r="AD791" s="192"/>
      <c r="AE791" s="269"/>
      <c r="AF791" s="203"/>
      <c r="AG791" s="203"/>
      <c r="AH791" s="203"/>
      <c r="AI791" s="203"/>
      <c r="AJ791" s="203"/>
      <c r="AK791" s="203"/>
      <c r="AL791" s="203"/>
      <c r="AM791" s="203"/>
      <c r="AN791" s="192"/>
      <c r="AO791" s="192"/>
      <c r="AP791" s="192"/>
      <c r="AQ791" s="192"/>
      <c r="AR791" s="192"/>
      <c r="AS791" s="192"/>
      <c r="AT791" s="192"/>
      <c r="AU791" s="192"/>
      <c r="AV791" s="192"/>
      <c r="AW791" s="192"/>
      <c r="AX791" s="192"/>
    </row>
    <row r="792" spans="2:50" ht="15" customHeight="1" thickBot="1" x14ac:dyDescent="0.35">
      <c r="B792" s="192"/>
      <c r="C792" s="192"/>
      <c r="D792" s="192"/>
      <c r="E792" s="192"/>
      <c r="F792" s="192"/>
      <c r="G792" s="192"/>
      <c r="H792" s="192"/>
      <c r="I792" s="163"/>
      <c r="J792" s="269"/>
      <c r="K792" s="192"/>
      <c r="L792" s="192"/>
      <c r="M792" s="192"/>
      <c r="N792" s="192"/>
      <c r="O792" s="192"/>
      <c r="P792" s="192"/>
      <c r="Q792" s="192"/>
      <c r="R792" s="192"/>
      <c r="S792" s="192"/>
      <c r="T792" s="208"/>
      <c r="U792" s="368" t="s">
        <v>111</v>
      </c>
      <c r="V792" s="369"/>
      <c r="W792" s="369"/>
      <c r="X792" s="369"/>
      <c r="Y792" s="236">
        <v>2</v>
      </c>
      <c r="Z792" s="220" t="str">
        <f>IF(U787="","",IF(OR(Group_players=3,AND(Group_players=4,COUNTBLANK(I787:I790)=1)),IF(COUNTIF(M787:M789,M788)=1,"",IF(COUNTIF(U786:U788,U787)=3,IF(AND(U795=U794,U795=U796),"Tied",IF(AND(U795&lt;&gt;U794,U795&lt;&gt;U796,U794&lt;&gt;U796),(IF(SMALL(U794:U796,1)=U795,1,IF(SMALL(U794:U796,2)=U795,2,IF(SMALL(U794:U796,3)=U795,3)))),IF(AND(U795&lt;U794,U794=U796),1,IF(AND(U795&gt;U794,U794=U796),3,IF(AND(U795=U794,U795&lt;U796),(IF(Q805=3,1,2)),IF(AND(U795=U794,U795&gt;U796),(IF(Q805=3,2,3)),IF(AND(U795=U796,U795&lt;U794),(IF(Q801=3,1,2)),IF(AND(U795=U796,U795&gt;U794),(IF(Q801=3,2,3)),99)))))))),"")),""))</f>
        <v/>
      </c>
      <c r="AA792" s="208">
        <v>2</v>
      </c>
      <c r="AB792" s="222" t="str">
        <f>IF(AND(COUNTBLANK(I787:I790)=0,Group_players=4,M787=M788,M788=M789),IF(COUNTIF(U786:U789,U787)=3,AB805,IF(AND(COUNTIF(U786:U789,U787)=1,U786&lt;&gt;U788),IF(M788=2,IF(SMALL(U786:U789,1)=U787,1,IF(SMALL(U786:U789,2)=U787,2,IF(SMALL(U786:U789,3)=U787,3))),IF(M788=1,IF(SMALL(U786:U789,1)=U787,2,IF(SMALL(U786:U789,2)=U787,3,IF(SMALL(U786:U789,3)=U787,4))),"")),IF(COUNTIF(U786:U788,U787)=1,IF(U787&lt;U786,IF(M788=2,1,2),IF(M788=2,3,99)),IF(COUNTIF(U786:U789,U787)=2,IF(U787=U786,IF(U787&lt;U788,IF(M788=2,IF(Q811=3,1,2),IF(M788=1,IF(Q811=3,2,3))),IF(U787&gt;U788,IF(M788=2,IF(Q811=3,2,3),IF(M788=1,IF(Q811=3,3,4))))),IF(U787=U788,IF(U787&lt;U786,IF(M788=2,IF(Q807=3,1,2),IF(M788=1,IF(Q807=3,2,3))),IF(U787&gt;U786,IF(M788=2,IF(Q807=3,2,3),IF(M788=1,IF(Q807=3,3,4))))))),"")))),"")</f>
        <v/>
      </c>
      <c r="AC792" s="192"/>
      <c r="AD792" s="192"/>
      <c r="AE792" s="192"/>
      <c r="AF792" s="203"/>
      <c r="AG792" s="203"/>
      <c r="AH792" s="203"/>
      <c r="AI792" s="203"/>
      <c r="AJ792" s="203"/>
      <c r="AK792" s="203"/>
      <c r="AL792" s="203"/>
      <c r="AM792" s="203"/>
      <c r="AN792" s="192"/>
      <c r="AO792" s="192"/>
      <c r="AP792" s="192"/>
      <c r="AQ792" s="192"/>
      <c r="AR792" s="192"/>
      <c r="AS792" s="192"/>
      <c r="AT792" s="192"/>
      <c r="AU792" s="192"/>
      <c r="AV792" s="192"/>
      <c r="AW792" s="192"/>
      <c r="AX792" s="192"/>
    </row>
    <row r="793" spans="2:50" ht="15" customHeight="1" thickTop="1" thickBot="1" x14ac:dyDescent="0.35">
      <c r="B793" s="192"/>
      <c r="C793" s="192"/>
      <c r="D793" s="192"/>
      <c r="E793" s="192"/>
      <c r="F793" s="192"/>
      <c r="G793" s="192"/>
      <c r="H793" s="192"/>
      <c r="I793" s="192"/>
      <c r="J793" s="192"/>
      <c r="K793" s="192"/>
      <c r="L793" s="192"/>
      <c r="M793" s="192"/>
      <c r="N793" s="192"/>
      <c r="O793" s="192"/>
      <c r="P793" s="192"/>
      <c r="Q793" s="192"/>
      <c r="R793" s="192"/>
      <c r="S793" s="192"/>
      <c r="T793" s="120"/>
      <c r="U793" s="121" t="s">
        <v>101</v>
      </c>
      <c r="V793" s="122" t="s">
        <v>102</v>
      </c>
      <c r="W793" s="122" t="s">
        <v>103</v>
      </c>
      <c r="X793" s="123" t="s">
        <v>104</v>
      </c>
      <c r="Y793" s="238">
        <v>3</v>
      </c>
      <c r="Z793" s="239" t="str">
        <f>IF(U788="","",IF(OR(Group_players=3,AND(Group_players=4,COUNTBLANK(I787:I790)=1)),IF(COUNTIF(M787:M789,M789)=1,"",IF(COUNTIF(U786:U788,U788)=3,IF(AND(U796=U794,U796=U795),"Tied",IF(AND(U796&lt;&gt;U795,U795&lt;&gt;U794,U796&lt;&gt;U794),(IF(SMALL(U794:U796,1)=U796,1,IF(SMALL(U794:U796,2)=U796,2,IF(SMALL(U794:U796,3)=U796,3)))),IF(AND(U796&lt;U795,U795=U794),1,IF(AND(U796&gt;U795,U795=U794),3,IF(AND(U796=U795,U796&lt;U794),(IF(Q802=3,1,2)),IF(AND(U796=U795,U796&gt;U794),(IF(Q802=3,2,3)),IF(AND(U796=U794,U796&lt;U795),(IF(Q799=3,1,2)),IF(AND(U796=U794,U796&gt;U795),(IF(Q799=3,2,3)),99)))))))),"")),""))</f>
        <v/>
      </c>
      <c r="AA793" s="240">
        <v>3</v>
      </c>
      <c r="AB793" s="241" t="str">
        <f>IF(AND(COUNTBLANK(I787:I790)=0,Group_players=4,M787=M788,M788=M789),IF(COUNTIF(U786:U789,U788)=3,AB806,IF(AND(COUNTIF(U786:U789,U788)=1,U786&lt;&gt;U787),IF(M787=2,IF(SMALL(U786:U789,1)=U788,1,IF(SMALL(U786:U789,2)=U788,2,IF(SMALL(U786:U789,3)=U788,3))),IF(M789=1,IF(SMALL(U786:U789,1)=U788,2,IF(SMALL(U786:U789,2)=U788,3,IF(SMALL(U786:U789,3)=U788,4))),"")),IF(COUNTIF(U786:U789,U788)=1,IF(U788&lt;U787,IF(M789=2,1,2),IF(M789=2,3,4)),IF(COUNTIF(U786:U789,U788)=2,IF(U788=U787,IF(U788&lt;U786,IF(M789=2,IF(Q808=3,1,2),IF(M789=1,IF(Q808=3,2,3))),IF(U788&gt;U786,IF(M789=2,IF(Q808=3,2,3),IF(M789=1,IF(Q808=3,3,4))))),IF(U788=U786,IF(U788&lt;U787,IF(M789=2,IF(Q799=3,1,2),IF(M789=1,IF(Q799=3,2,3))),IF(U788&gt;U787,IF(M789=2,IF(Q799=3,2,3),IF(M789=1,IF(Q799=3,3,4))))))),"")))),"")</f>
        <v/>
      </c>
      <c r="AC793" s="192"/>
      <c r="AD793" s="192"/>
      <c r="AE793" s="192"/>
      <c r="AF793" s="203"/>
      <c r="AG793" s="203"/>
      <c r="AH793" s="203"/>
      <c r="AI793" s="203"/>
      <c r="AJ793" s="203"/>
      <c r="AK793" s="203"/>
      <c r="AL793" s="203"/>
      <c r="AM793" s="203"/>
      <c r="AN793" s="192"/>
      <c r="AO793" s="192"/>
      <c r="AP793" s="192"/>
      <c r="AQ793" s="192"/>
      <c r="AR793" s="192"/>
      <c r="AS793" s="192"/>
      <c r="AT793" s="192"/>
      <c r="AU793" s="192"/>
      <c r="AV793" s="192"/>
      <c r="AW793" s="192"/>
      <c r="AX793" s="192"/>
    </row>
    <row r="794" spans="2:50" ht="15" customHeight="1" thickTop="1" thickBot="1" x14ac:dyDescent="0.35">
      <c r="B794" s="192"/>
      <c r="C794" s="192"/>
      <c r="D794" s="192"/>
      <c r="E794" s="192"/>
      <c r="F794" s="192"/>
      <c r="G794" s="192"/>
      <c r="H794" s="192"/>
      <c r="I794" s="192"/>
      <c r="J794" s="192"/>
      <c r="K794" s="192"/>
      <c r="L794" s="192"/>
      <c r="M794" s="192"/>
      <c r="N794" s="192"/>
      <c r="O794" s="192"/>
      <c r="P794" s="192"/>
      <c r="Q794" s="192"/>
      <c r="R794" s="192"/>
      <c r="S794" s="192"/>
      <c r="T794" s="208">
        <v>1</v>
      </c>
      <c r="U794" s="209" t="str">
        <f>IF(U786="","",IF(OR(U786&lt;&gt;U787,U786&lt;&gt;U788),"",IF(COUNTIF(M787:M789,M787)=1,"",IF(COUNTBLANK(I787:I790)=1,(SUM(L799:P799)+SUM(L805:P805))/(SUM(L798:P798)+SUM(L804:P804)),IF(COUNTBLANK(I787:I790)=0,(SUM(L811:P811)+SUM(L799:P799))/(SUM(L810:P810)+SUM(L798:P798)),"")))))</f>
        <v/>
      </c>
      <c r="V794" s="125" t="str">
        <f>IF(V786="","",IF(OR(V786&lt;&gt;V788,V786&lt;&gt;V789),"",IF(AND(COUNTBLANK(I787:I790)=0,M787=M789,M789=M790),(SUM(L799:P799)+SUM(L805:P805))/(SUM(L798:P798)+SUM(L804:P804)),"")))</f>
        <v/>
      </c>
      <c r="W794" s="210" t="str">
        <f>IF(W786="","",IF(OR(W786&lt;&gt;W787,W786&lt;&gt;W789),"",IF(AND(COUNTBLANK(I787:I790)=0,M787=M788,M788=M790),(SUM(L811:P811)+SUM(L805:P805))/(SUM(L810:P810)+SUM(L804:P804)),"")))</f>
        <v/>
      </c>
      <c r="X794" s="211"/>
      <c r="Y794" s="242"/>
      <c r="Z794" s="242"/>
      <c r="AA794" s="243">
        <v>1</v>
      </c>
      <c r="AB794" s="244" t="str">
        <f>IF(AND(COUNTBLANK(I787:I790)=0,Group_players=4,M787=M789,M789=M790),IF(COUNTIF(V786:V789,V786)=3,AB807,IF(AND(COUNTIF(V786:V789,V786)=1,V788&lt;&gt;U797),IF(M787=2,IF(SMALL(V786:V789,1)=V786,1,IF(SMALL(V786:V789,2)=V786,2,IF(SMALL(V786:V789,3)=V786,3))),IF(M787=1,IF(SMALL(V786:V789,1)=V786,2,IF(SMALL(V786:V789,2)=V786,3,IF(SMALL(V786:V789,3)=V786,4))),"")),IF(COUNTIF(V786:V789,V786)=1,IF(V786&lt;V788,IF(M787=2,1,2),IF(M787=2,3,4)),IF(COUNTIF(V786:V789,V786)=2,IF(V786=V788,IF(V786&lt;V789,IF(M787=2,IF(Q798=3,1,2),IF(M787=1,IF(Q798=3,2,3))),IF(V786&gt;V789,IF(M787=2,IF(Q798=3,2,3),IF(M787=1,IF(Q798=3,3,4))))),IF(V786=V789,IF(V786&lt;V788,IF(M787=2,IF(Q804=3,1,2),IF(M787=1,IF(Q804=3,2,3))),IF(V786&gt;V787,IF(M787=2,IF(Q804=3,2,3),IF(M787=1,IF(Q804=3,3,4))))))),"")))),"")</f>
        <v/>
      </c>
      <c r="AC794" s="192"/>
      <c r="AD794" s="192"/>
      <c r="AE794" s="192"/>
      <c r="AF794" s="203"/>
      <c r="AG794" s="203"/>
      <c r="AH794" s="203"/>
      <c r="AI794" s="203"/>
      <c r="AJ794" s="203"/>
      <c r="AK794" s="203"/>
      <c r="AL794" s="203"/>
      <c r="AM794" s="203"/>
      <c r="AN794" s="192"/>
      <c r="AO794" s="192"/>
      <c r="AP794" s="192"/>
      <c r="AQ794" s="192"/>
      <c r="AR794" s="192"/>
      <c r="AS794" s="192"/>
      <c r="AT794" s="192"/>
      <c r="AU794" s="192"/>
      <c r="AV794" s="192"/>
      <c r="AW794" s="192"/>
      <c r="AX794" s="192"/>
    </row>
    <row r="795" spans="2:50" ht="15" customHeight="1" thickTop="1" thickBot="1" x14ac:dyDescent="0.35">
      <c r="B795" s="192"/>
      <c r="C795" s="192"/>
      <c r="D795" s="192"/>
      <c r="E795" s="117"/>
      <c r="F795" s="117"/>
      <c r="G795" s="117"/>
      <c r="H795" s="192"/>
      <c r="I795" s="192"/>
      <c r="J795" s="192"/>
      <c r="K795" s="192"/>
      <c r="L795" s="192"/>
      <c r="M795" s="192"/>
      <c r="N795" s="192"/>
      <c r="O795" s="192"/>
      <c r="P795" s="192"/>
      <c r="Q795" s="192"/>
      <c r="R795" s="192"/>
      <c r="S795" s="394" t="s">
        <v>112</v>
      </c>
      <c r="T795" s="208">
        <v>2</v>
      </c>
      <c r="U795" s="209" t="str">
        <f>IF(U786="","",IF(OR(U787&lt;&gt;U786,U787&lt;&gt;U788),"",IF(COUNTIF(M787:M789,M788)=1,"",IF(COUNTBLANK(I787:I790)=1,(SUM(L802:P802)+SUM(L804:P804))/(SUM(L801:P801)+SUM(L805:P805)),IF(COUNTBLANK(I787:I790)=0,(SUM(L810:P810)+SUM(L808:P808))/(SUM(L811:P811)+SUM(L807:P807)))))))</f>
        <v/>
      </c>
      <c r="V795" s="135"/>
      <c r="W795" s="212" t="str">
        <f>IF(W786="","",IF(OR(W787&lt;&gt;W786,W787&lt;&gt;W789),"",IF(AND(COUNTBLANK(I787:I790)=0,M787=M788,M788=M790),(SUM(L802:P802)+SUM(L810:P810))/(SUM(L811:P811)+SUM(L801:P801)),"")))</f>
        <v/>
      </c>
      <c r="X795" s="245" t="str">
        <f>IF(X787="","",IF(OR(X787&lt;&gt;X788,X787&lt;&gt;X789),"",IF(AND(COUNTBLANK(I787:I790)=0,M788=M789,M789=M790),(SUM(L808:P808)+SUM(L802:P802))/(SUM(L807:P807)+SUM(L801:P801)),"")))</f>
        <v/>
      </c>
      <c r="Y795" s="242"/>
      <c r="Z795" s="203"/>
      <c r="AA795" s="246">
        <v>3</v>
      </c>
      <c r="AB795" s="222" t="str">
        <f>IF(AND(COUNTBLANK(I787:I790)=0,Group_players=4,M787=M789,M789=M790),IF(COUNTIF(V786:V789,V788)=3,AB808,IF(AND(COUNTIF(V786:V789,V788)=1,V786&lt;&gt;V789),IF(M789=2,IF(SMALL(V786:V789,1)=V788,1,IF(SMALL(V786:V789,2)=V788,2,IF(SMALL(V786:V789,3)=V788,3))),IF(M789=1,IF(SMALL(V786:V789,1)=V788,2,IF(SMALL(V786:V789,2)=V788,3,IF(SMALL(V786:V789,3)=V788,4))),"")),IF(COUNTIF(V786:V789,V788)=1,IF(V788&lt;V786,IF(M789=2,1,2),IF(M789=2,3,4)),IF(COUNTIF(V786:V789,V788)=2,IF(V788=V786,IF(V788&lt;V789,IF(M789=2,IF(Q799=3,1,2),IF(M789=1,IF(Q799=3,2,3))),IF(V788&gt;V789,IF(M789=2,IF(Q799=3,2,3),IF(M789=1,IF(Q799=3,3,4))))),IF(V788=V789,IF(V788&lt;V786,IF(M789=2,IF(Q813=3,1,2),IF(M789=1,IF(Q813=3,2,3))),IF(V788&gt;V786,IF(M789=2,IF(Q813=3,2,3),IF(M789=1,IF(Q813=3,3,4))))))),"")))),"")</f>
        <v/>
      </c>
      <c r="AC795" s="192"/>
      <c r="AD795" s="192"/>
      <c r="AE795" s="192"/>
      <c r="AF795" s="203"/>
      <c r="AG795" s="203"/>
      <c r="AH795" s="203"/>
      <c r="AI795" s="203"/>
      <c r="AJ795" s="203"/>
      <c r="AK795" s="203"/>
      <c r="AL795" s="203"/>
      <c r="AM795" s="203"/>
      <c r="AN795" s="192"/>
      <c r="AO795" s="192"/>
      <c r="AP795" s="192"/>
      <c r="AQ795" s="192"/>
      <c r="AR795" s="192"/>
      <c r="AS795" s="192"/>
      <c r="AT795" s="192"/>
      <c r="AU795" s="192"/>
      <c r="AV795" s="192"/>
      <c r="AW795" s="192"/>
      <c r="AX795" s="192"/>
    </row>
    <row r="796" spans="2:50" ht="15" customHeight="1" thickTop="1" thickBot="1" x14ac:dyDescent="0.35">
      <c r="B796" s="192"/>
      <c r="C796" s="192"/>
      <c r="D796" s="192"/>
      <c r="E796" s="117"/>
      <c r="F796" s="117"/>
      <c r="G796" s="117"/>
      <c r="H796" s="192"/>
      <c r="I796" s="192"/>
      <c r="J796" s="192"/>
      <c r="K796" s="192"/>
      <c r="L796" s="192"/>
      <c r="M796" s="192"/>
      <c r="N796" s="192"/>
      <c r="O796" s="192"/>
      <c r="P796" s="192"/>
      <c r="Q796" s="192"/>
      <c r="R796" s="247"/>
      <c r="S796" s="395"/>
      <c r="T796" s="208">
        <v>3</v>
      </c>
      <c r="U796" s="209" t="str">
        <f>IF(U786="","",IF(OR(U788&lt;&gt;U786,U788&lt;&gt;U787),"",IF(COUNTIF(M787:M789,M789)=1,"",IF(COUNTBLANK(I787:I790)=1,(SUM(L798:P798)+SUM(L801:P801))/(SUM(L799:P799)+SUM(L802:P802)),IF(COUNTBLANK(I787:I790)=0,(SUM(L798:P798)+SUM(L807:P807))/(SUM(L799:P799)+SUM(L808:P808)))))))</f>
        <v/>
      </c>
      <c r="V796" s="125" t="str">
        <f>IF(V786="","",IF(OR(V788&lt;&gt;V786,V788&lt;&gt;V789),"",IF(AND(COUNTBLANK(I787:I790)=0,M787=M789,M789=M790),(SUM(L798:P798)+SUM(L814:P814))/(SUM(L799:P799)+SUM(L813:P813)),"")))</f>
        <v/>
      </c>
      <c r="W796" s="218"/>
      <c r="X796" s="245" t="str">
        <f>IF(X787="","",IF(OR(X788&lt;&gt;X787,X788&lt;&gt;X789),"",IF(AND(COUNTBLANK(I787:I790)=0,M788=M789,M789=M790),(SUM(L807:P807)+SUM(L814:P814))/(SUM(L808:P808)+SUM(L813:P813)),"")))</f>
        <v/>
      </c>
      <c r="Y796" s="208"/>
      <c r="Z796" s="203"/>
      <c r="AA796" s="240">
        <v>4</v>
      </c>
      <c r="AB796" s="222" t="str">
        <f>IF(AND(COUNTBLANK(I787:I790)=0,Group_players=4,M787=M789,M789=M790),IF(COUNTIF(V786:V789,V789)=3,AB809,IF(AND(COUNTIF(V786:V789,V789)=1,V788&lt;&gt;V786),IF(M790=2,IF(SMALL(V786:V789,1)=V789,1,IF(SMALL(V786:V789,2)=V789,2,IF(SMALL(V786:V789,3)=V789,3))),IF(M790=1,IF(SMALL(V786:V789,1)=V789,2,IF(SMALL(V786:V789,2)=V789,3,IF(SMALL(V786:V789,3)=V789,4))),"")),IF(COUNTIF(V786:V789,V789)=1,IF(V789&lt;V786,IF(M790=2,1,2),IF(M790=2,3,4)),IF(COUNTIF(V786:V789,V789)=2,IF(V789=V786,IF(V789&lt;V788,IF(M790=2,IF(Q805=3,1,2),IF(M790=1,IF(Q805=3,2,3))),IF(V789&gt;V788,IF(M790=2,IF(Q805=3,2,3),IF(M790=1,IF(Q805=3,3,4))))),IF(V789=V788,IF(V789&lt;V786,IF(M790=2,IF(Q814=3,1,2),IF(M790=1,IF(Q814=3,2,3))),IF(V789&gt;V786,IF(M790=2,IF(Q814=3,2,3),IF(M790=1,IF(Q814=3,3,4))))))),"")))),"")</f>
        <v/>
      </c>
      <c r="AC796" s="192"/>
      <c r="AD796" s="192"/>
      <c r="AE796" s="192"/>
      <c r="AF796" s="203"/>
      <c r="AG796" s="203"/>
      <c r="AH796" s="203"/>
      <c r="AI796" s="203"/>
      <c r="AJ796" s="203"/>
      <c r="AK796" s="203"/>
      <c r="AL796" s="203"/>
      <c r="AM796" s="203"/>
      <c r="AN796" s="192"/>
      <c r="AO796" s="192"/>
      <c r="AP796" s="192"/>
      <c r="AQ796" s="192"/>
      <c r="AR796" s="192"/>
      <c r="AS796" s="192"/>
      <c r="AT796" s="192"/>
      <c r="AU796" s="192"/>
      <c r="AV796" s="192"/>
      <c r="AW796" s="192"/>
      <c r="AX796" s="192"/>
    </row>
    <row r="797" spans="2:50" ht="15" customHeight="1" thickTop="1" thickBot="1" x14ac:dyDescent="0.35">
      <c r="B797" s="192"/>
      <c r="C797" s="192"/>
      <c r="D797" s="192"/>
      <c r="E797" s="168" t="s">
        <v>113</v>
      </c>
      <c r="F797" s="168" t="s">
        <v>114</v>
      </c>
      <c r="G797" s="117"/>
      <c r="H797" s="192"/>
      <c r="I797" s="249" t="s">
        <v>115</v>
      </c>
      <c r="J797" s="249"/>
      <c r="K797" s="249"/>
      <c r="L797" s="250" t="s">
        <v>115</v>
      </c>
      <c r="M797" s="250" t="s">
        <v>116</v>
      </c>
      <c r="N797" s="250" t="s">
        <v>117</v>
      </c>
      <c r="O797" s="250" t="s">
        <v>118</v>
      </c>
      <c r="P797" s="250" t="s">
        <v>119</v>
      </c>
      <c r="Q797" s="250" t="s">
        <v>120</v>
      </c>
      <c r="R797" s="250"/>
      <c r="S797" s="251"/>
      <c r="T797" s="208">
        <v>4</v>
      </c>
      <c r="U797" s="223"/>
      <c r="V797" s="140" t="str">
        <f>IF(V786="","",IF(OR(V789&lt;&gt;V786,V789&lt;&gt;V788),"",IF(AND(COUNTBLANK(I787:I790)=0,M787=M789,M789=M790),(SUM(L804:P804)+SUM(L813:P813))/(SUM(L805:P805)+SUM(L814:P814)),"")))</f>
        <v/>
      </c>
      <c r="W797" s="224" t="str">
        <f>IF(W786="","",IF(OR(W789&lt;&gt;W786,W789&lt;&gt;W787),"",IF(AND(COUNTBLANK(I787:I790)=0,M787=M788,M788=M790),(SUM(L804:P804)+SUM(L801:P801))/(SUM(L805:P805)+SUM(L802:P802)),"")))</f>
        <v/>
      </c>
      <c r="X797" s="252" t="str">
        <f>IF(X787="","",IF(OR(X789&lt;&gt;X787,X789&lt;&gt;X788),"",IF(AND(COUNTBLANK(I787:I790)=0,M788=M789,M789=M790),(SUM(L801:P801)+SUM(L813:P813))/(SUM(L802:P802)+SUM(L814:P814)),"")))</f>
        <v/>
      </c>
      <c r="Y797" s="192"/>
      <c r="Z797" s="203"/>
      <c r="AA797" s="243">
        <v>1</v>
      </c>
      <c r="AB797" s="151" t="str">
        <f>IF(AND(COUNTBLANK(I787:I790)=0,Group_players=4,M787=M788,M788=M790),IF(COUNTIF(W786:W789,W786)=3,AB810,IF(AND(COUNTIF(W786:W789,W786)=1,W787&lt;&gt;W789),IF(M787=2,IF(SMALL(W786:W789,1)=W786,1,IF(SMALL(W786:W789,2)=W786,2,IF(SMALL(W786:W789,3)=W786,3))),IF(M787=1,IF(SMALL(W786:W789,1)=W786,2,IF(SMALL(W786:W789,2)=W786,3,IF(SMALL(W786:W789,3)=W786,4))),"")),IF(COUNTIF(W786:W789,W786)=1,IF(W786&lt;W787,IF(M787=2,1,2),IF(M787=2,3,4)),IF(COUNTIF(W786:W789,W786)=2,IF(W786=W787,IF(W786&lt;W789,IF(M787=2,IF(Q810=3,1,2),IF(M787=1,IF(Q810=3,2,3))),IF(W786&gt;W789,IF(M787=2,IF(Q810=3,2,3),IF(M787=1,IF(Q810=3,3,4))))),IF(W786=W789,IF(W786&lt;W787,IF(M787=2,IF(Q804=3,1,2),IF(M787=1,IF(Q804=3,2,3))),IF(W786&gt;W787,IF(M787=2,IF(Q804=3,2,3),IF(M787=1,IF(Q804=3,3,4))))))),"")))),"")</f>
        <v/>
      </c>
      <c r="AC797" s="192"/>
      <c r="AD797" s="192"/>
      <c r="AE797" s="192"/>
      <c r="AF797" s="203"/>
      <c r="AG797" s="203"/>
      <c r="AH797" s="203"/>
      <c r="AI797" s="203"/>
      <c r="AJ797" s="203"/>
      <c r="AK797" s="203"/>
      <c r="AL797" s="203"/>
      <c r="AM797" s="203"/>
      <c r="AN797" s="192"/>
      <c r="AO797" s="192"/>
      <c r="AP797" s="192"/>
      <c r="AQ797" s="192"/>
      <c r="AR797" s="192"/>
      <c r="AS797" s="192"/>
      <c r="AT797" s="192"/>
      <c r="AU797" s="192"/>
      <c r="AV797" s="192"/>
      <c r="AW797" s="192"/>
      <c r="AX797" s="192"/>
    </row>
    <row r="798" spans="2:50" ht="15" customHeight="1" thickTop="1" x14ac:dyDescent="0.3">
      <c r="B798" s="192"/>
      <c r="C798" s="192"/>
      <c r="D798" s="192"/>
      <c r="E798" s="164" t="str">
        <f>IF(Q798="","",IF(Q798=3,1,0))</f>
        <v/>
      </c>
      <c r="F798" s="164" t="str">
        <f>IF(Q798="","",IF(Q798&lt;3,1,0))</f>
        <v/>
      </c>
      <c r="G798" s="192"/>
      <c r="H798" s="192" t="str">
        <f>IF(I787="","",1)</f>
        <v/>
      </c>
      <c r="I798" s="192" t="str">
        <f>IF(ISNUMBER(H798),VLOOKUP(H798,H787:I790,2,TRUE),"")</f>
        <v/>
      </c>
      <c r="J798" s="192"/>
      <c r="K798" s="192" t="str">
        <f>VLOOKUP(I798,I787:L790,3,FALSE)</f>
        <v/>
      </c>
      <c r="L798" s="253"/>
      <c r="M798" s="254"/>
      <c r="N798" s="254"/>
      <c r="O798" s="152"/>
      <c r="P798" s="153"/>
      <c r="Q798" s="255" t="str">
        <f>IF(L798="","",IF(AND(L798-L799&gt;1,L798&gt;10),1,0)+IF(AND(M798-M799&gt;1,M798&gt;10),1,0)+IF(AND(N798-N799&gt;1,N798&gt;10),1,0)+IF(AND(O798-O799&gt;1,O798&gt;10),1,0)+IF(AND(P798-P799&gt;1,P798&gt;10),1,0))</f>
        <v/>
      </c>
      <c r="R798" s="203" t="str">
        <f>IF(AND(I798="",I799=""),"",ABS(VLOOKUP(I798,I787:L790,4,FALSE)-VLOOKUP(I799,I787:L790,4,FALSE)))</f>
        <v/>
      </c>
      <c r="S798" s="256" t="str">
        <f>IF(R799="","",IF(Q798=3,+R799,-R799))</f>
        <v/>
      </c>
      <c r="T798" s="257"/>
      <c r="U798" s="258"/>
      <c r="V798" s="258"/>
      <c r="W798" s="258"/>
      <c r="X798" s="258"/>
      <c r="Y798" s="192"/>
      <c r="Z798" s="203"/>
      <c r="AA798" s="246">
        <v>2</v>
      </c>
      <c r="AB798" s="154" t="str">
        <f>IF(AND(COUNTBLANK(I787:I790)=0,Group_players=4,M787=M788,M788=M790),IF(COUNTIF(W786:W789,W787)=3,AB811,IF(AND(COUNTIF(W786:W789,W787)=1,W786&lt;&gt;W788),IF(M788=2,IF(SMALL(W786:W789,1)=W787,1,IF(SMALL(W786:W789,2)=W787,2,IF(SMALL(W786:W789,3)=W787,3))),IF(M788=1,IF(SMALL(W786:W789,1)=W787,2,IF(SMALL(W786:W789,2)=W787,3,IF(SMALL(W786:W789,3)=W787,4))),"")),IF(COUNTIF(W786:W789,W787)=1,IF(W787&lt;W786,IF(M788=2,1,2),IF(M788=2,3,4)),IF(COUNTIF(W786:W789,W787)=2,IF(W787=W786,IF(W787&lt;W789,IF(M788=2,IF(Q811=3,1,2),IF(M788=1,IF(Q811=3,2,3))),IF(W787&gt;W789,IF(M788=2,IF(Q811=3,2,3),IF(M788=1,IF(Q811=3,3,4))))),IF(W787=W789,IF(W787&lt;W786,IF(M788=2,IF(Q801=3,1,2),IF(M788=1,IF(Q801=3,2,3))),IF(W787&gt;W786,IF(M788=2,IF(Q801=3,2,3),IF(M788=1,IF(Q801=3,3,4))))))),"")))),"")</f>
        <v/>
      </c>
      <c r="AC798" s="192"/>
      <c r="AD798" s="192"/>
      <c r="AE798" s="192"/>
      <c r="AF798" s="203"/>
      <c r="AG798" s="203"/>
      <c r="AH798" s="203"/>
      <c r="AI798" s="203"/>
      <c r="AJ798" s="203"/>
      <c r="AK798" s="203"/>
      <c r="AL798" s="203"/>
      <c r="AM798" s="203"/>
      <c r="AN798" s="192"/>
      <c r="AO798" s="192"/>
      <c r="AP798" s="192"/>
      <c r="AQ798" s="192"/>
      <c r="AR798" s="192"/>
      <c r="AS798" s="192"/>
      <c r="AT798" s="192"/>
      <c r="AU798" s="192"/>
      <c r="AV798" s="192"/>
      <c r="AW798" s="192"/>
      <c r="AX798" s="192"/>
    </row>
    <row r="799" spans="2:50" ht="15" customHeight="1" thickBot="1" x14ac:dyDescent="0.35">
      <c r="B799" s="192"/>
      <c r="C799" s="192"/>
      <c r="D799" s="192"/>
      <c r="E799" s="164" t="str">
        <f>IF(Q799="","",IF(Q799=3,1,0))</f>
        <v/>
      </c>
      <c r="F799" s="164" t="str">
        <f>IF(Q799="","",IF(Q799&lt;3,1,0))</f>
        <v/>
      </c>
      <c r="G799" s="192"/>
      <c r="H799" s="192" t="str">
        <f>IF(I788="","",IF(I789="",2,3))</f>
        <v/>
      </c>
      <c r="I799" s="192" t="str">
        <f>IF(ISNUMBER(H799),VLOOKUP(H799,H787:I790,2,TRUE),"")</f>
        <v/>
      </c>
      <c r="J799" s="192"/>
      <c r="K799" s="192" t="str">
        <f>VLOOKUP(I799,I787:L790,3,FALSE)</f>
        <v/>
      </c>
      <c r="L799" s="155"/>
      <c r="M799" s="259"/>
      <c r="N799" s="259"/>
      <c r="O799" s="156"/>
      <c r="P799" s="157"/>
      <c r="Q799" s="260" t="str">
        <f>IF(L799="","",IF(AND(L799-L798&gt;1,L799&gt;10),1,0)+IF(AND(M799-M798&gt;1,M799&gt;10),1,0)+IF(AND(N799-N798&gt;1,N799&gt;10),1,0)+IF(AND(O799-O798&gt;1,O799&gt;10),1,0)+IF(AND(P799-P798&gt;1,P799&gt;10),1,0))</f>
        <v/>
      </c>
      <c r="R799" s="203" t="str">
        <f>IF(AND(Q798&lt;&gt;3,Q799&lt;&gt;3),"",IF(Q798=3,IF(VLOOKUP(I798,I787:L790,4,FALSE)&gt;VLOOKUP(I799,I787:L790,4,FALSE),VLOOKUP(R798,Point_dif,2,FALSE),VLOOKUP(R798,Point_dif,3,FALSE)),IF(Q799=3,IF(VLOOKUP(I799,I787:L790,4,FALSE)&gt;VLOOKUP(I798,I787:L790,4,FALSE),VLOOKUP(R798,Point_dif,2,FALSE),VLOOKUP(R798,Point_dif,3,FALSE)))))</f>
        <v/>
      </c>
      <c r="S799" s="256" t="str">
        <f>IF(R799="","",IF(Q799=3,+R799,-R799))</f>
        <v/>
      </c>
      <c r="T799" s="192"/>
      <c r="U799" s="235"/>
      <c r="V799" s="235"/>
      <c r="W799" s="235"/>
      <c r="X799" s="235"/>
      <c r="Y799" s="235"/>
      <c r="Z799" s="235"/>
      <c r="AA799" s="240">
        <v>4</v>
      </c>
      <c r="AB799" s="158" t="str">
        <f>IF(AND(COUNTBLANK(I787:I790)=0,Group_players=4,M787=M788,M788=M790),IF(COUNTIF(W786:W789,W789)=3,AB812,IF(AND(COUNTIF(W786:W789,W789)=1,W786&lt;&gt;W787),IF(M790=2,IF(SMALL(W786:W789,1)=W789,1,IF(SMALL(W786:W789,2)=W789,2,IF(SMALL(W786:W789,3)=W789,3))),IF(M790=1,IF(SMALL(W786:W789,1)=W789,2,IF(SMALL(W786:W789,2)=W789,3,IF(SMALL(W786:W789,3)=W789,4))),"")),IF(COUNTIF(W786:W789,W789)=1,IF(W789&lt;W786,IF(M790=2,1,2),IF(M790=2,3,4)),IF(COUNTIF(W786:W789,W789)=2,IF(W789=W786,IF(W789&lt;W787,IF(M790=2,IF(Q805=3,1,2),IF(M790=1,IF(Q805=3,2,3))),IF(W789&gt;W788,IF(M790=2,IF(Q805=3,2,3),IF(M790=1,IF(Q805=3,3,4))))),IF(W789=W787,IF(W789&lt;W786,IF(M790=2,IF(Q802=3,1,2),IF(M790=1,IF(Q802=3,2,3))),IF(W789&gt;W786,IF(M790=2,IF(Q802=3,2,3),IF(M790=1,IF(Q802=3,3,4))))))),"")))),"")</f>
        <v/>
      </c>
      <c r="AC799" s="192"/>
      <c r="AD799" s="192"/>
      <c r="AE799" s="192"/>
      <c r="AF799" s="203"/>
      <c r="AG799" s="203"/>
      <c r="AH799" s="203"/>
      <c r="AI799" s="203"/>
      <c r="AJ799" s="203"/>
      <c r="AK799" s="203"/>
      <c r="AL799" s="203"/>
      <c r="AM799" s="203"/>
      <c r="AN799" s="192"/>
      <c r="AO799" s="192"/>
      <c r="AP799" s="192"/>
      <c r="AQ799" s="192"/>
      <c r="AR799" s="192"/>
      <c r="AS799" s="192"/>
      <c r="AT799" s="192"/>
      <c r="AU799" s="192"/>
      <c r="AV799" s="192"/>
      <c r="AW799" s="192"/>
      <c r="AX799" s="192"/>
    </row>
    <row r="800" spans="2:50" ht="15" customHeight="1" thickTop="1" thickBot="1" x14ac:dyDescent="0.35">
      <c r="B800" s="192"/>
      <c r="C800" s="192"/>
      <c r="D800" s="192"/>
      <c r="E800" s="164"/>
      <c r="F800" s="164"/>
      <c r="G800" s="192"/>
      <c r="H800" s="192"/>
      <c r="I800" s="249" t="s">
        <v>116</v>
      </c>
      <c r="J800" s="249"/>
      <c r="K800" s="249"/>
      <c r="L800" s="250" t="s">
        <v>115</v>
      </c>
      <c r="M800" s="250" t="s">
        <v>116</v>
      </c>
      <c r="N800" s="250" t="s">
        <v>117</v>
      </c>
      <c r="O800" s="250" t="s">
        <v>118</v>
      </c>
      <c r="P800" s="250" t="s">
        <v>119</v>
      </c>
      <c r="Q800" s="250" t="s">
        <v>120</v>
      </c>
      <c r="R800" s="250"/>
      <c r="S800" s="251"/>
      <c r="T800" s="192"/>
      <c r="U800" s="235"/>
      <c r="V800" s="235"/>
      <c r="W800" s="235"/>
      <c r="X800" s="235"/>
      <c r="Y800" s="235"/>
      <c r="Z800" s="235"/>
      <c r="AA800" s="243">
        <v>2</v>
      </c>
      <c r="AB800" s="151" t="str">
        <f>IF(AND(COUNTBLANK(I787:I790)=0,Group_players=4,M788=M789,M789=M790),IF(COUNTIF(X786:X789,X787)=3,AB813,IF(AND(COUNTIF(X786:X789,X787)=1,X788&lt;&gt;X789),IF(M788=2,IF(SMALL(X786:X789,1)=X787,1,IF(SMALL(X786:X789,2)=X787,2,IF(SMALL(X786:X789,3)=X787,3))),IF(M788=1,IF(SMALL(X786:X789,1)=X787,2,IF(SMALL(X786:X789,2)=X787,3,IF(SMALL(X786:X789,3)=X787,4))),"")),IF(COUNTIF(X786:X789,X787)=1,IF(X787&lt;X789,IF(M788=2,1,2),IF(M788=1,3,3)),IF(COUNTIF(X786:X789,X787)=2,IF(X787=X788,IF(X787&lt;X789,IF(M788=2,IF(Q807=3,1,2),IF(M788=1,IF(Q807=3,2,3))),IF(X787&gt;X789,IF(M788=2,IF(Q807=3,2,3),IF(M788=1,IF(Q807=3,3,4))))),IF(X787=X789,IF(X787&lt;X788,IF(M788=2,IF(Q801=3,1,2),IF(M788=1,IF(Q801=3,2,3))),IF(X787&gt;X788,IF(M788=2,IF(Q801=3,2,3),IF(M788=1,IF(Q801=3,3,4))))))),"")))),"")</f>
        <v/>
      </c>
      <c r="AC800" s="192"/>
      <c r="AD800" s="192"/>
      <c r="AE800" s="192"/>
      <c r="AF800" s="203"/>
      <c r="AG800" s="203"/>
      <c r="AH800" s="203"/>
      <c r="AI800" s="203"/>
      <c r="AJ800" s="203"/>
      <c r="AK800" s="203"/>
      <c r="AL800" s="203"/>
      <c r="AM800" s="203"/>
      <c r="AN800" s="192"/>
      <c r="AO800" s="192"/>
      <c r="AP800" s="192"/>
      <c r="AQ800" s="192"/>
      <c r="AR800" s="192"/>
      <c r="AS800" s="192"/>
      <c r="AT800" s="192"/>
      <c r="AU800" s="192"/>
      <c r="AV800" s="192"/>
      <c r="AW800" s="192"/>
      <c r="AX800" s="192"/>
    </row>
    <row r="801" spans="2:50" ht="15" customHeight="1" thickTop="1" x14ac:dyDescent="0.3">
      <c r="B801" s="192"/>
      <c r="C801" s="192"/>
      <c r="D801" s="192"/>
      <c r="E801" s="164" t="str">
        <f>IF(Q801="","",IF(Q801=3,1,0))</f>
        <v/>
      </c>
      <c r="F801" s="164" t="str">
        <f>IF(Q801="","",IF(Q801&lt;3,1,0))</f>
        <v/>
      </c>
      <c r="G801" s="192"/>
      <c r="H801" s="192" t="str">
        <f>IF(I789="","",2)</f>
        <v/>
      </c>
      <c r="I801" s="192" t="str">
        <f>IF(ISNUMBER(H801),VLOOKUP(H801,H787:I790,2,TRUE),"")</f>
        <v/>
      </c>
      <c r="J801" s="192"/>
      <c r="K801" s="192" t="str">
        <f>VLOOKUP(I801,I787:L790,3,FALSE)</f>
        <v/>
      </c>
      <c r="L801" s="253"/>
      <c r="M801" s="254"/>
      <c r="N801" s="254"/>
      <c r="O801" s="152"/>
      <c r="P801" s="153"/>
      <c r="Q801" s="255" t="str">
        <f>IF(L801="","",IF(AND(L801-L802&gt;1,L801&gt;10),1,0)+IF(AND(M801-M802&gt;1,M801&gt;10),1,0)+IF(AND(N801-N802&gt;1,N801&gt;10),1,0)+IF(AND(O801-O802&gt;1,O801&gt;10),1,0)+IF(AND(P801-P802&gt;1,P801&gt;10),1,0))</f>
        <v/>
      </c>
      <c r="R801" s="203" t="str">
        <f>IF(AND(I801="",I802=""),"",ABS(VLOOKUP(I801,I787:L790,4,FALSE)-VLOOKUP(I802,I787:L790,4,FALSE)))</f>
        <v/>
      </c>
      <c r="S801" s="256" t="str">
        <f>IF(R802="","",IF(Q801=3,+R802,-R802))</f>
        <v/>
      </c>
      <c r="T801" s="192"/>
      <c r="U801" s="235"/>
      <c r="V801" s="235"/>
      <c r="W801" s="235"/>
      <c r="X801" s="235"/>
      <c r="Y801" s="235"/>
      <c r="Z801" s="235"/>
      <c r="AA801" s="246">
        <v>3</v>
      </c>
      <c r="AB801" s="154" t="str">
        <f>IF(AND(COUNTBLANK(I787:I790)=0,Group_players=4,M788=M789,M789=M790),IF(COUNTIF(X786:X789,X788)=3,AB814,IF(AND(COUNTIF(X786:X789,X788)=1,X787&lt;&gt;X789),IF(M789=2,IF(SMALL(X786:X789,1)=X788,1,IF(SMALL(X786:X789,2)=X788,2,IF(SMALL(X786:X789,3)=X788,3))),IF(M789=1,IF(SMALL(X786:X789,1)=X788,2,IF(SMALL(X786:X789,2)=X788,3,IF(SMALL(X786:X789,3)=X788,4))),"")),IF(COUNTIF(X786:X789,X788)=1,IF(X788&lt;X787,IF(M789=2,1,2),IF(M789=2,3,4)),IF(COUNTIF(X786:X789,X788)=2,IF(X788=X787,IF(X788&lt;X789,IF(M789=2,IF(Q808=3,1,2),IF(M789=1,IF(Q808=3,2,3))),IF(X788&gt;X789,IF(M789=2,IF(Q808=3,2,3),IF(M789=1,IF(Q808=3,3,4))))),IF(X788=X789,IF(X788&lt;X787,IF(M789=2,IF(Q813=3,1,2),IF(M789=1,IF(Q813=3,2,3))),IF(X788&gt;X787,IF(M789=2,IF(Q813=3,2,3),IF(M789=1,IF(Q813=3,3,4))))))),"")))),"")</f>
        <v/>
      </c>
      <c r="AC801" s="192"/>
      <c r="AD801" s="192"/>
      <c r="AE801" s="192"/>
      <c r="AF801" s="203"/>
      <c r="AG801" s="203"/>
      <c r="AH801" s="203"/>
      <c r="AI801" s="203"/>
      <c r="AJ801" s="203"/>
      <c r="AK801" s="203"/>
      <c r="AL801" s="203"/>
      <c r="AM801" s="203"/>
      <c r="AN801" s="192"/>
      <c r="AO801" s="192"/>
      <c r="AP801" s="192"/>
      <c r="AQ801" s="192"/>
      <c r="AR801" s="192"/>
      <c r="AS801" s="192"/>
      <c r="AT801" s="192"/>
      <c r="AU801" s="192"/>
      <c r="AV801" s="192"/>
      <c r="AW801" s="192"/>
      <c r="AX801" s="192"/>
    </row>
    <row r="802" spans="2:50" ht="15" customHeight="1" thickBot="1" x14ac:dyDescent="0.35">
      <c r="B802" s="192"/>
      <c r="C802" s="192"/>
      <c r="D802" s="192"/>
      <c r="E802" s="164" t="str">
        <f>IF(Q802="","",IF(Q802=3,1,0))</f>
        <v/>
      </c>
      <c r="F802" s="164" t="str">
        <f>IF(Q802="","",IF(Q802&lt;3,1,0))</f>
        <v/>
      </c>
      <c r="G802" s="192"/>
      <c r="H802" s="192" t="str">
        <f>IF(I789="","",IF(I790="",3,4))</f>
        <v/>
      </c>
      <c r="I802" s="192" t="str">
        <f>IF(ISNUMBER(H802),VLOOKUP(H802,H787:I790,2,TRUE),"")</f>
        <v/>
      </c>
      <c r="J802" s="192"/>
      <c r="K802" s="192" t="str">
        <f>VLOOKUP(I802,I787:L790,3,FALSE)</f>
        <v/>
      </c>
      <c r="L802" s="155"/>
      <c r="M802" s="259"/>
      <c r="N802" s="259"/>
      <c r="O802" s="156"/>
      <c r="P802" s="157"/>
      <c r="Q802" s="260" t="str">
        <f>IF(L802="","",IF(AND(L802-L801&gt;1,L802&gt;10),1,0)+IF(AND(M802-M801&gt;1,M802&gt;10),1,0)+IF(AND(N802-N801&gt;1,N802&gt;10),1,0)+IF(AND(O802-O801&gt;1,O802&gt;10),1,0)+IF(AND(P802-P801&gt;1,P802&gt;10),1,0))</f>
        <v/>
      </c>
      <c r="R802" s="203" t="str">
        <f>IF(AND(Q801&lt;&gt;3,Q802&lt;&gt;3),"",IF(Q801=3,IF(VLOOKUP(I801,I787:L790,4,FALSE)&gt;VLOOKUP(I802,I787:L790,4,FALSE),VLOOKUP(R801,Point_dif,2,FALSE),VLOOKUP(R801,Point_dif,3,FALSE)),IF(Q802=3,IF(VLOOKUP(I802,I787:L790,4,FALSE)&gt;VLOOKUP(I801,I787:L790,4,FALSE),VLOOKUP(R801,Point_dif,2,FALSE),VLOOKUP(R801,Point_dif,3,FALSE)))))</f>
        <v/>
      </c>
      <c r="S802" s="256" t="str">
        <f>IF(R802="","",IF(Q802=3,+R802,-R802))</f>
        <v/>
      </c>
      <c r="T802" s="192"/>
      <c r="U802" s="235"/>
      <c r="V802" s="235"/>
      <c r="W802" s="235"/>
      <c r="X802" s="235"/>
      <c r="Y802" s="235"/>
      <c r="Z802" s="235"/>
      <c r="AA802" s="261">
        <v>4</v>
      </c>
      <c r="AB802" s="158" t="str">
        <f>IF(AND(COUNTBLANK(I787:I790)=0,Group_players=4,M788=M789,M789=M790),IF(COUNTIF(X786:X789,X789)=3,AB815,IF(AND(COUNTIF(X786:X789,X789)=1,X788&lt;&gt;X787),IF(M790=2,IF(SMALL(X786:X789,1)=X789,1,IF(SMALL(X786:X789,2)=X789,2,IF(SMALL(X786:X789,3)=X789,3))),IF(M790=1,IF(SMALL(X786:X789,1)=X789,2,IF(SMALL(X786:X789,2)=X789,3,IF(SMALL(X786:X789,3)=X789,4))),"")),IF(COUNTIF(X786:X789,X789)=1,IF(X789&lt;X787,IF(M790=2,1,2),IF(M790=2,3,4)),IF(COUNTIF(X786:X789,X789)=2,IF(X789=X787,IF(X789&lt;X788,IF(M790=2,IF(Q802=3,1,2),IF(M790=1,IF(Q802=3,2,3))),IF(X789&gt;X788,IF(M790=2,IF(Q802=3,2,3),IF(M790=1,IF(Q802=3,3,4))))),IF(X789=X788,IF(X789&lt;X787,IF(M790=2,IF(Q814=3,1,2),IF(M790=1,IF(Q814=3,2,3))),IF(X789&gt;X787,IF(M790=2,IF(Q814=3,2,3),IF(M790=1,IF(Q814=3,3,4))))))),"")))),"")</f>
        <v/>
      </c>
      <c r="AC802" s="192"/>
      <c r="AD802" s="192"/>
      <c r="AE802" s="192"/>
      <c r="AF802" s="203"/>
      <c r="AG802" s="203"/>
      <c r="AH802" s="203"/>
      <c r="AI802" s="203"/>
      <c r="AJ802" s="203"/>
      <c r="AK802" s="203"/>
      <c r="AL802" s="203"/>
      <c r="AM802" s="203"/>
      <c r="AN802" s="192"/>
      <c r="AO802" s="192"/>
      <c r="AP802" s="192"/>
      <c r="AQ802" s="192"/>
      <c r="AR802" s="192"/>
      <c r="AS802" s="192"/>
      <c r="AT802" s="192"/>
      <c r="AU802" s="192"/>
      <c r="AV802" s="192"/>
      <c r="AW802" s="192"/>
      <c r="AX802" s="192"/>
    </row>
    <row r="803" spans="2:50" ht="15" customHeight="1" thickTop="1" thickBot="1" x14ac:dyDescent="0.35">
      <c r="B803" s="192"/>
      <c r="C803" s="192"/>
      <c r="D803" s="192"/>
      <c r="E803" s="164"/>
      <c r="F803" s="164"/>
      <c r="G803" s="192"/>
      <c r="H803" s="192"/>
      <c r="I803" s="249" t="s">
        <v>117</v>
      </c>
      <c r="J803" s="249"/>
      <c r="K803" s="249"/>
      <c r="L803" s="250" t="s">
        <v>115</v>
      </c>
      <c r="M803" s="250" t="s">
        <v>116</v>
      </c>
      <c r="N803" s="250" t="s">
        <v>117</v>
      </c>
      <c r="O803" s="250" t="s">
        <v>118</v>
      </c>
      <c r="P803" s="250" t="s">
        <v>119</v>
      </c>
      <c r="Q803" s="250" t="s">
        <v>120</v>
      </c>
      <c r="R803" s="250"/>
      <c r="S803" s="251"/>
      <c r="T803" s="263"/>
      <c r="U803" s="264"/>
      <c r="V803" s="242"/>
      <c r="W803" s="242"/>
      <c r="X803" s="264"/>
      <c r="Y803" s="192"/>
      <c r="Z803" s="203"/>
      <c r="AA803" s="126" t="s">
        <v>93</v>
      </c>
      <c r="AB803" s="265" t="s">
        <v>110</v>
      </c>
      <c r="AC803" s="192"/>
      <c r="AD803" s="192"/>
      <c r="AE803" s="192"/>
      <c r="AF803" s="203"/>
      <c r="AG803" s="203"/>
      <c r="AH803" s="203"/>
      <c r="AI803" s="203"/>
      <c r="AJ803" s="203"/>
      <c r="AK803" s="203"/>
      <c r="AL803" s="203"/>
      <c r="AM803" s="203"/>
      <c r="AN803" s="192"/>
      <c r="AO803" s="192"/>
      <c r="AP803" s="192"/>
      <c r="AQ803" s="192"/>
      <c r="AR803" s="192"/>
      <c r="AS803" s="192"/>
      <c r="AT803" s="192"/>
      <c r="AU803" s="192"/>
      <c r="AV803" s="192"/>
      <c r="AW803" s="192"/>
      <c r="AX803" s="192"/>
    </row>
    <row r="804" spans="2:50" ht="15" customHeight="1" thickTop="1" x14ac:dyDescent="0.3">
      <c r="B804" s="192"/>
      <c r="C804" s="192"/>
      <c r="D804" s="192"/>
      <c r="E804" s="164" t="str">
        <f>IF(Q804="","",IF(Q804=3,1,0))</f>
        <v/>
      </c>
      <c r="F804" s="164" t="str">
        <f>IF(Q804="","",IF(Q804&lt;3,1,0))</f>
        <v/>
      </c>
      <c r="G804" s="192"/>
      <c r="H804" s="192" t="str">
        <f>IF(I789&lt;&gt;"",1,"")</f>
        <v/>
      </c>
      <c r="I804" s="192" t="str">
        <f>IF(ISNUMBER(H804),VLOOKUP(H804,H787:I790,2,TRUE),"")</f>
        <v/>
      </c>
      <c r="J804" s="192"/>
      <c r="K804" s="192" t="str">
        <f>VLOOKUP(I804,I787:L790,3,FALSE)</f>
        <v/>
      </c>
      <c r="L804" s="253"/>
      <c r="M804" s="254"/>
      <c r="N804" s="254"/>
      <c r="O804" s="152"/>
      <c r="P804" s="153"/>
      <c r="Q804" s="255" t="str">
        <f>IF(L804="","",IF(AND(L804-L805&gt;1,L804&gt;10),1,0)+IF(AND(M804-M805&gt;1,M804&gt;10),1,0)+IF(AND(N804-N805&gt;1,N804&gt;10),1,0)+IF(AND(O804-O805&gt;1,O804&gt;10),1,0)+IF(AND(P804-P805&gt;1,P804&gt;10),1,0))</f>
        <v/>
      </c>
      <c r="R804" s="203" t="str">
        <f>IF(AND(I804="",I805=""),"",ABS(VLOOKUP(I804,I787:L790,4,FALSE)-VLOOKUP(I805,I787:L790,4,FALSE)))</f>
        <v/>
      </c>
      <c r="S804" s="256" t="str">
        <f>IF(R805="","",IF(Q804=3,+R805,-R805))</f>
        <v/>
      </c>
      <c r="T804" s="192"/>
      <c r="U804" s="235"/>
      <c r="V804" s="235"/>
      <c r="W804" s="235"/>
      <c r="X804" s="235"/>
      <c r="Y804" s="235"/>
      <c r="Z804" s="235"/>
      <c r="AA804" s="243">
        <v>1</v>
      </c>
      <c r="AB804" s="222" t="str">
        <f>IF(AND(COUNTBLANK(I787:I790)=0,Group_players=4,M787=M788,M788=M789),IF(U794="","",IF(COUNTIF(U794:U797,U794)=3,"Tied",IF(AND(COUNTIF(U794:U797,U794)=1,U795&lt;&gt;U796),IF(M787=2,IF(SMALL(U794:U797,1)=U794,1,IF(SMALL(U794:U797,2)=U794,2,IF(SMALL(U794:U797,3)=U794,3))),IF(M787=1,IF(SMALL(U794:U797,1)=U794,2,IF(SMALL(U794:U797,2)=U794,3,IF(SMALL(U794:U797,3)=U794,4))),"")),IF(COUNTIF(U794:U797,U794)=1,IF(U794&lt;U795,IF(M787=2,1,2),IF(M787=2,3,4)),IF(COUNTIF(U794:U797,U794)=2,IF(U794=U795,IF(U794&lt;U796,IF(M787=2,IF(Q810=3,1,2),IF(M787=1,IF(Q810=3,2,3))),IF(U794&gt;U796,IF(M787=2,IF(Q810=3,2,3),IF(M787=1,IF(Q810=3,3,4))))),IF(U794=U796,IF(U794&lt;U795,IF(M787=2,IF(Q798=3,1,2),IF(M787=1,IF(Q798=3,2,3))),IF(U794&gt;U795,IF(M787=2,IF(Q798=3,2,3),IF(M787=1,IF(Q798=3,3,4)))))))))))),"")</f>
        <v/>
      </c>
      <c r="AC804" s="192"/>
      <c r="AD804" s="192"/>
      <c r="AE804" s="192"/>
      <c r="AF804" s="203"/>
      <c r="AG804" s="203"/>
      <c r="AH804" s="203"/>
      <c r="AI804" s="203"/>
      <c r="AJ804" s="203"/>
      <c r="AK804" s="203"/>
      <c r="AL804" s="203"/>
      <c r="AM804" s="203"/>
      <c r="AN804" s="192"/>
      <c r="AO804" s="192"/>
      <c r="AP804" s="192"/>
      <c r="AQ804" s="192"/>
      <c r="AR804" s="192"/>
      <c r="AS804" s="192"/>
      <c r="AT804" s="192"/>
      <c r="AU804" s="192"/>
      <c r="AV804" s="192"/>
      <c r="AW804" s="192"/>
      <c r="AX804" s="192"/>
    </row>
    <row r="805" spans="2:50" ht="15" customHeight="1" thickBot="1" x14ac:dyDescent="0.35">
      <c r="B805" s="192"/>
      <c r="C805" s="192"/>
      <c r="D805" s="192"/>
      <c r="E805" s="164" t="str">
        <f>IF(Q805="","",IF(Q805=3,1,0))</f>
        <v/>
      </c>
      <c r="F805" s="164" t="str">
        <f>IF(Q805="","",IF(Q805&lt;3,1,0))</f>
        <v/>
      </c>
      <c r="G805" s="192"/>
      <c r="H805" s="192" t="str">
        <f>IF(I789="","",IF(I790&lt;&gt;"",4,2))</f>
        <v/>
      </c>
      <c r="I805" s="192" t="str">
        <f>IF(ISNUMBER(H805),VLOOKUP(H805,H787:I790,2,TRUE),"")</f>
        <v/>
      </c>
      <c r="J805" s="192"/>
      <c r="K805" s="192" t="str">
        <f>VLOOKUP(I805,I787:L790,3,FALSE)</f>
        <v/>
      </c>
      <c r="L805" s="155"/>
      <c r="M805" s="259"/>
      <c r="N805" s="259"/>
      <c r="O805" s="156"/>
      <c r="P805" s="157"/>
      <c r="Q805" s="260" t="str">
        <f>IF(L805="","",IF(AND(L805-L804&gt;1,L805&gt;10),1,0)+IF(AND(M805-M804&gt;1,M805&gt;10),1,0)+IF(AND(N805-N804&gt;1,N805&gt;10),1,0)+IF(AND(O805-O804&gt;1,O805&gt;10),1,0)+IF(AND(P805-P804&gt;1,P805&gt;10),1,0))</f>
        <v/>
      </c>
      <c r="R805" s="203" t="str">
        <f>IF(AND(Q804&lt;&gt;3,Q805&lt;&gt;3),"",IF(Q804=3,IF(VLOOKUP(I804,I787:L790,4,FALSE)&gt;VLOOKUP(I805,I787:L790,4,FALSE),VLOOKUP(R804,Point_dif,2,FALSE),VLOOKUP(R804,Point_dif,3,FALSE)),IF(Q805=3,IF(VLOOKUP(I805,I787:L790,4,FALSE)&gt;VLOOKUP(I804,I787:L790,4,FALSE),VLOOKUP(R804,Point_dif,2,FALSE),VLOOKUP(R804,Point_dif,3,FALSE)))))</f>
        <v/>
      </c>
      <c r="S805" s="256" t="str">
        <f>IF(R805="","",IF(Q805=3,+R805,-R805))</f>
        <v/>
      </c>
      <c r="T805" s="192"/>
      <c r="U805" s="235"/>
      <c r="V805" s="235"/>
      <c r="W805" s="235"/>
      <c r="X805" s="235"/>
      <c r="Y805" s="235"/>
      <c r="Z805" s="235"/>
      <c r="AA805" s="246">
        <v>2</v>
      </c>
      <c r="AB805" s="222" t="str">
        <f>IF(AND(COUNTBLANK(I787:I790)=0,Group_players=4,M787=M788,M788=M789),IF(U795="","",IF(COUNTIF(U794:U797,U795)=3,"Tied",IF(AND(COUNTIF(U794:U797,U795)=1,U794&lt;&gt;U796),IF(M788=2,IF(SMALL(U794:U797,1)=U795,1,IF(SMALL(U794:U797,2)=U795,2,IF(SMALL(U794:U797,3)=U795,3))),IF(M788=1,IF(SMALL(U794:U797,1)=U795,2,IF(SMALL(U794:U797,2)=U795,3,IF(SMALL(U794:U797,3)=U795,4))),"")),IF(COUNTIF(U794:U797,U795)=1,IF(U795&lt;U794,IF(M788=2,1,2),IF(M788=2,3,4)),IF(COUNTIF(U794:U797,U795)=2,IF(U795=U794,IF(U795&lt;U796,IF(M788=2,IF(Q811=3,1,2),IF(M788=1,IF(Q811=3,2,3))),IF(U795&gt;U796,IF(M788=2,IF(Q811=3,2,3),IF(M788=1,IF(Q811=3,3,4))))),IF(U795=U796,IF(U795&lt;U794,IF(M788=2,IF(Q807=3,1,2),IF(M788=1,IF(Q807=3,2,3))),IF(U795&gt;U794,IF(M788=2,IF(Q807=3,2,3),IF(M788=1,IF(Q807=3,3,4)))))))))))),"")</f>
        <v/>
      </c>
      <c r="AC805" s="192"/>
      <c r="AD805" s="192"/>
      <c r="AE805" s="192"/>
      <c r="AF805" s="203"/>
      <c r="AG805" s="203"/>
      <c r="AH805" s="203"/>
      <c r="AI805" s="203"/>
      <c r="AJ805" s="203"/>
      <c r="AK805" s="203"/>
      <c r="AL805" s="203"/>
      <c r="AM805" s="203"/>
      <c r="AN805" s="192"/>
      <c r="AO805" s="192"/>
      <c r="AP805" s="192"/>
      <c r="AQ805" s="192"/>
      <c r="AR805" s="192"/>
      <c r="AS805" s="192"/>
      <c r="AT805" s="192"/>
      <c r="AU805" s="192"/>
      <c r="AV805" s="192"/>
      <c r="AW805" s="192"/>
      <c r="AX805" s="192"/>
    </row>
    <row r="806" spans="2:50" ht="15" customHeight="1" thickTop="1" thickBot="1" x14ac:dyDescent="0.35">
      <c r="B806" s="192"/>
      <c r="C806" s="192"/>
      <c r="D806" s="192"/>
      <c r="E806" s="164"/>
      <c r="F806" s="164"/>
      <c r="G806" s="192"/>
      <c r="H806" s="192"/>
      <c r="I806" s="249" t="s">
        <v>118</v>
      </c>
      <c r="J806" s="249"/>
      <c r="K806" s="249"/>
      <c r="L806" s="250" t="s">
        <v>115</v>
      </c>
      <c r="M806" s="250" t="s">
        <v>116</v>
      </c>
      <c r="N806" s="250" t="s">
        <v>117</v>
      </c>
      <c r="O806" s="250" t="s">
        <v>118</v>
      </c>
      <c r="P806" s="250" t="s">
        <v>119</v>
      </c>
      <c r="Q806" s="250" t="s">
        <v>120</v>
      </c>
      <c r="R806" s="250"/>
      <c r="S806" s="251"/>
      <c r="T806" s="192"/>
      <c r="U806" s="235"/>
      <c r="V806" s="235"/>
      <c r="W806" s="235"/>
      <c r="X806" s="235"/>
      <c r="Y806" s="235"/>
      <c r="Z806" s="235"/>
      <c r="AA806" s="240">
        <v>3</v>
      </c>
      <c r="AB806" s="241" t="str">
        <f>IF(AND(COUNTBLANK(I787:I790)=0,Group_players=4,M787=M788,M788=M789),IF(U796="","",IF(COUNTIF(U794:U797,U796)=3,"Tied",IF(AND(COUNTIF(U794:U797,U796)=1,U794&lt;&gt;U795),IF(M787=2,IF(SMALL(U794:U797,1)=U796,1,IF(SMALL(U794:U797,2)=U796,2,IF(SMALL(U794:U797,3)=U796,3))),IF(M789=1,IF(SMALL(U794:U797,1)=U796,2,IF(SMALL(U794:U797,2)=U796,3,IF(SMALL(U794:U797,3)=U796,4))),"")),IF(COUNTIF(U794:U797,U796)=1,IF(U796&lt;U795,IF(M789=2,1,2),IF(M789=2,3,4)),IF(COUNTIF(U794:U797,U796)=2,IF(U796=U795,IF(U796&lt;U794,IF(M789=2,IF(Q808=3,1,2),IF(M789=1,IF(Q808=3,2,3))),IF(U796&gt;U794,IF(M789=2,IF(Q808=3,2,3),IF(M789=1,IF(Q808=3,3,4))))),IF(U796=U794,IF(U796&lt;U795,IF(M789=2,IF(Q799=3,1,2),IF(M789=1,IF(Q799=3,2,3))),IF(U796&gt;U795,IF(M789=2,IF(Q799=3,2,3),IF(M789=1,IF(Q799=3,3,4)))))))))))),"")</f>
        <v/>
      </c>
      <c r="AC806" s="192"/>
      <c r="AD806" s="192"/>
      <c r="AE806" s="192"/>
      <c r="AF806" s="203"/>
      <c r="AG806" s="203"/>
      <c r="AH806" s="203"/>
      <c r="AI806" s="203"/>
      <c r="AJ806" s="203"/>
      <c r="AK806" s="203"/>
      <c r="AL806" s="203"/>
      <c r="AM806" s="203"/>
      <c r="AN806" s="192"/>
      <c r="AO806" s="192"/>
      <c r="AP806" s="192"/>
      <c r="AQ806" s="192"/>
      <c r="AR806" s="192"/>
      <c r="AS806" s="192"/>
      <c r="AT806" s="192"/>
      <c r="AU806" s="192"/>
      <c r="AV806" s="192"/>
      <c r="AW806" s="192"/>
      <c r="AX806" s="192"/>
    </row>
    <row r="807" spans="2:50" ht="15" customHeight="1" thickTop="1" x14ac:dyDescent="0.3">
      <c r="B807" s="192"/>
      <c r="C807" s="192"/>
      <c r="D807" s="192"/>
      <c r="E807" s="164" t="str">
        <f>IF(Q807="","",IF(Q807=3,1,0))</f>
        <v/>
      </c>
      <c r="F807" s="164" t="str">
        <f>IF(Q807="","",IF(Q807&lt;3,1,0))</f>
        <v/>
      </c>
      <c r="G807" s="192"/>
      <c r="H807" s="192" t="str">
        <f>IF(I790&lt;&gt;"",2,"")</f>
        <v/>
      </c>
      <c r="I807" s="192" t="str">
        <f>IF(ISNUMBER(H807),VLOOKUP(H807,H787:I790,2,TRUE),"")</f>
        <v/>
      </c>
      <c r="J807" s="192"/>
      <c r="K807" s="192" t="str">
        <f>VLOOKUP(I807,I787:L790,3,FALSE)</f>
        <v/>
      </c>
      <c r="L807" s="253"/>
      <c r="M807" s="254"/>
      <c r="N807" s="254"/>
      <c r="O807" s="152"/>
      <c r="P807" s="153"/>
      <c r="Q807" s="255" t="str">
        <f>IF(L807="","",IF(AND(L807-L808&gt;1,L807&gt;10),1,0)+IF(AND(M807-M808&gt;1,M807&gt;10),1,0)+IF(AND(N807-N808&gt;1,N807&gt;10),1,0)+IF(AND(O807-O808&gt;1,O807&gt;10),1,0)+IF(AND(P807-P808&gt;1,P807&gt;10),1,0))</f>
        <v/>
      </c>
      <c r="R807" s="203" t="str">
        <f>IF(AND(I807="",I808=""),"",ABS(VLOOKUP(I807,I787:L790,4,FALSE)-VLOOKUP(I808,I787:L790,4,FALSE)))</f>
        <v/>
      </c>
      <c r="S807" s="256" t="str">
        <f>IF(R808="","",IF(Q807=3,+R808,-R808))</f>
        <v/>
      </c>
      <c r="T807" s="192"/>
      <c r="U807" s="235"/>
      <c r="V807" s="235"/>
      <c r="W807" s="235"/>
      <c r="X807" s="235"/>
      <c r="Y807" s="235"/>
      <c r="Z807" s="235"/>
      <c r="AA807" s="243">
        <v>1</v>
      </c>
      <c r="AB807" s="222" t="str">
        <f>IF(AND(COUNTBLANK(I787:I790)=0,Group_players=4,M787=M789,M789=M790),IF(V794="","",IF(COUNTIF(V794:V797,V794)=3,"Tied",IF(AND(COUNTIF(V794:V797,V794)=1,V796&lt;&gt;U797),IF(M787=2,IF(SMALL(V794:V797,1)=V794,1,IF(SMALL(V794:V797,2)=V794,2,IF(SMALL(V794:V797,3)=V794,3))),IF(M787=1,IF(SMALL(V794:V797,1)=V794,2,IF(SMALL(V794:V797,2)=V794,3,IF(SMALL(V794:V797,3)=V794,4))),"")),IF(COUNTIF(V794:V797,V794)=1,IF(V794&lt;V796,IF(M787=2,1,2),IF(M787=2,3,4)),IF(COUNTIF(V794:V797,V794)=2,IF(V794=V796,IF(V794&lt;V797,IF(M787=2,IF(Q798=3,1,2),IF(M787=1,IF(Q798=3,2,3))),IF(V794&gt;V797,IF(M787=2,IF(Q798=3,2,3),IF(M787=1,IF(Q798=3,3,4))))),IF(V794=V797,IF(V794&lt;V796,IF(M787=2,IF(Q804=3,1,2),IF(M787=1,IF(Q804=3,2,3))),IF(V794&gt;V795,IF(M787=2,IF(Q804=3,2,3),IF(M787=1,IF(Q804=3,3,4)))))))))))),"")</f>
        <v/>
      </c>
      <c r="AC807" s="192"/>
      <c r="AD807" s="192"/>
      <c r="AE807" s="192"/>
      <c r="AF807" s="203"/>
      <c r="AG807" s="203"/>
      <c r="AH807" s="203"/>
      <c r="AI807" s="203"/>
      <c r="AJ807" s="203"/>
      <c r="AK807" s="203"/>
      <c r="AL807" s="203"/>
      <c r="AM807" s="203"/>
      <c r="AN807" s="192"/>
      <c r="AO807" s="192"/>
      <c r="AP807" s="192"/>
      <c r="AQ807" s="192"/>
      <c r="AR807" s="192"/>
      <c r="AS807" s="192"/>
      <c r="AT807" s="192"/>
      <c r="AU807" s="192"/>
      <c r="AV807" s="192"/>
      <c r="AW807" s="192"/>
      <c r="AX807" s="192"/>
    </row>
    <row r="808" spans="2:50" ht="15" customHeight="1" thickBot="1" x14ac:dyDescent="0.35">
      <c r="B808" s="192"/>
      <c r="C808" s="192"/>
      <c r="D808" s="192"/>
      <c r="E808" s="164" t="str">
        <f>IF(Q808="","",IF(Q808=3,1,0))</f>
        <v/>
      </c>
      <c r="F808" s="164" t="str">
        <f>IF(Q808="","",IF(Q808&lt;3,1,0))</f>
        <v/>
      </c>
      <c r="G808" s="192"/>
      <c r="H808" s="192" t="str">
        <f>IF(I790&lt;&gt;"",3,"")</f>
        <v/>
      </c>
      <c r="I808" s="192" t="str">
        <f>IF(ISNUMBER(H808),VLOOKUP(H808,H787:I790,2,TRUE),"")</f>
        <v/>
      </c>
      <c r="J808" s="192"/>
      <c r="K808" s="192" t="str">
        <f>VLOOKUP(I808,I787:L790,3,FALSE)</f>
        <v/>
      </c>
      <c r="L808" s="155"/>
      <c r="M808" s="259"/>
      <c r="N808" s="259"/>
      <c r="O808" s="156"/>
      <c r="P808" s="157"/>
      <c r="Q808" s="260" t="str">
        <f>IF(L808="","",IF(AND(L808-L807&gt;1,L808&gt;10),1,0)+IF(AND(M808-M807&gt;1,M808&gt;10),1,0)+IF(AND(N808-N807&gt;1,N808&gt;10),1,0)+IF(AND(O808-O807&gt;1,O808&gt;10),1,0)+IF(AND(P808-P807&gt;1,P808&gt;10),1,0))</f>
        <v/>
      </c>
      <c r="R808" s="203" t="str">
        <f>IF(AND(Q807&lt;&gt;3,Q808&lt;&gt;3),"",IF(Q807=3,IF(VLOOKUP(I807,I787:L790,4,FALSE)&gt;VLOOKUP(I808,I787:L790,4,FALSE),VLOOKUP(R807,Point_dif,2,FALSE),VLOOKUP(R807,Point_dif,3,FALSE)),IF(Q808=3,IF(VLOOKUP(I808,I787:L790,4,FALSE)&gt;VLOOKUP(I807,I787:L790,4,FALSE),VLOOKUP(R807,Point_dif,2,FALSE),VLOOKUP(R807,Point_dif,3,FALSE)))))</f>
        <v/>
      </c>
      <c r="S808" s="256" t="str">
        <f>IF(R808="","",IF(Q808=3,+R808,-R808))</f>
        <v/>
      </c>
      <c r="T808" s="192"/>
      <c r="U808" s="159"/>
      <c r="V808" s="266"/>
      <c r="W808" s="266"/>
      <c r="X808" s="266"/>
      <c r="Y808" s="192"/>
      <c r="Z808" s="203"/>
      <c r="AA808" s="246">
        <v>3</v>
      </c>
      <c r="AB808" s="222" t="str">
        <f>IF(AND(COUNTBLANK(I787:I790)=0,Group_players=4,M787=M789,M789=M790),IF(V796="","",IF(COUNTIF(V794:V797,V796)=3,"Tied",IF(AND(COUNTIF(V794:V797,V796)=1,V794&lt;&gt;V797),IF(M789=2,IF(SMALL(V794:V797,1)=V796,1,IF(SMALL(V794:V797,2)=V796,2,IF(SMALL(V794:V797,3)=V796,3))),IF(M789=1,IF(SMALL(V794:V797,1)=V796,2,IF(SMALL(V794:V797,2)=V796,3,IF(SMALL(V794:V797,3)=V796,4))),"")),IF(COUNTIF(V794:V797,V796)=1,IF(V796&lt;V794,IF(M789=2,1,2),IF(M789=2,3,4)),IF(COUNTIF(V794:V797,V796)=2,IF(V796=V794,IF(V796&lt;V797,IF(M789=2,IF(Q799=3,1,2),IF(M789=1,IF(Q799=3,2,3))),IF(V796&gt;V797,IF(M789=2,IF(Q799=3,2,3),IF(M789=1,IF(Q799=3,3,4))))),IF(V796=V797,IF(V796&lt;V794,IF(M789=2,IF(Q813=3,1,2),IF(M789=1,IF(Q813=3,2,3))),IF(V796&gt;V794,IF(M789=2,IF(Q813=3,2,3),IF(M789=1,IF(Q813=3,3,4)))))))))))),"")</f>
        <v/>
      </c>
      <c r="AC808" s="192"/>
      <c r="AD808" s="192"/>
      <c r="AE808" s="192"/>
      <c r="AF808" s="203"/>
      <c r="AG808" s="203"/>
      <c r="AH808" s="203"/>
      <c r="AI808" s="203"/>
      <c r="AJ808" s="203"/>
      <c r="AK808" s="203"/>
      <c r="AL808" s="203"/>
      <c r="AM808" s="203"/>
      <c r="AN808" s="192"/>
      <c r="AO808" s="192"/>
      <c r="AP808" s="192"/>
      <c r="AQ808" s="192"/>
      <c r="AR808" s="192"/>
      <c r="AS808" s="192"/>
      <c r="AT808" s="192"/>
      <c r="AU808" s="192"/>
      <c r="AV808" s="192"/>
      <c r="AW808" s="192"/>
      <c r="AX808" s="192"/>
    </row>
    <row r="809" spans="2:50" ht="15" customHeight="1" thickTop="1" thickBot="1" x14ac:dyDescent="0.35">
      <c r="B809" s="192"/>
      <c r="C809" s="192"/>
      <c r="D809" s="192"/>
      <c r="E809" s="164"/>
      <c r="F809" s="164"/>
      <c r="G809" s="192"/>
      <c r="H809" s="192"/>
      <c r="I809" s="249" t="s">
        <v>119</v>
      </c>
      <c r="J809" s="249"/>
      <c r="K809" s="249"/>
      <c r="L809" s="250" t="s">
        <v>115</v>
      </c>
      <c r="M809" s="250" t="s">
        <v>116</v>
      </c>
      <c r="N809" s="250" t="s">
        <v>117</v>
      </c>
      <c r="O809" s="250" t="s">
        <v>118</v>
      </c>
      <c r="P809" s="250" t="s">
        <v>119</v>
      </c>
      <c r="Q809" s="250" t="s">
        <v>120</v>
      </c>
      <c r="R809" s="250"/>
      <c r="S809" s="251"/>
      <c r="T809" s="247"/>
      <c r="U809" s="235"/>
      <c r="V809" s="235"/>
      <c r="W809" s="235"/>
      <c r="X809" s="235"/>
      <c r="Y809" s="235"/>
      <c r="Z809" s="235"/>
      <c r="AA809" s="240">
        <v>4</v>
      </c>
      <c r="AB809" s="241" t="str">
        <f>IF(AND(COUNTBLANK(I787:I790)=0,Group_players=4,M787=M789,M789=M790),IF(V797="","",IF(COUNTIF(V794:V797,V797)=3,"Tied",IF(AND(COUNTIF(V794:V797,V797)=1,V796&lt;&gt;V794),IF(M790=2,IF(SMALL(V794:V797,1)=V797,1,IF(SMALL(V794:V797,2)=V797,2,IF(SMALL(V794:V797,3)=V797,3))),IF(M790=1,IF(SMALL(V794:V797,1)=V797,2,IF(SMALL(V794:V797,2)=V797,3,IF(SMALL(V794:V797,3)=V797,4))),"")),IF(COUNTIF(V794:V797,V797)=1,IF(V797&lt;V794,IF(M790=2,1,2),IF(M790=2,3,4)),IF(COUNTIF(V794:V797,V797)=2,IF(V797=V794,IF(V797&lt;V796,IF(M790=2,IF(Q805=3,1,2),IF(M790=1,IF(Q805=3,2,3))),IF(V797&gt;V796,IF(M790=2,IF(Q805=3,2,3),IF(M790=1,IF(Q805=3,3,4))))),IF(V797=V796,IF(V797&lt;V794,IF(M790=2,IF(Q814=3,1,2),IF(M790=1,IF(Q814=3,2,3))),IF(V797&gt;V794,IF(M790=2,IF(Q814=3,2,3),IF(M790=1,IF(Q814=3,3,4)))))))))))),"")</f>
        <v/>
      </c>
      <c r="AC809" s="192"/>
      <c r="AD809" s="192"/>
      <c r="AE809" s="192"/>
      <c r="AF809" s="203"/>
      <c r="AG809" s="203"/>
      <c r="AH809" s="203"/>
      <c r="AI809" s="203"/>
      <c r="AJ809" s="203"/>
      <c r="AK809" s="203"/>
      <c r="AL809" s="203"/>
      <c r="AM809" s="203"/>
      <c r="AN809" s="192"/>
      <c r="AO809" s="192"/>
      <c r="AP809" s="192"/>
      <c r="AQ809" s="192"/>
      <c r="AR809" s="192"/>
      <c r="AS809" s="192"/>
      <c r="AT809" s="192"/>
      <c r="AU809" s="192"/>
      <c r="AV809" s="192"/>
      <c r="AW809" s="192"/>
      <c r="AX809" s="192"/>
    </row>
    <row r="810" spans="2:50" ht="15" customHeight="1" thickTop="1" x14ac:dyDescent="0.3">
      <c r="B810" s="192"/>
      <c r="C810" s="192"/>
      <c r="D810" s="192"/>
      <c r="E810" s="164" t="str">
        <f>IF(Q810="","",IF(Q810=3,1,0))</f>
        <v/>
      </c>
      <c r="F810" s="164" t="str">
        <f>IF(Q810="","",IF(Q810&lt;3,1,0))</f>
        <v/>
      </c>
      <c r="G810" s="192"/>
      <c r="H810" s="192" t="str">
        <f>IF(I790&lt;&gt;"",1,"")</f>
        <v/>
      </c>
      <c r="I810" s="192" t="str">
        <f>IF(ISNUMBER(H810),VLOOKUP(H810,H787:I790,2,TRUE),"")</f>
        <v/>
      </c>
      <c r="J810" s="192"/>
      <c r="K810" s="192" t="str">
        <f>VLOOKUP(I810,I787:L790,3,FALSE)</f>
        <v/>
      </c>
      <c r="L810" s="253"/>
      <c r="M810" s="254"/>
      <c r="N810" s="254"/>
      <c r="O810" s="152"/>
      <c r="P810" s="153"/>
      <c r="Q810" s="255" t="str">
        <f>IF(L810="","",IF(AND(L810-L811&gt;1,L810&gt;10),1,0)+IF(AND(M810-M811&gt;1,M810&gt;10),1,0)+IF(AND(N810-N811&gt;1,N810&gt;10),1,0)+IF(AND(O810-O811&gt;1,O810&gt;10),1,0)+IF(AND(P810-P811&gt;1,P810&gt;10),1,0))</f>
        <v/>
      </c>
      <c r="R810" s="203" t="str">
        <f>IF(AND(I810="",I811=""),"",ABS(VLOOKUP(I810,I787:L790,4,FALSE)-VLOOKUP(I811,I787:L790,4,FALSE)))</f>
        <v/>
      </c>
      <c r="S810" s="256" t="str">
        <f>IF(R811="","",IF(Q810=3,+R811,-R811))</f>
        <v/>
      </c>
      <c r="T810" s="247"/>
      <c r="U810" s="235"/>
      <c r="V810" s="235"/>
      <c r="W810" s="235"/>
      <c r="X810" s="235"/>
      <c r="Y810" s="235"/>
      <c r="Z810" s="235"/>
      <c r="AA810" s="243">
        <v>1</v>
      </c>
      <c r="AB810" s="222" t="str">
        <f>IF(AND(COUNTBLANK(I787:I790)=0,Group_players=4,M787=M788,M788=M790),IF(W794="","",IF(COUNTIF(W794:W797,W794)=3,"Tied",IF(AND(COUNTIF(W794:W797,W794)=1,W795&lt;&gt;W796),IF(M787=2,IF(SMALL(W794:W797,1)=W794,1,IF(SMALL(W794:W797,2)=W794,2,IF(SMALL(W794:W797,3)=W794,3))),IF(M787=1,IF(SMALL(W794:W797,1)=W794,2,IF(SMALL(W794:W797,2)=W794,3,IF(SMALL(W794:W797,3)=W794,4))),"")),IF(COUNTIF(W794:W797,W794)=1,IF(W794&lt;W795,IF(M787=2,1,2),IF(M787=2,3,4)),IF(COUNTIF(W794:W797,W794)=2,IF(W794=W795,IF(W794&lt;W797,IF(M787=2,IF(Q810=3,1,2),IF(M787=1,IF(Q810=3,2,3))),IF(W794&gt;W797,IF(M787=2,IF(Q810=3,2,3),IF(M787=1,IF(Q810=3,3,4))))),IF(W794=W797,IF(W794&lt;W795,IF(M787=2,IF(Q804=3,1,2),IF(M787=1,IF(Q804=3,2,3))),IF(W794&gt;W795,IF(M787=2,IF(Q804=3,2,3),IF(M787=1,IF(Q804=3,3,4)))))))))))),"")</f>
        <v/>
      </c>
      <c r="AC810" s="192"/>
      <c r="AD810" s="192"/>
      <c r="AE810" s="192"/>
      <c r="AF810" s="203"/>
      <c r="AG810" s="203"/>
      <c r="AH810" s="203"/>
      <c r="AI810" s="203"/>
      <c r="AJ810" s="203"/>
      <c r="AK810" s="203"/>
      <c r="AL810" s="203"/>
      <c r="AM810" s="203"/>
      <c r="AN810" s="192"/>
      <c r="AO810" s="192"/>
      <c r="AP810" s="192"/>
      <c r="AQ810" s="192"/>
      <c r="AR810" s="192"/>
      <c r="AS810" s="192"/>
      <c r="AT810" s="192"/>
      <c r="AU810" s="192"/>
      <c r="AV810" s="192"/>
      <c r="AW810" s="192"/>
      <c r="AX810" s="192"/>
    </row>
    <row r="811" spans="2:50" ht="15" customHeight="1" thickBot="1" x14ac:dyDescent="0.35">
      <c r="B811" s="192"/>
      <c r="C811" s="192"/>
      <c r="D811" s="192"/>
      <c r="E811" s="164" t="str">
        <f>IF(Q811="","",IF(Q811=3,1,0))</f>
        <v/>
      </c>
      <c r="F811" s="164" t="str">
        <f>IF(Q811="","",IF(Q811&lt;3,1,0))</f>
        <v/>
      </c>
      <c r="G811" s="192"/>
      <c r="H811" s="192" t="str">
        <f>IF(I790&lt;&gt;"",2,"")</f>
        <v/>
      </c>
      <c r="I811" s="192" t="str">
        <f>IF(ISNUMBER(H811),VLOOKUP(H811,H787:I790,2,TRUE),"")</f>
        <v/>
      </c>
      <c r="J811" s="192"/>
      <c r="K811" s="192" t="str">
        <f>VLOOKUP(I811,I787:L790,3,FALSE)</f>
        <v/>
      </c>
      <c r="L811" s="155"/>
      <c r="M811" s="259"/>
      <c r="N811" s="259"/>
      <c r="O811" s="156"/>
      <c r="P811" s="157"/>
      <c r="Q811" s="260" t="str">
        <f>IF(L811="","",IF(AND(L811-L810&gt;1,L811&gt;10),1,0)+IF(AND(M811-M810&gt;1,M811&gt;10),1,0)+IF(AND(N811-N810&gt;1,N811&gt;10),1,0)+IF(AND(O811-O810&gt;1,O811&gt;10),1,0)+IF(AND(P811-P810&gt;1,P811&gt;10),1,0))</f>
        <v/>
      </c>
      <c r="R811" s="203" t="str">
        <f>IF(AND(Q810&lt;&gt;3,Q811&lt;&gt;3),"",IF(Q810=3,IF(VLOOKUP(I810,I787:L790,4,FALSE)&gt;VLOOKUP(I811,I787:L790,4,FALSE),VLOOKUP(R810,Point_dif,2,FALSE),VLOOKUP(R810,Point_dif,3,FALSE)),IF(Q811=3,IF(VLOOKUP(I811,I787:L790,4,FALSE)&gt;VLOOKUP(I811,I787:L790,4,FALSE),VLOOKUP(R810,Point_dif,2,FALSE),VLOOKUP(R810,Point_dif,3,FALSE)))))</f>
        <v/>
      </c>
      <c r="S811" s="256" t="str">
        <f>IF(R811="","",IF(Q811=3,+R811,-R811))</f>
        <v/>
      </c>
      <c r="T811" s="247"/>
      <c r="U811" s="235"/>
      <c r="V811" s="235"/>
      <c r="W811" s="235"/>
      <c r="X811" s="235"/>
      <c r="Y811" s="235"/>
      <c r="Z811" s="235"/>
      <c r="AA811" s="246">
        <v>2</v>
      </c>
      <c r="AB811" s="222" t="str">
        <f>IF(AND(COUNTBLANK(I787:I790)=0,Group_players=4,M787=M788,M788=M790),IF(W795="","",IF(COUNTIF(W794:W797,W795)=3,"Tied",IF(AND(COUNTIF(W794:W797,W795)=1,W794&lt;&gt;W796),IF(M788=2,IF(SMALL(W794:W797,1)=W795,1,IF(SMALL(W794:W797,2)=W795,2,IF(SMALL(W794:W797,3)=W795,3))),IF(M788=1,IF(SMALL(W794:W797,1)=W795,2,IF(SMALL(W794:W797,2)=W795,3,IF(SMALL(W794:W797,3)=W795,4))),"")),IF(COUNTIF(W794:W797,W795)=1,IF(W795&lt;W794,IF(M788=2,1,2),IF(M788=2,3,4)),IF(COUNTIF(W794:W797,W795)=2,IF(W795=W794,IF(W795&lt;W797,IF(M788=2,IF(Q811=3,1,2),IF(M788=1,IF(Q811=3,2,3))),IF(W795&gt;W797,IF(M788=2,IF(Q811=3,2,3),IF(M788=1,IF(Q811=3,3,4))))),IF(W795=W797,IF(W795&lt;W794,IF(M788=2,IF(Q801=3,1,2),IF(M788=1,IF(Q801=3,2,3))),IF(W795&gt;W794,IF(M788=2,IF(Q801=3,2,3),IF(M788=1,IF(Q801=3,3,4)))))))))))),"")</f>
        <v/>
      </c>
      <c r="AC811" s="192"/>
      <c r="AD811" s="192"/>
      <c r="AE811" s="192"/>
      <c r="AF811" s="203"/>
      <c r="AG811" s="203"/>
      <c r="AH811" s="203"/>
      <c r="AI811" s="203"/>
      <c r="AJ811" s="203"/>
      <c r="AK811" s="203"/>
      <c r="AL811" s="203"/>
      <c r="AM811" s="203"/>
      <c r="AN811" s="192"/>
      <c r="AO811" s="192"/>
      <c r="AP811" s="192"/>
      <c r="AQ811" s="192"/>
      <c r="AR811" s="192"/>
      <c r="AS811" s="192"/>
      <c r="AT811" s="192"/>
      <c r="AU811" s="192"/>
      <c r="AV811" s="192"/>
      <c r="AW811" s="192"/>
      <c r="AX811" s="192"/>
    </row>
    <row r="812" spans="2:50" ht="15" customHeight="1" thickTop="1" thickBot="1" x14ac:dyDescent="0.35">
      <c r="B812" s="192"/>
      <c r="C812" s="192"/>
      <c r="D812" s="192"/>
      <c r="E812" s="164"/>
      <c r="F812" s="164"/>
      <c r="G812" s="192"/>
      <c r="H812" s="192"/>
      <c r="I812" s="249" t="s">
        <v>121</v>
      </c>
      <c r="J812" s="249"/>
      <c r="K812" s="249"/>
      <c r="L812" s="250" t="s">
        <v>115</v>
      </c>
      <c r="M812" s="250" t="s">
        <v>116</v>
      </c>
      <c r="N812" s="250" t="s">
        <v>117</v>
      </c>
      <c r="O812" s="250" t="s">
        <v>118</v>
      </c>
      <c r="P812" s="250" t="s">
        <v>119</v>
      </c>
      <c r="Q812" s="250" t="s">
        <v>120</v>
      </c>
      <c r="R812" s="250"/>
      <c r="S812" s="251"/>
      <c r="T812" s="247"/>
      <c r="U812" s="235"/>
      <c r="V812" s="235"/>
      <c r="W812" s="235"/>
      <c r="X812" s="235"/>
      <c r="Y812" s="235"/>
      <c r="Z812" s="235"/>
      <c r="AA812" s="240">
        <v>4</v>
      </c>
      <c r="AB812" s="241" t="str">
        <f>IF(AND(COUNTBLANK(I787:I790)=0,Group_players=4,M787=M788,M788=M790),IF(W797="","",IF(COUNTIF(W794:W797,W797)=3,"Tied",IF(AND(COUNTIF(W794:W797,W797)=1,W794&lt;&gt;W795),IF(M790=2,IF(SMALL(W794:W797,1)=W797,1,IF(SMALL(W794:W797,2)=W797,2,IF(SMALL(W794:W797,3)=W797,3))),IF(M790=1,IF(SMALL(W794:W797,1)=W797,2,IF(SMALL(W794:W797,2)=W797,3,IF(SMALL(W794:W797,3)=W797,4))),"")),IF(COUNTIF(W794:W797,W797)=1,IF(W797&lt;W794,IF(M790=2,1,2),IF(M790=2,3,4)),IF(COUNTIF(W794:W797,W797)=2,IF(W797=W794,IF(W797&lt;W795,IF(M790=2,IF(Q805=3,1,2),IF(M790=1,IF(Q805=3,2,3))),IF(W797&gt;W796,IF(M790=2,IF(Q805=3,2,3),IF(M790=1,IF(Q805=3,3,4))))),IF(W797=W795,IF(W797&lt;W794,IF(M790=2,IF(Q802=3,1,2),IF(M790=1,IF(Q802=3,2,3))),IF(W797&gt;W794,IF(M790=2,IF(Q802=3,2,3),IF(M790=1,IF(Q802=3,3,4)))))))))))),"")</f>
        <v/>
      </c>
      <c r="AC812" s="192"/>
      <c r="AD812" s="192"/>
      <c r="AE812" s="192"/>
      <c r="AF812" s="203"/>
      <c r="AG812" s="203"/>
      <c r="AH812" s="203"/>
      <c r="AI812" s="203"/>
      <c r="AJ812" s="203"/>
      <c r="AK812" s="203"/>
      <c r="AL812" s="203"/>
      <c r="AM812" s="203"/>
      <c r="AN812" s="192"/>
      <c r="AO812" s="192"/>
      <c r="AP812" s="192"/>
      <c r="AQ812" s="192"/>
      <c r="AR812" s="192"/>
      <c r="AS812" s="192"/>
      <c r="AT812" s="192"/>
      <c r="AU812" s="192"/>
      <c r="AV812" s="192"/>
      <c r="AW812" s="192"/>
      <c r="AX812" s="192"/>
    </row>
    <row r="813" spans="2:50" ht="15" customHeight="1" thickTop="1" x14ac:dyDescent="0.3">
      <c r="B813" s="192"/>
      <c r="C813" s="192"/>
      <c r="D813" s="192"/>
      <c r="E813" s="164" t="str">
        <f>IF(Q813="","",IF(Q813=3,1,0))</f>
        <v/>
      </c>
      <c r="F813" s="164" t="str">
        <f>IF(Q813="","",IF(Q813&lt;3,1,0))</f>
        <v/>
      </c>
      <c r="G813" s="192"/>
      <c r="H813" s="192" t="str">
        <f>IF(I790&lt;&gt;"",3,"")</f>
        <v/>
      </c>
      <c r="I813" s="192" t="str">
        <f>IF(ISNUMBER(H813),VLOOKUP(H813,H787:I790,2,TRUE),"")</f>
        <v/>
      </c>
      <c r="J813" s="192"/>
      <c r="K813" s="192" t="str">
        <f>VLOOKUP(I813,I787:L790,3,FALSE)</f>
        <v/>
      </c>
      <c r="L813" s="253"/>
      <c r="M813" s="254"/>
      <c r="N813" s="254"/>
      <c r="O813" s="152"/>
      <c r="P813" s="153"/>
      <c r="Q813" s="255" t="str">
        <f>IF(L813="","",IF(AND(L813-L814&gt;1,L813&gt;10),1,0)+IF(AND(M813-M814&gt;1,M813&gt;10),1,0)+IF(AND(N813-N814&gt;1,N813&gt;10),1,0)+IF(AND(O813-O814&gt;1,O813&gt;10),1,0)+IF(AND(P813-P814&gt;1,P813&gt;10),1,0))</f>
        <v/>
      </c>
      <c r="R813" s="203" t="str">
        <f>IF(AND(I813="",I814=""),"",ABS(VLOOKUP(I813,I787:L790,4,FALSE)-VLOOKUP(I814,I787:L790,4,FALSE)))</f>
        <v/>
      </c>
      <c r="S813" s="256" t="str">
        <f>IF(R814="","",IF(Q813=3,+R814,-R814))</f>
        <v/>
      </c>
      <c r="T813" s="247"/>
      <c r="U813" s="264"/>
      <c r="V813" s="242"/>
      <c r="W813" s="192"/>
      <c r="X813" s="264"/>
      <c r="Y813" s="192"/>
      <c r="Z813" s="192"/>
      <c r="AA813" s="243">
        <v>2</v>
      </c>
      <c r="AB813" s="222" t="str">
        <f>IF(AND(COUNTBLANK(I787:I790)=0,Group_players=4,M788=M789,M789=M790),IF(X795="","",IF(COUNTIF(X794:X797,X795)=3,"Tied",IF(AND(COUNTIF(X794:X797,X795)=1,X796&lt;&gt;X797),IF(M788=2,IF(SMALL(X794:X797,1)=X795,1,IF(SMALL(X794:X797,2)=X795,2,IF(SMALL(X794:X797,3)=X795,3))),IF(M788=1,IF(SMALL(X794:X797,1)=X795,2,IF(SMALL(X794:X797,2)=X795,3,IF(SMALL(X794:X797,3)=X795,4))),"")),IF(COUNTIF(X794:X797,X795)=1,IF(X795&lt;X797,IF(M788=2,1,2),IF(M788=1,4)),IF(COUNTIF(X794:X797,X795)=2,IF(X795=X796,IF(X795&lt;X797,IF(M788=2,IF(Q807=3,1,2),IF(M788=1,IF(Q807=3,2,3))),IF(X795&gt;X797,IF(M788=2,IF(Q807=3,2,3),IF(M788=1,IF(Q807=3,3,4))))),IF(X795=X797,IF(X795&lt;X796,IF(M788=2,IF(Q801=3,1,2),IF(M788=1,IF(Q801=3,2,3))),IF(X795&gt;X796,IF(M788=2,IF(Q801=3,2,3),IF(M788=1,IF(Q801=3,3,4)))))))))))),"")</f>
        <v/>
      </c>
      <c r="AC813" s="192"/>
      <c r="AD813" s="192"/>
      <c r="AE813" s="192"/>
      <c r="AF813" s="203"/>
      <c r="AG813" s="203"/>
      <c r="AH813" s="203"/>
      <c r="AI813" s="203"/>
      <c r="AJ813" s="203"/>
      <c r="AK813" s="203"/>
      <c r="AL813" s="203"/>
      <c r="AM813" s="203"/>
      <c r="AN813" s="192"/>
      <c r="AO813" s="192"/>
      <c r="AP813" s="192"/>
      <c r="AQ813" s="192"/>
      <c r="AR813" s="192"/>
      <c r="AS813" s="192"/>
      <c r="AT813" s="192"/>
      <c r="AU813" s="192"/>
      <c r="AV813" s="192"/>
      <c r="AW813" s="192"/>
      <c r="AX813" s="192"/>
    </row>
    <row r="814" spans="2:50" ht="15" customHeight="1" thickBot="1" x14ac:dyDescent="0.35">
      <c r="B814" s="192"/>
      <c r="C814" s="192"/>
      <c r="D814" s="192"/>
      <c r="E814" s="164" t="str">
        <f>IF(Q814="","",IF(Q814=3,1,0))</f>
        <v/>
      </c>
      <c r="F814" s="164" t="str">
        <f>IF(Q814="","",IF(Q814&lt;3,1,0))</f>
        <v/>
      </c>
      <c r="G814" s="192"/>
      <c r="H814" s="192" t="str">
        <f>IF(I790&lt;&gt;"",4,"")</f>
        <v/>
      </c>
      <c r="I814" s="192" t="str">
        <f>IF(ISNUMBER(H814),VLOOKUP(H814,H787:I790,2,TRUE),"")</f>
        <v/>
      </c>
      <c r="J814" s="192"/>
      <c r="K814" s="192" t="str">
        <f>VLOOKUP(I814,I787:L790,3,FALSE)</f>
        <v/>
      </c>
      <c r="L814" s="155"/>
      <c r="M814" s="259"/>
      <c r="N814" s="259"/>
      <c r="O814" s="156"/>
      <c r="P814" s="157"/>
      <c r="Q814" s="260" t="str">
        <f>IF(L814="","",IF(AND(L814-L813&gt;1,L814&gt;10),1,0)+IF(AND(M814-M813&gt;1,M814&gt;10),1,0)+IF(AND(N814-N813&gt;1,N814&gt;10),1,0)+IF(AND(O814-O813&gt;1,O814&gt;10),1,0)+IF(AND(P814-P813&gt;1,P814&gt;10),1,0))</f>
        <v/>
      </c>
      <c r="R814" s="203" t="str">
        <f>IF(AND(Q813&lt;&gt;3,Q814&lt;&gt;3),"",IF(Q813=3,IF(VLOOKUP(I813,I787:L790,4,FALSE)&gt;VLOOKUP(I814,I787:L790,4,FALSE),VLOOKUP(R813,Point_dif,2,FALSE),VLOOKUP(R813,Point_dif,3,FALSE)),IF(Q814=3,IF(VLOOKUP(I814,I787:L790,4,FALSE)&gt;VLOOKUP(I813,I787:L790,4,FALSE),VLOOKUP(R813,Point_dif,2,FALSE),VLOOKUP(R813,Point_dif,3,FALSE)))))</f>
        <v/>
      </c>
      <c r="S814" s="260" t="str">
        <f>IF(R814="","",IF(Q814=3,+R814,-R814))</f>
        <v/>
      </c>
      <c r="T814" s="247"/>
      <c r="U814" s="235"/>
      <c r="V814" s="235"/>
      <c r="W814" s="235"/>
      <c r="X814" s="235"/>
      <c r="Y814" s="235"/>
      <c r="Z814" s="235"/>
      <c r="AA814" s="246">
        <v>3</v>
      </c>
      <c r="AB814" s="222" t="str">
        <f>IF(AND(COUNTBLANK(I787:I790)=0,Group_players=4,Group_players=4,M788=M789,M789=M790),IF(X796="","",IF(COUNTIF(X794:X797,X796)=3,"Tied",IF(AND(COUNTIF(X794:X797,X796)=1,X795&lt;&gt;X797),IF(M789=2,IF(SMALL(X794:X797,1)=X796,1,IF(SMALL(X794:X797,2)=X796,2,IF(SMALL(X794:X797,3)=X796,3))),IF(M789=1,IF(SMALL(X794:X797,1)=X796,2,IF(SMALL(X794:X797,2)=X796,3,IF(SMALL(X794:X797,3)=X796,4))),"")),IF(COUNTIF(X794:X797,X796)=1,IF(X796&lt;X795,IF(M789=2,1,2),IF(M789=2,3,4)),IF(COUNTIF(X794:X797,X796)=2,IF(X796=X795,IF(X796&lt;X797,IF(M789=2,IF(Q808=3,1,2),IF(M789=1,IF(Q808=3,2,3))),IF(X796&gt;X797,IF(M789=2,IF(Q808=3,2,3),IF(M789=1,IF(Q808=3,3,4))))),IF(X796=X797,IF(X796&lt;X795,IF(M789=2,IF(Q813=3,1,2),IF(M789=1,IF(Q813=3,2,3))),IF(X796&gt;X795,IF(M789=2,IF(Q813=3,2,3),IF(M789=1,IF(Q813=3,3,4)))))))))))),"")</f>
        <v/>
      </c>
      <c r="AC814" s="192"/>
      <c r="AD814" s="192"/>
      <c r="AE814" s="192"/>
      <c r="AF814" s="203"/>
      <c r="AG814" s="203"/>
      <c r="AH814" s="203"/>
      <c r="AI814" s="203"/>
      <c r="AJ814" s="203"/>
      <c r="AK814" s="203"/>
      <c r="AL814" s="203"/>
      <c r="AM814" s="203"/>
      <c r="AN814" s="192"/>
      <c r="AO814" s="192"/>
      <c r="AP814" s="192"/>
      <c r="AQ814" s="192"/>
      <c r="AR814" s="192"/>
      <c r="AS814" s="192"/>
      <c r="AT814" s="192"/>
      <c r="AU814" s="192"/>
      <c r="AV814" s="192"/>
      <c r="AW814" s="192"/>
      <c r="AX814" s="192"/>
    </row>
    <row r="815" spans="2:50" ht="15" customHeight="1" thickTop="1" thickBot="1" x14ac:dyDescent="0.35">
      <c r="B815" s="192"/>
      <c r="C815" s="192"/>
      <c r="D815" s="192"/>
      <c r="E815" s="192"/>
      <c r="F815" s="192"/>
      <c r="G815" s="192"/>
      <c r="H815" s="192"/>
      <c r="I815" s="192"/>
      <c r="J815" s="192"/>
      <c r="K815" s="192"/>
      <c r="L815" s="192"/>
      <c r="M815" s="192"/>
      <c r="N815" s="192"/>
      <c r="O815" s="268"/>
      <c r="P815" s="192"/>
      <c r="Q815" s="192"/>
      <c r="R815" s="247"/>
      <c r="S815" s="247"/>
      <c r="T815" s="247"/>
      <c r="U815" s="235"/>
      <c r="V815" s="235"/>
      <c r="W815" s="235"/>
      <c r="X815" s="235"/>
      <c r="Y815" s="235"/>
      <c r="Z815" s="235"/>
      <c r="AA815" s="261">
        <v>4</v>
      </c>
      <c r="AB815" s="233" t="str">
        <f>IF(AND(COUNTBLANK(I787:I790)=0,Group_players=4,M788=M789,M789=M790),IF(X797="","",IF(COUNTIF(X794:X797,X797)=3,"Tied",IF(AND(COUNTIF(X794:X797,X797)=1,X796&lt;&gt;X795),IF(M790=2,IF(SMALL(X794:X797,1)=X797,1,IF(SMALL(X794:X797,2)=X797,2,IF(SMALL(X794:X797,3)=X797,3))),IF(M790=1,IF(SMALL(X794:X797,1)=X797,2,IF(SMALL(X794:X797,2)=X797,3,IF(SMALL(X794:X797,3)=X797,4))),"")),IF(COUNTIF(X794:X797,X797)=1,IF(X797&lt;X795,IF(M790=2,1,2),IF(M790=2,3,4)),IF(COUNTIF(X794:X797,X797)=2,IF(X797=X795,IF(X797&lt;X796,IF(M790=2,IF(Q802=3,1,2),IF(M790=1,IF(Q802=3,2,3))),IF(X797&gt;X796,IF(M790=2,IF(Q802=3,2,3),IF(M790=1,IF(Q802=3,3,4))))),IF(X797=X796,IF(X797&lt;X795,IF(M790=2,IF(Q814=3,1,2),IF(M790=1,IF(Q814=3,2,3))),IF(X797&gt;X795,IF(M790=2,IF(Q814=3,2,3),IF(M790=1,IF(Q814=3,3,4)))))))))))),"")</f>
        <v/>
      </c>
      <c r="AC815" s="192"/>
      <c r="AD815" s="192"/>
      <c r="AE815" s="192"/>
      <c r="AF815" s="203"/>
      <c r="AG815" s="203"/>
      <c r="AH815" s="203"/>
      <c r="AI815" s="203"/>
      <c r="AJ815" s="203"/>
      <c r="AK815" s="203"/>
      <c r="AL815" s="203"/>
      <c r="AM815" s="203"/>
      <c r="AN815" s="192"/>
      <c r="AO815" s="192"/>
      <c r="AP815" s="192"/>
      <c r="AQ815" s="192"/>
      <c r="AR815" s="192"/>
      <c r="AS815" s="192"/>
      <c r="AT815" s="192"/>
      <c r="AU815" s="192"/>
      <c r="AV815" s="192"/>
      <c r="AW815" s="192"/>
      <c r="AX815" s="192"/>
    </row>
    <row r="816" spans="2:50" ht="15" customHeight="1" thickTop="1" x14ac:dyDescent="0.3">
      <c r="B816" s="192"/>
      <c r="C816" s="192"/>
      <c r="D816" s="192"/>
      <c r="E816" s="192"/>
      <c r="F816" s="192"/>
      <c r="G816" s="192"/>
      <c r="H816" s="192"/>
      <c r="I816" s="192"/>
      <c r="J816" s="192"/>
      <c r="K816" s="192"/>
      <c r="L816" s="192"/>
      <c r="M816" s="192"/>
      <c r="N816" s="192"/>
      <c r="O816" s="192"/>
      <c r="P816" s="192"/>
      <c r="Q816" s="192"/>
      <c r="R816" s="192"/>
      <c r="S816" s="192"/>
      <c r="T816" s="203"/>
      <c r="U816" s="192"/>
      <c r="V816" s="192"/>
      <c r="W816" s="192"/>
      <c r="X816" s="192"/>
      <c r="Y816" s="192"/>
      <c r="Z816" s="192"/>
      <c r="AA816" s="192"/>
      <c r="AB816" s="192"/>
      <c r="AC816" s="192"/>
      <c r="AD816" s="192"/>
      <c r="AE816" s="192"/>
      <c r="AF816" s="203"/>
      <c r="AG816" s="203"/>
      <c r="AH816" s="203"/>
      <c r="AI816" s="203"/>
      <c r="AJ816" s="203"/>
      <c r="AK816" s="203"/>
      <c r="AL816" s="203"/>
      <c r="AM816" s="203"/>
      <c r="AN816" s="192"/>
      <c r="AO816" s="192"/>
      <c r="AP816" s="192"/>
      <c r="AQ816" s="192"/>
      <c r="AR816" s="192"/>
      <c r="AS816" s="192"/>
      <c r="AT816" s="192"/>
      <c r="AU816" s="192"/>
      <c r="AV816" s="192"/>
      <c r="AW816" s="192"/>
      <c r="AX816" s="192"/>
    </row>
    <row r="817" spans="2:50" ht="15" customHeight="1" x14ac:dyDescent="0.3">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c r="AA817" s="192"/>
      <c r="AB817" s="192"/>
      <c r="AC817" s="192"/>
      <c r="AD817" s="192"/>
      <c r="AE817" s="192"/>
      <c r="AF817" s="203"/>
      <c r="AG817" s="203"/>
      <c r="AH817" s="203"/>
      <c r="AI817" s="203"/>
      <c r="AJ817" s="203"/>
      <c r="AK817" s="203"/>
      <c r="AL817" s="203"/>
      <c r="AM817" s="203"/>
      <c r="AN817" s="192"/>
      <c r="AO817" s="192"/>
      <c r="AP817" s="192"/>
      <c r="AQ817" s="192"/>
      <c r="AR817" s="192"/>
      <c r="AS817" s="192"/>
      <c r="AT817" s="192"/>
      <c r="AU817" s="192"/>
      <c r="AV817" s="192"/>
      <c r="AW817" s="192"/>
      <c r="AX817" s="192"/>
    </row>
    <row r="818" spans="2:50" ht="15" customHeight="1" x14ac:dyDescent="0.3">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269"/>
      <c r="AA818" s="192"/>
      <c r="AB818" s="192"/>
      <c r="AC818" s="192"/>
      <c r="AD818" s="192"/>
      <c r="AE818" s="192"/>
      <c r="AF818" s="203"/>
      <c r="AG818" s="203"/>
      <c r="AH818" s="203"/>
      <c r="AI818" s="203"/>
      <c r="AJ818" s="203"/>
      <c r="AK818" s="203"/>
      <c r="AL818" s="203"/>
      <c r="AM818" s="203"/>
      <c r="AN818" s="192"/>
      <c r="AO818" s="192"/>
      <c r="AP818" s="192"/>
      <c r="AQ818" s="192"/>
      <c r="AR818" s="192"/>
      <c r="AS818" s="192"/>
      <c r="AT818" s="192"/>
      <c r="AU818" s="192"/>
      <c r="AV818" s="192"/>
      <c r="AW818" s="192"/>
      <c r="AX818" s="192"/>
    </row>
    <row r="819" spans="2:50" ht="15" customHeight="1" x14ac:dyDescent="0.3">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c r="AA819" s="192"/>
      <c r="AB819" s="192"/>
      <c r="AC819" s="192"/>
      <c r="AD819" s="192"/>
      <c r="AE819" s="192"/>
      <c r="AF819" s="203"/>
      <c r="AG819" s="203"/>
      <c r="AH819" s="203"/>
      <c r="AI819" s="203"/>
      <c r="AJ819" s="203"/>
      <c r="AK819" s="203"/>
      <c r="AL819" s="203"/>
      <c r="AM819" s="203"/>
      <c r="AN819" s="192"/>
      <c r="AO819" s="192"/>
      <c r="AP819" s="192"/>
      <c r="AQ819" s="192"/>
      <c r="AR819" s="192"/>
      <c r="AS819" s="192"/>
      <c r="AT819" s="192"/>
      <c r="AU819" s="192"/>
      <c r="AV819" s="192"/>
      <c r="AW819" s="192"/>
      <c r="AX819" s="192"/>
    </row>
    <row r="820" spans="2:50" ht="15" customHeight="1" x14ac:dyDescent="0.3">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c r="AA820" s="192"/>
      <c r="AB820" s="192"/>
      <c r="AC820" s="192"/>
      <c r="AD820" s="192"/>
      <c r="AE820" s="192"/>
      <c r="AF820" s="203"/>
      <c r="AG820" s="203"/>
      <c r="AH820" s="203"/>
      <c r="AI820" s="203"/>
      <c r="AJ820" s="203"/>
      <c r="AK820" s="203"/>
      <c r="AL820" s="203"/>
      <c r="AM820" s="203"/>
      <c r="AN820" s="192"/>
      <c r="AO820" s="192"/>
      <c r="AP820" s="192"/>
      <c r="AQ820" s="192"/>
      <c r="AR820" s="192"/>
      <c r="AS820" s="192"/>
      <c r="AT820" s="192"/>
      <c r="AU820" s="192"/>
      <c r="AV820" s="192"/>
      <c r="AW820" s="192"/>
      <c r="AX820" s="192"/>
    </row>
    <row r="821" spans="2:50" ht="15" customHeight="1" thickBot="1" x14ac:dyDescent="0.4">
      <c r="B821" s="192"/>
      <c r="C821" s="192"/>
      <c r="D821" s="192"/>
      <c r="E821" s="192"/>
      <c r="F821" s="192"/>
      <c r="G821" s="192"/>
      <c r="H821" s="192"/>
      <c r="I821" s="383" t="s">
        <v>145</v>
      </c>
      <c r="J821" s="383"/>
      <c r="K821" s="383"/>
      <c r="L821" s="383"/>
      <c r="M821" s="383"/>
      <c r="N821" s="383"/>
      <c r="O821" s="383"/>
      <c r="P821" s="383"/>
      <c r="Q821" s="383"/>
      <c r="R821" s="383"/>
      <c r="S821" s="192"/>
      <c r="T821" s="192"/>
      <c r="U821" s="370" t="s">
        <v>92</v>
      </c>
      <c r="V821" s="371"/>
      <c r="W821" s="371"/>
      <c r="X821" s="372"/>
      <c r="Y821" s="192"/>
      <c r="Z821" s="192"/>
      <c r="AA821" s="192"/>
      <c r="AB821" s="192"/>
      <c r="AC821" s="192"/>
      <c r="AD821" s="192"/>
      <c r="AE821" s="192"/>
      <c r="AF821" s="203"/>
      <c r="AG821" s="203"/>
      <c r="AH821" s="203"/>
      <c r="AI821" s="203"/>
      <c r="AJ821" s="203"/>
      <c r="AK821" s="203"/>
      <c r="AL821" s="203"/>
      <c r="AM821" s="203"/>
      <c r="AN821" s="192"/>
      <c r="AO821" s="192"/>
      <c r="AP821" s="192"/>
      <c r="AQ821" s="192"/>
      <c r="AR821" s="192"/>
      <c r="AS821" s="192"/>
      <c r="AT821" s="192"/>
      <c r="AU821" s="192"/>
      <c r="AV821" s="192"/>
      <c r="AW821" s="192"/>
      <c r="AX821" s="192"/>
    </row>
    <row r="822" spans="2:50" ht="15" customHeight="1" thickTop="1" thickBot="1" x14ac:dyDescent="0.35">
      <c r="B822" s="192"/>
      <c r="C822" s="192"/>
      <c r="D822" s="192"/>
      <c r="E822" s="192"/>
      <c r="F822" s="192"/>
      <c r="G822" s="192"/>
      <c r="H822" s="192"/>
      <c r="I822" s="400" t="s">
        <v>93</v>
      </c>
      <c r="J822" s="160"/>
      <c r="K822" s="396" t="s">
        <v>94</v>
      </c>
      <c r="L822" s="398" t="s">
        <v>95</v>
      </c>
      <c r="M822" s="390" t="s">
        <v>96</v>
      </c>
      <c r="N822" s="390" t="s">
        <v>97</v>
      </c>
      <c r="O822" s="373" t="s">
        <v>98</v>
      </c>
      <c r="P822" s="373" t="str">
        <f>IF(COUNT(U823:X834)=3,"LM/WM Ratio",IF(COUNT(U823:X834)=6,"LP/WP Ratio",""))</f>
        <v/>
      </c>
      <c r="Q822" s="390" t="s">
        <v>99</v>
      </c>
      <c r="R822" s="392" t="s">
        <v>100</v>
      </c>
      <c r="S822" s="192"/>
      <c r="T822" s="120"/>
      <c r="U822" s="121" t="s">
        <v>101</v>
      </c>
      <c r="V822" s="122" t="s">
        <v>102</v>
      </c>
      <c r="W822" s="122" t="s">
        <v>103</v>
      </c>
      <c r="X822" s="123" t="s">
        <v>104</v>
      </c>
      <c r="Y822" s="380" t="s">
        <v>105</v>
      </c>
      <c r="Z822" s="379"/>
      <c r="AA822" s="378" t="s">
        <v>106</v>
      </c>
      <c r="AB822" s="379"/>
      <c r="AC822" s="192"/>
      <c r="AD822" s="192"/>
      <c r="AE822" s="203"/>
      <c r="AF822" s="203"/>
      <c r="AG822" s="203"/>
      <c r="AH822" s="203"/>
      <c r="AI822" s="203"/>
      <c r="AJ822" s="203"/>
      <c r="AK822" s="203"/>
      <c r="AL822" s="203"/>
      <c r="AM822" s="203"/>
      <c r="AN822" s="192"/>
      <c r="AO822" s="192"/>
      <c r="AP822" s="192"/>
      <c r="AQ822" s="192"/>
      <c r="AR822" s="192"/>
      <c r="AS822" s="192"/>
      <c r="AT822" s="192"/>
      <c r="AU822" s="192"/>
      <c r="AV822" s="192"/>
      <c r="AW822" s="192"/>
      <c r="AX822" s="192"/>
    </row>
    <row r="823" spans="2:50" ht="15" customHeight="1" thickTop="1" thickBot="1" x14ac:dyDescent="0.35">
      <c r="B823" s="192"/>
      <c r="C823" s="192"/>
      <c r="D823" s="192"/>
      <c r="E823" s="192"/>
      <c r="F823" s="192"/>
      <c r="G823" s="192"/>
      <c r="H823" s="192"/>
      <c r="I823" s="401"/>
      <c r="J823" s="161"/>
      <c r="K823" s="397"/>
      <c r="L823" s="399"/>
      <c r="M823" s="391"/>
      <c r="N823" s="391"/>
      <c r="O823" s="374"/>
      <c r="P823" s="374"/>
      <c r="Q823" s="391"/>
      <c r="R823" s="393"/>
      <c r="S823" s="192"/>
      <c r="T823" s="208">
        <v>1</v>
      </c>
      <c r="U823" s="209" t="str">
        <f>IF(M824="","",IF(COUNTIF(M824:M826,M824)=3,IF(COUNTBLANK(I824:I827)=1,(Q836+Q842)/(Q835+Q841),IF(COUNTBLANK(I824:I827)=0,(Q848+Q836)/(Q847+Q835),"")),""))</f>
        <v/>
      </c>
      <c r="V823" s="125" t="str">
        <f>IF(AND(COUNTBLANK(I824:I827)=0,M824=M826,M826=M827),(Q836+Q842)/(Q835+Q841),"")</f>
        <v/>
      </c>
      <c r="W823" s="210" t="str">
        <f>IF(AND(COUNTBLANK(I824:I827)=0,M824=M825,M825=M827),(Q848+Q842)/(Q847+Q841),"")</f>
        <v/>
      </c>
      <c r="X823" s="211"/>
      <c r="Y823" s="169" t="s">
        <v>93</v>
      </c>
      <c r="Z823" s="170" t="s">
        <v>107</v>
      </c>
      <c r="AA823" s="169" t="s">
        <v>93</v>
      </c>
      <c r="AB823" s="170" t="s">
        <v>107</v>
      </c>
      <c r="AC823" s="192"/>
      <c r="AD823" s="192"/>
      <c r="AE823" s="192"/>
      <c r="AF823" s="203"/>
      <c r="AG823" s="203"/>
      <c r="AH823" s="203"/>
      <c r="AI823" s="203"/>
      <c r="AJ823" s="203"/>
      <c r="AK823" s="203"/>
      <c r="AL823" s="203"/>
      <c r="AM823" s="203"/>
      <c r="AN823" s="192"/>
      <c r="AO823" s="192"/>
      <c r="AP823" s="192"/>
      <c r="AQ823" s="192"/>
      <c r="AR823" s="192"/>
      <c r="AS823" s="192"/>
      <c r="AT823" s="192"/>
      <c r="AU823" s="192"/>
      <c r="AV823" s="192"/>
      <c r="AW823" s="192"/>
      <c r="AX823" s="192"/>
    </row>
    <row r="824" spans="2:50" ht="15" customHeight="1" thickTop="1" thickBot="1" x14ac:dyDescent="0.35">
      <c r="B824" s="192"/>
      <c r="C824" s="192"/>
      <c r="D824" s="192"/>
      <c r="E824" s="192"/>
      <c r="F824" s="192" t="str">
        <f>IF(I824="","",VLOOKUP(I824,Siembra,2,FALSE))</f>
        <v/>
      </c>
      <c r="G824" s="192" t="str">
        <f>O824</f>
        <v/>
      </c>
      <c r="H824" s="192">
        <v>1</v>
      </c>
      <c r="I824" s="128" t="str">
        <f>IF(K824="","",IF(ISNUMBER(Sorteo!$A$17),VLOOKUP(K824,Draw,2,FALSE),""))</f>
        <v/>
      </c>
      <c r="J824" s="129" t="str">
        <f>O824</f>
        <v/>
      </c>
      <c r="K824" s="130" t="str">
        <f>IF($K$9="","",IF(Group_players=4,IF(Tablas!CD$3="","",Tablas!CD$3),IF(Group_players=3,IF(Tablas!CD$11="","",Tablas!CD$11),"")))</f>
        <v/>
      </c>
      <c r="L824" s="131" t="str">
        <f>IF(K824="","",VLOOKUP(I824,Siembra,3,FALSE))</f>
        <v/>
      </c>
      <c r="M824" s="132" t="str">
        <f>IF(AND(Q835="",Q836=""),"",IF(I824="","",SUMIFS(E835:E851,I835:I851,I824)))</f>
        <v/>
      </c>
      <c r="N824" s="132" t="str">
        <f>IF(M824="","",IF(I824="","",SUMIFS(F835:F851,I835:I851,I824)))</f>
        <v/>
      </c>
      <c r="O824" s="132" t="str">
        <f>IF(M824="","",IF(COUNTBLANK(I824:I827)=1,IF(M824=2,1,IF(M824=0,3,IF(AND(M824=1,M825&lt;&gt;1),2,IF(COUNTIF(M824:M826,1)&gt;1,Z824)))),IF(COUNTBLANK(I824:I827)=0,IF(COUNTIF(M824:M827,M824)=1,IF(M824=3,1,IF(M824=2,2,IF(M824=1,3,IF(M824=0,4)))),IF(Group_players=3,Z824,IF(COUNTIF(M824:M827,M824)=2,AB824,IF(AND(M824=M825,M825=M826),AB828,IF(AND(M824=M826,M826=M827),AB831,IF(AND(M824=M825,M825=M827),AB834,"")))))),99)))</f>
        <v/>
      </c>
      <c r="P824" s="133" t="str">
        <f>IF(COUNT(U823:X834)=3,IF(ISNUMBER(U823),U823,IF(ISNUMBER(V823),V823,IF(ISNUMBER(W823),W823,IF(X823="","")))),IF(COUNT(U823:X834)=6,IF(ISNUMBER(U831),U831,IF(ISNUMBER(V831),V831,IF(ISNUMBER(W831),W831,IF(ISBLANK(X823),"")))),""))</f>
        <v/>
      </c>
      <c r="Q824" s="132" t="str">
        <f>IF(M824="","",SUMIF(I835:S851,I824,S835:S851))</f>
        <v/>
      </c>
      <c r="R824" s="134" t="str">
        <f>IF(M824="","",L824+Q824)</f>
        <v/>
      </c>
      <c r="S824" s="203"/>
      <c r="T824" s="208">
        <v>2</v>
      </c>
      <c r="U824" s="209" t="str">
        <f>IF(M825="","",IF(COUNTIF(M824:M826,M825)=3,IF(COUNTBLANK(I824:I827)=1,(Q839+Q841)/(Q838+Q842),IF(COUNTBLANK(I824:I827)=0,(Q845+Q847)/(Q844+Q848),"")),""))</f>
        <v/>
      </c>
      <c r="V824" s="135"/>
      <c r="W824" s="212" t="str">
        <f>IF(AND(COUNTBLANK(I824:I827)=0,M825=M824,M824=M827),(Q847+Q839)/(Q848+Q838),"")</f>
        <v/>
      </c>
      <c r="X824" s="213" t="str">
        <f>IF(AND(COUNTBLANK(I824:I827)=0,M825=M826,M826=M827),(Q845+Q839)/(Q844+Q838),"")</f>
        <v/>
      </c>
      <c r="Y824" s="214">
        <v>1</v>
      </c>
      <c r="Z824" s="215" t="str">
        <f>IF(U823="","",IF(OR(Group_players=3,AND(Group_players=4,COUNTBLANK(I824:I827)=1)),IF(COUNTIF(M824:M826,M824)=1,"",IF(AND(U823=U824,U824=U825),Z828,IF(AND(U823&lt;&gt;U824,U823&lt;&gt;U825,U824&lt;&gt;U825),(IF(SMALL(U823:U825,1)=U823,1,IF(SMALL(U823:U825,2)=U823,2,IF(SMALL(U823:U825,3)=U823,3)))),IF(AND(U823&lt;U824,U824=U825),1,IF(AND(U823&gt;U824,U824=U825),3,IF(AND(U823=U824,U823&lt;U825),(IF(Q841=3,1,2)),IF(AND(U823=U824,U823&gt;U825),(IF(Q841=3,2,3)),IF(AND(U823=U825,U823&lt;U824),(IF(Q835=3,1,2)),IF(AND(U823=U825,U823&gt;U824),(IF(Q835=3,2,3)),99))))))))),""))</f>
        <v/>
      </c>
      <c r="AA824" s="216">
        <v>1</v>
      </c>
      <c r="AB824" s="217" t="str">
        <f>IF(COUNTIF(M824:M827,M824)&lt;&gt;2,"",IF(COUNTIF(M824:M827,M824)=1,"",IF(AND(COUNTIF(M824:M827,M824)=2,M824=2),IF(M824=M825,IF(Q847=3,1,2),IF(M824=M826,IF(Q835=3,1,2),IF(M824=M827,IF(Q841=3,1,2)))),IF(AND(COUNTIF(M824:M827,M824)=2,M824=1),IF(M824=M825,IF(Q847=3,3,4),IF(M824=M826,IF(Q835=3,3,4),IF(M824=M827,IF(Q841=3,3,4)))),IF(COUNTIF(M824:M827,M824)=3,AB828)))))</f>
        <v/>
      </c>
      <c r="AC824" s="192"/>
      <c r="AD824" s="192"/>
      <c r="AE824" s="192"/>
      <c r="AF824" s="203"/>
      <c r="AG824" s="203"/>
      <c r="AH824" s="203"/>
      <c r="AI824" s="203"/>
      <c r="AJ824" s="203"/>
      <c r="AK824" s="203"/>
      <c r="AL824" s="203"/>
      <c r="AM824" s="203"/>
      <c r="AN824" s="192"/>
      <c r="AO824" s="192"/>
      <c r="AP824" s="192"/>
      <c r="AQ824" s="192"/>
      <c r="AR824" s="192"/>
      <c r="AS824" s="192"/>
      <c r="AT824" s="192"/>
      <c r="AU824" s="192"/>
      <c r="AV824" s="192"/>
      <c r="AW824" s="192"/>
      <c r="AX824" s="192"/>
    </row>
    <row r="825" spans="2:50" ht="15" customHeight="1" thickTop="1" thickBot="1" x14ac:dyDescent="0.35">
      <c r="B825" s="192"/>
      <c r="C825" s="192"/>
      <c r="D825" s="192"/>
      <c r="E825" s="192"/>
      <c r="F825" s="192" t="str">
        <f>IF(I825="","",VLOOKUP(I825,Siembra,2,FALSE))</f>
        <v/>
      </c>
      <c r="G825" s="192" t="str">
        <f>O825</f>
        <v/>
      </c>
      <c r="H825" s="192">
        <v>2</v>
      </c>
      <c r="I825" s="128" t="str">
        <f>IF(K825="","",IF(ISNUMBER(Sorteo!$A$17),VLOOKUP(K825,Draw,2,FALSE),""))</f>
        <v/>
      </c>
      <c r="J825" s="129" t="str">
        <f>O825</f>
        <v/>
      </c>
      <c r="K825" s="136" t="str">
        <f>IF($K$9="","",IF(Group_players=4,IF(Tablas!CD$4="","",Tablas!CD$4),IF(Group_players=3,IF(Tablas!CD$12="","",Tablas!CD$12),"")))</f>
        <v/>
      </c>
      <c r="L825" s="137" t="str">
        <f>IF(K825="","",VLOOKUP(I825,Siembra,3,FALSE))</f>
        <v/>
      </c>
      <c r="M825" s="132" t="str">
        <f>IF(AND(L835="",L836=""),"",IF(I825="","",SUMIFS(E835:E852,I835:I852,I825)))</f>
        <v/>
      </c>
      <c r="N825" s="138" t="str">
        <f>IF(M825="","",IF(I825="","",SUMIFS(F835:F851,I835:I851,I825)))</f>
        <v/>
      </c>
      <c r="O825" s="132" t="str">
        <f>IF(M825="","",IF(COUNTBLANK(I824:I827)=1,IF(M825=2,1,IF(M825=0,3,IF(AND(M825=1,M826&lt;&gt;1),2,IF(COUNTIF(M824:M827,1)&gt;1,Z825)))),IF(COUNTBLANK(I824:I827)=0,IF(COUNTIF(M824:M827,M825)=1,IF(M825=3,1,IF(M825=2,2,IF(M825=1,3,IF(M825=0,4)))),IF(Group_players=3,Z825,IF(COUNTIF(M824:M827,M825)=2,AB825,IF(AND(M825=M824,M824=M826),AB829,IF(AND(M825=M824,M824=M827),AB835,IF(AND(M825=M826,M826=M827),AB837,"")))))))))</f>
        <v/>
      </c>
      <c r="P825" s="133" t="str">
        <f>IF(COUNT(U823:X834)=3,IF(ISNUMBER(U824),U824,IF(ISNUMBER(W824),W824,IF(ISNUMBER(X824),X824,IF(X824="","")))),IF(COUNT(U823:X834)=6,IF(ISNUMBER(U832),U832,IF(ISNUMBER(W832),W832,IF(ISNUMBER(X832),X832,IF(ISBLANK(X831),"")))),""))</f>
        <v/>
      </c>
      <c r="Q825" s="138" t="str">
        <f>IF(M825="","",SUMIF(I835:S851,I825,S835:$S851))</f>
        <v/>
      </c>
      <c r="R825" s="139" t="str">
        <f>IF(M825="","",L825+Q825)</f>
        <v/>
      </c>
      <c r="S825" s="203"/>
      <c r="T825" s="208">
        <v>3</v>
      </c>
      <c r="U825" s="209" t="str">
        <f>IF(M826="","",IF(COUNTIF(M824:M826,M826)=3,IF(COUNTBLANK(I824:I827)=1,(Q835+Q838)/(Q836+Q839),IF(COUNTBLANK(I824:I827)=0,(Q835+Q844)/(Q836+Q845),"")),""))</f>
        <v/>
      </c>
      <c r="V825" s="125" t="str">
        <f>IF(AND(COUNTBLANK(I824:I827)=0,M826=M827,M827=M824),(Q835+Q851)/(Q836+Q850),"")</f>
        <v/>
      </c>
      <c r="W825" s="218"/>
      <c r="X825" s="213" t="str">
        <f>IF(AND(COUNTBLANK(I824:I827)=0,M826=M827,M827=M825),(Q844+Q851)/(Q845+Q850),"")</f>
        <v/>
      </c>
      <c r="Y825" s="219">
        <v>2</v>
      </c>
      <c r="Z825" s="220" t="str">
        <f>IF(U824="","",IF(OR(Group_players=3,AND(Group_players=4,COUNTBLANK(I824:I827)=1)),IF(COUNTIF(M824:M826,M825)=1,"",IF(AND(U824=U823,U824=U825),Z829,IF(AND(U824&lt;&gt;U823,U824&lt;&gt;U825,U823&lt;&gt;U825),(IF(SMALL(U823:U825,1)=U824,1,IF(SMALL(U823:U825,2)=U824,2,IF(SMALL(U823:U825,3)=U824,3)))),IF(AND(U824&lt;U823,U823=U825),1,IF(AND(U824&gt;U823,U823=U825),3,IF(AND(U824=U823,U824&lt;U825),(IF(Q842=3,1,2)),IF(AND(U824=U823,U824&gt;U825),(IF(Q842=3,2,3)),IF(AND(U824=U825,U824&lt;U823),(IF(Q838=3,1,2)),IF(AND(U824=U825,U824&gt;U823),(IF(Q838=3,2,3)),99))))))))),""))</f>
        <v/>
      </c>
      <c r="AA825" s="221">
        <v>2</v>
      </c>
      <c r="AB825" s="222" t="str">
        <f>IF(COUNTIF(M824:M827,M825)&lt;&gt;2,"",IF(COUNTIF(M824:M827,M825)=1,"",IF(AND(COUNTIF(M824:M827,M825)=2,M825=2),IF(M825=M824,IF(Q848=3,1,2),IF(M825=M826,IF(Q844=3,1,2),IF(M825=M827,IF(Q838=3,1,2)))),IF(AND(COUNTIF(M824:M827,M825)=2,M825=1),IF(M825=M824,IF(Q848=3,3,4),IF(M825=M826,IF(Q844=3,3,4),IF(M825=M827,IF(Q838=3,3,4)))),AB830))))</f>
        <v/>
      </c>
      <c r="AC825" s="192"/>
      <c r="AD825" s="192"/>
      <c r="AE825" s="192"/>
      <c r="AF825" s="203"/>
      <c r="AG825" s="203"/>
      <c r="AH825" s="203"/>
      <c r="AI825" s="203"/>
      <c r="AJ825" s="203"/>
      <c r="AK825" s="203"/>
      <c r="AL825" s="203"/>
      <c r="AM825" s="203"/>
      <c r="AN825" s="192"/>
      <c r="AO825" s="192"/>
      <c r="AP825" s="192"/>
      <c r="AQ825" s="192"/>
      <c r="AR825" s="192"/>
      <c r="AS825" s="192"/>
      <c r="AT825" s="192"/>
      <c r="AU825" s="192"/>
      <c r="AV825" s="192"/>
      <c r="AW825" s="192"/>
      <c r="AX825" s="192"/>
    </row>
    <row r="826" spans="2:50" ht="15" customHeight="1" thickBot="1" x14ac:dyDescent="0.35">
      <c r="B826" s="192"/>
      <c r="C826" s="192"/>
      <c r="D826" s="192"/>
      <c r="E826" s="192"/>
      <c r="F826" s="192" t="str">
        <f>IF(I826="","",VLOOKUP(I826,Siembra,2,FALSE))</f>
        <v/>
      </c>
      <c r="G826" s="192" t="str">
        <f>O826</f>
        <v/>
      </c>
      <c r="H826" s="192">
        <v>3</v>
      </c>
      <c r="I826" s="128" t="str">
        <f>IF(K826="","",IF(ISNUMBER(Sorteo!$A$17),VLOOKUP(K826,Draw,2,FALSE),""))</f>
        <v/>
      </c>
      <c r="J826" s="129" t="str">
        <f>O826</f>
        <v/>
      </c>
      <c r="K826" s="136" t="str">
        <f>IF($K$9="","",IF(Group_players=4,IF(Tablas!CD$5="","",Tablas!CD$5),IF(Group_players=3,IF(Tablas!CD$13="","",Tablas!CD$13),"")))</f>
        <v/>
      </c>
      <c r="L826" s="137" t="str">
        <f>IF(K826="","",VLOOKUP(I826,Siembra,3,FALSE))</f>
        <v/>
      </c>
      <c r="M826" s="132" t="str">
        <f>IF(AND(L836="",L835=""),"",IF(I826="","",SUMIFS(E835:E853,I835:I853,I826)))</f>
        <v/>
      </c>
      <c r="N826" s="138" t="str">
        <f>IF(M826="","",IF(I826="","",SUMIFS(F835:F851,I835:I851,I826)))</f>
        <v/>
      </c>
      <c r="O826" s="132" t="str">
        <f>IF(M826="","",IF(COUNTBLANK(I824:I827)=1,IF(M826=2,1,IF(M826=0,3,IF(AND(M826=1,M826&lt;&gt;M824),2,IF(COUNTIF(M824:M827,1)&gt;1,Z826)))),IF(COUNTBLANK(I824:I827)=0,IF(COUNTIF(M824:M827,M826)=1,IF(M826=3,1,IF(M826=2,2,IF(M826=1,3,IF(M826=0,4)))),IF(Group_players=3,Z826,IF(COUNTIF(M824:M827,M826)=2,AB826,IF(AND(M826=M824,M824=M825),AB830,IF(AND(M826=M824,M824=M827),AB832,IF(AND(M826=M825,M825=M827),AB838,"")))))))))</f>
        <v/>
      </c>
      <c r="P826" s="133" t="str">
        <f>IF(COUNT(U823:X834)=3,IF(ISNUMBER(U825),U825,IF(ISNUMBER(V825),V825,IF(ISNUMBER(X825),X825,IF(W825="","")))),IF(COUNT(U823:X834)=6,IF(ISNUMBER(U833),U833,IF(ISNUMBER(V833),V833,IF(ISNUMBER(X833),X833,""))),""))</f>
        <v/>
      </c>
      <c r="Q826" s="138" t="str">
        <f>IF(M826="","",SUMIF(I835:S851,I826,S835:S851))</f>
        <v/>
      </c>
      <c r="R826" s="139" t="str">
        <f>IF(M826="","",L826+Q826)</f>
        <v/>
      </c>
      <c r="S826" s="203"/>
      <c r="T826" s="208">
        <v>4</v>
      </c>
      <c r="U826" s="223"/>
      <c r="V826" s="140" t="str">
        <f>IF(AND(COUNTBLANK(I824:I827)=0,M827=M824,M824=M826),(Q841+Q850)/(Q842+Q851),"")</f>
        <v/>
      </c>
      <c r="W826" s="224" t="str">
        <f>IF(AND(COUNTBLANK(I824:I827)=0,M827=M824,M824=M825),(Q841+Q838)/(Q842+Q839),"")</f>
        <v/>
      </c>
      <c r="X826" s="225" t="str">
        <f>IF(AND(COUNTBLANK(I824:I827)=0,M827=M825,M825=M826),(Q838+Q850)/(Q839+Q851),"")</f>
        <v/>
      </c>
      <c r="Y826" s="226">
        <v>3</v>
      </c>
      <c r="Z826" s="227" t="str">
        <f>IF(U825="","",IF(OR(Group_players=3,AND(Group_players=4,COUNTBLANK(I824:I827)=1)),IF(COUNTIF(M824:M826,M826)=1,"",IF(AND(U825=U823,U825=U824),Z830,IF(AND(U825&lt;&gt;U824,U824&lt;&gt;U823,U825&lt;&gt;U823),(IF(SMALL(U823:U825,1)=U825,1,IF(SMALL(U823:U825,2)=U825,2,IF(SMALL(U823:U825,3)=U825,3)))),IF(AND(U825&lt;U824,U824=U823),1,IF(AND(U825&gt;U824,U824=U823),3,IF(AND(U825=U824,U825&lt;U823),(IF(Q839=3,1,2)),IF(AND(U825=U824,U825&gt;U823),(IF(Q839=3,2,3)),IF(AND(U825=U823,U825&lt;U824),(IF(Q836=3,1,2)),IF(AND(U825=U823,U825&gt;U824),(IF(Q836=3,2,3)),99))))))))),""))</f>
        <v/>
      </c>
      <c r="AA826" s="221">
        <v>3</v>
      </c>
      <c r="AB826" s="222" t="str">
        <f>IF(COUNTIF(M824:M827,M826)&lt;&gt;2,"",IF(COUNTIF(M824:M827,M826)=1,"",IF(AND(COUNTIF(M824:M827,M826)=2,M826=2),IF(M826=M824,IF(Q836=3,1,2),IF(M826=M825,IF(Q845=3,1,2),IF(M826=M827,IF(Q850=3,1,2)))),IF(AND(COUNTIF(M824:M827,M826)=2,M826=1),IF(M826=M824,IF(Q836=3,3,4),IF(M826=M825,IF(Q845=3,3,4),IF(M826=M827,IF(Q850=3,3,4)))),AB830))))</f>
        <v/>
      </c>
      <c r="AC826" s="192"/>
      <c r="AD826" s="192"/>
      <c r="AE826" s="192"/>
      <c r="AF826" s="203"/>
      <c r="AG826" s="203"/>
      <c r="AH826" s="203"/>
      <c r="AI826" s="203"/>
      <c r="AJ826" s="203"/>
      <c r="AK826" s="203"/>
      <c r="AL826" s="203"/>
      <c r="AM826" s="203"/>
      <c r="AN826" s="192"/>
      <c r="AO826" s="192"/>
      <c r="AP826" s="192"/>
      <c r="AQ826" s="192"/>
      <c r="AR826" s="192"/>
      <c r="AS826" s="192"/>
      <c r="AT826" s="192"/>
      <c r="AU826" s="192"/>
      <c r="AV826" s="192"/>
      <c r="AW826" s="192"/>
      <c r="AX826" s="192"/>
    </row>
    <row r="827" spans="2:50" ht="15" customHeight="1" thickTop="1" thickBot="1" x14ac:dyDescent="0.35">
      <c r="B827" s="192"/>
      <c r="C827" s="192"/>
      <c r="D827" s="192"/>
      <c r="E827" s="192"/>
      <c r="F827" s="192" t="str">
        <f>IF(I827="","",VLOOKUP(I827,Siembra,2,FALSE))</f>
        <v/>
      </c>
      <c r="G827" s="192" t="str">
        <f>O827</f>
        <v/>
      </c>
      <c r="H827" s="192">
        <v>4</v>
      </c>
      <c r="I827" s="141" t="str">
        <f>IF(K827="","",IF(ISNUMBER(Sorteo!$A$17),VLOOKUP(K827,Draw,2,FALSE),""))</f>
        <v/>
      </c>
      <c r="J827" s="142" t="str">
        <f>O827</f>
        <v/>
      </c>
      <c r="K827" s="143" t="str">
        <f>IF($K$9="","",IF(Group_players=4,IF(Tablas!CD6="","",Tablas!CD6),""))</f>
        <v/>
      </c>
      <c r="L827" s="144" t="str">
        <f>IF(K827="","",VLOOKUP(I827,Siembra,3,FALSE))</f>
        <v/>
      </c>
      <c r="M827" s="145" t="str">
        <f>IF(AND(Q838="",Q839=""),"",IF(I827="","",SUMIFS(E835:E854,I835:I854,I827)))</f>
        <v/>
      </c>
      <c r="N827" s="145" t="str">
        <f>IF(M827="","",IF(I827="","",SUMIFS(F835:F851,I835:I851,I827)))</f>
        <v/>
      </c>
      <c r="O827" s="145" t="str">
        <f>IF(M827="","",IF(COUNTIF(M824:M827,M827)=1,IF(M827=3,1,IF(M827=2,2,IF(M827=1,3,IF(M827=0,4)))),IF(COUNTIF(M824:M827,M827)=2,AB827,IF(AND(M827=M824,M824=M826),AB833,IF(AND(M827=M824,M824=M825),AB836,IF(AND(M827=M825,M825=M826),AB839,""))))))</f>
        <v/>
      </c>
      <c r="P827" s="146" t="str">
        <f>IF(COUNT(U823:X834)=3,IF(ISNUMBER(V826),V826,IF(ISNUMBER(W826),W826,IF(ISNUMBER(X826),X826,IF(X826="","")))),IF(COUNT(U823:X834)=6,IF(ISNUMBER(V834),V834,IF(ISNUMBER(W834),W834,IF(ISNUMBER(X834),X834,""))),""))</f>
        <v/>
      </c>
      <c r="Q827" s="145" t="str">
        <f>IF(M827="","",SUMIF(I835:S851,I827,S835:$S851))</f>
        <v/>
      </c>
      <c r="R827" s="147" t="str">
        <f>IF(M827="","",L827+Q827)</f>
        <v/>
      </c>
      <c r="S827" s="203"/>
      <c r="T827" s="192"/>
      <c r="U827" s="192"/>
      <c r="V827" s="192"/>
      <c r="W827" s="192"/>
      <c r="X827" s="192"/>
      <c r="Y827" s="230" t="s">
        <v>93</v>
      </c>
      <c r="Z827" s="231" t="s">
        <v>110</v>
      </c>
      <c r="AA827" s="232">
        <v>4</v>
      </c>
      <c r="AB827" s="233" t="str">
        <f>IF(COUNTIF(M824:M827,M827)&lt;&gt;2,"",IF(COUNTIF(M824:M827,M827)=1,"",IF(AND(COUNTIF(M824:M827,M827)=2,M827=2),IF(M827=M824,IF(Q842=3,1,2),IF(M827=M825,IF(Q839=3,1,2),IF(M827=M826,IF(Q851=3,1,2)))),IF(AND(COUNTIF(M824:M827,M827)=2,M827=1),IF(M827=M824,IF(Q842=3,3,4),IF(M827=M825,IF(Q839=3,3,4),IF(M827=M826,IF(Q851=3,3,4)))),AB833))))</f>
        <v/>
      </c>
      <c r="AC827" s="192"/>
      <c r="AD827" s="192"/>
      <c r="AE827" s="192"/>
      <c r="AF827" s="203"/>
      <c r="AG827" s="203"/>
      <c r="AH827" s="203"/>
      <c r="AI827" s="203"/>
      <c r="AJ827" s="203"/>
      <c r="AK827" s="203"/>
      <c r="AL827" s="203"/>
      <c r="AM827" s="203"/>
      <c r="AN827" s="192"/>
      <c r="AO827" s="192"/>
      <c r="AP827" s="192"/>
      <c r="AQ827" s="192"/>
      <c r="AR827" s="192"/>
      <c r="AS827" s="192"/>
      <c r="AT827" s="192"/>
      <c r="AU827" s="192"/>
      <c r="AV827" s="192"/>
      <c r="AW827" s="192"/>
      <c r="AX827" s="192"/>
    </row>
    <row r="828" spans="2:50" ht="15" customHeight="1" thickTop="1" x14ac:dyDescent="0.3">
      <c r="B828" s="192"/>
      <c r="C828" s="192"/>
      <c r="D828" s="192"/>
      <c r="E828" s="192"/>
      <c r="F828" s="192"/>
      <c r="G828" s="192"/>
      <c r="H828" s="192"/>
      <c r="I828" s="192"/>
      <c r="J828" s="192"/>
      <c r="K828" s="192"/>
      <c r="L828" s="192"/>
      <c r="M828" s="192"/>
      <c r="N828" s="192"/>
      <c r="O828" s="192"/>
      <c r="P828" s="192"/>
      <c r="Q828" s="192"/>
      <c r="R828" s="192"/>
      <c r="S828" s="192"/>
      <c r="T828" s="208"/>
      <c r="U828" s="192"/>
      <c r="V828" s="148"/>
      <c r="W828" s="148"/>
      <c r="X828" s="234"/>
      <c r="Y828" s="214">
        <v>1</v>
      </c>
      <c r="Z828" s="215" t="str">
        <f>IF(U831="","",IF(OR(Group_players=3,AND(Group_players=4,COUNTBLANK(I824:I827)=1)),IF(COUNTIF(M824:M826,M824)=1,"",IF(COUNTIF(U823:U825,U823)=3,IF(AND(U831=U832,U832=U833),"Tied",IF(AND(U831&lt;&gt;U832,U831&lt;&gt;U833,U832&lt;&gt;U833),(IF(SMALL(U831:U833,1)=U831,1,IF(SMALL(U831:U833,2)=U831,2,IF(SMALL(U831:U833,3)=U831,3)))),IF(AND(U831&lt;U832,U832=U833),1,IF(AND(U831&gt;U832,U832=U833),3,IF(AND(U831=U832,U831&lt;U833),(IF(Q841=3,1,2)),IF(AND(U831=U832,U831&gt;U833),(IF(Q841=3,2,3)),IF(AND(U831=U833,U831&lt;U832),(IF(Q835=3,1,2)),IF(AND(U831=U833,U831&gt;U832),(IF(Q835=3,2,3)),99)))))))),"")),""))</f>
        <v/>
      </c>
      <c r="AA828" s="208">
        <v>1</v>
      </c>
      <c r="AB828" s="222" t="str">
        <f>IF(AND(COUNTBLANK(I824:I827)=0,Group_players=4,M824=M825,M825=M826),IF(COUNTIF(U823:U826,U823)=3,AB841,IF(AND(COUNTIF(U823:U826,U823)=1,U824&lt;&gt;U825),IF(M824=2,IF(SMALL(U823:U826,1)=U823,1,IF(SMALL(U823:U826,2)=U823,2,IF(SMALL(U823:U826,3)=U823,3))),IF(M824=1,IF(SMALL(U823:U826,1)=U823,2,IF(SMALL(U823:U826,2)=U823,3,IF(SMALL(U823:U826,3)=U823,4))),"")),IF(COUNTIF(U823:U826,U823)=1,IF(U823&lt;U824,IF(M824=2,1,2),IF(M824=2,3,4)),IF(COUNTIF(U823:U826,U823)=2,IF(U823=U824,IF(U823&lt;U825,IF(M824=2,IF(Q847=3,1,2),IF(M824=1,IF(Q847=3,2,3))),IF(U823&gt;U825,IF(M824=2,IF(Q847=3,2,3),IF(M824=1,IF(Q847=3,3,4))))),IF(U823=U825,IF(U823&lt;U824,IF(M824=2,IF(Q835=3,1,2),IF(M824=1,IF(Q835=3,2,3))),IF(U823&gt;U824,IF(M824=2,IF(Q835=3,2,3),IF(M824=1,IF(Q835=3,3,4))))))),"")))),"")</f>
        <v/>
      </c>
      <c r="AC828" s="192"/>
      <c r="AD828" s="192"/>
      <c r="AE828" s="269"/>
      <c r="AF828" s="203"/>
      <c r="AG828" s="203"/>
      <c r="AH828" s="203"/>
      <c r="AI828" s="203"/>
      <c r="AJ828" s="203"/>
      <c r="AK828" s="203"/>
      <c r="AL828" s="203"/>
      <c r="AM828" s="203"/>
      <c r="AN828" s="192"/>
      <c r="AO828" s="192"/>
      <c r="AP828" s="192"/>
      <c r="AQ828" s="192"/>
      <c r="AR828" s="192"/>
      <c r="AS828" s="192"/>
      <c r="AT828" s="192"/>
      <c r="AU828" s="192"/>
      <c r="AV828" s="192"/>
      <c r="AW828" s="192"/>
      <c r="AX828" s="192"/>
    </row>
    <row r="829" spans="2:50" ht="15" customHeight="1" thickBot="1" x14ac:dyDescent="0.35">
      <c r="B829" s="192"/>
      <c r="C829" s="192"/>
      <c r="D829" s="192"/>
      <c r="E829" s="192"/>
      <c r="F829" s="192"/>
      <c r="G829" s="192"/>
      <c r="H829" s="192"/>
      <c r="I829" s="269"/>
      <c r="J829" s="269"/>
      <c r="K829" s="192"/>
      <c r="L829" s="192"/>
      <c r="M829" s="192"/>
      <c r="N829" s="192"/>
      <c r="O829" s="192"/>
      <c r="P829" s="192"/>
      <c r="Q829" s="192"/>
      <c r="R829" s="192"/>
      <c r="S829" s="192"/>
      <c r="T829" s="208"/>
      <c r="U829" s="368" t="s">
        <v>111</v>
      </c>
      <c r="V829" s="369"/>
      <c r="W829" s="369"/>
      <c r="X829" s="369"/>
      <c r="Y829" s="236">
        <v>2</v>
      </c>
      <c r="Z829" s="220" t="str">
        <f>IF(U824="","",IF(OR(Group_players=3,AND(Group_players=4,COUNTBLANK(I824:I827)=1)),IF(COUNTIF(M824:M826,M825)=1,"",IF(COUNTIF(U823:U825,U824)=3,IF(AND(U832=U831,U832=U833),"Tied",IF(AND(U832&lt;&gt;U831,U832&lt;&gt;U833,U831&lt;&gt;U833),(IF(SMALL(U831:U833,1)=U832,1,IF(SMALL(U831:U833,2)=U832,2,IF(SMALL(U831:U833,3)=U832,3)))),IF(AND(U832&lt;U831,U831=U833),1,IF(AND(U832&gt;U831,U831=U833),3,IF(AND(U832=U831,U832&lt;U833),(IF(Q842=3,1,2)),IF(AND(U832=U831,U832&gt;U833),(IF(Q842=3,2,3)),IF(AND(U832=U833,U832&lt;U831),(IF(Q838=3,1,2)),IF(AND(U832=U833,U832&gt;U831),(IF(Q838=3,2,3)),99)))))))),"")),""))</f>
        <v/>
      </c>
      <c r="AA829" s="208">
        <v>2</v>
      </c>
      <c r="AB829" s="222" t="str">
        <f>IF(AND(COUNTBLANK(I824:I827)=0,Group_players=4,M824=M825,M825=M826),IF(COUNTIF(U823:U826,U824)=3,AB842,IF(AND(COUNTIF(U823:U826,U824)=1,U823&lt;&gt;U825),IF(M825=2,IF(SMALL(U823:U826,1)=U824,1,IF(SMALL(U823:U826,2)=U824,2,IF(SMALL(U823:U826,3)=U824,3))),IF(M825=1,IF(SMALL(U823:U826,1)=U824,2,IF(SMALL(U823:U826,2)=U824,3,IF(SMALL(U823:U826,3)=U824,4))),"")),IF(COUNTIF(U823:U825,U824)=1,IF(U824&lt;U823,IF(M825=2,1,2),IF(M825=2,3,99)),IF(COUNTIF(U823:U826,U824)=2,IF(U824=U823,IF(U824&lt;U825,IF(M825=2,IF(Q848=3,1,2),IF(M825=1,IF(Q848=3,2,3))),IF(U824&gt;U825,IF(M825=2,IF(Q848=3,2,3),IF(M825=1,IF(Q848=3,3,4))))),IF(U824=U825,IF(U824&lt;U823,IF(M825=2,IF(Q844=3,1,2),IF(M825=1,IF(Q844=3,2,3))),IF(U824&gt;U823,IF(M825=2,IF(Q844=3,2,3),IF(M825=1,IF(Q844=3,3,4))))))),"")))),"")</f>
        <v/>
      </c>
      <c r="AC829" s="192"/>
      <c r="AD829" s="192"/>
      <c r="AE829" s="192"/>
      <c r="AF829" s="203"/>
      <c r="AG829" s="203"/>
      <c r="AH829" s="203"/>
      <c r="AI829" s="203"/>
      <c r="AJ829" s="203"/>
      <c r="AK829" s="203"/>
      <c r="AL829" s="203"/>
      <c r="AM829" s="203"/>
      <c r="AN829" s="192"/>
      <c r="AO829" s="192"/>
      <c r="AP829" s="192"/>
      <c r="AQ829" s="192"/>
      <c r="AR829" s="192"/>
      <c r="AS829" s="192"/>
      <c r="AT829" s="192"/>
      <c r="AU829" s="192"/>
      <c r="AV829" s="192"/>
      <c r="AW829" s="192"/>
      <c r="AX829" s="192"/>
    </row>
    <row r="830" spans="2:50" ht="15" customHeight="1" thickTop="1" thickBot="1" x14ac:dyDescent="0.35">
      <c r="B830" s="192"/>
      <c r="C830" s="192"/>
      <c r="D830" s="192"/>
      <c r="E830" s="192"/>
      <c r="F830" s="192"/>
      <c r="G830" s="192"/>
      <c r="H830" s="192"/>
      <c r="I830" s="192"/>
      <c r="J830" s="192"/>
      <c r="K830" s="192"/>
      <c r="L830" s="192"/>
      <c r="M830" s="192"/>
      <c r="N830" s="192"/>
      <c r="O830" s="192"/>
      <c r="P830" s="192"/>
      <c r="Q830" s="192"/>
      <c r="R830" s="192"/>
      <c r="S830" s="192"/>
      <c r="T830" s="120"/>
      <c r="U830" s="121" t="s">
        <v>101</v>
      </c>
      <c r="V830" s="122" t="s">
        <v>102</v>
      </c>
      <c r="W830" s="122" t="s">
        <v>103</v>
      </c>
      <c r="X830" s="123" t="s">
        <v>104</v>
      </c>
      <c r="Y830" s="238">
        <v>3</v>
      </c>
      <c r="Z830" s="239" t="str">
        <f>IF(U825="","",IF(OR(Group_players=3,AND(Group_players=4,COUNTBLANK(I824:I827)=1)),IF(COUNTIF(M824:M826,M826)=1,"",IF(COUNTIF(U823:U825,U825)=3,IF(AND(U833=U831,U833=U832),"Tied",IF(AND(U833&lt;&gt;U832,U832&lt;&gt;U831,U833&lt;&gt;U831),(IF(SMALL(U831:U833,1)=U833,1,IF(SMALL(U831:U833,2)=U833,2,IF(SMALL(U831:U833,3)=U833,3)))),IF(AND(U833&lt;U832,U832=U831),1,IF(AND(U833&gt;U832,U832=U831),3,IF(AND(U833=U832,U833&lt;U831),(IF(Q839=3,1,2)),IF(AND(U833=U832,U833&gt;U831),(IF(Q839=3,2,3)),IF(AND(U833=U831,U833&lt;U832),(IF(Q836=3,1,2)),IF(AND(U833=U831,U833&gt;U832),(IF(Q836=3,2,3)),99)))))))),"")),""))</f>
        <v/>
      </c>
      <c r="AA830" s="240">
        <v>3</v>
      </c>
      <c r="AB830" s="241" t="str">
        <f>IF(AND(COUNTBLANK(I824:I827)=0,Group_players=4,M824=M825,M825=M826),IF(COUNTIF(U823:U826,U825)=3,AB843,IF(AND(COUNTIF(U823:U826,U825)=1,U823&lt;&gt;U824),IF(M824=2,IF(SMALL(U823:U826,1)=U825,1,IF(SMALL(U823:U826,2)=U825,2,IF(SMALL(U823:U826,3)=U825,3))),IF(M826=1,IF(SMALL(U823:U826,1)=U825,2,IF(SMALL(U823:U826,2)=U825,3,IF(SMALL(U823:U826,3)=U825,4))),"")),IF(COUNTIF(U823:U826,U825)=1,IF(U825&lt;U824,IF(M826=2,1,2),IF(M826=2,3,4)),IF(COUNTIF(U823:U826,U825)=2,IF(U825=U824,IF(U825&lt;U823,IF(M826=2,IF(Q845=3,1,2),IF(M826=1,IF(Q845=3,2,3))),IF(U825&gt;U823,IF(M826=2,IF(Q845=3,2,3),IF(M826=1,IF(Q845=3,3,4))))),IF(U825=U823,IF(U825&lt;U824,IF(M826=2,IF(Q836=3,1,2),IF(M826=1,IF(Q836=3,2,3))),IF(U825&gt;U824,IF(M826=2,IF(Q836=3,2,3),IF(M826=1,IF(Q836=3,3,4))))))),"")))),"")</f>
        <v/>
      </c>
      <c r="AC830" s="192"/>
      <c r="AD830" s="192"/>
      <c r="AE830" s="192"/>
      <c r="AF830" s="203"/>
      <c r="AG830" s="203"/>
      <c r="AH830" s="203"/>
      <c r="AI830" s="203"/>
      <c r="AJ830" s="203"/>
      <c r="AK830" s="203"/>
      <c r="AL830" s="203"/>
      <c r="AM830" s="203"/>
      <c r="AN830" s="192"/>
      <c r="AO830" s="192"/>
      <c r="AP830" s="192"/>
      <c r="AQ830" s="192"/>
      <c r="AR830" s="192"/>
      <c r="AS830" s="192"/>
      <c r="AT830" s="192"/>
      <c r="AU830" s="192"/>
      <c r="AV830" s="192"/>
      <c r="AW830" s="192"/>
      <c r="AX830" s="192"/>
    </row>
    <row r="831" spans="2:50" ht="15" customHeight="1" thickTop="1" thickBot="1" x14ac:dyDescent="0.35">
      <c r="B831" s="192"/>
      <c r="C831" s="192"/>
      <c r="D831" s="192"/>
      <c r="E831" s="192"/>
      <c r="F831" s="192"/>
      <c r="G831" s="192"/>
      <c r="H831" s="192"/>
      <c r="I831" s="192"/>
      <c r="J831" s="192"/>
      <c r="K831" s="192"/>
      <c r="L831" s="192"/>
      <c r="M831" s="192"/>
      <c r="N831" s="192"/>
      <c r="O831" s="192"/>
      <c r="P831" s="192"/>
      <c r="Q831" s="192"/>
      <c r="R831" s="192"/>
      <c r="S831" s="192"/>
      <c r="T831" s="208">
        <v>1</v>
      </c>
      <c r="U831" s="209" t="str">
        <f>IF(U823="","",IF(OR(U823&lt;&gt;U824,U823&lt;&gt;U825),"",IF(COUNTIF(M824:M826,M824)=1,"",IF(COUNTBLANK(I824:I827)=1,(SUM(L836:P836)+SUM(L842:P842))/(SUM(L835:P835)+SUM(L841:P841)),IF(COUNTBLANK(I824:I827)=0,(SUM(L848:P848)+SUM(L836:P836))/(SUM(L847:P847)+SUM(L835:P835)),"")))))</f>
        <v/>
      </c>
      <c r="V831" s="125" t="str">
        <f>IF(V823="","",IF(OR(V823&lt;&gt;V825,V823&lt;&gt;V826),"",IF(AND(COUNTBLANK(I824:I827)=0,M824=M826,M826=M827),(SUM(L836:P836)+SUM(L842:P842))/(SUM(L835:P835)+SUM(L841:P841)),"")))</f>
        <v/>
      </c>
      <c r="W831" s="210" t="str">
        <f>IF(W823="","",IF(OR(W823&lt;&gt;W824,W823&lt;&gt;W826),"",IF(AND(COUNTBLANK(I824:I827)=0,M824=M825,M825=M827),(SUM(L848:P848)+SUM(L842:P842))/(SUM(L847:P847)+SUM(L841:P841)),"")))</f>
        <v/>
      </c>
      <c r="X831" s="211"/>
      <c r="Y831" s="242"/>
      <c r="Z831" s="242"/>
      <c r="AA831" s="243">
        <v>1</v>
      </c>
      <c r="AB831" s="244" t="str">
        <f>IF(AND(COUNTBLANK(I824:I827)=0,Group_players=4,M824=M826,M826=M827),IF(COUNTIF(V823:V826,V823)=3,AB844,IF(AND(COUNTIF(V823:V826,V823)=1,V825&lt;&gt;U834),IF(M824=2,IF(SMALL(V823:V826,1)=V823,1,IF(SMALL(V823:V826,2)=V823,2,IF(SMALL(V823:V826,3)=V823,3))),IF(M824=1,IF(SMALL(V823:V826,1)=V823,2,IF(SMALL(V823:V826,2)=V823,3,IF(SMALL(V823:V826,3)=V823,4))),"")),IF(COUNTIF(V823:V826,V823)=1,IF(V823&lt;V825,IF(M824=2,1,2),IF(M824=2,3,4)),IF(COUNTIF(V823:V826,V823)=2,IF(V823=V825,IF(V823&lt;V826,IF(M824=2,IF(Q835=3,1,2),IF(M824=1,IF(Q835=3,2,3))),IF(V823&gt;V826,IF(M824=2,IF(Q835=3,2,3),IF(M824=1,IF(Q835=3,3,4))))),IF(V823=V826,IF(V823&lt;V825,IF(M824=2,IF(Q841=3,1,2),IF(M824=1,IF(Q841=3,2,3))),IF(V823&gt;V824,IF(M824=2,IF(Q841=3,2,3),IF(M824=1,IF(Q841=3,3,4))))))),"")))),"")</f>
        <v/>
      </c>
      <c r="AC831" s="192"/>
      <c r="AD831" s="192"/>
      <c r="AE831" s="192"/>
      <c r="AF831" s="203"/>
      <c r="AG831" s="203"/>
      <c r="AH831" s="203"/>
      <c r="AI831" s="203"/>
      <c r="AJ831" s="203"/>
      <c r="AK831" s="203"/>
      <c r="AL831" s="203"/>
      <c r="AM831" s="203"/>
      <c r="AN831" s="192"/>
      <c r="AO831" s="192"/>
      <c r="AP831" s="192"/>
      <c r="AQ831" s="192"/>
      <c r="AR831" s="192"/>
      <c r="AS831" s="192"/>
      <c r="AT831" s="192"/>
      <c r="AU831" s="192"/>
      <c r="AV831" s="192"/>
      <c r="AW831" s="192"/>
      <c r="AX831" s="192"/>
    </row>
    <row r="832" spans="2:50" ht="15" customHeight="1" thickTop="1" thickBot="1" x14ac:dyDescent="0.35">
      <c r="B832" s="192"/>
      <c r="C832" s="192"/>
      <c r="D832" s="192"/>
      <c r="E832" s="117"/>
      <c r="F832" s="117"/>
      <c r="G832" s="117"/>
      <c r="H832" s="192"/>
      <c r="I832" s="192"/>
      <c r="J832" s="192"/>
      <c r="K832" s="192"/>
      <c r="L832" s="192"/>
      <c r="M832" s="192"/>
      <c r="N832" s="192"/>
      <c r="O832" s="192"/>
      <c r="P832" s="192"/>
      <c r="Q832" s="192"/>
      <c r="R832" s="192"/>
      <c r="S832" s="394" t="s">
        <v>112</v>
      </c>
      <c r="T832" s="208">
        <v>2</v>
      </c>
      <c r="U832" s="209" t="str">
        <f>IF(U823="","",IF(OR(U824&lt;&gt;U823,U824&lt;&gt;U825),"",IF(COUNTIF(M824:M826,M825)=1,"",IF(COUNTBLANK(I824:I827)=1,(SUM(L839:P839)+SUM(L841:P841))/(SUM(L838:P838)+SUM(L842:P842)),IF(COUNTBLANK(I824:I827)=0,(SUM(L847:P847)+SUM(L845:P845))/(SUM(L848:P848)+SUM(L844:P844)))))))</f>
        <v/>
      </c>
      <c r="V832" s="135"/>
      <c r="W832" s="212" t="str">
        <f>IF(W823="","",IF(OR(W824&lt;&gt;W823,W824&lt;&gt;W826),"",IF(AND(COUNTBLANK(I824:I827)=0,M824=M825,M825=M827),(SUM(L839:P839)+SUM(L847:P847))/(SUM(L848:P848)+SUM(L838:P838)),"")))</f>
        <v/>
      </c>
      <c r="X832" s="245" t="str">
        <f>IF(X824="","",IF(OR(X824&lt;&gt;X825,X824&lt;&gt;X826),"",IF(AND(COUNTBLANK(I824:I827)=0,M825=M826,M826=M827),(SUM(L845:P845)+SUM(L839:P839))/(SUM(L844:P844)+SUM(L838:P838)),"")))</f>
        <v/>
      </c>
      <c r="Y832" s="242"/>
      <c r="Z832" s="203"/>
      <c r="AA832" s="246">
        <v>3</v>
      </c>
      <c r="AB832" s="222" t="str">
        <f>IF(AND(COUNTBLANK(I824:I827)=0,Group_players=4,M824=M826,M826=M827),IF(COUNTIF(V823:V826,V825)=3,AB845,IF(AND(COUNTIF(V823:V826,V825)=1,V823&lt;&gt;V826),IF(M826=2,IF(SMALL(V823:V826,1)=V825,1,IF(SMALL(V823:V826,2)=V825,2,IF(SMALL(V823:V826,3)=V825,3))),IF(M826=1,IF(SMALL(V823:V826,1)=V825,2,IF(SMALL(V823:V826,2)=V825,3,IF(SMALL(V823:V826,3)=V825,4))),"")),IF(COUNTIF(V823:V826,V825)=1,IF(V825&lt;V823,IF(M826=2,1,2),IF(M826=2,3,4)),IF(COUNTIF(V823:V826,V825)=2,IF(V825=V823,IF(V825&lt;V826,IF(M826=2,IF(Q836=3,1,2),IF(M826=1,IF(Q836=3,2,3))),IF(V825&gt;V826,IF(M826=2,IF(Q836=3,2,3),IF(M826=1,IF(Q836=3,3,4))))),IF(V825=V826,IF(V825&lt;V823,IF(M826=2,IF(Q850=3,1,2),IF(M826=1,IF(Q850=3,2,3))),IF(V825&gt;V823,IF(M826=2,IF(Q850=3,2,3),IF(M826=1,IF(Q850=3,3,4))))))),"")))),"")</f>
        <v/>
      </c>
      <c r="AC832" s="192"/>
      <c r="AD832" s="192"/>
      <c r="AE832" s="192"/>
      <c r="AF832" s="203"/>
      <c r="AG832" s="203"/>
      <c r="AH832" s="203"/>
      <c r="AI832" s="203"/>
      <c r="AJ832" s="203"/>
      <c r="AK832" s="203"/>
      <c r="AL832" s="203"/>
      <c r="AM832" s="203"/>
      <c r="AN832" s="192"/>
      <c r="AO832" s="192"/>
      <c r="AP832" s="192"/>
      <c r="AQ832" s="192"/>
      <c r="AR832" s="192"/>
      <c r="AS832" s="192"/>
      <c r="AT832" s="192"/>
      <c r="AU832" s="192"/>
      <c r="AV832" s="192"/>
      <c r="AW832" s="192"/>
      <c r="AX832" s="192"/>
    </row>
    <row r="833" spans="2:50" ht="15" customHeight="1" thickTop="1" thickBot="1" x14ac:dyDescent="0.35">
      <c r="B833" s="192"/>
      <c r="C833" s="192"/>
      <c r="D833" s="192"/>
      <c r="E833" s="117"/>
      <c r="F833" s="117"/>
      <c r="G833" s="117"/>
      <c r="H833" s="192"/>
      <c r="I833" s="192"/>
      <c r="J833" s="192"/>
      <c r="K833" s="192"/>
      <c r="L833" s="192"/>
      <c r="M833" s="192"/>
      <c r="N833" s="192"/>
      <c r="O833" s="192"/>
      <c r="P833" s="192"/>
      <c r="Q833" s="192"/>
      <c r="R833" s="247"/>
      <c r="S833" s="395"/>
      <c r="T833" s="208">
        <v>3</v>
      </c>
      <c r="U833" s="209" t="str">
        <f>IF(U823="","",IF(OR(U825&lt;&gt;U823,U825&lt;&gt;U824),"",IF(COUNTIF(M824:M826,M826)=1,"",IF(COUNTBLANK(I824:I827)=1,(SUM(L835:P835)+SUM(L838:P838))/(SUM(L836:P836)+SUM(L839:P839)),IF(COUNTBLANK(I824:I827)=0,(SUM(L835:P835)+SUM(L844:P844))/(SUM(L836:P836)+SUM(L845:P845)))))))</f>
        <v/>
      </c>
      <c r="V833" s="125" t="str">
        <f>IF(V823="","",IF(OR(V825&lt;&gt;V823,V825&lt;&gt;V826),"",IF(AND(COUNTBLANK(I824:I827)=0,M824=M826,M826=M827),(SUM(L835:P835)+SUM(L851:P851))/(SUM(L836:P836)+SUM(L850:P850)),"")))</f>
        <v/>
      </c>
      <c r="W833" s="218"/>
      <c r="X833" s="245" t="str">
        <f>IF(X824="","",IF(OR(X825&lt;&gt;X824,X825&lt;&gt;X826),"",IF(AND(COUNTBLANK(I824:I827)=0,M825=M826,M826=M827),(SUM(L844:P844)+SUM(L851:P851))/(SUM(L845:P845)+SUM(L850:P850)),"")))</f>
        <v/>
      </c>
      <c r="Y833" s="208"/>
      <c r="Z833" s="203"/>
      <c r="AA833" s="240">
        <v>4</v>
      </c>
      <c r="AB833" s="222" t="str">
        <f>IF(AND(COUNTBLANK(I824:I827)=0,Group_players=4,M824=M826,M826=M827),IF(COUNTIF(V823:V826,V826)=3,AB846,IF(AND(COUNTIF(V823:V826,V826)=1,V825&lt;&gt;V823),IF(M827=2,IF(SMALL(V823:V826,1)=V826,1,IF(SMALL(V823:V826,2)=V826,2,IF(SMALL(V823:V826,3)=V826,3))),IF(M827=1,IF(SMALL(V823:V826,1)=V826,2,IF(SMALL(V823:V826,2)=V826,3,IF(SMALL(V823:V826,3)=V826,4))),"")),IF(COUNTIF(V823:V826,V826)=1,IF(V826&lt;V823,IF(M827=2,1,2),IF(M827=2,3,4)),IF(COUNTIF(V823:V826,V826)=2,IF(V826=V823,IF(V826&lt;V825,IF(M827=2,IF(Q842=3,1,2),IF(M827=1,IF(Q842=3,2,3))),IF(V826&gt;V825,IF(M827=2,IF(Q842=3,2,3),IF(M827=1,IF(Q842=3,3,4))))),IF(V826=V825,IF(V826&lt;V823,IF(M827=2,IF(Q851=3,1,2),IF(M827=1,IF(Q851=3,2,3))),IF(V826&gt;V823,IF(M827=2,IF(Q851=3,2,3),IF(M827=1,IF(Q851=3,3,4))))))),"")))),"")</f>
        <v/>
      </c>
      <c r="AC833" s="192"/>
      <c r="AD833" s="192"/>
      <c r="AE833" s="192"/>
      <c r="AF833" s="203"/>
      <c r="AG833" s="203"/>
      <c r="AH833" s="203"/>
      <c r="AI833" s="203"/>
      <c r="AJ833" s="203"/>
      <c r="AK833" s="203"/>
      <c r="AL833" s="203"/>
      <c r="AM833" s="203"/>
      <c r="AN833" s="192"/>
      <c r="AO833" s="192"/>
      <c r="AP833" s="192"/>
      <c r="AQ833" s="192"/>
      <c r="AR833" s="192"/>
      <c r="AS833" s="192"/>
      <c r="AT833" s="192"/>
      <c r="AU833" s="192"/>
      <c r="AV833" s="192"/>
      <c r="AW833" s="192"/>
      <c r="AX833" s="192"/>
    </row>
    <row r="834" spans="2:50" ht="15" customHeight="1" thickTop="1" thickBot="1" x14ac:dyDescent="0.35">
      <c r="B834" s="192"/>
      <c r="C834" s="192"/>
      <c r="D834" s="192"/>
      <c r="E834" s="168" t="s">
        <v>113</v>
      </c>
      <c r="F834" s="168" t="s">
        <v>114</v>
      </c>
      <c r="G834" s="117"/>
      <c r="H834" s="192"/>
      <c r="I834" s="249" t="s">
        <v>115</v>
      </c>
      <c r="J834" s="249"/>
      <c r="K834" s="249"/>
      <c r="L834" s="250" t="s">
        <v>115</v>
      </c>
      <c r="M834" s="250" t="s">
        <v>116</v>
      </c>
      <c r="N834" s="250" t="s">
        <v>117</v>
      </c>
      <c r="O834" s="250" t="s">
        <v>118</v>
      </c>
      <c r="P834" s="250" t="s">
        <v>119</v>
      </c>
      <c r="Q834" s="250" t="s">
        <v>120</v>
      </c>
      <c r="R834" s="250"/>
      <c r="S834" s="251"/>
      <c r="T834" s="208">
        <v>4</v>
      </c>
      <c r="U834" s="223"/>
      <c r="V834" s="140" t="str">
        <f>IF(V823="","",IF(OR(V826&lt;&gt;V823,V826&lt;&gt;V825),"",IF(AND(COUNTBLANK(I824:I827)=0,M824=M826,M826=M827),(SUM(L841:P841)+SUM(L850:P850))/(SUM(L842:P842)+SUM(L851:P851)),"")))</f>
        <v/>
      </c>
      <c r="W834" s="224" t="str">
        <f>IF(W823="","",IF(OR(W826&lt;&gt;W823,W826&lt;&gt;W824),"",IF(AND(COUNTBLANK(I824:I827)=0,M824=M825,M825=M827),(SUM(L841:P841)+SUM(L838:P838))/(SUM(L842:P842)+SUM(L839:P839)),"")))</f>
        <v/>
      </c>
      <c r="X834" s="252" t="str">
        <f>IF(X824="","",IF(OR(X826&lt;&gt;X824,X826&lt;&gt;X825),"",IF(AND(COUNTBLANK(I824:I827)=0,M825=M826,M826=M827),(SUM(L838:P838)+SUM(L850:P850))/(SUM(L839:P839)+SUM(L851:P851)),"")))</f>
        <v/>
      </c>
      <c r="Y834" s="192"/>
      <c r="Z834" s="203"/>
      <c r="AA834" s="243">
        <v>1</v>
      </c>
      <c r="AB834" s="151" t="str">
        <f>IF(AND(COUNTBLANK(I824:I827)=0,Group_players=4,M824=M825,M825=M827),IF(COUNTIF(W823:W826,W823)=3,AB847,IF(AND(COUNTIF(W823:W826,W823)=1,W824&lt;&gt;W826),IF(M824=2,IF(SMALL(W823:W826,1)=W823,1,IF(SMALL(W823:W826,2)=W823,2,IF(SMALL(W823:W826,3)=W823,3))),IF(M824=1,IF(SMALL(W823:W826,1)=W823,2,IF(SMALL(W823:W826,2)=W823,3,IF(SMALL(W823:W826,3)=W823,4))),"")),IF(COUNTIF(W823:W826,W823)=1,IF(W823&lt;W824,IF(M824=2,1,2),IF(M824=2,3,4)),IF(COUNTIF(W823:W826,W823)=2,IF(W823=W824,IF(W823&lt;W826,IF(M824=2,IF(Q847=3,1,2),IF(M824=1,IF(Q847=3,2,3))),IF(W823&gt;W826,IF(M824=2,IF(Q847=3,2,3),IF(M824=1,IF(Q847=3,3,4))))),IF(W823=W826,IF(W823&lt;W824,IF(M824=2,IF(Q841=3,1,2),IF(M824=1,IF(Q841=3,2,3))),IF(W823&gt;W824,IF(M824=2,IF(Q841=3,2,3),IF(M824=1,IF(Q841=3,3,4))))))),"")))),"")</f>
        <v/>
      </c>
      <c r="AC834" s="192"/>
      <c r="AD834" s="192"/>
      <c r="AE834" s="192"/>
      <c r="AF834" s="203"/>
      <c r="AG834" s="203"/>
      <c r="AH834" s="203"/>
      <c r="AI834" s="203"/>
      <c r="AJ834" s="203"/>
      <c r="AK834" s="203"/>
      <c r="AL834" s="203"/>
      <c r="AM834" s="203"/>
      <c r="AN834" s="192"/>
      <c r="AO834" s="192"/>
      <c r="AP834" s="192"/>
      <c r="AQ834" s="192"/>
      <c r="AR834" s="192"/>
      <c r="AS834" s="192"/>
      <c r="AT834" s="192"/>
      <c r="AU834" s="192"/>
      <c r="AV834" s="192"/>
      <c r="AW834" s="192"/>
      <c r="AX834" s="192"/>
    </row>
    <row r="835" spans="2:50" ht="15" customHeight="1" thickTop="1" x14ac:dyDescent="0.3">
      <c r="B835" s="192"/>
      <c r="C835" s="192"/>
      <c r="D835" s="192"/>
      <c r="E835" s="164" t="str">
        <f>IF(Q835="","",IF(Q835=3,1,0))</f>
        <v/>
      </c>
      <c r="F835" s="164" t="str">
        <f>IF(Q835="","",IF(Q835&lt;3,1,0))</f>
        <v/>
      </c>
      <c r="G835" s="192"/>
      <c r="H835" s="192" t="str">
        <f>IF(I824="","",1)</f>
        <v/>
      </c>
      <c r="I835" s="192" t="str">
        <f>IF(ISNUMBER(H835),VLOOKUP(H835,H824:I827,2,TRUE),"")</f>
        <v/>
      </c>
      <c r="J835" s="192"/>
      <c r="K835" s="192" t="str">
        <f>VLOOKUP(I835,I824:L827,3,FALSE)</f>
        <v/>
      </c>
      <c r="L835" s="253"/>
      <c r="M835" s="254"/>
      <c r="N835" s="254"/>
      <c r="O835" s="152"/>
      <c r="P835" s="153"/>
      <c r="Q835" s="255" t="str">
        <f>IF(L835="","",IF(AND(L835-L836&gt;1,L835&gt;10),1,0)+IF(AND(M835-M836&gt;1,M835&gt;10),1,0)+IF(AND(N835-N836&gt;1,N835&gt;10),1,0)+IF(AND(O835-O836&gt;1,O835&gt;10),1,0)+IF(AND(P835-P836&gt;1,P835&gt;10),1,0))</f>
        <v/>
      </c>
      <c r="R835" s="203" t="str">
        <f>IF(AND(I835="",I836=""),"",ABS(VLOOKUP(I835,I824:L827,4,FALSE)-VLOOKUP(I836,I824:L827,4,FALSE)))</f>
        <v/>
      </c>
      <c r="S835" s="256" t="str">
        <f>IF(R836="","",IF(Q835=3,+R836,-R836))</f>
        <v/>
      </c>
      <c r="T835" s="257"/>
      <c r="U835" s="258"/>
      <c r="V835" s="258"/>
      <c r="W835" s="258"/>
      <c r="X835" s="258"/>
      <c r="Y835" s="192"/>
      <c r="Z835" s="203"/>
      <c r="AA835" s="246">
        <v>2</v>
      </c>
      <c r="AB835" s="154" t="str">
        <f>IF(AND(COUNTBLANK(I824:I827)=0,Group_players=4,M824=M825,M825=M827),IF(COUNTIF(W823:W826,W824)=3,AB848,IF(AND(COUNTIF(W823:W826,W824)=1,W823&lt;&gt;W825),IF(M825=2,IF(SMALL(W823:W826,1)=W824,1,IF(SMALL(W823:W826,2)=W824,2,IF(SMALL(W823:W826,3)=W824,3))),IF(M825=1,IF(SMALL(W823:W826,1)=W824,2,IF(SMALL(W823:W826,2)=W824,3,IF(SMALL(W823:W826,3)=W824,4))),"")),IF(COUNTIF(W823:W826,W824)=1,IF(W824&lt;W823,IF(M825=2,1,2),IF(M825=2,3,4)),IF(COUNTIF(W823:W826,W824)=2,IF(W824=W823,IF(W824&lt;W826,IF(M825=2,IF(Q848=3,1,2),IF(M825=1,IF(Q848=3,2,3))),IF(W824&gt;W826,IF(M825=2,IF(Q848=3,2,3),IF(M825=1,IF(Q848=3,3,4))))),IF(W824=W826,IF(W824&lt;W823,IF(M825=2,IF(Q838=3,1,2),IF(M825=1,IF(Q838=3,2,3))),IF(W824&gt;W823,IF(M825=2,IF(Q838=3,2,3),IF(M825=1,IF(Q838=3,3,4))))))),"")))),"")</f>
        <v/>
      </c>
      <c r="AC835" s="192"/>
      <c r="AD835" s="192"/>
      <c r="AE835" s="192"/>
      <c r="AF835" s="203"/>
      <c r="AG835" s="203"/>
      <c r="AH835" s="203"/>
      <c r="AI835" s="203"/>
      <c r="AJ835" s="203"/>
      <c r="AK835" s="203"/>
      <c r="AL835" s="203"/>
      <c r="AM835" s="203"/>
      <c r="AN835" s="192"/>
      <c r="AO835" s="192"/>
      <c r="AP835" s="192"/>
      <c r="AQ835" s="192"/>
      <c r="AR835" s="192"/>
      <c r="AS835" s="192"/>
      <c r="AT835" s="192"/>
      <c r="AU835" s="192"/>
      <c r="AV835" s="192"/>
      <c r="AW835" s="192"/>
      <c r="AX835" s="192"/>
    </row>
    <row r="836" spans="2:50" ht="15" customHeight="1" thickBot="1" x14ac:dyDescent="0.35">
      <c r="B836" s="192"/>
      <c r="C836" s="192"/>
      <c r="D836" s="192"/>
      <c r="E836" s="164" t="str">
        <f>IF(Q836="","",IF(Q836=3,1,0))</f>
        <v/>
      </c>
      <c r="F836" s="164" t="str">
        <f>IF(Q836="","",IF(Q836&lt;3,1,0))</f>
        <v/>
      </c>
      <c r="G836" s="192"/>
      <c r="H836" s="192" t="str">
        <f>IF(I825="","",IF(I826="",2,3))</f>
        <v/>
      </c>
      <c r="I836" s="293" t="str">
        <f>IF(ISNUMBER(H836),VLOOKUP(H836,H824:I827,2,TRUE),"")</f>
        <v/>
      </c>
      <c r="J836" s="192"/>
      <c r="K836" s="192" t="str">
        <f>VLOOKUP(I836,I824:L827,3,FALSE)</f>
        <v/>
      </c>
      <c r="L836" s="155"/>
      <c r="M836" s="259"/>
      <c r="N836" s="259"/>
      <c r="O836" s="156"/>
      <c r="P836" s="157"/>
      <c r="Q836" s="260" t="str">
        <f>IF(L836="","",IF(AND(L836-L835&gt;1,L836&gt;10),1,0)+IF(AND(M836-M835&gt;1,M836&gt;10),1,0)+IF(AND(N836-N835&gt;1,N836&gt;10),1,0)+IF(AND(O836-O835&gt;1,O836&gt;10),1,0)+IF(AND(P836-P835&gt;1,P836&gt;10),1,0))</f>
        <v/>
      </c>
      <c r="R836" s="203" t="str">
        <f>IF(AND(Q835&lt;&gt;3,Q836&lt;&gt;3),"",IF(Q835=3,IF(VLOOKUP(I835,I824:L827,4,FALSE)&gt;VLOOKUP(I836,I824:L827,4,FALSE),VLOOKUP(R835,Point_dif,2,FALSE),VLOOKUP(R835,Point_dif,3,FALSE)),IF(Q836=3,IF(VLOOKUP(I836,I824:L827,4,FALSE)&gt;VLOOKUP(I835,I824:L827,4,FALSE),VLOOKUP(R835,Point_dif,2,FALSE),VLOOKUP(R835,Point_dif,3,FALSE)))))</f>
        <v/>
      </c>
      <c r="S836" s="256" t="str">
        <f>IF(R836="","",IF(Q836=3,+R836,-R836))</f>
        <v/>
      </c>
      <c r="T836" s="192"/>
      <c r="U836" s="235"/>
      <c r="V836" s="235"/>
      <c r="W836" s="235"/>
      <c r="X836" s="235"/>
      <c r="Y836" s="235"/>
      <c r="Z836" s="235"/>
      <c r="AA836" s="240">
        <v>4</v>
      </c>
      <c r="AB836" s="158" t="str">
        <f>IF(AND(COUNTBLANK(I824:I827)=0,Group_players=4,M824=M825,M825=M827),IF(COUNTIF(W823:W826,W826)=3,AB849,IF(AND(COUNTIF(W823:W826,W826)=1,W823&lt;&gt;W824),IF(M827=2,IF(SMALL(W823:W826,1)=W826,1,IF(SMALL(W823:W826,2)=W826,2,IF(SMALL(W823:W826,3)=W826,3))),IF(M827=1,IF(SMALL(W823:W826,1)=W826,2,IF(SMALL(W823:W826,2)=W826,3,IF(SMALL(W823:W826,3)=W826,4))),"")),IF(COUNTIF(W823:W826,W826)=1,IF(W826&lt;W823,IF(M827=2,1,2),IF(M827=2,3,4)),IF(COUNTIF(W823:W826,W826)=2,IF(W826=W823,IF(W826&lt;W824,IF(M827=2,IF(Q842=3,1,2),IF(M827=1,IF(Q842=3,2,3))),IF(W826&gt;W825,IF(M827=2,IF(Q842=3,2,3),IF(M827=1,IF(Q842=3,3,4))))),IF(W826=W824,IF(W826&lt;W823,IF(M827=2,IF(Q839=3,1,2),IF(M827=1,IF(Q839=3,2,3))),IF(W826&gt;W823,IF(M827=2,IF(Q839=3,2,3),IF(M827=1,IF(Q839=3,3,4))))))),"")))),"")</f>
        <v/>
      </c>
      <c r="AC836" s="192"/>
      <c r="AD836" s="192"/>
      <c r="AE836" s="192"/>
      <c r="AF836" s="203"/>
      <c r="AG836" s="203"/>
      <c r="AH836" s="203"/>
      <c r="AI836" s="203"/>
      <c r="AJ836" s="203"/>
      <c r="AK836" s="203"/>
      <c r="AL836" s="203"/>
      <c r="AM836" s="203"/>
      <c r="AN836" s="192"/>
      <c r="AO836" s="192"/>
      <c r="AP836" s="192"/>
      <c r="AQ836" s="192"/>
      <c r="AR836" s="192"/>
      <c r="AS836" s="192"/>
      <c r="AT836" s="192"/>
      <c r="AU836" s="192"/>
      <c r="AV836" s="192"/>
      <c r="AW836" s="192"/>
      <c r="AX836" s="192"/>
    </row>
    <row r="837" spans="2:50" ht="15" customHeight="1" thickTop="1" thickBot="1" x14ac:dyDescent="0.35">
      <c r="B837" s="192"/>
      <c r="C837" s="192"/>
      <c r="D837" s="192"/>
      <c r="E837" s="164"/>
      <c r="F837" s="164"/>
      <c r="G837" s="192"/>
      <c r="H837" s="192"/>
      <c r="I837" s="249" t="s">
        <v>116</v>
      </c>
      <c r="J837" s="249"/>
      <c r="K837" s="249"/>
      <c r="L837" s="250" t="s">
        <v>115</v>
      </c>
      <c r="M837" s="250" t="s">
        <v>116</v>
      </c>
      <c r="N837" s="250" t="s">
        <v>117</v>
      </c>
      <c r="O837" s="250" t="s">
        <v>118</v>
      </c>
      <c r="P837" s="250" t="s">
        <v>119</v>
      </c>
      <c r="Q837" s="250" t="s">
        <v>120</v>
      </c>
      <c r="R837" s="250"/>
      <c r="S837" s="251"/>
      <c r="T837" s="192"/>
      <c r="U837" s="235"/>
      <c r="V837" s="235"/>
      <c r="W837" s="235"/>
      <c r="X837" s="235"/>
      <c r="Y837" s="235"/>
      <c r="Z837" s="235"/>
      <c r="AA837" s="243">
        <v>2</v>
      </c>
      <c r="AB837" s="151" t="str">
        <f>IF(AND(COUNTBLANK(I824:I827)=0,Group_players=4,M825=M826,M826=M827),IF(COUNTIF(X823:X826,X824)=3,AB850,IF(AND(COUNTIF(X823:X826,X824)=1,X825&lt;&gt;X826),IF(M825=2,IF(SMALL(X823:X826,1)=X824,1,IF(SMALL(X823:X826,2)=X824,2,IF(SMALL(X823:X826,3)=X824,3))),IF(M825=1,IF(SMALL(X823:X826,1)=X824,2,IF(SMALL(X823:X826,2)=X824,3,IF(SMALL(X823:X826,3)=X824,4))),"")),IF(COUNTIF(X823:X826,X824)=1,IF(X824&lt;X826,IF(M825=2,1,2),IF(M825=1,3,3)),IF(COUNTIF(X823:X826,X824)=2,IF(X824=X825,IF(X824&lt;X826,IF(M825=2,IF(Q844=3,1,2),IF(M825=1,IF(Q844=3,2,3))),IF(X824&gt;X826,IF(M825=2,IF(Q844=3,2,3),IF(M825=1,IF(Q844=3,3,4))))),IF(X824=X826,IF(X824&lt;X825,IF(M825=2,IF(Q838=3,1,2),IF(M825=1,IF(Q838=3,2,3))),IF(X824&gt;X825,IF(M825=2,IF(Q838=3,2,3),IF(M825=1,IF(Q838=3,3,4))))))),"")))),"")</f>
        <v/>
      </c>
      <c r="AC837" s="192"/>
      <c r="AD837" s="192"/>
      <c r="AE837" s="192"/>
      <c r="AF837" s="203"/>
      <c r="AG837" s="203"/>
      <c r="AH837" s="203"/>
      <c r="AI837" s="203"/>
      <c r="AJ837" s="203"/>
      <c r="AK837" s="203"/>
      <c r="AL837" s="203"/>
      <c r="AM837" s="203"/>
      <c r="AN837" s="192"/>
      <c r="AO837" s="192"/>
      <c r="AP837" s="192"/>
      <c r="AQ837" s="192"/>
      <c r="AR837" s="192"/>
      <c r="AS837" s="192"/>
      <c r="AT837" s="192"/>
      <c r="AU837" s="192"/>
      <c r="AV837" s="192"/>
      <c r="AW837" s="192"/>
      <c r="AX837" s="192"/>
    </row>
    <row r="838" spans="2:50" ht="15" customHeight="1" thickTop="1" x14ac:dyDescent="0.3">
      <c r="B838" s="192"/>
      <c r="C838" s="192"/>
      <c r="D838" s="192"/>
      <c r="E838" s="164" t="str">
        <f>IF(Q838="","",IF(Q838=3,1,0))</f>
        <v/>
      </c>
      <c r="F838" s="164" t="str">
        <f>IF(Q838="","",IF(Q838&lt;3,1,0))</f>
        <v/>
      </c>
      <c r="G838" s="192"/>
      <c r="H838" s="192" t="str">
        <f>IF(I826="","",2)</f>
        <v/>
      </c>
      <c r="I838" s="192" t="str">
        <f>IF(ISNUMBER(H838),VLOOKUP(H838,H824:I827,2,TRUE),"")</f>
        <v/>
      </c>
      <c r="J838" s="192"/>
      <c r="K838" s="192" t="str">
        <f>VLOOKUP(I838,I824:L827,3,FALSE)</f>
        <v/>
      </c>
      <c r="L838" s="253"/>
      <c r="M838" s="254"/>
      <c r="N838" s="254"/>
      <c r="O838" s="152"/>
      <c r="P838" s="153"/>
      <c r="Q838" s="255" t="str">
        <f>IF(L838="","",IF(AND(L838-L839&gt;1,L838&gt;10),1,0)+IF(AND(M838-M839&gt;1,M838&gt;10),1,0)+IF(AND(N838-N839&gt;1,N838&gt;10),1,0)+IF(AND(O838-O839&gt;1,O838&gt;10),1,0)+IF(AND(P838-P839&gt;1,P838&gt;10),1,0))</f>
        <v/>
      </c>
      <c r="R838" s="203" t="str">
        <f>IF(AND(I838="",I839=""),"",ABS(VLOOKUP(I838,I824:L827,4,FALSE)-VLOOKUP(I839,I824:L827,4,FALSE)))</f>
        <v/>
      </c>
      <c r="S838" s="256" t="str">
        <f>IF(R839="","",IF(Q838=3,+R839,-R839))</f>
        <v/>
      </c>
      <c r="T838" s="192"/>
      <c r="U838" s="235"/>
      <c r="V838" s="235"/>
      <c r="W838" s="235"/>
      <c r="X838" s="235"/>
      <c r="Y838" s="235"/>
      <c r="Z838" s="235"/>
      <c r="AA838" s="246">
        <v>3</v>
      </c>
      <c r="AB838" s="154" t="str">
        <f>IF(AND(COUNTBLANK(I824:I827)=0,Group_players=4,M825=M826,M826=M827),IF(COUNTIF(X823:X826,X825)=3,AB851,IF(AND(COUNTIF(X823:X826,X825)=1,X824&lt;&gt;X826),IF(M826=2,IF(SMALL(X823:X826,1)=X825,1,IF(SMALL(X823:X826,2)=X825,2,IF(SMALL(X823:X826,3)=X825,3))),IF(M826=1,IF(SMALL(X823:X826,1)=X825,2,IF(SMALL(X823:X826,2)=X825,3,IF(SMALL(X823:X826,3)=X825,4))),"")),IF(COUNTIF(X823:X826,X825)=1,IF(X825&lt;X824,IF(M826=2,1,2),IF(M826=2,3,4)),IF(COUNTIF(X823:X826,X825)=2,IF(X825=X824,IF(X825&lt;X826,IF(M826=2,IF(Q845=3,1,2),IF(M826=1,IF(Q845=3,2,3))),IF(X825&gt;X826,IF(M826=2,IF(Q845=3,2,3),IF(M826=1,IF(Q845=3,3,4))))),IF(X825=X826,IF(X825&lt;X824,IF(M826=2,IF(Q850=3,1,2),IF(M826=1,IF(Q850=3,2,3))),IF(X825&gt;X824,IF(M826=2,IF(Q850=3,2,3),IF(M826=1,IF(Q850=3,3,4))))))),"")))),"")</f>
        <v/>
      </c>
      <c r="AC838" s="192"/>
      <c r="AD838" s="192"/>
      <c r="AE838" s="192"/>
      <c r="AF838" s="203"/>
      <c r="AG838" s="203"/>
      <c r="AH838" s="203"/>
      <c r="AI838" s="203"/>
      <c r="AJ838" s="203"/>
      <c r="AK838" s="203"/>
      <c r="AL838" s="203"/>
      <c r="AM838" s="203"/>
      <c r="AN838" s="192"/>
      <c r="AO838" s="192"/>
      <c r="AP838" s="192"/>
      <c r="AQ838" s="192"/>
      <c r="AR838" s="192"/>
      <c r="AS838" s="192"/>
      <c r="AT838" s="192"/>
      <c r="AU838" s="192"/>
      <c r="AV838" s="192"/>
      <c r="AW838" s="192"/>
      <c r="AX838" s="192"/>
    </row>
    <row r="839" spans="2:50" ht="15" customHeight="1" thickBot="1" x14ac:dyDescent="0.35">
      <c r="B839" s="192"/>
      <c r="C839" s="192"/>
      <c r="D839" s="192"/>
      <c r="E839" s="164" t="str">
        <f>IF(Q839="","",IF(Q839=3,1,0))</f>
        <v/>
      </c>
      <c r="F839" s="164" t="str">
        <f>IF(Q839="","",IF(Q839&lt;3,1,0))</f>
        <v/>
      </c>
      <c r="G839" s="192"/>
      <c r="H839" s="192" t="str">
        <f>IF(I826="","",IF(I827="",3,4))</f>
        <v/>
      </c>
      <c r="I839" s="293" t="str">
        <f>IF(ISNUMBER(H839),VLOOKUP(H839,H824:I827,2,TRUE),"")</f>
        <v/>
      </c>
      <c r="J839" s="192"/>
      <c r="K839" s="192" t="str">
        <f>VLOOKUP(I839,I824:L827,3,FALSE)</f>
        <v/>
      </c>
      <c r="L839" s="155"/>
      <c r="M839" s="259"/>
      <c r="N839" s="259"/>
      <c r="O839" s="156"/>
      <c r="P839" s="157"/>
      <c r="Q839" s="260" t="str">
        <f>IF(L839="","",IF(AND(L839-L838&gt;1,L839&gt;10),1,0)+IF(AND(M839-M838&gt;1,M839&gt;10),1,0)+IF(AND(N839-N838&gt;1,N839&gt;10),1,0)+IF(AND(O839-O838&gt;1,O839&gt;10),1,0)+IF(AND(P839-P838&gt;1,P839&gt;10),1,0))</f>
        <v/>
      </c>
      <c r="R839" s="203" t="str">
        <f>IF(AND(Q838&lt;&gt;3,Q839&lt;&gt;3),"",IF(Q838=3,IF(VLOOKUP(I838,I824:L827,4,FALSE)&gt;VLOOKUP(I839,I824:L827,4,FALSE),VLOOKUP(R838,Point_dif,2,FALSE),VLOOKUP(R838,Point_dif,3,FALSE)),IF(Q839=3,IF(VLOOKUP(I839,I824:L827,4,FALSE)&gt;VLOOKUP(I838,I824:L827,4,FALSE),VLOOKUP(R838,Point_dif,2,FALSE),VLOOKUP(R838,Point_dif,3,FALSE)))))</f>
        <v/>
      </c>
      <c r="S839" s="256" t="str">
        <f>IF(R839="","",IF(Q839=3,+R839,-R839))</f>
        <v/>
      </c>
      <c r="T839" s="192"/>
      <c r="U839" s="235"/>
      <c r="V839" s="235"/>
      <c r="W839" s="235"/>
      <c r="X839" s="235"/>
      <c r="Y839" s="235"/>
      <c r="Z839" s="235"/>
      <c r="AA839" s="261">
        <v>4</v>
      </c>
      <c r="AB839" s="158" t="str">
        <f>IF(AND(COUNTBLANK(I824:I827)=0,Group_players=4,M825=M826,M826=M827),IF(COUNTIF(X823:X826,X826)=3,AB852,IF(AND(COUNTIF(X823:X826,X826)=1,X825&lt;&gt;X824),IF(M827=2,IF(SMALL(X823:X826,1)=X826,1,IF(SMALL(X823:X826,2)=X826,2,IF(SMALL(X823:X826,3)=X826,3))),IF(M827=1,IF(SMALL(X823:X826,1)=X826,2,IF(SMALL(X823:X826,2)=X826,3,IF(SMALL(X823:X826,3)=X826,4))),"")),IF(COUNTIF(X823:X826,X826)=1,IF(X826&lt;X824,IF(M827=2,1,2),IF(M827=2,3,4)),IF(COUNTIF(X823:X826,X826)=2,IF(X826=X824,IF(X826&lt;X825,IF(M827=2,IF(Q839=3,1,2),IF(M827=1,IF(Q839=3,2,3))),IF(X826&gt;X825,IF(M827=2,IF(Q839=3,2,3),IF(M827=1,IF(Q839=3,3,4))))),IF(X826=X825,IF(X826&lt;X824,IF(M827=2,IF(Q851=3,1,2),IF(M827=1,IF(Q851=3,2,3))),IF(X826&gt;X824,IF(M827=2,IF(Q851=3,2,3),IF(M827=1,IF(Q851=3,3,4))))))),"")))),"")</f>
        <v/>
      </c>
      <c r="AC839" s="192"/>
      <c r="AD839" s="192"/>
      <c r="AE839" s="192"/>
      <c r="AF839" s="203"/>
      <c r="AG839" s="203"/>
      <c r="AH839" s="203"/>
      <c r="AI839" s="203"/>
      <c r="AJ839" s="203"/>
      <c r="AK839" s="203"/>
      <c r="AL839" s="203"/>
      <c r="AM839" s="203"/>
      <c r="AN839" s="192"/>
      <c r="AO839" s="192"/>
      <c r="AP839" s="192"/>
      <c r="AQ839" s="192"/>
      <c r="AR839" s="192"/>
      <c r="AS839" s="192"/>
      <c r="AT839" s="192"/>
      <c r="AU839" s="192"/>
      <c r="AV839" s="192"/>
      <c r="AW839" s="192"/>
      <c r="AX839" s="192"/>
    </row>
    <row r="840" spans="2:50" ht="15" customHeight="1" thickTop="1" thickBot="1" x14ac:dyDescent="0.35">
      <c r="B840" s="192"/>
      <c r="C840" s="192"/>
      <c r="D840" s="192"/>
      <c r="E840" s="164"/>
      <c r="F840" s="164"/>
      <c r="G840" s="192"/>
      <c r="H840" s="192"/>
      <c r="I840" s="249" t="s">
        <v>117</v>
      </c>
      <c r="J840" s="249"/>
      <c r="K840" s="249"/>
      <c r="L840" s="250" t="s">
        <v>115</v>
      </c>
      <c r="M840" s="250" t="s">
        <v>116</v>
      </c>
      <c r="N840" s="250" t="s">
        <v>117</v>
      </c>
      <c r="O840" s="250" t="s">
        <v>118</v>
      </c>
      <c r="P840" s="250" t="s">
        <v>119</v>
      </c>
      <c r="Q840" s="250" t="s">
        <v>120</v>
      </c>
      <c r="R840" s="250"/>
      <c r="S840" s="251"/>
      <c r="T840" s="263"/>
      <c r="U840" s="264"/>
      <c r="V840" s="242"/>
      <c r="W840" s="242"/>
      <c r="X840" s="264"/>
      <c r="Y840" s="192"/>
      <c r="Z840" s="203"/>
      <c r="AA840" s="126" t="s">
        <v>93</v>
      </c>
      <c r="AB840" s="265" t="s">
        <v>110</v>
      </c>
      <c r="AC840" s="192"/>
      <c r="AD840" s="192"/>
      <c r="AE840" s="192"/>
      <c r="AF840" s="203"/>
      <c r="AG840" s="203"/>
      <c r="AH840" s="203"/>
      <c r="AI840" s="203"/>
      <c r="AJ840" s="203"/>
      <c r="AK840" s="203"/>
      <c r="AL840" s="203"/>
      <c r="AM840" s="203"/>
      <c r="AN840" s="192"/>
      <c r="AO840" s="192"/>
      <c r="AP840" s="192"/>
      <c r="AQ840" s="192"/>
      <c r="AR840" s="192"/>
      <c r="AS840" s="192"/>
      <c r="AT840" s="192"/>
      <c r="AU840" s="192"/>
      <c r="AV840" s="192"/>
      <c r="AW840" s="192"/>
      <c r="AX840" s="192"/>
    </row>
    <row r="841" spans="2:50" ht="15" customHeight="1" thickTop="1" x14ac:dyDescent="0.3">
      <c r="B841" s="192"/>
      <c r="C841" s="192"/>
      <c r="D841" s="192"/>
      <c r="E841" s="164" t="str">
        <f>IF(Q841="","",IF(Q841=3,1,0))</f>
        <v/>
      </c>
      <c r="F841" s="164" t="str">
        <f>IF(Q841="","",IF(Q841&lt;3,1,0))</f>
        <v/>
      </c>
      <c r="G841" s="192"/>
      <c r="H841" s="192" t="str">
        <f>IF(I826&lt;&gt;"",1,"")</f>
        <v/>
      </c>
      <c r="I841" s="192" t="str">
        <f>IF(ISNUMBER(H841),VLOOKUP(H841,H824:I827,2,TRUE),"")</f>
        <v/>
      </c>
      <c r="J841" s="192"/>
      <c r="K841" s="192" t="str">
        <f>VLOOKUP(I841,I824:L827,3,FALSE)</f>
        <v/>
      </c>
      <c r="L841" s="253"/>
      <c r="M841" s="254"/>
      <c r="N841" s="254"/>
      <c r="O841" s="152"/>
      <c r="P841" s="153"/>
      <c r="Q841" s="255" t="str">
        <f>IF(L841="","",IF(AND(L841-L842&gt;1,L841&gt;10),1,0)+IF(AND(M841-M842&gt;1,M841&gt;10),1,0)+IF(AND(N841-N842&gt;1,N841&gt;10),1,0)+IF(AND(O841-O842&gt;1,O841&gt;10),1,0)+IF(AND(P841-P842&gt;1,P841&gt;10),1,0))</f>
        <v/>
      </c>
      <c r="R841" s="203" t="str">
        <f>IF(AND(I841="",I842=""),"",ABS(VLOOKUP(I841,I824:L827,4,FALSE)-VLOOKUP(I842,I824:L827,4,FALSE)))</f>
        <v/>
      </c>
      <c r="S841" s="256" t="str">
        <f>IF(R842="","",IF(Q841=3,+R842,-R842))</f>
        <v/>
      </c>
      <c r="T841" s="192"/>
      <c r="U841" s="235"/>
      <c r="V841" s="235"/>
      <c r="W841" s="235"/>
      <c r="X841" s="235"/>
      <c r="Y841" s="235"/>
      <c r="Z841" s="235"/>
      <c r="AA841" s="243">
        <v>1</v>
      </c>
      <c r="AB841" s="222" t="str">
        <f>IF(AND(COUNTBLANK(I824:I827)=0,Group_players=4,M824=M825,M825=M826),IF(U831="","",IF(COUNTIF(U831:U834,U831)=3,"Tied",IF(AND(COUNTIF(U831:U834,U831)=1,U832&lt;&gt;U833),IF(M824=2,IF(SMALL(U831:U834,1)=U831,1,IF(SMALL(U831:U834,2)=U831,2,IF(SMALL(U831:U834,3)=U831,3))),IF(M824=1,IF(SMALL(U831:U834,1)=U831,2,IF(SMALL(U831:U834,2)=U831,3,IF(SMALL(U831:U834,3)=U831,4))),"")),IF(COUNTIF(U831:U834,U831)=1,IF(U831&lt;U832,IF(M824=2,1,2),IF(M824=2,3,4)),IF(COUNTIF(U831:U834,U831)=2,IF(U831=U832,IF(U831&lt;U833,IF(M824=2,IF(Q847=3,1,2),IF(M824=1,IF(Q847=3,2,3))),IF(U831&gt;U833,IF(M824=2,IF(Q847=3,2,3),IF(M824=1,IF(Q847=3,3,4))))),IF(U831=U833,IF(U831&lt;U832,IF(M824=2,IF(Q835=3,1,2),IF(M824=1,IF(Q835=3,2,3))),IF(U831&gt;U832,IF(M824=2,IF(Q835=3,2,3),IF(M824=1,IF(Q835=3,3,4)))))))))))),"")</f>
        <v/>
      </c>
      <c r="AC841" s="192"/>
      <c r="AD841" s="192"/>
      <c r="AE841" s="192"/>
      <c r="AF841" s="203"/>
      <c r="AG841" s="203"/>
      <c r="AH841" s="203"/>
      <c r="AI841" s="203"/>
      <c r="AJ841" s="203"/>
      <c r="AK841" s="203"/>
      <c r="AL841" s="203"/>
      <c r="AM841" s="203"/>
      <c r="AN841" s="192"/>
      <c r="AO841" s="192"/>
      <c r="AP841" s="192"/>
      <c r="AQ841" s="192"/>
      <c r="AR841" s="192"/>
      <c r="AS841" s="192"/>
      <c r="AT841" s="192"/>
      <c r="AU841" s="192"/>
      <c r="AV841" s="192"/>
      <c r="AW841" s="192"/>
      <c r="AX841" s="192"/>
    </row>
    <row r="842" spans="2:50" ht="15" customHeight="1" thickBot="1" x14ac:dyDescent="0.35">
      <c r="B842" s="192"/>
      <c r="C842" s="192"/>
      <c r="D842" s="192"/>
      <c r="E842" s="164" t="str">
        <f>IF(Q842="","",IF(Q842=3,1,0))</f>
        <v/>
      </c>
      <c r="F842" s="164" t="str">
        <f>IF(Q842="","",IF(Q842&lt;3,1,0))</f>
        <v/>
      </c>
      <c r="G842" s="192"/>
      <c r="H842" s="192" t="str">
        <f>IF(I826="","",IF(I827&lt;&gt;"",4,2))</f>
        <v/>
      </c>
      <c r="I842" s="293" t="str">
        <f>IF(ISNUMBER(H842),VLOOKUP(H842,H824:I827,2,TRUE),"")</f>
        <v/>
      </c>
      <c r="J842" s="192"/>
      <c r="K842" s="192" t="str">
        <f>VLOOKUP(I842,I824:L827,3,FALSE)</f>
        <v/>
      </c>
      <c r="L842" s="155"/>
      <c r="M842" s="259"/>
      <c r="N842" s="259"/>
      <c r="O842" s="156"/>
      <c r="P842" s="157"/>
      <c r="Q842" s="260" t="str">
        <f>IF(L842="","",IF(AND(L842-L841&gt;1,L842&gt;10),1,0)+IF(AND(M842-M841&gt;1,M842&gt;10),1,0)+IF(AND(N842-N841&gt;1,N842&gt;10),1,0)+IF(AND(O842-O841&gt;1,O842&gt;10),1,0)+IF(AND(P842-P841&gt;1,P842&gt;10),1,0))</f>
        <v/>
      </c>
      <c r="R842" s="203" t="str">
        <f>IF(AND(Q841&lt;&gt;3,Q842&lt;&gt;3),"",IF(Q841=3,IF(VLOOKUP(I841,I824:L827,4,FALSE)&gt;VLOOKUP(I842,I824:L827,4,FALSE),VLOOKUP(R841,Point_dif,2,FALSE),VLOOKUP(R841,Point_dif,3,FALSE)),IF(Q842=3,IF(VLOOKUP(I842,I824:L827,4,FALSE)&gt;VLOOKUP(I841,I824:L827,4,FALSE),VLOOKUP(R841,Point_dif,2,FALSE),VLOOKUP(R841,Point_dif,3,FALSE)))))</f>
        <v/>
      </c>
      <c r="S842" s="256" t="str">
        <f>IF(R842="","",IF(Q842=3,+R842,-R842))</f>
        <v/>
      </c>
      <c r="T842" s="192"/>
      <c r="U842" s="235"/>
      <c r="V842" s="235"/>
      <c r="W842" s="235"/>
      <c r="X842" s="235"/>
      <c r="Y842" s="235"/>
      <c r="Z842" s="235"/>
      <c r="AA842" s="246">
        <v>2</v>
      </c>
      <c r="AB842" s="222" t="str">
        <f>IF(AND(COUNTBLANK(I824:I827)=0,Group_players=4,M824=M825,M825=M826),IF(U832="","",IF(COUNTIF(U831:U834,U832)=3,"Tied",IF(AND(COUNTIF(U831:U834,U832)=1,U831&lt;&gt;U833),IF(M825=2,IF(SMALL(U831:U834,1)=U832,1,IF(SMALL(U831:U834,2)=U832,2,IF(SMALL(U831:U834,3)=U832,3))),IF(M825=1,IF(SMALL(U831:U834,1)=U832,2,IF(SMALL(U831:U834,2)=U832,3,IF(SMALL(U831:U834,3)=U832,4))),"")),IF(COUNTIF(U831:U834,U832)=1,IF(U832&lt;U831,IF(M825=2,1,2),IF(M825=2,3,4)),IF(COUNTIF(U831:U834,U832)=2,IF(U832=U831,IF(U832&lt;U833,IF(M825=2,IF(Q848=3,1,2),IF(M825=1,IF(Q848=3,2,3))),IF(U832&gt;U833,IF(M825=2,IF(Q848=3,2,3),IF(M825=1,IF(Q848=3,3,4))))),IF(U832=U833,IF(U832&lt;U831,IF(M825=2,IF(Q844=3,1,2),IF(M825=1,IF(Q844=3,2,3))),IF(U832&gt;U831,IF(M825=2,IF(Q844=3,2,3),IF(M825=1,IF(Q844=3,3,4)))))))))))),"")</f>
        <v/>
      </c>
      <c r="AC842" s="192"/>
      <c r="AD842" s="192"/>
      <c r="AE842" s="192"/>
      <c r="AF842" s="203"/>
      <c r="AG842" s="203"/>
      <c r="AH842" s="203"/>
      <c r="AI842" s="203"/>
      <c r="AJ842" s="203"/>
      <c r="AK842" s="203"/>
      <c r="AL842" s="203"/>
      <c r="AM842" s="203"/>
      <c r="AN842" s="192"/>
      <c r="AO842" s="192"/>
      <c r="AP842" s="192"/>
      <c r="AQ842" s="192"/>
      <c r="AR842" s="192"/>
      <c r="AS842" s="192"/>
      <c r="AT842" s="192"/>
      <c r="AU842" s="192"/>
      <c r="AV842" s="192"/>
      <c r="AW842" s="192"/>
      <c r="AX842" s="192"/>
    </row>
    <row r="843" spans="2:50" ht="15" customHeight="1" thickTop="1" thickBot="1" x14ac:dyDescent="0.35">
      <c r="B843" s="192"/>
      <c r="C843" s="192"/>
      <c r="D843" s="192"/>
      <c r="E843" s="164"/>
      <c r="F843" s="164"/>
      <c r="G843" s="192"/>
      <c r="H843" s="192"/>
      <c r="I843" s="249" t="s">
        <v>118</v>
      </c>
      <c r="J843" s="249"/>
      <c r="K843" s="249"/>
      <c r="L843" s="250" t="s">
        <v>115</v>
      </c>
      <c r="M843" s="250" t="s">
        <v>116</v>
      </c>
      <c r="N843" s="250" t="s">
        <v>117</v>
      </c>
      <c r="O843" s="250" t="s">
        <v>118</v>
      </c>
      <c r="P843" s="250" t="s">
        <v>119</v>
      </c>
      <c r="Q843" s="250" t="s">
        <v>120</v>
      </c>
      <c r="R843" s="250"/>
      <c r="S843" s="251"/>
      <c r="T843" s="192"/>
      <c r="U843" s="235"/>
      <c r="V843" s="235"/>
      <c r="W843" s="235"/>
      <c r="X843" s="235"/>
      <c r="Y843" s="235"/>
      <c r="Z843" s="235"/>
      <c r="AA843" s="240">
        <v>3</v>
      </c>
      <c r="AB843" s="241" t="str">
        <f>IF(AND(COUNTBLANK(I824:I827)=0,Group_players=4,M824=M825,M825=M826),IF(U833="","",IF(COUNTIF(U831:U834,U833)=3,"Tied",IF(AND(COUNTIF(U831:U834,U833)=1,U831&lt;&gt;U832),IF(M824=2,IF(SMALL(U831:U834,1)=U833,1,IF(SMALL(U831:U834,2)=U833,2,IF(SMALL(U831:U834,3)=U833,3))),IF(M826=1,IF(SMALL(U831:U834,1)=U833,2,IF(SMALL(U831:U834,2)=U833,3,IF(SMALL(U831:U834,3)=U833,4))),"")),IF(COUNTIF(U831:U834,U833)=1,IF(U833&lt;U832,IF(M826=2,1,2),IF(M826=2,3,4)),IF(COUNTIF(U831:U834,U833)=2,IF(U833=U832,IF(U833&lt;U831,IF(M826=2,IF(Q845=3,1,2),IF(M826=1,IF(Q845=3,2,3))),IF(U833&gt;U831,IF(M826=2,IF(Q845=3,2,3),IF(M826=1,IF(Q845=3,3,4))))),IF(U833=U831,IF(U833&lt;U832,IF(M826=2,IF(Q836=3,1,2),IF(M826=1,IF(Q836=3,2,3))),IF(U833&gt;U832,IF(M826=2,IF(Q836=3,2,3),IF(M826=1,IF(Q836=3,3,4)))))))))))),"")</f>
        <v/>
      </c>
      <c r="AC843" s="192"/>
      <c r="AD843" s="192"/>
      <c r="AE843" s="192"/>
      <c r="AF843" s="203"/>
      <c r="AG843" s="203"/>
      <c r="AH843" s="203"/>
      <c r="AI843" s="203"/>
      <c r="AJ843" s="203"/>
      <c r="AK843" s="203"/>
      <c r="AL843" s="203"/>
      <c r="AM843" s="203"/>
      <c r="AN843" s="192"/>
      <c r="AO843" s="192"/>
      <c r="AP843" s="192"/>
      <c r="AQ843" s="192"/>
      <c r="AR843" s="192"/>
      <c r="AS843" s="192"/>
      <c r="AT843" s="192"/>
      <c r="AU843" s="192"/>
      <c r="AV843" s="192"/>
      <c r="AW843" s="192"/>
      <c r="AX843" s="192"/>
    </row>
    <row r="844" spans="2:50" ht="15" customHeight="1" thickTop="1" x14ac:dyDescent="0.3">
      <c r="B844" s="192"/>
      <c r="C844" s="192"/>
      <c r="D844" s="192"/>
      <c r="E844" s="164" t="str">
        <f>IF(Q844="","",IF(Q844=3,1,0))</f>
        <v/>
      </c>
      <c r="F844" s="164" t="str">
        <f>IF(Q844="","",IF(Q844&lt;3,1,0))</f>
        <v/>
      </c>
      <c r="G844" s="192"/>
      <c r="H844" s="192" t="str">
        <f>IF(I827&lt;&gt;"",2,"")</f>
        <v/>
      </c>
      <c r="I844" s="192" t="str">
        <f>IF(ISNUMBER(H844),VLOOKUP(H844,H824:I827,2,TRUE),"")</f>
        <v/>
      </c>
      <c r="J844" s="192"/>
      <c r="K844" s="192" t="str">
        <f>VLOOKUP(I844,I824:L827,3,FALSE)</f>
        <v/>
      </c>
      <c r="L844" s="253"/>
      <c r="M844" s="254"/>
      <c r="N844" s="254"/>
      <c r="O844" s="152"/>
      <c r="P844" s="153"/>
      <c r="Q844" s="255" t="str">
        <f>IF(L844="","",IF(AND(L844-L845&gt;1,L844&gt;10),1,0)+IF(AND(M844-M845&gt;1,M844&gt;10),1,0)+IF(AND(N844-N845&gt;1,N844&gt;10),1,0)+IF(AND(O844-O845&gt;1,O844&gt;10),1,0)+IF(AND(P844-P845&gt;1,P844&gt;10),1,0))</f>
        <v/>
      </c>
      <c r="R844" s="203" t="str">
        <f>IF(AND(I844="",I845=""),"",ABS(VLOOKUP(I844,I824:L827,4,FALSE)-VLOOKUP(I845,I824:L827,4,FALSE)))</f>
        <v/>
      </c>
      <c r="S844" s="256" t="str">
        <f>IF(R845="","",IF(Q844=3,+R845,-R845))</f>
        <v/>
      </c>
      <c r="T844" s="192"/>
      <c r="U844" s="235"/>
      <c r="V844" s="235"/>
      <c r="W844" s="235"/>
      <c r="X844" s="235"/>
      <c r="Y844" s="235"/>
      <c r="Z844" s="235"/>
      <c r="AA844" s="243">
        <v>1</v>
      </c>
      <c r="AB844" s="222" t="str">
        <f>IF(AND(COUNTBLANK(I824:I827)=0,Group_players=4,M824=M826,M826=M827),IF(V831="","",IF(COUNTIF(V831:V834,V831)=3,"Tied",IF(AND(COUNTIF(V831:V834,V831)=1,V833&lt;&gt;U834),IF(M824=2,IF(SMALL(V831:V834,1)=V831,1,IF(SMALL(V831:V834,2)=V831,2,IF(SMALL(V831:V834,3)=V831,3))),IF(M824=1,IF(SMALL(V831:V834,1)=V831,2,IF(SMALL(V831:V834,2)=V831,3,IF(SMALL(V831:V834,3)=V831,4))),"")),IF(COUNTIF(V831:V834,V831)=1,IF(V831&lt;V833,IF(M824=2,1,2),IF(M824=2,3,4)),IF(COUNTIF(V831:V834,V831)=2,IF(V831=V833,IF(V831&lt;V834,IF(M824=2,IF(Q835=3,1,2),IF(M824=1,IF(Q835=3,2,3))),IF(V831&gt;V834,IF(M824=2,IF(Q835=3,2,3),IF(M824=1,IF(Q835=3,3,4))))),IF(V831=V834,IF(V831&lt;V833,IF(M824=2,IF(Q841=3,1,2),IF(M824=1,IF(Q841=3,2,3))),IF(V831&gt;V832,IF(M824=2,IF(Q841=3,2,3),IF(M824=1,IF(Q841=3,3,4)))))))))))),"")</f>
        <v/>
      </c>
      <c r="AC844" s="192"/>
      <c r="AD844" s="192"/>
      <c r="AE844" s="192"/>
      <c r="AF844" s="203"/>
      <c r="AG844" s="203"/>
      <c r="AH844" s="203"/>
      <c r="AI844" s="203"/>
      <c r="AJ844" s="203"/>
      <c r="AK844" s="203"/>
      <c r="AL844" s="203"/>
      <c r="AM844" s="203"/>
      <c r="AN844" s="192"/>
      <c r="AO844" s="192"/>
      <c r="AP844" s="192"/>
      <c r="AQ844" s="192"/>
      <c r="AR844" s="192"/>
      <c r="AS844" s="192"/>
      <c r="AT844" s="192"/>
      <c r="AU844" s="192"/>
      <c r="AV844" s="192"/>
      <c r="AW844" s="192"/>
      <c r="AX844" s="192"/>
    </row>
    <row r="845" spans="2:50" ht="15" customHeight="1" thickBot="1" x14ac:dyDescent="0.35">
      <c r="B845" s="192"/>
      <c r="C845" s="192"/>
      <c r="D845" s="192"/>
      <c r="E845" s="164" t="str">
        <f>IF(Q845="","",IF(Q845=3,1,0))</f>
        <v/>
      </c>
      <c r="F845" s="164" t="str">
        <f>IF(Q845="","",IF(Q845&lt;3,1,0))</f>
        <v/>
      </c>
      <c r="G845" s="192"/>
      <c r="H845" s="192" t="str">
        <f>IF(I827&lt;&gt;"",3,"")</f>
        <v/>
      </c>
      <c r="I845" s="192" t="str">
        <f>IF(ISNUMBER(H845),VLOOKUP(H845,H824:I827,2,TRUE),"")</f>
        <v/>
      </c>
      <c r="J845" s="192"/>
      <c r="K845" s="192" t="str">
        <f>VLOOKUP(I845,I824:L827,3,FALSE)</f>
        <v/>
      </c>
      <c r="L845" s="155"/>
      <c r="M845" s="259"/>
      <c r="N845" s="259"/>
      <c r="O845" s="156"/>
      <c r="P845" s="157"/>
      <c r="Q845" s="260" t="str">
        <f>IF(L845="","",IF(AND(L845-L844&gt;1,L845&gt;10),1,0)+IF(AND(M845-M844&gt;1,M845&gt;10),1,0)+IF(AND(N845-N844&gt;1,N845&gt;10),1,0)+IF(AND(O845-O844&gt;1,O845&gt;10),1,0)+IF(AND(P845-P844&gt;1,P845&gt;10),1,0))</f>
        <v/>
      </c>
      <c r="R845" s="203" t="str">
        <f>IF(AND(Q844&lt;&gt;3,Q845&lt;&gt;3),"",IF(Q844=3,IF(VLOOKUP(I844,I824:L827,4,FALSE)&gt;VLOOKUP(I845,I824:L827,4,FALSE),VLOOKUP(R844,Point_dif,2,FALSE),VLOOKUP(R844,Point_dif,3,FALSE)),IF(Q845=3,IF(VLOOKUP(I845,I824:L827,4,FALSE)&gt;VLOOKUP(I844,I824:L827,4,FALSE),VLOOKUP(R844,Point_dif,2,FALSE),VLOOKUP(R844,Point_dif,3,FALSE)))))</f>
        <v/>
      </c>
      <c r="S845" s="256" t="str">
        <f>IF(R845="","",IF(Q845=3,+R845,-R845))</f>
        <v/>
      </c>
      <c r="T845" s="192"/>
      <c r="U845" s="159"/>
      <c r="V845" s="266"/>
      <c r="W845" s="266"/>
      <c r="X845" s="266"/>
      <c r="Y845" s="192"/>
      <c r="Z845" s="203"/>
      <c r="AA845" s="246">
        <v>3</v>
      </c>
      <c r="AB845" s="222" t="str">
        <f>IF(AND(COUNTBLANK(I824:I827)=0,Group_players=4,M824=M826,M826=M827),IF(V833="","",IF(COUNTIF(V831:V834,V833)=3,"Tied",IF(AND(COUNTIF(V831:V834,V833)=1,V831&lt;&gt;V834),IF(M826=2,IF(SMALL(V831:V834,1)=V833,1,IF(SMALL(V831:V834,2)=V833,2,IF(SMALL(V831:V834,3)=V833,3))),IF(M826=1,IF(SMALL(V831:V834,1)=V833,2,IF(SMALL(V831:V834,2)=V833,3,IF(SMALL(V831:V834,3)=V833,4))),"")),IF(COUNTIF(V831:V834,V833)=1,IF(V833&lt;V831,IF(M826=2,1,2),IF(M826=2,3,4)),IF(COUNTIF(V831:V834,V833)=2,IF(V833=V831,IF(V833&lt;V834,IF(M826=2,IF(Q836=3,1,2),IF(M826=1,IF(Q836=3,2,3))),IF(V833&gt;V834,IF(M826=2,IF(Q836=3,2,3),IF(M826=1,IF(Q836=3,3,4))))),IF(V833=V834,IF(V833&lt;V831,IF(M826=2,IF(Q850=3,1,2),IF(M826=1,IF(Q850=3,2,3))),IF(V833&gt;V831,IF(M826=2,IF(Q850=3,2,3),IF(M826=1,IF(Q850=3,3,4)))))))))))),"")</f>
        <v/>
      </c>
      <c r="AC845" s="192"/>
      <c r="AD845" s="192"/>
      <c r="AE845" s="192"/>
      <c r="AF845" s="203"/>
      <c r="AG845" s="203"/>
      <c r="AH845" s="203"/>
      <c r="AI845" s="203"/>
      <c r="AJ845" s="203"/>
      <c r="AK845" s="203"/>
      <c r="AL845" s="203"/>
      <c r="AM845" s="203"/>
      <c r="AN845" s="192"/>
      <c r="AO845" s="192"/>
      <c r="AP845" s="192"/>
      <c r="AQ845" s="192"/>
      <c r="AR845" s="192"/>
      <c r="AS845" s="192"/>
      <c r="AT845" s="192"/>
      <c r="AU845" s="192"/>
      <c r="AV845" s="192"/>
      <c r="AW845" s="192"/>
      <c r="AX845" s="192"/>
    </row>
    <row r="846" spans="2:50" ht="15" customHeight="1" thickTop="1" thickBot="1" x14ac:dyDescent="0.35">
      <c r="B846" s="192"/>
      <c r="C846" s="192"/>
      <c r="D846" s="192"/>
      <c r="E846" s="164"/>
      <c r="F846" s="164"/>
      <c r="G846" s="192"/>
      <c r="H846" s="192"/>
      <c r="I846" s="249" t="s">
        <v>119</v>
      </c>
      <c r="J846" s="249"/>
      <c r="K846" s="249"/>
      <c r="L846" s="250" t="s">
        <v>115</v>
      </c>
      <c r="M846" s="250" t="s">
        <v>116</v>
      </c>
      <c r="N846" s="250" t="s">
        <v>117</v>
      </c>
      <c r="O846" s="250" t="s">
        <v>118</v>
      </c>
      <c r="P846" s="250" t="s">
        <v>119</v>
      </c>
      <c r="Q846" s="250" t="s">
        <v>120</v>
      </c>
      <c r="R846" s="250"/>
      <c r="S846" s="251"/>
      <c r="T846" s="247"/>
      <c r="U846" s="235"/>
      <c r="V846" s="235"/>
      <c r="W846" s="235"/>
      <c r="X846" s="235"/>
      <c r="Y846" s="235"/>
      <c r="Z846" s="235"/>
      <c r="AA846" s="240">
        <v>4</v>
      </c>
      <c r="AB846" s="241" t="str">
        <f>IF(AND(COUNTBLANK(I824:I827)=0,Group_players=4,M824=M826,M826=M827),IF(V834="","",IF(COUNTIF(V831:V834,V834)=3,"Tied",IF(AND(COUNTIF(V831:V834,V834)=1,V833&lt;&gt;V831),IF(M827=2,IF(SMALL(V831:V834,1)=V834,1,IF(SMALL(V831:V834,2)=V834,2,IF(SMALL(V831:V834,3)=V834,3))),IF(M827=1,IF(SMALL(V831:V834,1)=V834,2,IF(SMALL(V831:V834,2)=V834,3,IF(SMALL(V831:V834,3)=V834,4))),"")),IF(COUNTIF(V831:V834,V834)=1,IF(V834&lt;V831,IF(M827=2,1,2),IF(M827=2,3,4)),IF(COUNTIF(V831:V834,V834)=2,IF(V834=V831,IF(V834&lt;V833,IF(M827=2,IF(Q842=3,1,2),IF(M827=1,IF(Q842=3,2,3))),IF(V834&gt;V833,IF(M827=2,IF(Q842=3,2,3),IF(M827=1,IF(Q842=3,3,4))))),IF(V834=V833,IF(V834&lt;V831,IF(M827=2,IF(Q851=3,1,2),IF(M827=1,IF(Q851=3,2,3))),IF(V834&gt;V831,IF(M827=2,IF(Q851=3,2,3),IF(M827=1,IF(Q851=3,3,4)))))))))))),"")</f>
        <v/>
      </c>
      <c r="AC846" s="192"/>
      <c r="AD846" s="192"/>
      <c r="AE846" s="192"/>
      <c r="AF846" s="203"/>
      <c r="AG846" s="203"/>
      <c r="AH846" s="203"/>
      <c r="AI846" s="203"/>
      <c r="AJ846" s="203"/>
      <c r="AK846" s="203"/>
      <c r="AL846" s="203"/>
      <c r="AM846" s="203"/>
      <c r="AN846" s="192"/>
      <c r="AO846" s="192"/>
      <c r="AP846" s="192"/>
      <c r="AQ846" s="192"/>
      <c r="AR846" s="192"/>
      <c r="AS846" s="192"/>
      <c r="AT846" s="192"/>
      <c r="AU846" s="192"/>
      <c r="AV846" s="192"/>
      <c r="AW846" s="192"/>
      <c r="AX846" s="192"/>
    </row>
    <row r="847" spans="2:50" ht="15" customHeight="1" thickTop="1" x14ac:dyDescent="0.3">
      <c r="B847" s="192"/>
      <c r="C847" s="192"/>
      <c r="D847" s="192"/>
      <c r="E847" s="164" t="str">
        <f>IF(Q847="","",IF(Q847=3,1,0))</f>
        <v/>
      </c>
      <c r="F847" s="164" t="str">
        <f>IF(Q847="","",IF(Q847&lt;3,1,0))</f>
        <v/>
      </c>
      <c r="G847" s="192"/>
      <c r="H847" s="192" t="str">
        <f>IF(I827&lt;&gt;"",1,"")</f>
        <v/>
      </c>
      <c r="I847" s="192" t="str">
        <f>IF(ISNUMBER(H847),VLOOKUP(H847,H824:I827,2,TRUE),"")</f>
        <v/>
      </c>
      <c r="J847" s="192"/>
      <c r="K847" s="192" t="str">
        <f>VLOOKUP(I847,I824:L827,3,FALSE)</f>
        <v/>
      </c>
      <c r="L847" s="253"/>
      <c r="M847" s="254"/>
      <c r="N847" s="254"/>
      <c r="O847" s="152"/>
      <c r="P847" s="153"/>
      <c r="Q847" s="255" t="str">
        <f>IF(L847="","",IF(AND(L847-L848&gt;1,L847&gt;10),1,0)+IF(AND(M847-M848&gt;1,M847&gt;10),1,0)+IF(AND(N847-N848&gt;1,N847&gt;10),1,0)+IF(AND(O847-O848&gt;1,O847&gt;10),1,0)+IF(AND(P847-P848&gt;1,P847&gt;10),1,0))</f>
        <v/>
      </c>
      <c r="R847" s="203" t="str">
        <f>IF(AND(I847="",I848=""),"",ABS(VLOOKUP(I847,I824:L827,4,FALSE)-VLOOKUP(I848,I824:L827,4,FALSE)))</f>
        <v/>
      </c>
      <c r="S847" s="256" t="str">
        <f>IF(R848="","",IF(Q847=3,+R848,-R848))</f>
        <v/>
      </c>
      <c r="T847" s="247"/>
      <c r="U847" s="235"/>
      <c r="V847" s="235"/>
      <c r="W847" s="235"/>
      <c r="X847" s="235"/>
      <c r="Y847" s="235"/>
      <c r="Z847" s="235"/>
      <c r="AA847" s="243">
        <v>1</v>
      </c>
      <c r="AB847" s="222" t="str">
        <f>IF(AND(COUNTBLANK(I824:I827)=0,Group_players=4,M824=M825,M825=M827),IF(W831="","",IF(COUNTIF(W831:W834,W831)=3,"Tied",IF(AND(COUNTIF(W831:W834,W831)=1,W832&lt;&gt;W833),IF(M824=2,IF(SMALL(W831:W834,1)=W831,1,IF(SMALL(W831:W834,2)=W831,2,IF(SMALL(W831:W834,3)=W831,3))),IF(M824=1,IF(SMALL(W831:W834,1)=W831,2,IF(SMALL(W831:W834,2)=W831,3,IF(SMALL(W831:W834,3)=W831,4))),"")),IF(COUNTIF(W831:W834,W831)=1,IF(W831&lt;W832,IF(M824=2,1,2),IF(M824=2,3,4)),IF(COUNTIF(W831:W834,W831)=2,IF(W831=W832,IF(W831&lt;W834,IF(M824=2,IF(Q847=3,1,2),IF(M824=1,IF(Q847=3,2,3))),IF(W831&gt;W834,IF(M824=2,IF(Q847=3,2,3),IF(M824=1,IF(Q847=3,3,4))))),IF(W831=W834,IF(W831&lt;W832,IF(M824=2,IF(Q841=3,1,2),IF(M824=1,IF(Q841=3,2,3))),IF(W831&gt;W832,IF(M824=2,IF(Q841=3,2,3),IF(M824=1,IF(Q841=3,3,4)))))))))))),"")</f>
        <v/>
      </c>
      <c r="AC847" s="192"/>
      <c r="AD847" s="192"/>
      <c r="AE847" s="192"/>
      <c r="AF847" s="203"/>
      <c r="AG847" s="203"/>
      <c r="AH847" s="203"/>
      <c r="AI847" s="203"/>
      <c r="AJ847" s="203"/>
      <c r="AK847" s="203"/>
      <c r="AL847" s="203"/>
      <c r="AM847" s="203"/>
      <c r="AN847" s="192"/>
      <c r="AO847" s="192"/>
      <c r="AP847" s="192"/>
      <c r="AQ847" s="192"/>
      <c r="AR847" s="192"/>
      <c r="AS847" s="192"/>
      <c r="AT847" s="192"/>
      <c r="AU847" s="192"/>
      <c r="AV847" s="192"/>
      <c r="AW847" s="192"/>
      <c r="AX847" s="192"/>
    </row>
    <row r="848" spans="2:50" ht="15" customHeight="1" thickBot="1" x14ac:dyDescent="0.35">
      <c r="B848" s="192"/>
      <c r="C848" s="192"/>
      <c r="D848" s="192"/>
      <c r="E848" s="164" t="str">
        <f>IF(Q848="","",IF(Q848=3,1,0))</f>
        <v/>
      </c>
      <c r="F848" s="164" t="str">
        <f>IF(Q848="","",IF(Q848&lt;3,1,0))</f>
        <v/>
      </c>
      <c r="G848" s="192"/>
      <c r="H848" s="192" t="str">
        <f>IF(I827&lt;&gt;"",2,"")</f>
        <v/>
      </c>
      <c r="I848" s="192" t="str">
        <f>IF(ISNUMBER(H848),VLOOKUP(H848,H824:I827,2,TRUE),"")</f>
        <v/>
      </c>
      <c r="J848" s="192"/>
      <c r="K848" s="192" t="str">
        <f>VLOOKUP(I848,I824:L827,3,FALSE)</f>
        <v/>
      </c>
      <c r="L848" s="155"/>
      <c r="M848" s="259"/>
      <c r="N848" s="259"/>
      <c r="O848" s="156"/>
      <c r="P848" s="157"/>
      <c r="Q848" s="260" t="str">
        <f>IF(L848="","",IF(AND(L848-L847&gt;1,L848&gt;10),1,0)+IF(AND(M848-M847&gt;1,M848&gt;10),1,0)+IF(AND(N848-N847&gt;1,N848&gt;10),1,0)+IF(AND(O848-O847&gt;1,O848&gt;10),1,0)+IF(AND(P848-P847&gt;1,P848&gt;10),1,0))</f>
        <v/>
      </c>
      <c r="R848" s="203" t="str">
        <f>IF(AND(Q847&lt;&gt;3,Q848&lt;&gt;3),"",IF(Q847=3,IF(VLOOKUP(I847,I824:L827,4,FALSE)&gt;VLOOKUP(I848,I824:L827,4,FALSE),VLOOKUP(R847,Point_dif,2,FALSE),VLOOKUP(R847,Point_dif,3,FALSE)),IF(Q848=3,IF(VLOOKUP(I848,I824:L827,4,FALSE)&gt;VLOOKUP(I848,I824:L827,4,FALSE),VLOOKUP(R847,Point_dif,2,FALSE),VLOOKUP(R847,Point_dif,3,FALSE)))))</f>
        <v/>
      </c>
      <c r="S848" s="256" t="str">
        <f>IF(R848="","",IF(Q848=3,+R848,-R848))</f>
        <v/>
      </c>
      <c r="T848" s="247"/>
      <c r="U848" s="235"/>
      <c r="V848" s="235"/>
      <c r="W848" s="235"/>
      <c r="X848" s="235"/>
      <c r="Y848" s="235"/>
      <c r="Z848" s="235"/>
      <c r="AA848" s="246">
        <v>2</v>
      </c>
      <c r="AB848" s="222" t="str">
        <f>IF(AND(COUNTBLANK(I824:I827)=0,Group_players=4,M824=M825,M825=M827),IF(W832="","",IF(COUNTIF(W831:W834,W832)=3,"Tied",IF(AND(COUNTIF(W831:W834,W832)=1,W831&lt;&gt;W833),IF(M825=2,IF(SMALL(W831:W834,1)=W832,1,IF(SMALL(W831:W834,2)=W832,2,IF(SMALL(W831:W834,3)=W832,3))),IF(M825=1,IF(SMALL(W831:W834,1)=W832,2,IF(SMALL(W831:W834,2)=W832,3,IF(SMALL(W831:W834,3)=W832,4))),"")),IF(COUNTIF(W831:W834,W832)=1,IF(W832&lt;W831,IF(M825=2,1,2),IF(M825=2,3,4)),IF(COUNTIF(W831:W834,W832)=2,IF(W832=W831,IF(W832&lt;W834,IF(M825=2,IF(Q848=3,1,2),IF(M825=1,IF(Q848=3,2,3))),IF(W832&gt;W834,IF(M825=2,IF(Q848=3,2,3),IF(M825=1,IF(Q848=3,3,4))))),IF(W832=W834,IF(W832&lt;W831,IF(M825=2,IF(Q838=3,1,2),IF(M825=1,IF(Q838=3,2,3))),IF(W832&gt;W831,IF(M825=2,IF(Q838=3,2,3),IF(M825=1,IF(Q838=3,3,4)))))))))))),"")</f>
        <v/>
      </c>
      <c r="AC848" s="192"/>
      <c r="AD848" s="192"/>
      <c r="AE848" s="192"/>
      <c r="AF848" s="203"/>
      <c r="AG848" s="203"/>
      <c r="AH848" s="203"/>
      <c r="AI848" s="203"/>
      <c r="AJ848" s="203"/>
      <c r="AK848" s="203"/>
      <c r="AL848" s="203"/>
      <c r="AM848" s="203"/>
      <c r="AN848" s="192"/>
      <c r="AO848" s="192"/>
      <c r="AP848" s="192"/>
      <c r="AQ848" s="192"/>
      <c r="AR848" s="192"/>
      <c r="AS848" s="192"/>
      <c r="AT848" s="192"/>
      <c r="AU848" s="192"/>
      <c r="AV848" s="192"/>
      <c r="AW848" s="192"/>
      <c r="AX848" s="192"/>
    </row>
    <row r="849" spans="2:50" ht="15" customHeight="1" thickTop="1" thickBot="1" x14ac:dyDescent="0.35">
      <c r="B849" s="192"/>
      <c r="C849" s="192"/>
      <c r="D849" s="192"/>
      <c r="E849" s="164"/>
      <c r="F849" s="164"/>
      <c r="G849" s="192"/>
      <c r="H849" s="192"/>
      <c r="I849" s="249" t="s">
        <v>121</v>
      </c>
      <c r="J849" s="249"/>
      <c r="K849" s="249"/>
      <c r="L849" s="250" t="s">
        <v>115</v>
      </c>
      <c r="M849" s="250" t="s">
        <v>116</v>
      </c>
      <c r="N849" s="250" t="s">
        <v>117</v>
      </c>
      <c r="O849" s="250" t="s">
        <v>118</v>
      </c>
      <c r="P849" s="250" t="s">
        <v>119</v>
      </c>
      <c r="Q849" s="250" t="s">
        <v>120</v>
      </c>
      <c r="R849" s="250"/>
      <c r="S849" s="251"/>
      <c r="T849" s="247"/>
      <c r="U849" s="235"/>
      <c r="V849" s="235"/>
      <c r="W849" s="235"/>
      <c r="X849" s="235"/>
      <c r="Y849" s="235"/>
      <c r="Z849" s="235"/>
      <c r="AA849" s="240">
        <v>4</v>
      </c>
      <c r="AB849" s="241" t="str">
        <f>IF(AND(COUNTBLANK(I824:I827)=0,Group_players=4,M824=M825,M825=M827),IF(W834="","",IF(COUNTIF(W831:W834,W834)=3,"Tied",IF(AND(COUNTIF(W831:W834,W834)=1,W831&lt;&gt;W832),IF(M827=2,IF(SMALL(W831:W834,1)=W834,1,IF(SMALL(W831:W834,2)=W834,2,IF(SMALL(W831:W834,3)=W834,3))),IF(M827=1,IF(SMALL(W831:W834,1)=W834,2,IF(SMALL(W831:W834,2)=W834,3,IF(SMALL(W831:W834,3)=W834,4))),"")),IF(COUNTIF(W831:W834,W834)=1,IF(W834&lt;W831,IF(M827=2,1,2),IF(M827=2,3,4)),IF(COUNTIF(W831:W834,W834)=2,IF(W834=W831,IF(W834&lt;W832,IF(M827=2,IF(Q842=3,1,2),IF(M827=1,IF(Q842=3,2,3))),IF(W834&gt;W833,IF(M827=2,IF(Q842=3,2,3),IF(M827=1,IF(Q842=3,3,4))))),IF(W834=W832,IF(W834&lt;W831,IF(M827=2,IF(Q839=3,1,2),IF(M827=1,IF(Q839=3,2,3))),IF(W834&gt;W831,IF(M827=2,IF(Q839=3,2,3),IF(M827=1,IF(Q839=3,3,4)))))))))))),"")</f>
        <v/>
      </c>
      <c r="AC849" s="192"/>
      <c r="AD849" s="192"/>
      <c r="AE849" s="192"/>
      <c r="AF849" s="203"/>
      <c r="AG849" s="203"/>
      <c r="AH849" s="203"/>
      <c r="AI849" s="203"/>
      <c r="AJ849" s="203"/>
      <c r="AK849" s="203"/>
      <c r="AL849" s="203"/>
      <c r="AM849" s="203"/>
      <c r="AN849" s="192"/>
      <c r="AO849" s="192"/>
      <c r="AP849" s="192"/>
      <c r="AQ849" s="192"/>
      <c r="AR849" s="192"/>
      <c r="AS849" s="192"/>
      <c r="AT849" s="192"/>
      <c r="AU849" s="192"/>
      <c r="AV849" s="192"/>
      <c r="AW849" s="192"/>
      <c r="AX849" s="192"/>
    </row>
    <row r="850" spans="2:50" ht="15" customHeight="1" thickTop="1" x14ac:dyDescent="0.3">
      <c r="B850" s="192"/>
      <c r="C850" s="192"/>
      <c r="D850" s="192"/>
      <c r="E850" s="164" t="str">
        <f>IF(Q850="","",IF(Q850=3,1,0))</f>
        <v/>
      </c>
      <c r="F850" s="164" t="str">
        <f>IF(Q850="","",IF(Q850&lt;3,1,0))</f>
        <v/>
      </c>
      <c r="G850" s="192"/>
      <c r="H850" s="192" t="str">
        <f>IF(I827&lt;&gt;"",3,"")</f>
        <v/>
      </c>
      <c r="I850" s="192" t="str">
        <f>IF(ISNUMBER(H850),VLOOKUP(H850,H824:I827,2,TRUE),"")</f>
        <v/>
      </c>
      <c r="J850" s="192"/>
      <c r="K850" s="192" t="str">
        <f>VLOOKUP(I850,I824:L827,3,FALSE)</f>
        <v/>
      </c>
      <c r="L850" s="253"/>
      <c r="M850" s="254"/>
      <c r="N850" s="254"/>
      <c r="O850" s="152"/>
      <c r="P850" s="153"/>
      <c r="Q850" s="255" t="str">
        <f>IF(L850="","",IF(AND(L850-L851&gt;1,L850&gt;10),1,0)+IF(AND(M850-M851&gt;1,M850&gt;10),1,0)+IF(AND(N850-N851&gt;1,N850&gt;10),1,0)+IF(AND(O850-O851&gt;1,O850&gt;10),1,0)+IF(AND(P850-P851&gt;1,P850&gt;10),1,0))</f>
        <v/>
      </c>
      <c r="R850" s="203" t="str">
        <f>IF(AND(I850="",I851=""),"",ABS(VLOOKUP(I850,I824:L827,4,FALSE)-VLOOKUP(I851,I824:L827,4,FALSE)))</f>
        <v/>
      </c>
      <c r="S850" s="256" t="str">
        <f>IF(R851="","",IF(Q850=3,+R851,-R851))</f>
        <v/>
      </c>
      <c r="T850" s="247"/>
      <c r="U850" s="264"/>
      <c r="V850" s="242"/>
      <c r="W850" s="192"/>
      <c r="X850" s="264"/>
      <c r="Y850" s="192"/>
      <c r="Z850" s="192"/>
      <c r="AA850" s="243">
        <v>2</v>
      </c>
      <c r="AB850" s="222" t="str">
        <f>IF(AND(COUNTBLANK(I824:I827)=0,Group_players=4,M825=M826,M826=M827),IF(X832="","",IF(COUNTIF(X831:X834,X832)=3,"Tied",IF(AND(COUNTIF(X831:X834,X832)=1,X833&lt;&gt;X834),IF(M825=2,IF(SMALL(X831:X834,1)=X832,1,IF(SMALL(X831:X834,2)=X832,2,IF(SMALL(X831:X834,3)=X832,3))),IF(M825=1,IF(SMALL(X831:X834,1)=X832,2,IF(SMALL(X831:X834,2)=X832,3,IF(SMALL(X831:X834,3)=X832,4))),"")),IF(COUNTIF(X831:X834,X832)=1,IF(X832&lt;X834,IF(M825=2,1,2),IF(M825=1,4)),IF(COUNTIF(X831:X834,X832)=2,IF(X832=X833,IF(X832&lt;X834,IF(M825=2,IF(Q844=3,1,2),IF(M825=1,IF(Q844=3,2,3))),IF(X832&gt;X834,IF(M825=2,IF(Q844=3,2,3),IF(M825=1,IF(Q844=3,3,4))))),IF(X832=X834,IF(X832&lt;X833,IF(M825=2,IF(Q838=3,1,2),IF(M825=1,IF(Q838=3,2,3))),IF(X832&gt;X833,IF(M825=2,IF(Q838=3,2,3),IF(M825=1,IF(Q838=3,3,4)))))))))))),"")</f>
        <v/>
      </c>
      <c r="AC850" s="192"/>
      <c r="AD850" s="192"/>
      <c r="AE850" s="192"/>
      <c r="AF850" s="203"/>
      <c r="AG850" s="203"/>
      <c r="AH850" s="203"/>
      <c r="AI850" s="203"/>
      <c r="AJ850" s="203"/>
      <c r="AK850" s="203"/>
      <c r="AL850" s="203"/>
      <c r="AM850" s="203"/>
      <c r="AN850" s="192"/>
      <c r="AO850" s="192"/>
      <c r="AP850" s="192"/>
      <c r="AQ850" s="192"/>
      <c r="AR850" s="192"/>
      <c r="AS850" s="192"/>
      <c r="AT850" s="192"/>
      <c r="AU850" s="192"/>
      <c r="AV850" s="192"/>
      <c r="AW850" s="192"/>
      <c r="AX850" s="192"/>
    </row>
    <row r="851" spans="2:50" ht="15" customHeight="1" thickBot="1" x14ac:dyDescent="0.35">
      <c r="B851" s="192"/>
      <c r="C851" s="192"/>
      <c r="D851" s="192"/>
      <c r="E851" s="164" t="str">
        <f>IF(Q851="","",IF(Q851=3,1,0))</f>
        <v/>
      </c>
      <c r="F851" s="164" t="str">
        <f>IF(Q851="","",IF(Q851&lt;3,1,0))</f>
        <v/>
      </c>
      <c r="G851" s="192"/>
      <c r="H851" s="192" t="str">
        <f>IF(I827&lt;&gt;"",4,"")</f>
        <v/>
      </c>
      <c r="I851" s="192" t="str">
        <f>IF(ISNUMBER(H851),VLOOKUP(H851,H824:I827,2,TRUE),"")</f>
        <v/>
      </c>
      <c r="J851" s="192"/>
      <c r="K851" s="192" t="str">
        <f>VLOOKUP(I851,I824:L827,3,FALSE)</f>
        <v/>
      </c>
      <c r="L851" s="155"/>
      <c r="M851" s="259"/>
      <c r="N851" s="259"/>
      <c r="O851" s="156"/>
      <c r="P851" s="157"/>
      <c r="Q851" s="260" t="str">
        <f>IF(L851="","",IF(AND(L851-L850&gt;1,L851&gt;10),1,0)+IF(AND(M851-M850&gt;1,M851&gt;10),1,0)+IF(AND(N851-N850&gt;1,N851&gt;10),1,0)+IF(AND(O851-O850&gt;1,O851&gt;10),1,0)+IF(AND(P851-P850&gt;1,P851&gt;10),1,0))</f>
        <v/>
      </c>
      <c r="R851" s="203" t="str">
        <f>IF(AND(Q850&lt;&gt;3,Q851&lt;&gt;3),"",IF(Q850=3,IF(VLOOKUP(I850,I824:L827,4,FALSE)&gt;VLOOKUP(I851,I824:L827,4,FALSE),VLOOKUP(R850,Point_dif,2,FALSE),VLOOKUP(R850,Point_dif,3,FALSE)),IF(Q851=3,IF(VLOOKUP(I851,I824:L827,4,FALSE)&gt;VLOOKUP(I850,I824:L827,4,FALSE),VLOOKUP(R850,Point_dif,2,FALSE),VLOOKUP(R850,Point_dif,3,FALSE)))))</f>
        <v/>
      </c>
      <c r="S851" s="260" t="str">
        <f>IF(R851="","",IF(Q851=3,+R851,-R851))</f>
        <v/>
      </c>
      <c r="T851" s="247"/>
      <c r="U851" s="235"/>
      <c r="V851" s="235"/>
      <c r="W851" s="235"/>
      <c r="X851" s="235"/>
      <c r="Y851" s="235"/>
      <c r="Z851" s="235"/>
      <c r="AA851" s="246">
        <v>3</v>
      </c>
      <c r="AB851" s="222" t="str">
        <f>IF(AND(COUNTBLANK(I824:I827)=0,Group_players=4,Group_players=4,M825=M826,M826=M827),IF(X833="","",IF(COUNTIF(X831:X834,X833)=3,"Tied",IF(AND(COUNTIF(X831:X834,X833)=1,X832&lt;&gt;X834),IF(M826=2,IF(SMALL(X831:X834,1)=X833,1,IF(SMALL(X831:X834,2)=X833,2,IF(SMALL(X831:X834,3)=X833,3))),IF(M826=1,IF(SMALL(X831:X834,1)=X833,2,IF(SMALL(X831:X834,2)=X833,3,IF(SMALL(X831:X834,3)=X833,4))),"")),IF(COUNTIF(X831:X834,X833)=1,IF(X833&lt;X832,IF(M826=2,1,2),IF(M826=2,3,4)),IF(COUNTIF(X831:X834,X833)=2,IF(X833=X832,IF(X833&lt;X834,IF(M826=2,IF(Q845=3,1,2),IF(M826=1,IF(Q845=3,2,3))),IF(X833&gt;X834,IF(M826=2,IF(Q845=3,2,3),IF(M826=1,IF(Q845=3,3,4))))),IF(X833=X834,IF(X833&lt;X832,IF(M826=2,IF(Q850=3,1,2),IF(M826=1,IF(Q850=3,2,3))),IF(X833&gt;X832,IF(M826=2,IF(Q850=3,2,3),IF(M826=1,IF(Q850=3,3,4)))))))))))),"")</f>
        <v/>
      </c>
      <c r="AC851" s="192"/>
      <c r="AD851" s="192"/>
      <c r="AE851" s="192"/>
      <c r="AF851" s="203"/>
      <c r="AG851" s="203"/>
      <c r="AH851" s="203"/>
      <c r="AI851" s="203"/>
      <c r="AJ851" s="203"/>
      <c r="AK851" s="203"/>
      <c r="AL851" s="203"/>
      <c r="AM851" s="203"/>
      <c r="AN851" s="192"/>
      <c r="AO851" s="192"/>
      <c r="AP851" s="192"/>
      <c r="AQ851" s="192"/>
      <c r="AR851" s="192"/>
      <c r="AS851" s="192"/>
      <c r="AT851" s="192"/>
      <c r="AU851" s="192"/>
      <c r="AV851" s="192"/>
      <c r="AW851" s="192"/>
      <c r="AX851" s="192"/>
    </row>
    <row r="852" spans="2:50" ht="15" customHeight="1" thickTop="1" thickBot="1" x14ac:dyDescent="0.35">
      <c r="B852" s="192"/>
      <c r="C852" s="192"/>
      <c r="D852" s="192"/>
      <c r="E852" s="192"/>
      <c r="F852" s="192"/>
      <c r="G852" s="192"/>
      <c r="H852" s="192"/>
      <c r="I852" s="192"/>
      <c r="J852" s="192"/>
      <c r="K852" s="192"/>
      <c r="L852" s="192"/>
      <c r="M852" s="192"/>
      <c r="N852" s="192"/>
      <c r="O852" s="268"/>
      <c r="P852" s="192"/>
      <c r="Q852" s="192"/>
      <c r="R852" s="247"/>
      <c r="S852" s="247"/>
      <c r="T852" s="247"/>
      <c r="U852" s="235"/>
      <c r="V852" s="235"/>
      <c r="W852" s="235"/>
      <c r="X852" s="235"/>
      <c r="Y852" s="235"/>
      <c r="Z852" s="235"/>
      <c r="AA852" s="261">
        <v>4</v>
      </c>
      <c r="AB852" s="233" t="str">
        <f>IF(AND(COUNTBLANK(I824:I827)=0,Group_players=4,M825=M826,M826=M827),IF(X834="","",IF(COUNTIF(X831:X834,X834)=3,"Tied",IF(AND(COUNTIF(X831:X834,X834)=1,X833&lt;&gt;X832),IF(M827=2,IF(SMALL(X831:X834,1)=X834,1,IF(SMALL(X831:X834,2)=X834,2,IF(SMALL(X831:X834,3)=X834,3))),IF(M827=1,IF(SMALL(X831:X834,1)=X834,2,IF(SMALL(X831:X834,2)=X834,3,IF(SMALL(X831:X834,3)=X834,4))),"")),IF(COUNTIF(X831:X834,X834)=1,IF(X834&lt;X832,IF(M827=2,1,2),IF(M827=2,3,4)),IF(COUNTIF(X831:X834,X834)=2,IF(X834=X832,IF(X834&lt;X833,IF(M827=2,IF(Q839=3,1,2),IF(M827=1,IF(Q839=3,2,3))),IF(X834&gt;X833,IF(M827=2,IF(Q839=3,2,3),IF(M827=1,IF(Q839=3,3,4))))),IF(X834=X833,IF(X834&lt;X832,IF(M827=2,IF(Q851=3,1,2),IF(M827=1,IF(Q851=3,2,3))),IF(X834&gt;X832,IF(M827=2,IF(Q851=3,2,3),IF(M827=1,IF(Q851=3,3,4)))))))))))),"")</f>
        <v/>
      </c>
      <c r="AC852" s="192"/>
      <c r="AD852" s="192"/>
      <c r="AE852" s="192"/>
      <c r="AF852" s="203"/>
      <c r="AG852" s="203"/>
      <c r="AH852" s="203"/>
      <c r="AI852" s="203"/>
      <c r="AJ852" s="203"/>
      <c r="AK852" s="203"/>
      <c r="AL852" s="203"/>
      <c r="AM852" s="203"/>
      <c r="AN852" s="192"/>
      <c r="AO852" s="192"/>
      <c r="AP852" s="192"/>
      <c r="AQ852" s="192"/>
      <c r="AR852" s="192"/>
      <c r="AS852" s="192"/>
      <c r="AT852" s="192"/>
      <c r="AU852" s="192"/>
      <c r="AV852" s="192"/>
      <c r="AW852" s="192"/>
      <c r="AX852" s="192"/>
    </row>
    <row r="853" spans="2:50" ht="15" customHeight="1" thickTop="1" x14ac:dyDescent="0.3">
      <c r="B853" s="192"/>
      <c r="C853" s="192"/>
      <c r="D853" s="192"/>
      <c r="E853" s="192"/>
      <c r="F853" s="192"/>
      <c r="G853" s="192"/>
      <c r="H853" s="192"/>
      <c r="I853" s="192"/>
      <c r="J853" s="192"/>
      <c r="K853" s="192"/>
      <c r="L853" s="192"/>
      <c r="M853" s="192"/>
      <c r="N853" s="192"/>
      <c r="O853" s="192"/>
      <c r="P853" s="192"/>
      <c r="Q853" s="192"/>
      <c r="R853" s="192"/>
      <c r="S853" s="192"/>
      <c r="T853" s="203"/>
      <c r="U853" s="192"/>
      <c r="V853" s="192"/>
      <c r="W853" s="192"/>
      <c r="X853" s="192"/>
      <c r="Y853" s="192"/>
      <c r="Z853" s="192"/>
      <c r="AA853" s="192"/>
      <c r="AB853" s="192"/>
      <c r="AC853" s="192"/>
      <c r="AD853" s="192"/>
      <c r="AE853" s="192"/>
      <c r="AF853" s="203"/>
      <c r="AG853" s="203"/>
      <c r="AH853" s="203"/>
      <c r="AI853" s="203"/>
      <c r="AJ853" s="203"/>
      <c r="AK853" s="203"/>
      <c r="AL853" s="203"/>
      <c r="AM853" s="203"/>
      <c r="AN853" s="192"/>
      <c r="AO853" s="192"/>
      <c r="AP853" s="192"/>
      <c r="AQ853" s="192"/>
      <c r="AR853" s="192"/>
      <c r="AS853" s="192"/>
      <c r="AT853" s="192"/>
      <c r="AU853" s="192"/>
      <c r="AV853" s="192"/>
      <c r="AW853" s="192"/>
      <c r="AX853" s="192"/>
    </row>
    <row r="854" spans="2:50" ht="15" customHeight="1" x14ac:dyDescent="0.3">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c r="AA854" s="192"/>
      <c r="AB854" s="192"/>
      <c r="AC854" s="192"/>
      <c r="AD854" s="192"/>
      <c r="AE854" s="192"/>
      <c r="AF854" s="203"/>
      <c r="AG854" s="203"/>
      <c r="AH854" s="203"/>
      <c r="AI854" s="203"/>
      <c r="AJ854" s="203"/>
      <c r="AK854" s="203"/>
      <c r="AL854" s="203"/>
      <c r="AM854" s="203"/>
      <c r="AN854" s="192"/>
      <c r="AO854" s="192"/>
      <c r="AP854" s="192"/>
      <c r="AQ854" s="192"/>
      <c r="AR854" s="192"/>
      <c r="AS854" s="192"/>
      <c r="AT854" s="192"/>
      <c r="AU854" s="192"/>
      <c r="AV854" s="192"/>
      <c r="AW854" s="192"/>
      <c r="AX854" s="192"/>
    </row>
    <row r="855" spans="2:50" ht="15" customHeight="1" x14ac:dyDescent="0.3">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269"/>
      <c r="AA855" s="192"/>
      <c r="AB855" s="192"/>
      <c r="AC855" s="192"/>
      <c r="AD855" s="192"/>
      <c r="AE855" s="192"/>
      <c r="AF855" s="203"/>
      <c r="AG855" s="203"/>
      <c r="AH855" s="203"/>
      <c r="AI855" s="203"/>
      <c r="AJ855" s="203"/>
      <c r="AK855" s="203"/>
      <c r="AL855" s="203"/>
      <c r="AM855" s="203"/>
      <c r="AN855" s="192"/>
      <c r="AO855" s="192"/>
      <c r="AP855" s="192"/>
      <c r="AQ855" s="192"/>
      <c r="AR855" s="192"/>
      <c r="AS855" s="192"/>
      <c r="AT855" s="192"/>
      <c r="AU855" s="192"/>
      <c r="AV855" s="192"/>
      <c r="AW855" s="192"/>
      <c r="AX855" s="192"/>
    </row>
    <row r="856" spans="2:50" ht="15" customHeight="1" x14ac:dyDescent="0.3">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c r="AA856" s="192"/>
      <c r="AB856" s="192"/>
      <c r="AC856" s="192"/>
      <c r="AD856" s="192"/>
      <c r="AE856" s="192"/>
      <c r="AF856" s="203"/>
      <c r="AG856" s="203"/>
      <c r="AH856" s="203"/>
      <c r="AI856" s="203"/>
      <c r="AJ856" s="203"/>
      <c r="AK856" s="203"/>
      <c r="AL856" s="203"/>
      <c r="AM856" s="203"/>
      <c r="AN856" s="192"/>
      <c r="AO856" s="192"/>
      <c r="AP856" s="192"/>
      <c r="AQ856" s="192"/>
      <c r="AR856" s="192"/>
      <c r="AS856" s="192"/>
      <c r="AT856" s="192"/>
      <c r="AU856" s="192"/>
      <c r="AV856" s="192"/>
      <c r="AW856" s="192"/>
      <c r="AX856" s="192"/>
    </row>
    <row r="857" spans="2:50" ht="15" customHeight="1" x14ac:dyDescent="0.3">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c r="AA857" s="192"/>
      <c r="AB857" s="192"/>
      <c r="AC857" s="192"/>
      <c r="AD857" s="192"/>
      <c r="AE857" s="192"/>
      <c r="AF857" s="203"/>
      <c r="AG857" s="203"/>
      <c r="AH857" s="203"/>
      <c r="AI857" s="203"/>
      <c r="AJ857" s="203"/>
      <c r="AK857" s="203"/>
      <c r="AL857" s="203"/>
      <c r="AM857" s="203"/>
      <c r="AN857" s="192"/>
      <c r="AO857" s="192"/>
      <c r="AP857" s="192"/>
      <c r="AQ857" s="192"/>
      <c r="AR857" s="192"/>
      <c r="AS857" s="192"/>
      <c r="AT857" s="192"/>
      <c r="AU857" s="192"/>
      <c r="AV857" s="192"/>
      <c r="AW857" s="192"/>
      <c r="AX857" s="192"/>
    </row>
    <row r="858" spans="2:50" ht="15" customHeight="1" thickBot="1" x14ac:dyDescent="0.4">
      <c r="B858" s="192"/>
      <c r="C858" s="192"/>
      <c r="D858" s="192"/>
      <c r="E858" s="192"/>
      <c r="F858" s="192"/>
      <c r="G858" s="192"/>
      <c r="H858" s="192"/>
      <c r="I858" s="383" t="s">
        <v>146</v>
      </c>
      <c r="J858" s="383"/>
      <c r="K858" s="383"/>
      <c r="L858" s="383"/>
      <c r="M858" s="383"/>
      <c r="N858" s="383"/>
      <c r="O858" s="383"/>
      <c r="P858" s="383"/>
      <c r="Q858" s="383"/>
      <c r="R858" s="383"/>
      <c r="S858" s="192"/>
      <c r="T858" s="192"/>
      <c r="U858" s="370" t="s">
        <v>92</v>
      </c>
      <c r="V858" s="371"/>
      <c r="W858" s="371"/>
      <c r="X858" s="372"/>
      <c r="Y858" s="192"/>
      <c r="Z858" s="192"/>
      <c r="AA858" s="192"/>
      <c r="AB858" s="192"/>
      <c r="AC858" s="192"/>
      <c r="AD858" s="192"/>
      <c r="AE858" s="192"/>
      <c r="AF858" s="203"/>
      <c r="AG858" s="203"/>
      <c r="AH858" s="203"/>
      <c r="AI858" s="203"/>
      <c r="AJ858" s="203"/>
      <c r="AK858" s="203"/>
      <c r="AL858" s="203"/>
      <c r="AM858" s="203"/>
      <c r="AN858" s="192"/>
      <c r="AO858" s="192"/>
      <c r="AP858" s="192"/>
      <c r="AQ858" s="192"/>
      <c r="AR858" s="192"/>
      <c r="AS858" s="192"/>
      <c r="AT858" s="192"/>
      <c r="AU858" s="192"/>
      <c r="AV858" s="192"/>
      <c r="AW858" s="192"/>
      <c r="AX858" s="192"/>
    </row>
    <row r="859" spans="2:50" ht="15" customHeight="1" thickTop="1" thickBot="1" x14ac:dyDescent="0.35">
      <c r="B859" s="192"/>
      <c r="C859" s="192"/>
      <c r="D859" s="192"/>
      <c r="E859" s="192"/>
      <c r="F859" s="192"/>
      <c r="G859" s="192"/>
      <c r="H859" s="192"/>
      <c r="I859" s="400" t="s">
        <v>93</v>
      </c>
      <c r="J859" s="160"/>
      <c r="K859" s="396" t="s">
        <v>94</v>
      </c>
      <c r="L859" s="398" t="s">
        <v>95</v>
      </c>
      <c r="M859" s="390" t="s">
        <v>96</v>
      </c>
      <c r="N859" s="390" t="s">
        <v>97</v>
      </c>
      <c r="O859" s="373" t="s">
        <v>98</v>
      </c>
      <c r="P859" s="373" t="str">
        <f>IF(COUNT(U860:X871)=3,"LM/WM Ratio",IF(COUNT(U860:X871)=6,"LP/WP Ratio",""))</f>
        <v/>
      </c>
      <c r="Q859" s="390" t="s">
        <v>99</v>
      </c>
      <c r="R859" s="392" t="s">
        <v>100</v>
      </c>
      <c r="S859" s="192"/>
      <c r="T859" s="120"/>
      <c r="U859" s="121" t="s">
        <v>101</v>
      </c>
      <c r="V859" s="122" t="s">
        <v>102</v>
      </c>
      <c r="W859" s="122" t="s">
        <v>103</v>
      </c>
      <c r="X859" s="123" t="s">
        <v>104</v>
      </c>
      <c r="Y859" s="380" t="s">
        <v>105</v>
      </c>
      <c r="Z859" s="379"/>
      <c r="AA859" s="378" t="s">
        <v>106</v>
      </c>
      <c r="AB859" s="379"/>
      <c r="AC859" s="192"/>
      <c r="AD859" s="192"/>
      <c r="AE859" s="203"/>
      <c r="AF859" s="203"/>
      <c r="AG859" s="203"/>
      <c r="AH859" s="203"/>
      <c r="AI859" s="203"/>
      <c r="AJ859" s="203"/>
      <c r="AK859" s="203"/>
      <c r="AL859" s="203"/>
      <c r="AM859" s="203"/>
      <c r="AN859" s="192"/>
      <c r="AO859" s="192"/>
      <c r="AP859" s="192"/>
      <c r="AQ859" s="192"/>
      <c r="AR859" s="192"/>
      <c r="AS859" s="192"/>
      <c r="AT859" s="192"/>
      <c r="AU859" s="192"/>
      <c r="AV859" s="192"/>
      <c r="AW859" s="192"/>
      <c r="AX859" s="192"/>
    </row>
    <row r="860" spans="2:50" ht="15" customHeight="1" thickTop="1" thickBot="1" x14ac:dyDescent="0.35">
      <c r="B860" s="192"/>
      <c r="C860" s="192"/>
      <c r="D860" s="192"/>
      <c r="E860" s="192"/>
      <c r="F860" s="192"/>
      <c r="G860" s="192"/>
      <c r="H860" s="192"/>
      <c r="I860" s="401"/>
      <c r="J860" s="161"/>
      <c r="K860" s="397"/>
      <c r="L860" s="399"/>
      <c r="M860" s="391"/>
      <c r="N860" s="391"/>
      <c r="O860" s="374"/>
      <c r="P860" s="374"/>
      <c r="Q860" s="391"/>
      <c r="R860" s="393"/>
      <c r="S860" s="192"/>
      <c r="T860" s="208">
        <v>1</v>
      </c>
      <c r="U860" s="209" t="str">
        <f>IF(M861="","",IF(COUNTIF(M861:M863,M861)=3,IF(COUNTBLANK(I861:I864)=1,(Q873+Q879)/(Q872+Q878),IF(COUNTBLANK(I861:I864)=0,(Q885+Q873)/(Q884+Q872),"")),""))</f>
        <v/>
      </c>
      <c r="V860" s="125" t="str">
        <f>IF(AND(COUNTBLANK(I861:I864)=0,M861=M863,M863=M864),(Q873+Q879)/(Q872+Q878),"")</f>
        <v/>
      </c>
      <c r="W860" s="210" t="str">
        <f>IF(AND(COUNTBLANK(I861:I864)=0,M861=M862,M862=M864),(Q885+Q879)/(Q884+Q878),"")</f>
        <v/>
      </c>
      <c r="X860" s="211"/>
      <c r="Y860" s="169" t="s">
        <v>93</v>
      </c>
      <c r="Z860" s="170" t="s">
        <v>107</v>
      </c>
      <c r="AA860" s="169" t="s">
        <v>93</v>
      </c>
      <c r="AB860" s="170" t="s">
        <v>107</v>
      </c>
      <c r="AC860" s="192"/>
      <c r="AD860" s="192"/>
      <c r="AE860" s="192"/>
      <c r="AF860" s="203"/>
      <c r="AG860" s="203"/>
      <c r="AH860" s="203"/>
      <c r="AI860" s="203"/>
      <c r="AJ860" s="203"/>
      <c r="AK860" s="203"/>
      <c r="AL860" s="203"/>
      <c r="AM860" s="203"/>
      <c r="AN860" s="192"/>
      <c r="AO860" s="192"/>
      <c r="AP860" s="192"/>
      <c r="AQ860" s="192"/>
      <c r="AR860" s="192"/>
      <c r="AS860" s="192"/>
      <c r="AT860" s="192"/>
      <c r="AU860" s="192"/>
      <c r="AV860" s="192"/>
      <c r="AW860" s="192"/>
      <c r="AX860" s="192"/>
    </row>
    <row r="861" spans="2:50" ht="15" customHeight="1" thickTop="1" thickBot="1" x14ac:dyDescent="0.35">
      <c r="B861" s="192"/>
      <c r="C861" s="192"/>
      <c r="D861" s="192"/>
      <c r="E861" s="192"/>
      <c r="F861" s="192" t="str">
        <f>IF(I861="","",VLOOKUP(I861,Siembra,2,FALSE))</f>
        <v/>
      </c>
      <c r="G861" s="192" t="str">
        <f>O861</f>
        <v/>
      </c>
      <c r="H861" s="192">
        <v>1</v>
      </c>
      <c r="I861" s="128" t="str">
        <f>IF(K861="","",IF(ISNUMBER(Sorteo!$A$17),VLOOKUP(K861,Draw,2,FALSE),""))</f>
        <v/>
      </c>
      <c r="J861" s="129" t="str">
        <f>O861</f>
        <v/>
      </c>
      <c r="K861" s="130" t="str">
        <f>IF($K$9="","",IF(Group_players=4,IF(Tablas!CE$3="","",Tablas!CE$3),IF(Group_players=3,IF(Tablas!CE$11="","",Tablas!CE$11),"")))</f>
        <v/>
      </c>
      <c r="L861" s="131" t="str">
        <f>IF(K861="","",VLOOKUP(I861,Siembra,3,FALSE))</f>
        <v/>
      </c>
      <c r="M861" s="132" t="str">
        <f>IF(AND(Q872="",Q873=""),"",IF(I861="","",SUMIFS(E872:E888,I872:I888,I861)))</f>
        <v/>
      </c>
      <c r="N861" s="132" t="str">
        <f>IF(M861="","",IF(I861="","",SUMIFS(F872:F888,I872:I888,I861)))</f>
        <v/>
      </c>
      <c r="O861" s="132" t="str">
        <f>IF(M861="","",IF(COUNTBLANK(I861:I864)=1,IF(M861=2,1,IF(M861=0,3,IF(AND(M861=1,M862&lt;&gt;1),2,IF(COUNTIF(M861:M863,1)&gt;1,Z861)))),IF(COUNTBLANK(I861:I864)=0,IF(COUNTIF(M861:M864,M861)=1,IF(M861=3,1,IF(M861=2,2,IF(M861=1,3,IF(M861=0,4)))),IF(Group_players=3,Z861,IF(COUNTIF(M861:M864,M861)=2,AB861,IF(AND(M861=M862,M862=M863),AB865,IF(AND(M861=M863,M863=M864),AB868,IF(AND(M861=M862,M862=M864),AB871,"")))))),99)))</f>
        <v/>
      </c>
      <c r="P861" s="133" t="str">
        <f>IF(COUNT(U860:X871)=3,IF(ISNUMBER(U860),U860,IF(ISNUMBER(V860),V860,IF(ISNUMBER(W860),W860,IF(X860="","")))),IF(COUNT(U860:X871)=6,IF(ISNUMBER(U868),U868,IF(ISNUMBER(V868),V868,IF(ISNUMBER(W868),W868,IF(ISBLANK(X860),"")))),""))</f>
        <v/>
      </c>
      <c r="Q861" s="132" t="str">
        <f>IF(M861="","",SUMIF(I872:S888,I861,S872:S888))</f>
        <v/>
      </c>
      <c r="R861" s="134" t="str">
        <f>IF(M861="","",L861+Q861)</f>
        <v/>
      </c>
      <c r="S861" s="203"/>
      <c r="T861" s="208">
        <v>2</v>
      </c>
      <c r="U861" s="209" t="str">
        <f>IF(M862="","",IF(COUNTIF(M861:M863,M862)=3,IF(COUNTBLANK(I861:I864)=1,(Q876+Q878)/(Q875+Q879),IF(COUNTBLANK(I861:I864)=0,(Q882+Q884)/(Q881+Q885),"")),""))</f>
        <v/>
      </c>
      <c r="V861" s="135"/>
      <c r="W861" s="212" t="str">
        <f>IF(AND(COUNTBLANK(I861:I864)=0,M862=M861,M861=M864),(Q884+Q876)/(Q885+Q875),"")</f>
        <v/>
      </c>
      <c r="X861" s="213" t="str">
        <f>IF(AND(COUNTBLANK(I861:I864)=0,M862=M863,M863=M864),(Q882+Q876)/(Q881+Q875),"")</f>
        <v/>
      </c>
      <c r="Y861" s="214">
        <v>1</v>
      </c>
      <c r="Z861" s="215" t="str">
        <f>IF(U860="","",IF(OR(Group_players=3,AND(Group_players=4,COUNTBLANK(I861:I864)=1)),IF(COUNTIF(M861:M863,M861)=1,"",IF(AND(U860=U861,U861=U862),Z865,IF(AND(U860&lt;&gt;U861,U860&lt;&gt;U862,U861&lt;&gt;U862),(IF(SMALL(U860:U862,1)=U860,1,IF(SMALL(U860:U862,2)=U860,2,IF(SMALL(U860:U862,3)=U860,3)))),IF(AND(U860&lt;U861,U861=U862),1,IF(AND(U860&gt;U861,U861=U862),3,IF(AND(U860=U861,U860&lt;U862),(IF(Q878=3,1,2)),IF(AND(U860=U861,U860&gt;U862),(IF(Q878=3,2,3)),IF(AND(U860=U862,U860&lt;U861),(IF(Q872=3,1,2)),IF(AND(U860=U862,U860&gt;U861),(IF(Q872=3,2,3)),99))))))))),""))</f>
        <v/>
      </c>
      <c r="AA861" s="216">
        <v>1</v>
      </c>
      <c r="AB861" s="217" t="str">
        <f>IF(COUNTIF(M861:M864,M861)&lt;&gt;2,"",IF(COUNTIF(M861:M864,M861)=1,"",IF(AND(COUNTIF(M861:M864,M861)=2,M861=2),IF(M861=M862,IF(Q884=3,1,2),IF(M861=M863,IF(Q872=3,1,2),IF(M861=M864,IF(Q878=3,1,2)))),IF(AND(COUNTIF(M861:M864,M861)=2,M861=1),IF(M861=M862,IF(Q884=3,3,4),IF(M861=M863,IF(Q872=3,3,4),IF(M861=M864,IF(Q878=3,3,4)))),IF(COUNTIF(M861:M864,M861)=3,AB865)))))</f>
        <v/>
      </c>
      <c r="AC861" s="192"/>
      <c r="AD861" s="192"/>
      <c r="AE861" s="192"/>
      <c r="AF861" s="203"/>
      <c r="AG861" s="203"/>
      <c r="AH861" s="203"/>
      <c r="AI861" s="203"/>
      <c r="AJ861" s="203"/>
      <c r="AK861" s="203"/>
      <c r="AL861" s="203"/>
      <c r="AM861" s="203"/>
      <c r="AN861" s="192"/>
      <c r="AO861" s="192"/>
      <c r="AP861" s="192"/>
      <c r="AQ861" s="192"/>
      <c r="AR861" s="192"/>
      <c r="AS861" s="192"/>
      <c r="AT861" s="192"/>
      <c r="AU861" s="192"/>
      <c r="AV861" s="192"/>
      <c r="AW861" s="192"/>
      <c r="AX861" s="192"/>
    </row>
    <row r="862" spans="2:50" ht="15" customHeight="1" thickTop="1" thickBot="1" x14ac:dyDescent="0.35">
      <c r="B862" s="192"/>
      <c r="C862" s="192"/>
      <c r="D862" s="192"/>
      <c r="E862" s="192"/>
      <c r="F862" s="192" t="str">
        <f>IF(I862="","",VLOOKUP(I862,Siembra,2,FALSE))</f>
        <v/>
      </c>
      <c r="G862" s="192" t="str">
        <f>O862</f>
        <v/>
      </c>
      <c r="H862" s="192">
        <v>2</v>
      </c>
      <c r="I862" s="128" t="str">
        <f>IF(K862="","",IF(ISNUMBER(Sorteo!$A$17),VLOOKUP(K862,Draw,2,FALSE),""))</f>
        <v/>
      </c>
      <c r="J862" s="129" t="str">
        <f>O862</f>
        <v/>
      </c>
      <c r="K862" s="136" t="str">
        <f>IF($K$9="","",IF(Group_players=4,IF(Tablas!CE$4="","",Tablas!CE$4),IF(Group_players=3,IF(Tablas!CE$12="","",Tablas!CE$12),"")))</f>
        <v/>
      </c>
      <c r="L862" s="137" t="str">
        <f>IF(K862="","",VLOOKUP(I862,Siembra,3,FALSE))</f>
        <v/>
      </c>
      <c r="M862" s="132" t="str">
        <f>IF(AND(L872="",L873=""),"",IF(I862="","",SUMIFS(E872:E889,I872:I889,I862)))</f>
        <v/>
      </c>
      <c r="N862" s="138" t="str">
        <f>IF(M862="","",IF(I862="","",SUMIFS(F872:F888,I872:I888,I862)))</f>
        <v/>
      </c>
      <c r="O862" s="132" t="str">
        <f>IF(M862="","",IF(COUNTBLANK(I861:I864)=1,IF(M862=2,1,IF(M862=0,3,IF(AND(M862=1,M863&lt;&gt;1),2,IF(COUNTIF(M861:M864,1)&gt;1,Z862)))),IF(COUNTBLANK(I861:I864)=0,IF(COUNTIF(M861:M864,M862)=1,IF(M862=3,1,IF(M862=2,2,IF(M862=1,3,IF(M862=0,4)))),IF(Group_players=3,Z862,IF(COUNTIF(M861:M864,M862)=2,AB862,IF(AND(M862=M861,M861=M863),AB866,IF(AND(M862=M861,M861=M864),AB872,IF(AND(M862=M863,M863=M864),AB874,"")))))))))</f>
        <v/>
      </c>
      <c r="P862" s="133" t="str">
        <f>IF(COUNT(U860:X871)=3,IF(ISNUMBER(U861),U861,IF(ISNUMBER(W861),W861,IF(ISNUMBER(X861),X861,IF(X861="","")))),IF(COUNT(U860:X871)=6,IF(ISNUMBER(U869),U869,IF(ISNUMBER(W869),W869,IF(ISNUMBER(X869),X869,IF(ISBLANK(X868),"")))),""))</f>
        <v/>
      </c>
      <c r="Q862" s="138" t="str">
        <f>IF(M862="","",SUMIF(I872:S888,I862,S872:$S888))</f>
        <v/>
      </c>
      <c r="R862" s="139" t="str">
        <f>IF(M862="","",L862+Q862)</f>
        <v/>
      </c>
      <c r="S862" s="203"/>
      <c r="T862" s="208">
        <v>3</v>
      </c>
      <c r="U862" s="209" t="str">
        <f>IF(M863="","",IF(COUNTIF(M861:M863,M863)=3,IF(COUNTBLANK(I861:I864)=1,(Q872+Q875)/(Q873+Q876),IF(COUNTBLANK(I861:I864)=0,(Q872+Q881)/(Q873+Q882),"")),""))</f>
        <v/>
      </c>
      <c r="V862" s="125" t="str">
        <f>IF(AND(COUNTBLANK(I861:I864)=0,M863=M864,M864=M861),(Q872+Q888)/(Q873+Q887),"")</f>
        <v/>
      </c>
      <c r="W862" s="218"/>
      <c r="X862" s="213" t="str">
        <f>IF(AND(COUNTBLANK(I861:I864)=0,M863=M864,M864=M862),(Q881+Q888)/(Q882+Q887),"")</f>
        <v/>
      </c>
      <c r="Y862" s="219">
        <v>2</v>
      </c>
      <c r="Z862" s="220" t="str">
        <f>IF(U861="","",IF(OR(Group_players=3,AND(Group_players=4,COUNTBLANK(I861:I864)=1)),IF(COUNTIF(M861:M863,M862)=1,"",IF(AND(U861=U860,U861=U862),Z866,IF(AND(U861&lt;&gt;U860,U861&lt;&gt;U862,U860&lt;&gt;U862),(IF(SMALL(U860:U862,1)=U861,1,IF(SMALL(U860:U862,2)=U861,2,IF(SMALL(U860:U862,3)=U861,3)))),IF(AND(U861&lt;U860,U860=U862),1,IF(AND(U861&gt;U860,U860=U862),3,IF(AND(U861=U860,U861&lt;U862),(IF(Q879=3,1,2)),IF(AND(U861=U860,U861&gt;U862),(IF(Q879=3,2,3)),IF(AND(U861=U862,U861&lt;U860),(IF(Q875=3,1,2)),IF(AND(U861=U862,U861&gt;U860),(IF(Q875=3,2,3)),99))))))))),""))</f>
        <v/>
      </c>
      <c r="AA862" s="221">
        <v>2</v>
      </c>
      <c r="AB862" s="222" t="str">
        <f>IF(COUNTIF(M861:M864,M862)&lt;&gt;2,"",IF(COUNTIF(M861:M864,M862)=1,"",IF(AND(COUNTIF(M861:M864,M862)=2,M862=2),IF(M862=M861,IF(Q885=3,1,2),IF(M862=M863,IF(Q881=3,1,2),IF(M862=M864,IF(Q875=3,1,2)))),IF(AND(COUNTIF(M861:M864,M862)=2,M862=1),IF(M862=M861,IF(Q885=3,3,4),IF(M862=M863,IF(Q881=3,3,4),IF(M862=M864,IF(Q875=3,3,4)))),AB867))))</f>
        <v/>
      </c>
      <c r="AC862" s="192"/>
      <c r="AD862" s="192"/>
      <c r="AE862" s="192"/>
      <c r="AF862" s="203"/>
      <c r="AG862" s="203"/>
      <c r="AH862" s="203"/>
      <c r="AI862" s="203"/>
      <c r="AJ862" s="203"/>
      <c r="AK862" s="203"/>
      <c r="AL862" s="203"/>
      <c r="AM862" s="203"/>
      <c r="AN862" s="192"/>
      <c r="AO862" s="192"/>
      <c r="AP862" s="192"/>
      <c r="AQ862" s="192"/>
      <c r="AR862" s="192"/>
      <c r="AS862" s="192"/>
      <c r="AT862" s="192"/>
      <c r="AU862" s="192"/>
      <c r="AV862" s="192"/>
      <c r="AW862" s="192"/>
      <c r="AX862" s="192"/>
    </row>
    <row r="863" spans="2:50" ht="15" customHeight="1" thickBot="1" x14ac:dyDescent="0.35">
      <c r="B863" s="192"/>
      <c r="C863" s="192"/>
      <c r="D863" s="192"/>
      <c r="E863" s="192"/>
      <c r="F863" s="192" t="str">
        <f>IF(I863="","",VLOOKUP(I863,Siembra,2,FALSE))</f>
        <v/>
      </c>
      <c r="G863" s="192" t="str">
        <f>O863</f>
        <v/>
      </c>
      <c r="H863" s="192">
        <v>3</v>
      </c>
      <c r="I863" s="128" t="str">
        <f>IF(K863="","",IF(ISNUMBER(Sorteo!$A$17),VLOOKUP(K863,Draw,2,FALSE),""))</f>
        <v/>
      </c>
      <c r="J863" s="129" t="str">
        <f>O863</f>
        <v/>
      </c>
      <c r="K863" s="136" t="str">
        <f>IF($K$9="","",IF(Group_players=4,IF(Tablas!CE$5="","",Tablas!CE$5),IF(Group_players=3,IF(Tablas!CE$13="","",Tablas!CE$13),"")))</f>
        <v/>
      </c>
      <c r="L863" s="137" t="str">
        <f>IF(K863="","",VLOOKUP(I863,Siembra,3,FALSE))</f>
        <v/>
      </c>
      <c r="M863" s="132" t="str">
        <f>IF(AND(L873="",L872=""),"",IF(I863="","",SUMIFS(E872:E890,I872:I890,I863)))</f>
        <v/>
      </c>
      <c r="N863" s="138" t="str">
        <f>IF(M863="","",IF(I863="","",SUMIFS(F872:F888,I872:I888,I863)))</f>
        <v/>
      </c>
      <c r="O863" s="132" t="str">
        <f>IF(M863="","",IF(COUNTBLANK(I861:I864)=1,IF(M863=2,1,IF(M863=0,3,IF(AND(M863=1,M863&lt;&gt;M861),2,IF(COUNTIF(M861:M864,1)&gt;1,Z863)))),IF(COUNTBLANK(I861:I864)=0,IF(COUNTIF(M861:M864,M863)=1,IF(M863=3,1,IF(M863=2,2,IF(M863=1,3,IF(M863=0,4)))),IF(Group_players=3,Z863,IF(COUNTIF(M861:M864,M863)=2,AB863,IF(AND(M863=M861,M861=M862),AB867,IF(AND(M863=M861,M861=M864),AB869,IF(AND(M863=M862,M862=M864),AB875,"")))))))))</f>
        <v/>
      </c>
      <c r="P863" s="133" t="str">
        <f>IF(COUNT(U860:X871)=3,IF(ISNUMBER(U862),U862,IF(ISNUMBER(V862),V862,IF(ISNUMBER(X862),X862,IF(W862="","")))),IF(COUNT(U860:X871)=6,IF(ISNUMBER(U870),U870,IF(ISNUMBER(V870),V870,IF(ISNUMBER(X870),X870,""))),""))</f>
        <v/>
      </c>
      <c r="Q863" s="138" t="str">
        <f>IF(M863="","",SUMIF(I872:S888,I863,S872:S888))</f>
        <v/>
      </c>
      <c r="R863" s="139" t="str">
        <f>IF(M863="","",L863+Q863)</f>
        <v/>
      </c>
      <c r="S863" s="203"/>
      <c r="T863" s="208">
        <v>4</v>
      </c>
      <c r="U863" s="223"/>
      <c r="V863" s="140" t="str">
        <f>IF(AND(COUNTBLANK(I861:I864)=0,M864=M861,M861=M863),(Q878+Q887)/(Q879+Q888),"")</f>
        <v/>
      </c>
      <c r="W863" s="224" t="str">
        <f>IF(AND(COUNTBLANK(I861:I864)=0,M864=M861,M861=M862),(Q878+Q875)/(Q879+Q876),"")</f>
        <v/>
      </c>
      <c r="X863" s="225" t="str">
        <f>IF(AND(COUNTBLANK(I861:I864)=0,M864=M862,M862=M863),(Q875+Q887)/(Q876+Q888),"")</f>
        <v/>
      </c>
      <c r="Y863" s="226">
        <v>3</v>
      </c>
      <c r="Z863" s="227" t="str">
        <f>IF(U862="","",IF(OR(Group_players=3,AND(Group_players=4,COUNTBLANK(I861:I864)=1)),IF(COUNTIF(M861:M863,M863)=1,"",IF(AND(U862=U860,U862=U861),Z867,IF(AND(U862&lt;&gt;U861,U861&lt;&gt;U860,U862&lt;&gt;U860),(IF(SMALL(U860:U862,1)=U862,1,IF(SMALL(U860:U862,2)=U862,2,IF(SMALL(U860:U862,3)=U862,3)))),IF(AND(U862&lt;U861,U861=U860),1,IF(AND(U862&gt;U861,U861=U860),3,IF(AND(U862=U861,U862&lt;U860),(IF(Q876=3,1,2)),IF(AND(U862=U861,U862&gt;U860),(IF(Q876=3,2,3)),IF(AND(U862=U860,U862&lt;U861),(IF(Q873=3,1,2)),IF(AND(U862=U860,U862&gt;U861),(IF(Q873=3,2,3)),99))))))))),""))</f>
        <v/>
      </c>
      <c r="AA863" s="221">
        <v>3</v>
      </c>
      <c r="AB863" s="222" t="str">
        <f>IF(COUNTIF(M861:M864,M863)&lt;&gt;2,"",IF(COUNTIF(M861:M864,M863)=1,"",IF(AND(COUNTIF(M861:M864,M863)=2,M863=2),IF(M863=M861,IF(Q873=3,1,2),IF(M863=M862,IF(Q882=3,1,2),IF(M863=M864,IF(Q887=3,1,2)))),IF(AND(COUNTIF(M861:M864,M863)=2,M863=1),IF(M863=M861,IF(Q873=3,3,4),IF(M863=M862,IF(Q882=3,3,4),IF(M863=M864,IF(Q887=3,3,4)))),AB867))))</f>
        <v/>
      </c>
      <c r="AC863" s="192"/>
      <c r="AD863" s="192"/>
      <c r="AE863" s="192"/>
      <c r="AF863" s="203"/>
      <c r="AG863" s="203"/>
      <c r="AH863" s="203"/>
      <c r="AI863" s="203"/>
      <c r="AJ863" s="203"/>
      <c r="AK863" s="203"/>
      <c r="AL863" s="203"/>
      <c r="AM863" s="203"/>
      <c r="AN863" s="192"/>
      <c r="AO863" s="192"/>
      <c r="AP863" s="192"/>
      <c r="AQ863" s="192"/>
      <c r="AR863" s="192"/>
      <c r="AS863" s="192"/>
      <c r="AT863" s="192"/>
      <c r="AU863" s="192"/>
      <c r="AV863" s="192"/>
      <c r="AW863" s="192"/>
      <c r="AX863" s="192"/>
    </row>
    <row r="864" spans="2:50" ht="15" customHeight="1" thickTop="1" thickBot="1" x14ac:dyDescent="0.35">
      <c r="B864" s="192"/>
      <c r="C864" s="192"/>
      <c r="D864" s="192"/>
      <c r="E864" s="192"/>
      <c r="F864" s="192" t="str">
        <f>IF(I864="","",VLOOKUP(I864,Siembra,2,FALSE))</f>
        <v/>
      </c>
      <c r="G864" s="192" t="str">
        <f>O864</f>
        <v/>
      </c>
      <c r="H864" s="192">
        <v>4</v>
      </c>
      <c r="I864" s="141" t="str">
        <f>IF(K864="","",IF(ISNUMBER(Sorteo!$A$17),VLOOKUP(K864,Draw,2,FALSE),""))</f>
        <v/>
      </c>
      <c r="J864" s="142" t="str">
        <f>O864</f>
        <v/>
      </c>
      <c r="K864" s="143" t="str">
        <f>IF($K$9="","",IF(Group_players=4,IF(Tablas!CE6="","",Tablas!CE6),""))</f>
        <v/>
      </c>
      <c r="L864" s="144" t="str">
        <f>IF(K864="","",VLOOKUP(I864,Siembra,3,FALSE))</f>
        <v/>
      </c>
      <c r="M864" s="145" t="str">
        <f>IF(AND(Q875="",Q876=""),"",IF(I864="","",SUMIFS(E872:E891,I872:I891,I864)))</f>
        <v/>
      </c>
      <c r="N864" s="145" t="str">
        <f>IF(M864="","",IF(I864="","",SUMIFS(F872:F888,I872:I888,I864)))</f>
        <v/>
      </c>
      <c r="O864" s="145" t="str">
        <f>IF(M864="","",IF(COUNTIF(M861:M864,M864)=1,IF(M864=3,1,IF(M864=2,2,IF(M864=1,3,IF(M864=0,4)))),IF(COUNTIF(M861:M864,M864)=2,AB864,IF(AND(M864=M861,M861=M863),AB870,IF(AND(M864=M861,M861=M862),AB873,IF(AND(M864=M862,M862=M863),AB876,""))))))</f>
        <v/>
      </c>
      <c r="P864" s="146" t="str">
        <f>IF(COUNT(U860:X871)=3,IF(ISNUMBER(V863),V863,IF(ISNUMBER(W863),W863,IF(ISNUMBER(X863),X863,IF(X863="","")))),IF(COUNT(U860:X871)=6,IF(ISNUMBER(V871),V871,IF(ISNUMBER(W871),W871,IF(ISNUMBER(X871),X871,""))),""))</f>
        <v/>
      </c>
      <c r="Q864" s="145" t="str">
        <f>IF(M864="","",SUMIF(I872:S888,I864,S872:$S888))</f>
        <v/>
      </c>
      <c r="R864" s="147" t="str">
        <f>IF(M864="","",L864+Q864)</f>
        <v/>
      </c>
      <c r="S864" s="203"/>
      <c r="T864" s="192"/>
      <c r="U864" s="192"/>
      <c r="V864" s="192"/>
      <c r="W864" s="192"/>
      <c r="X864" s="192"/>
      <c r="Y864" s="230" t="s">
        <v>93</v>
      </c>
      <c r="Z864" s="231" t="s">
        <v>110</v>
      </c>
      <c r="AA864" s="232">
        <v>4</v>
      </c>
      <c r="AB864" s="233" t="str">
        <f>IF(COUNTIF(M861:M864,M864)&lt;&gt;2,"",IF(COUNTIF(M861:M864,M864)=1,"",IF(AND(COUNTIF(M861:M864,M864)=2,M864=2),IF(M864=M861,IF(Q879=3,1,2),IF(M864=M862,IF(Q876=3,1,2),IF(M864=M863,IF(Q888=3,1,2)))),IF(AND(COUNTIF(M861:M864,M864)=2,M864=1),IF(M864=M861,IF(Q879=3,3,4),IF(M864=M862,IF(Q876=3,3,4),IF(M864=M863,IF(Q888=3,3,4)))),AB870))))</f>
        <v/>
      </c>
      <c r="AC864" s="192"/>
      <c r="AD864" s="192"/>
      <c r="AE864" s="192"/>
      <c r="AF864" s="203"/>
      <c r="AG864" s="203"/>
      <c r="AH864" s="203"/>
      <c r="AI864" s="203"/>
      <c r="AJ864" s="203"/>
      <c r="AK864" s="203"/>
      <c r="AL864" s="203"/>
      <c r="AM864" s="203"/>
      <c r="AN864" s="192"/>
      <c r="AO864" s="192"/>
      <c r="AP864" s="192"/>
      <c r="AQ864" s="192"/>
      <c r="AR864" s="192"/>
      <c r="AS864" s="192"/>
      <c r="AT864" s="192"/>
      <c r="AU864" s="192"/>
      <c r="AV864" s="192"/>
      <c r="AW864" s="192"/>
      <c r="AX864" s="192"/>
    </row>
    <row r="865" spans="2:50" ht="15" customHeight="1" thickTop="1" x14ac:dyDescent="0.3">
      <c r="B865" s="192"/>
      <c r="C865" s="192"/>
      <c r="D865" s="192"/>
      <c r="E865" s="192"/>
      <c r="F865" s="192"/>
      <c r="G865" s="192"/>
      <c r="H865" s="192"/>
      <c r="I865" s="192"/>
      <c r="J865" s="192"/>
      <c r="K865" s="192"/>
      <c r="L865" s="192"/>
      <c r="M865" s="192"/>
      <c r="N865" s="192"/>
      <c r="O865" s="192"/>
      <c r="P865" s="192"/>
      <c r="Q865" s="192"/>
      <c r="R865" s="192"/>
      <c r="S865" s="192"/>
      <c r="T865" s="208"/>
      <c r="U865" s="192"/>
      <c r="V865" s="148"/>
      <c r="W865" s="148"/>
      <c r="X865" s="234"/>
      <c r="Y865" s="214">
        <v>1</v>
      </c>
      <c r="Z865" s="215" t="str">
        <f>IF(U868="","",IF(OR(Group_players=3,AND(Group_players=4,COUNTBLANK(I861:I864)=1)),IF(COUNTIF(M861:M863,M861)=1,"",IF(COUNTIF(U860:U862,U860)=3,IF(AND(U868=U869,U869=U870),"Tied",IF(AND(U868&lt;&gt;U869,U868&lt;&gt;U870,U869&lt;&gt;U870),(IF(SMALL(U868:U870,1)=U868,1,IF(SMALL(U868:U870,2)=U868,2,IF(SMALL(U868:U870,3)=U868,3)))),IF(AND(U868&lt;U869,U869=U870),1,IF(AND(U868&gt;U869,U869=U870),3,IF(AND(U868=U869,U868&lt;U870),(IF(Q878=3,1,2)),IF(AND(U868=U869,U868&gt;U870),(IF(Q878=3,2,3)),IF(AND(U868=U870,U868&lt;U869),(IF(Q872=3,1,2)),IF(AND(U868=U870,U868&gt;U869),(IF(Q872=3,2,3)),99)))))))),"")),""))</f>
        <v/>
      </c>
      <c r="AA865" s="208">
        <v>1</v>
      </c>
      <c r="AB865" s="222" t="str">
        <f>IF(AND(COUNTBLANK(I861:I864)=0,Group_players=4,M861=M862,M862=M863),IF(COUNTIF(U860:U863,U860)=3,AB878,IF(AND(COUNTIF(U860:U863,U860)=1,U861&lt;&gt;U862),IF(M861=2,IF(SMALL(U860:U863,1)=U860,1,IF(SMALL(U860:U863,2)=U860,2,IF(SMALL(U860:U863,3)=U860,3))),IF(M861=1,IF(SMALL(U860:U863,1)=U860,2,IF(SMALL(U860:U863,2)=U860,3,IF(SMALL(U860:U863,3)=U860,4))),"")),IF(COUNTIF(U860:U863,U860)=1,IF(U860&lt;U861,IF(M861=2,1,2),IF(M861=2,3,4)),IF(COUNTIF(U860:U863,U860)=2,IF(U860=U861,IF(U860&lt;U862,IF(M861=2,IF(Q884=3,1,2),IF(M861=1,IF(Q884=3,2,3))),IF(U860&gt;U862,IF(M861=2,IF(Q884=3,2,3),IF(M861=1,IF(Q884=3,3,4))))),IF(U860=U862,IF(U860&lt;U861,IF(M861=2,IF(Q872=3,1,2),IF(M861=1,IF(Q872=3,2,3))),IF(U860&gt;U861,IF(M861=2,IF(Q872=3,2,3),IF(M861=1,IF(Q872=3,3,4))))))),"")))),"")</f>
        <v/>
      </c>
      <c r="AC865" s="192"/>
      <c r="AD865" s="192"/>
      <c r="AE865" s="269"/>
      <c r="AF865" s="203"/>
      <c r="AG865" s="203"/>
      <c r="AH865" s="203"/>
      <c r="AI865" s="203"/>
      <c r="AJ865" s="203"/>
      <c r="AK865" s="203"/>
      <c r="AL865" s="203"/>
      <c r="AM865" s="203"/>
      <c r="AN865" s="192"/>
      <c r="AO865" s="192"/>
      <c r="AP865" s="192"/>
      <c r="AQ865" s="192"/>
      <c r="AR865" s="192"/>
      <c r="AS865" s="192"/>
      <c r="AT865" s="192"/>
      <c r="AU865" s="192"/>
      <c r="AV865" s="192"/>
      <c r="AW865" s="192"/>
      <c r="AX865" s="192"/>
    </row>
    <row r="866" spans="2:50" ht="15" customHeight="1" thickBot="1" x14ac:dyDescent="0.35">
      <c r="B866" s="192"/>
      <c r="C866" s="192"/>
      <c r="D866" s="192"/>
      <c r="E866" s="192"/>
      <c r="F866" s="192"/>
      <c r="G866" s="192"/>
      <c r="H866" s="192"/>
      <c r="I866" s="269"/>
      <c r="J866" s="269"/>
      <c r="K866" s="192"/>
      <c r="L866" s="192"/>
      <c r="M866" s="192"/>
      <c r="N866" s="192"/>
      <c r="O866" s="192"/>
      <c r="P866" s="192"/>
      <c r="Q866" s="192"/>
      <c r="R866" s="192"/>
      <c r="S866" s="192"/>
      <c r="T866" s="208"/>
      <c r="U866" s="368" t="s">
        <v>111</v>
      </c>
      <c r="V866" s="369"/>
      <c r="W866" s="369"/>
      <c r="X866" s="369"/>
      <c r="Y866" s="236">
        <v>2</v>
      </c>
      <c r="Z866" s="220" t="str">
        <f>IF(U861="","",IF(OR(Group_players=3,AND(Group_players=4,COUNTBLANK(I861:I864)=1)),IF(COUNTIF(M861:M863,M862)=1,"",IF(COUNTIF(U860:U862,U861)=3,IF(AND(U869=U868,U869=U870),"Tied",IF(AND(U869&lt;&gt;U868,U869&lt;&gt;U870,U868&lt;&gt;U870),(IF(SMALL(U868:U870,1)=U869,1,IF(SMALL(U868:U870,2)=U869,2,IF(SMALL(U868:U870,3)=U869,3)))),IF(AND(U869&lt;U868,U868=U870),1,IF(AND(U869&gt;U868,U868=U870),3,IF(AND(U869=U868,U869&lt;U870),(IF(Q879=3,1,2)),IF(AND(U869=U868,U869&gt;U870),(IF(Q879=3,2,3)),IF(AND(U869=U870,U869&lt;U868),(IF(Q875=3,1,2)),IF(AND(U869=U870,U869&gt;U868),(IF(Q875=3,2,3)),99)))))))),"")),""))</f>
        <v/>
      </c>
      <c r="AA866" s="208">
        <v>2</v>
      </c>
      <c r="AB866" s="222" t="str">
        <f>IF(AND(COUNTBLANK(I861:I864)=0,Group_players=4,M861=M862,M862=M863),IF(COUNTIF(U860:U863,U861)=3,AB879,IF(AND(COUNTIF(U860:U863,U861)=1,U860&lt;&gt;U862),IF(M862=2,IF(SMALL(U860:U863,1)=U861,1,IF(SMALL(U860:U863,2)=U861,2,IF(SMALL(U860:U863,3)=U861,3))),IF(M862=1,IF(SMALL(U860:U863,1)=U861,2,IF(SMALL(U860:U863,2)=U861,3,IF(SMALL(U860:U863,3)=U861,4))),"")),IF(COUNTIF(U860:U862,U861)=1,IF(U861&lt;U860,IF(M862=2,1,2),IF(M862=2,3,99)),IF(COUNTIF(U860:U863,U861)=2,IF(U861=U860,IF(U861&lt;U862,IF(M862=2,IF(Q885=3,1,2),IF(M862=1,IF(Q885=3,2,3))),IF(U861&gt;U862,IF(M862=2,IF(Q885=3,2,3),IF(M862=1,IF(Q885=3,3,4))))),IF(U861=U862,IF(U861&lt;U860,IF(M862=2,IF(Q881=3,1,2),IF(M862=1,IF(Q881=3,2,3))),IF(U861&gt;U860,IF(M862=2,IF(Q881=3,2,3),IF(M862=1,IF(Q881=3,3,4))))))),"")))),"")</f>
        <v/>
      </c>
      <c r="AC866" s="192"/>
      <c r="AD866" s="192"/>
      <c r="AE866" s="192"/>
      <c r="AF866" s="203"/>
      <c r="AG866" s="203"/>
      <c r="AH866" s="203"/>
      <c r="AI866" s="203"/>
      <c r="AJ866" s="203"/>
      <c r="AK866" s="203"/>
      <c r="AL866" s="203"/>
      <c r="AM866" s="203"/>
      <c r="AN866" s="192"/>
      <c r="AO866" s="192"/>
      <c r="AP866" s="192"/>
      <c r="AQ866" s="192"/>
      <c r="AR866" s="192"/>
      <c r="AS866" s="192"/>
      <c r="AT866" s="192"/>
      <c r="AU866" s="192"/>
      <c r="AV866" s="192"/>
      <c r="AW866" s="192"/>
      <c r="AX866" s="192"/>
    </row>
    <row r="867" spans="2:50" ht="15" customHeight="1" thickTop="1" thickBot="1" x14ac:dyDescent="0.35">
      <c r="B867" s="192"/>
      <c r="C867" s="192"/>
      <c r="D867" s="192"/>
      <c r="E867" s="192"/>
      <c r="F867" s="192"/>
      <c r="G867" s="192"/>
      <c r="H867" s="192"/>
      <c r="I867" s="192"/>
      <c r="J867" s="192"/>
      <c r="K867" s="192"/>
      <c r="L867" s="192"/>
      <c r="M867" s="192"/>
      <c r="N867" s="192"/>
      <c r="O867" s="192"/>
      <c r="P867" s="192"/>
      <c r="Q867" s="192"/>
      <c r="R867" s="192"/>
      <c r="S867" s="192"/>
      <c r="T867" s="120"/>
      <c r="U867" s="121" t="s">
        <v>101</v>
      </c>
      <c r="V867" s="122" t="s">
        <v>102</v>
      </c>
      <c r="W867" s="122" t="s">
        <v>103</v>
      </c>
      <c r="X867" s="123" t="s">
        <v>104</v>
      </c>
      <c r="Y867" s="238">
        <v>3</v>
      </c>
      <c r="Z867" s="239" t="str">
        <f>IF(U862="","",IF(OR(Group_players=3,AND(Group_players=4,COUNTBLANK(I861:I864)=1)),IF(COUNTIF(M861:M863,M863)=1,"",IF(COUNTIF(U860:U862,U862)=3,IF(AND(U870=U868,U870=U869),"Tied",IF(AND(U870&lt;&gt;U869,U869&lt;&gt;U868,U870&lt;&gt;U868),(IF(SMALL(U868:U870,1)=U870,1,IF(SMALL(U868:U870,2)=U870,2,IF(SMALL(U868:U870,3)=U870,3)))),IF(AND(U870&lt;U869,U869=U868),1,IF(AND(U870&gt;U869,U869=U868),3,IF(AND(U870=U869,U870&lt;U868),(IF(Q876=3,1,2)),IF(AND(U870=U869,U870&gt;U868),(IF(Q876=3,2,3)),IF(AND(U870=U868,U870&lt;U869),(IF(Q873=3,1,2)),IF(AND(U870=U868,U870&gt;U869),(IF(Q873=3,2,3)),99)))))))),"")),""))</f>
        <v/>
      </c>
      <c r="AA867" s="240">
        <v>3</v>
      </c>
      <c r="AB867" s="241" t="str">
        <f>IF(AND(COUNTBLANK(I861:I864)=0,Group_players=4,M861=M862,M862=M863),IF(COUNTIF(U860:U863,U862)=3,AB880,IF(AND(COUNTIF(U860:U863,U862)=1,U860&lt;&gt;U861),IF(M861=2,IF(SMALL(U860:U863,1)=U862,1,IF(SMALL(U860:U863,2)=U862,2,IF(SMALL(U860:U863,3)=U862,3))),IF(M863=1,IF(SMALL(U860:U863,1)=U862,2,IF(SMALL(U860:U863,2)=U862,3,IF(SMALL(U860:U863,3)=U862,4))),"")),IF(COUNTIF(U860:U863,U862)=1,IF(U862&lt;U861,IF(M863=2,1,2),IF(M863=2,3,4)),IF(COUNTIF(U860:U863,U862)=2,IF(U862=U861,IF(U862&lt;U860,IF(M863=2,IF(Q882=3,1,2),IF(M863=1,IF(Q882=3,2,3))),IF(U862&gt;U860,IF(M863=2,IF(Q882=3,2,3),IF(M863=1,IF(Q882=3,3,4))))),IF(U862=U860,IF(U862&lt;U861,IF(M863=2,IF(Q873=3,1,2),IF(M863=1,IF(Q873=3,2,3))),IF(U862&gt;U861,IF(M863=2,IF(Q873=3,2,3),IF(M863=1,IF(Q873=3,3,4))))))),"")))),"")</f>
        <v/>
      </c>
      <c r="AC867" s="192"/>
      <c r="AD867" s="192"/>
      <c r="AE867" s="192"/>
      <c r="AF867" s="203"/>
      <c r="AG867" s="203"/>
      <c r="AH867" s="203"/>
      <c r="AI867" s="203"/>
      <c r="AJ867" s="203"/>
      <c r="AK867" s="203"/>
      <c r="AL867" s="203"/>
      <c r="AM867" s="203"/>
      <c r="AN867" s="192"/>
      <c r="AO867" s="192"/>
      <c r="AP867" s="192"/>
      <c r="AQ867" s="192"/>
      <c r="AR867" s="192"/>
      <c r="AS867" s="192"/>
      <c r="AT867" s="192"/>
      <c r="AU867" s="192"/>
      <c r="AV867" s="192"/>
      <c r="AW867" s="192"/>
      <c r="AX867" s="192"/>
    </row>
    <row r="868" spans="2:50" ht="15" customHeight="1" thickTop="1" thickBot="1" x14ac:dyDescent="0.35">
      <c r="B868" s="192"/>
      <c r="C868" s="192"/>
      <c r="D868" s="192"/>
      <c r="E868" s="192"/>
      <c r="F868" s="192"/>
      <c r="G868" s="192"/>
      <c r="H868" s="192"/>
      <c r="I868" s="192"/>
      <c r="J868" s="192"/>
      <c r="K868" s="192"/>
      <c r="L868" s="192"/>
      <c r="M868" s="192"/>
      <c r="N868" s="192"/>
      <c r="O868" s="192"/>
      <c r="P868" s="192"/>
      <c r="Q868" s="192"/>
      <c r="R868" s="192"/>
      <c r="S868" s="192"/>
      <c r="T868" s="208">
        <v>1</v>
      </c>
      <c r="U868" s="209" t="str">
        <f>IF(U860="","",IF(OR(U860&lt;&gt;U861,U860&lt;&gt;U862),"",IF(COUNTIF(M861:M863,M861)=1,"",IF(COUNTBLANK(I861:I864)=1,(SUM(L873:P873)+SUM(L879:P879))/(SUM(L872:P872)+SUM(L878:P878)),IF(COUNTBLANK(I861:I864)=0,(SUM(L885:P885)+SUM(L873:P873))/(SUM(L884:P884)+SUM(L872:P872)),"")))))</f>
        <v/>
      </c>
      <c r="V868" s="125" t="str">
        <f>IF(V860="","",IF(OR(V860&lt;&gt;V862,V860&lt;&gt;V863),"",IF(AND(COUNTBLANK(I861:I864)=0,M861=M863,M863=M864),(SUM(L873:P873)+SUM(L879:P879))/(SUM(L872:P872)+SUM(L878:P878)),"")))</f>
        <v/>
      </c>
      <c r="W868" s="210" t="str">
        <f>IF(W860="","",IF(OR(W860&lt;&gt;W861,W860&lt;&gt;W863),"",IF(AND(COUNTBLANK(I861:I864)=0,M861=M862,M862=M864),(SUM(L885:P885)+SUM(L879:P879))/(SUM(L884:P884)+SUM(L878:P878)),"")))</f>
        <v/>
      </c>
      <c r="X868" s="211"/>
      <c r="Y868" s="242"/>
      <c r="Z868" s="242"/>
      <c r="AA868" s="243">
        <v>1</v>
      </c>
      <c r="AB868" s="244" t="str">
        <f>IF(AND(COUNTBLANK(I861:I864)=0,Group_players=4,M861=M863,M863=M864),IF(COUNTIF(V860:V863,V860)=3,AB881,IF(AND(COUNTIF(V860:V863,V860)=1,V862&lt;&gt;U871),IF(M861=2,IF(SMALL(V860:V863,1)=V860,1,IF(SMALL(V860:V863,2)=V860,2,IF(SMALL(V860:V863,3)=V860,3))),IF(M861=1,IF(SMALL(V860:V863,1)=V860,2,IF(SMALL(V860:V863,2)=V860,3,IF(SMALL(V860:V863,3)=V860,4))),"")),IF(COUNTIF(V860:V863,V860)=1,IF(V860&lt;V862,IF(M861=2,1,2),IF(M861=2,3,4)),IF(COUNTIF(V860:V863,V860)=2,IF(V860=V862,IF(V860&lt;V863,IF(M861=2,IF(Q872=3,1,2),IF(M861=1,IF(Q872=3,2,3))),IF(V860&gt;V863,IF(M861=2,IF(Q872=3,2,3),IF(M861=1,IF(Q872=3,3,4))))),IF(V860=V863,IF(V860&lt;V862,IF(M861=2,IF(Q878=3,1,2),IF(M861=1,IF(Q878=3,2,3))),IF(V860&gt;V861,IF(M861=2,IF(Q878=3,2,3),IF(M861=1,IF(Q878=3,3,4))))))),"")))),"")</f>
        <v/>
      </c>
      <c r="AC868" s="192"/>
      <c r="AD868" s="192"/>
      <c r="AE868" s="192"/>
      <c r="AF868" s="203"/>
      <c r="AG868" s="203"/>
      <c r="AH868" s="203"/>
      <c r="AI868" s="203"/>
      <c r="AJ868" s="203"/>
      <c r="AK868" s="203"/>
      <c r="AL868" s="203"/>
      <c r="AM868" s="203"/>
      <c r="AN868" s="192"/>
      <c r="AO868" s="192"/>
      <c r="AP868" s="192"/>
      <c r="AQ868" s="192"/>
      <c r="AR868" s="192"/>
      <c r="AS868" s="192"/>
      <c r="AT868" s="192"/>
      <c r="AU868" s="192"/>
      <c r="AV868" s="192"/>
      <c r="AW868" s="192"/>
      <c r="AX868" s="192"/>
    </row>
    <row r="869" spans="2:50" ht="15" customHeight="1" thickTop="1" thickBot="1" x14ac:dyDescent="0.35">
      <c r="B869" s="192"/>
      <c r="C869" s="192"/>
      <c r="D869" s="192"/>
      <c r="E869" s="117"/>
      <c r="F869" s="117"/>
      <c r="G869" s="117"/>
      <c r="H869" s="192"/>
      <c r="I869" s="192"/>
      <c r="J869" s="192"/>
      <c r="K869" s="192"/>
      <c r="L869" s="192"/>
      <c r="M869" s="192"/>
      <c r="N869" s="192"/>
      <c r="O869" s="192"/>
      <c r="P869" s="192"/>
      <c r="Q869" s="192"/>
      <c r="R869" s="192"/>
      <c r="S869" s="394" t="s">
        <v>112</v>
      </c>
      <c r="T869" s="208">
        <v>2</v>
      </c>
      <c r="U869" s="209" t="str">
        <f>IF(U860="","",IF(OR(U861&lt;&gt;U860,U861&lt;&gt;U862),"",IF(COUNTIF(M861:M863,M862)=1,"",IF(COUNTBLANK(I861:I864)=1,(SUM(L876:P876)+SUM(L878:P878))/(SUM(L875:P875)+SUM(L879:P879)),IF(COUNTBLANK(I861:I864)=0,(SUM(L884:P884)+SUM(L882:P882))/(SUM(L885:P885)+SUM(L881:P881)))))))</f>
        <v/>
      </c>
      <c r="V869" s="135"/>
      <c r="W869" s="212" t="str">
        <f>IF(W860="","",IF(OR(W861&lt;&gt;W860,W861&lt;&gt;W863),"",IF(AND(COUNTBLANK(I861:I864)=0,M861=M862,M862=M864),(SUM(L876:P876)+SUM(L884:P884))/(SUM(L885:P885)+SUM(L875:P875)),"")))</f>
        <v/>
      </c>
      <c r="X869" s="245" t="str">
        <f>IF(X861="","",IF(OR(X861&lt;&gt;X862,X861&lt;&gt;X863),"",IF(AND(COUNTBLANK(I861:I864)=0,M862=M863,M863=M864),(SUM(L882:P882)+SUM(L876:P876))/(SUM(L881:P881)+SUM(L875:P875)),"")))</f>
        <v/>
      </c>
      <c r="Y869" s="242"/>
      <c r="Z869" s="203"/>
      <c r="AA869" s="246">
        <v>3</v>
      </c>
      <c r="AB869" s="222" t="str">
        <f>IF(AND(COUNTBLANK(I861:I864)=0,Group_players=4,M861=M863,M863=M864),IF(COUNTIF(V860:V863,V862)=3,AB882,IF(AND(COUNTIF(V860:V863,V862)=1,V860&lt;&gt;V863),IF(M863=2,IF(SMALL(V860:V863,1)=V862,1,IF(SMALL(V860:V863,2)=V862,2,IF(SMALL(V860:V863,3)=V862,3))),IF(M863=1,IF(SMALL(V860:V863,1)=V862,2,IF(SMALL(V860:V863,2)=V862,3,IF(SMALL(V860:V863,3)=V862,4))),"")),IF(COUNTIF(V860:V863,V862)=1,IF(V862&lt;V860,IF(M863=2,1,2),IF(M863=2,3,4)),IF(COUNTIF(V860:V863,V862)=2,IF(V862=V860,IF(V862&lt;V863,IF(M863=2,IF(Q873=3,1,2),IF(M863=1,IF(Q873=3,2,3))),IF(V862&gt;V863,IF(M863=2,IF(Q873=3,2,3),IF(M863=1,IF(Q873=3,3,4))))),IF(V862=V863,IF(V862&lt;V860,IF(M863=2,IF(Q887=3,1,2),IF(M863=1,IF(Q887=3,2,3))),IF(V862&gt;V860,IF(M863=2,IF(Q887=3,2,3),IF(M863=1,IF(Q887=3,3,4))))))),"")))),"")</f>
        <v/>
      </c>
      <c r="AC869" s="192"/>
      <c r="AD869" s="192"/>
      <c r="AE869" s="192"/>
      <c r="AF869" s="203"/>
      <c r="AG869" s="203"/>
      <c r="AH869" s="203"/>
      <c r="AI869" s="203"/>
      <c r="AJ869" s="203"/>
      <c r="AK869" s="203"/>
      <c r="AL869" s="203"/>
      <c r="AM869" s="203"/>
      <c r="AN869" s="192"/>
      <c r="AO869" s="192"/>
      <c r="AP869" s="192"/>
      <c r="AQ869" s="192"/>
      <c r="AR869" s="192"/>
      <c r="AS869" s="192"/>
      <c r="AT869" s="192"/>
      <c r="AU869" s="192"/>
      <c r="AV869" s="192"/>
      <c r="AW869" s="192"/>
      <c r="AX869" s="192"/>
    </row>
    <row r="870" spans="2:50" ht="15" customHeight="1" thickTop="1" thickBot="1" x14ac:dyDescent="0.35">
      <c r="B870" s="192"/>
      <c r="C870" s="192"/>
      <c r="D870" s="192"/>
      <c r="E870" s="117"/>
      <c r="F870" s="117"/>
      <c r="G870" s="117"/>
      <c r="H870" s="192"/>
      <c r="I870" s="192"/>
      <c r="J870" s="192"/>
      <c r="K870" s="192"/>
      <c r="L870" s="192"/>
      <c r="M870" s="192"/>
      <c r="N870" s="192"/>
      <c r="O870" s="192"/>
      <c r="P870" s="192"/>
      <c r="Q870" s="192"/>
      <c r="R870" s="247"/>
      <c r="S870" s="395"/>
      <c r="T870" s="208">
        <v>3</v>
      </c>
      <c r="U870" s="209" t="str">
        <f>IF(U860="","",IF(OR(U862&lt;&gt;U860,U862&lt;&gt;U861),"",IF(COUNTIF(M861:M863,M863)=1,"",IF(COUNTBLANK(I861:I864)=1,(SUM(L872:P872)+SUM(L875:P875))/(SUM(L873:P873)+SUM(L876:P876)),IF(COUNTBLANK(I861:I864)=0,(SUM(L872:P872)+SUM(L881:P881))/(SUM(L873:P873)+SUM(L882:P882)))))))</f>
        <v/>
      </c>
      <c r="V870" s="125" t="str">
        <f>IF(V860="","",IF(OR(V862&lt;&gt;V860,V862&lt;&gt;V863),"",IF(AND(COUNTBLANK(I861:I864)=0,M861=M863,M863=M864),(SUM(L872:P872)+SUM(L888:P888))/(SUM(L873:P873)+SUM(L887:P887)),"")))</f>
        <v/>
      </c>
      <c r="W870" s="218"/>
      <c r="X870" s="245" t="str">
        <f>IF(X861="","",IF(OR(X862&lt;&gt;X861,X862&lt;&gt;X863),"",IF(AND(COUNTBLANK(I861:I864)=0,M862=M863,M863=M864),(SUM(L881:P881)+SUM(L888:P888))/(SUM(L882:P882)+SUM(L887:P887)),"")))</f>
        <v/>
      </c>
      <c r="Y870" s="208"/>
      <c r="Z870" s="203"/>
      <c r="AA870" s="240">
        <v>4</v>
      </c>
      <c r="AB870" s="222" t="str">
        <f>IF(AND(COUNTBLANK(I861:I864)=0,Group_players=4,M861=M863,M863=M864),IF(COUNTIF(V860:V863,V863)=3,AB883,IF(AND(COUNTIF(V860:V863,V863)=1,V862&lt;&gt;V860),IF(M864=2,IF(SMALL(V860:V863,1)=V863,1,IF(SMALL(V860:V863,2)=V863,2,IF(SMALL(V860:V863,3)=V863,3))),IF(M864=1,IF(SMALL(V860:V863,1)=V863,2,IF(SMALL(V860:V863,2)=V863,3,IF(SMALL(V860:V863,3)=V863,4))),"")),IF(COUNTIF(V860:V863,V863)=1,IF(V863&lt;V860,IF(M864=2,1,2),IF(M864=2,3,4)),IF(COUNTIF(V860:V863,V863)=2,IF(V863=V860,IF(V863&lt;V862,IF(M864=2,IF(Q879=3,1,2),IF(M864=1,IF(Q879=3,2,3))),IF(V863&gt;V862,IF(M864=2,IF(Q879=3,2,3),IF(M864=1,IF(Q879=3,3,4))))),IF(V863=V862,IF(V863&lt;V860,IF(M864=2,IF(Q888=3,1,2),IF(M864=1,IF(Q888=3,2,3))),IF(V863&gt;V860,IF(M864=2,IF(Q888=3,2,3),IF(M864=1,IF(Q888=3,3,4))))))),"")))),"")</f>
        <v/>
      </c>
      <c r="AC870" s="192"/>
      <c r="AD870" s="192"/>
      <c r="AE870" s="192"/>
      <c r="AF870" s="203"/>
      <c r="AG870" s="203"/>
      <c r="AH870" s="203"/>
      <c r="AI870" s="203"/>
      <c r="AJ870" s="203"/>
      <c r="AK870" s="203"/>
      <c r="AL870" s="203"/>
      <c r="AM870" s="203"/>
      <c r="AN870" s="192"/>
      <c r="AO870" s="192"/>
      <c r="AP870" s="192"/>
      <c r="AQ870" s="192"/>
      <c r="AR870" s="192"/>
      <c r="AS870" s="192"/>
      <c r="AT870" s="192"/>
      <c r="AU870" s="192"/>
      <c r="AV870" s="192"/>
      <c r="AW870" s="192"/>
      <c r="AX870" s="192"/>
    </row>
    <row r="871" spans="2:50" ht="15" customHeight="1" thickTop="1" thickBot="1" x14ac:dyDescent="0.35">
      <c r="B871" s="192"/>
      <c r="C871" s="192"/>
      <c r="D871" s="192"/>
      <c r="E871" s="168" t="s">
        <v>113</v>
      </c>
      <c r="F871" s="168" t="s">
        <v>114</v>
      </c>
      <c r="G871" s="117"/>
      <c r="H871" s="192"/>
      <c r="I871" s="249" t="s">
        <v>115</v>
      </c>
      <c r="J871" s="249"/>
      <c r="K871" s="249"/>
      <c r="L871" s="250" t="s">
        <v>115</v>
      </c>
      <c r="M871" s="250" t="s">
        <v>116</v>
      </c>
      <c r="N871" s="250" t="s">
        <v>117</v>
      </c>
      <c r="O871" s="250" t="s">
        <v>118</v>
      </c>
      <c r="P871" s="250" t="s">
        <v>119</v>
      </c>
      <c r="Q871" s="250" t="s">
        <v>120</v>
      </c>
      <c r="R871" s="250"/>
      <c r="S871" s="251"/>
      <c r="T871" s="208">
        <v>4</v>
      </c>
      <c r="U871" s="223"/>
      <c r="V871" s="140" t="str">
        <f>IF(V860="","",IF(OR(V863&lt;&gt;V860,V863&lt;&gt;V862),"",IF(AND(COUNTBLANK(I861:I864)=0,M861=M863,M863=M864),(SUM(L878:P878)+SUM(L887:P887))/(SUM(L879:P879)+SUM(L888:P888)),"")))</f>
        <v/>
      </c>
      <c r="W871" s="224" t="str">
        <f>IF(W860="","",IF(OR(W863&lt;&gt;W860,W863&lt;&gt;W861),"",IF(AND(COUNTBLANK(I861:I864)=0,M861=M862,M862=M864),(SUM(L878:P878)+SUM(L875:P875))/(SUM(L879:P879)+SUM(L876:P876)),"")))</f>
        <v/>
      </c>
      <c r="X871" s="252" t="str">
        <f>IF(X861="","",IF(OR(X863&lt;&gt;X861,X863&lt;&gt;X862),"",IF(AND(COUNTBLANK(I861:I864)=0,M862=M863,M863=M864),(SUM(L875:P875)+SUM(L887:P887))/(SUM(L876:P876)+SUM(L888:P888)),"")))</f>
        <v/>
      </c>
      <c r="Y871" s="192"/>
      <c r="Z871" s="203"/>
      <c r="AA871" s="243">
        <v>1</v>
      </c>
      <c r="AB871" s="151" t="str">
        <f>IF(AND(COUNTBLANK(I861:I864)=0,Group_players=4,M861=M862,M862=M864),IF(COUNTIF(W860:W863,W860)=3,AB884,IF(AND(COUNTIF(W860:W863,W860)=1,W861&lt;&gt;W863),IF(M861=2,IF(SMALL(W860:W863,1)=W860,1,IF(SMALL(W860:W863,2)=W860,2,IF(SMALL(W860:W863,3)=W860,3))),IF(M861=1,IF(SMALL(W860:W863,1)=W860,2,IF(SMALL(W860:W863,2)=W860,3,IF(SMALL(W860:W863,3)=W860,4))),"")),IF(COUNTIF(W860:W863,W860)=1,IF(W860&lt;W861,IF(M861=2,1,2),IF(M861=2,3,4)),IF(COUNTIF(W860:W863,W860)=2,IF(W860=W861,IF(W860&lt;W863,IF(M861=2,IF(Q884=3,1,2),IF(M861=1,IF(Q884=3,2,3))),IF(W860&gt;W863,IF(M861=2,IF(Q884=3,2,3),IF(M861=1,IF(Q884=3,3,4))))),IF(W860=W863,IF(W860&lt;W861,IF(M861=2,IF(Q878=3,1,2),IF(M861=1,IF(Q878=3,2,3))),IF(W860&gt;W861,IF(M861=2,IF(Q878=3,2,3),IF(M861=1,IF(Q878=3,3,4))))))),"")))),"")</f>
        <v/>
      </c>
      <c r="AC871" s="192"/>
      <c r="AD871" s="192"/>
      <c r="AE871" s="192"/>
      <c r="AF871" s="203"/>
      <c r="AG871" s="203"/>
      <c r="AH871" s="203"/>
      <c r="AI871" s="203"/>
      <c r="AJ871" s="203"/>
      <c r="AK871" s="203"/>
      <c r="AL871" s="203"/>
      <c r="AM871" s="203"/>
      <c r="AN871" s="192"/>
      <c r="AO871" s="192"/>
      <c r="AP871" s="192"/>
      <c r="AQ871" s="192"/>
      <c r="AR871" s="192"/>
      <c r="AS871" s="192"/>
      <c r="AT871" s="192"/>
      <c r="AU871" s="192"/>
      <c r="AV871" s="192"/>
      <c r="AW871" s="192"/>
      <c r="AX871" s="192"/>
    </row>
    <row r="872" spans="2:50" ht="15" customHeight="1" thickTop="1" x14ac:dyDescent="0.3">
      <c r="B872" s="192"/>
      <c r="C872" s="192"/>
      <c r="D872" s="192"/>
      <c r="E872" s="164" t="str">
        <f>IF(Q872="","",IF(Q872=3,1,0))</f>
        <v/>
      </c>
      <c r="F872" s="164" t="str">
        <f>IF(Q872="","",IF(Q872&lt;3,1,0))</f>
        <v/>
      </c>
      <c r="G872" s="192"/>
      <c r="H872" s="192" t="str">
        <f>IF(I861="","",1)</f>
        <v/>
      </c>
      <c r="I872" s="192" t="str">
        <f>IF(ISNUMBER(H872),VLOOKUP(H872,H861:I864,2,TRUE),"")</f>
        <v/>
      </c>
      <c r="J872" s="192"/>
      <c r="K872" s="192" t="str">
        <f>VLOOKUP(I872,I861:L864,3,FALSE)</f>
        <v/>
      </c>
      <c r="L872" s="253"/>
      <c r="M872" s="254"/>
      <c r="N872" s="254"/>
      <c r="O872" s="152"/>
      <c r="P872" s="153"/>
      <c r="Q872" s="255" t="str">
        <f>IF(L872="","",IF(AND(L872-L873&gt;1,L872&gt;10),1,0)+IF(AND(M872-M873&gt;1,M872&gt;10),1,0)+IF(AND(N872-N873&gt;1,N872&gt;10),1,0)+IF(AND(O872-O873&gt;1,O872&gt;10),1,0)+IF(AND(P872-P873&gt;1,P872&gt;10),1,0))</f>
        <v/>
      </c>
      <c r="R872" s="203" t="str">
        <f>IF(AND(I872="",I873=""),"",ABS(VLOOKUP(I872,I861:L864,4,FALSE)-VLOOKUP(I873,I861:L864,4,FALSE)))</f>
        <v/>
      </c>
      <c r="S872" s="256" t="str">
        <f>IF(R873="","",IF(Q872=3,+R873,-R873))</f>
        <v/>
      </c>
      <c r="T872" s="257"/>
      <c r="U872" s="258"/>
      <c r="V872" s="258"/>
      <c r="W872" s="258"/>
      <c r="X872" s="258"/>
      <c r="Y872" s="192"/>
      <c r="Z872" s="203"/>
      <c r="AA872" s="246">
        <v>2</v>
      </c>
      <c r="AB872" s="154" t="str">
        <f>IF(AND(COUNTBLANK(I861:I864)=0,Group_players=4,M861=M862,M862=M864),IF(COUNTIF(W860:W863,W861)=3,AB885,IF(AND(COUNTIF(W860:W863,W861)=1,W860&lt;&gt;W862),IF(M862=2,IF(SMALL(W860:W863,1)=W861,1,IF(SMALL(W860:W863,2)=W861,2,IF(SMALL(W860:W863,3)=W861,3))),IF(M862=1,IF(SMALL(W860:W863,1)=W861,2,IF(SMALL(W860:W863,2)=W861,3,IF(SMALL(W860:W863,3)=W861,4))),"")),IF(COUNTIF(W860:W863,W861)=1,IF(W861&lt;W860,IF(M862=2,1,2),IF(M862=2,3,4)),IF(COUNTIF(W860:W863,W861)=2,IF(W861=W860,IF(W861&lt;W863,IF(M862=2,IF(Q885=3,1,2),IF(M862=1,IF(Q885=3,2,3))),IF(W861&gt;W863,IF(M862=2,IF(Q885=3,2,3),IF(M862=1,IF(Q885=3,3,4))))),IF(W861=W863,IF(W861&lt;W860,IF(M862=2,IF(Q875=3,1,2),IF(M862=1,IF(Q875=3,2,3))),IF(W861&gt;W860,IF(M862=2,IF(Q875=3,2,3),IF(M862=1,IF(Q875=3,3,4))))))),"")))),"")</f>
        <v/>
      </c>
      <c r="AC872" s="192"/>
      <c r="AD872" s="192"/>
      <c r="AE872" s="192"/>
      <c r="AF872" s="203"/>
      <c r="AG872" s="203"/>
      <c r="AH872" s="203"/>
      <c r="AI872" s="203"/>
      <c r="AJ872" s="203"/>
      <c r="AK872" s="203"/>
      <c r="AL872" s="203"/>
      <c r="AM872" s="203"/>
      <c r="AN872" s="192"/>
      <c r="AO872" s="192"/>
      <c r="AP872" s="192"/>
      <c r="AQ872" s="192"/>
      <c r="AR872" s="192"/>
      <c r="AS872" s="192"/>
      <c r="AT872" s="192"/>
      <c r="AU872" s="192"/>
      <c r="AV872" s="192"/>
      <c r="AW872" s="192"/>
      <c r="AX872" s="192"/>
    </row>
    <row r="873" spans="2:50" ht="15" customHeight="1" thickBot="1" x14ac:dyDescent="0.35">
      <c r="B873" s="192"/>
      <c r="C873" s="192"/>
      <c r="D873" s="192"/>
      <c r="E873" s="164" t="str">
        <f>IF(Q873="","",IF(Q873=3,1,0))</f>
        <v/>
      </c>
      <c r="F873" s="164" t="str">
        <f>IF(Q873="","",IF(Q873&lt;3,1,0))</f>
        <v/>
      </c>
      <c r="G873" s="192"/>
      <c r="H873" s="192" t="str">
        <f>IF(I862="","",IF(I863="",2,3))</f>
        <v/>
      </c>
      <c r="I873" s="293" t="str">
        <f>IF(ISNUMBER(H873),VLOOKUP(H873,H861:I864,2,TRUE),"")</f>
        <v/>
      </c>
      <c r="J873" s="192"/>
      <c r="K873" s="192" t="str">
        <f>VLOOKUP(I873,I861:L864,3,FALSE)</f>
        <v/>
      </c>
      <c r="L873" s="155"/>
      <c r="M873" s="259"/>
      <c r="N873" s="259"/>
      <c r="O873" s="156"/>
      <c r="P873" s="157"/>
      <c r="Q873" s="260" t="str">
        <f>IF(L873="","",IF(AND(L873-L872&gt;1,L873&gt;10),1,0)+IF(AND(M873-M872&gt;1,M873&gt;10),1,0)+IF(AND(N873-N872&gt;1,N873&gt;10),1,0)+IF(AND(O873-O872&gt;1,O873&gt;10),1,0)+IF(AND(P873-P872&gt;1,P873&gt;10),1,0))</f>
        <v/>
      </c>
      <c r="R873" s="203" t="str">
        <f>IF(AND(Q872&lt;&gt;3,Q873&lt;&gt;3),"",IF(Q872=3,IF(VLOOKUP(I872,I861:L864,4,FALSE)&gt;VLOOKUP(I873,I861:L864,4,FALSE),VLOOKUP(R872,Point_dif,2,FALSE),VLOOKUP(R872,Point_dif,3,FALSE)),IF(Q873=3,IF(VLOOKUP(I873,I861:L864,4,FALSE)&gt;VLOOKUP(I872,I861:L864,4,FALSE),VLOOKUP(R872,Point_dif,2,FALSE),VLOOKUP(R872,Point_dif,3,FALSE)))))</f>
        <v/>
      </c>
      <c r="S873" s="256" t="str">
        <f>IF(R873="","",IF(Q873=3,+R873,-R873))</f>
        <v/>
      </c>
      <c r="T873" s="192"/>
      <c r="U873" s="235"/>
      <c r="V873" s="235"/>
      <c r="W873" s="235"/>
      <c r="X873" s="235"/>
      <c r="Y873" s="235"/>
      <c r="Z873" s="235"/>
      <c r="AA873" s="240">
        <v>4</v>
      </c>
      <c r="AB873" s="158" t="str">
        <f>IF(AND(COUNTBLANK(I861:I864)=0,Group_players=4,M861=M862,M862=M864),IF(COUNTIF(W860:W863,W863)=3,AB886,IF(AND(COUNTIF(W860:W863,W863)=1,W860&lt;&gt;W861),IF(M864=2,IF(SMALL(W860:W863,1)=W863,1,IF(SMALL(W860:W863,2)=W863,2,IF(SMALL(W860:W863,3)=W863,3))),IF(M864=1,IF(SMALL(W860:W863,1)=W863,2,IF(SMALL(W860:W863,2)=W863,3,IF(SMALL(W860:W863,3)=W863,4))),"")),IF(COUNTIF(W860:W863,W863)=1,IF(W863&lt;W860,IF(M864=2,1,2),IF(M864=2,3,4)),IF(COUNTIF(W860:W863,W863)=2,IF(W863=W860,IF(W863&lt;W861,IF(M864=2,IF(Q879=3,1,2),IF(M864=1,IF(Q879=3,2,3))),IF(W863&gt;W862,IF(M864=2,IF(Q879=3,2,3),IF(M864=1,IF(Q879=3,3,4))))),IF(W863=W861,IF(W863&lt;W860,IF(M864=2,IF(Q876=3,1,2),IF(M864=1,IF(Q876=3,2,3))),IF(W863&gt;W860,IF(M864=2,IF(Q876=3,2,3),IF(M864=1,IF(Q876=3,3,4))))))),"")))),"")</f>
        <v/>
      </c>
      <c r="AC873" s="192"/>
      <c r="AD873" s="192"/>
      <c r="AE873" s="192"/>
      <c r="AF873" s="203"/>
      <c r="AG873" s="203"/>
      <c r="AH873" s="203"/>
      <c r="AI873" s="203"/>
      <c r="AJ873" s="203"/>
      <c r="AK873" s="203"/>
      <c r="AL873" s="203"/>
      <c r="AM873" s="203"/>
      <c r="AN873" s="192"/>
      <c r="AO873" s="192"/>
      <c r="AP873" s="192"/>
      <c r="AQ873" s="192"/>
      <c r="AR873" s="192"/>
      <c r="AS873" s="192"/>
      <c r="AT873" s="192"/>
      <c r="AU873" s="192"/>
      <c r="AV873" s="192"/>
      <c r="AW873" s="192"/>
      <c r="AX873" s="192"/>
    </row>
    <row r="874" spans="2:50" ht="15" customHeight="1" thickTop="1" thickBot="1" x14ac:dyDescent="0.35">
      <c r="B874" s="192"/>
      <c r="C874" s="192"/>
      <c r="D874" s="192"/>
      <c r="E874" s="164"/>
      <c r="F874" s="164"/>
      <c r="G874" s="192"/>
      <c r="H874" s="192"/>
      <c r="I874" s="249" t="s">
        <v>116</v>
      </c>
      <c r="J874" s="249"/>
      <c r="K874" s="249"/>
      <c r="L874" s="250" t="s">
        <v>115</v>
      </c>
      <c r="M874" s="250" t="s">
        <v>116</v>
      </c>
      <c r="N874" s="250" t="s">
        <v>117</v>
      </c>
      <c r="O874" s="250" t="s">
        <v>118</v>
      </c>
      <c r="P874" s="250" t="s">
        <v>119</v>
      </c>
      <c r="Q874" s="250" t="s">
        <v>120</v>
      </c>
      <c r="R874" s="250"/>
      <c r="S874" s="251"/>
      <c r="T874" s="192"/>
      <c r="U874" s="235"/>
      <c r="V874" s="235"/>
      <c r="W874" s="235"/>
      <c r="X874" s="235"/>
      <c r="Y874" s="235"/>
      <c r="Z874" s="235"/>
      <c r="AA874" s="243">
        <v>2</v>
      </c>
      <c r="AB874" s="151" t="str">
        <f>IF(AND(COUNTBLANK(I861:I864)=0,Group_players=4,M862=M863,M863=M864),IF(COUNTIF(X860:X863,X861)=3,AB887,IF(AND(COUNTIF(X860:X863,X861)=1,X862&lt;&gt;X863),IF(M862=2,IF(SMALL(X860:X863,1)=X861,1,IF(SMALL(X860:X863,2)=X861,2,IF(SMALL(X860:X863,3)=X861,3))),IF(M862=1,IF(SMALL(X860:X863,1)=X861,2,IF(SMALL(X860:X863,2)=X861,3,IF(SMALL(X860:X863,3)=X861,4))),"")),IF(COUNTIF(X860:X863,X861)=1,IF(X861&lt;X863,IF(M862=2,1,2),IF(M862=1,3,3)),IF(COUNTIF(X860:X863,X861)=2,IF(X861=X862,IF(X861&lt;X863,IF(M862=2,IF(Q881=3,1,2),IF(M862=1,IF(Q881=3,2,3))),IF(X861&gt;X863,IF(M862=2,IF(Q881=3,2,3),IF(M862=1,IF(Q881=3,3,4))))),IF(X861=X863,IF(X861&lt;X862,IF(M862=2,IF(Q875=3,1,2),IF(M862=1,IF(Q875=3,2,3))),IF(X861&gt;X862,IF(M862=2,IF(Q875=3,2,3),IF(M862=1,IF(Q875=3,3,4))))))),"")))),"")</f>
        <v/>
      </c>
      <c r="AC874" s="192"/>
      <c r="AD874" s="192"/>
      <c r="AE874" s="192"/>
      <c r="AF874" s="203"/>
      <c r="AG874" s="203"/>
      <c r="AH874" s="203"/>
      <c r="AI874" s="203"/>
      <c r="AJ874" s="203"/>
      <c r="AK874" s="203"/>
      <c r="AL874" s="203"/>
      <c r="AM874" s="203"/>
      <c r="AN874" s="192"/>
      <c r="AO874" s="192"/>
      <c r="AP874" s="192"/>
      <c r="AQ874" s="192"/>
      <c r="AR874" s="192"/>
      <c r="AS874" s="192"/>
      <c r="AT874" s="192"/>
      <c r="AU874" s="192"/>
      <c r="AV874" s="192"/>
      <c r="AW874" s="192"/>
      <c r="AX874" s="192"/>
    </row>
    <row r="875" spans="2:50" ht="15" customHeight="1" thickTop="1" x14ac:dyDescent="0.3">
      <c r="B875" s="192"/>
      <c r="C875" s="192"/>
      <c r="D875" s="192"/>
      <c r="E875" s="164" t="str">
        <f>IF(Q875="","",IF(Q875=3,1,0))</f>
        <v/>
      </c>
      <c r="F875" s="164" t="str">
        <f>IF(Q875="","",IF(Q875&lt;3,1,0))</f>
        <v/>
      </c>
      <c r="G875" s="192"/>
      <c r="H875" s="192" t="str">
        <f>IF(I863="","",2)</f>
        <v/>
      </c>
      <c r="I875" s="192" t="str">
        <f>IF(ISNUMBER(H875),VLOOKUP(H875,H861:I864,2,TRUE),"")</f>
        <v/>
      </c>
      <c r="J875" s="192"/>
      <c r="K875" s="192" t="str">
        <f>VLOOKUP(I875,I861:L864,3,FALSE)</f>
        <v/>
      </c>
      <c r="L875" s="253"/>
      <c r="M875" s="254"/>
      <c r="N875" s="254"/>
      <c r="O875" s="152"/>
      <c r="P875" s="153"/>
      <c r="Q875" s="255" t="str">
        <f>IF(L875="","",IF(AND(L875-L876&gt;1,L875&gt;10),1,0)+IF(AND(M875-M876&gt;1,M875&gt;10),1,0)+IF(AND(N875-N876&gt;1,N875&gt;10),1,0)+IF(AND(O875-O876&gt;1,O875&gt;10),1,0)+IF(AND(P875-P876&gt;1,P875&gt;10),1,0))</f>
        <v/>
      </c>
      <c r="R875" s="203" t="str">
        <f>IF(AND(I875="",I876=""),"",ABS(VLOOKUP(I875,I861:L864,4,FALSE)-VLOOKUP(I876,I861:L864,4,FALSE)))</f>
        <v/>
      </c>
      <c r="S875" s="256" t="str">
        <f>IF(R876="","",IF(Q875=3,+R876,-R876))</f>
        <v/>
      </c>
      <c r="T875" s="192"/>
      <c r="U875" s="235"/>
      <c r="V875" s="235"/>
      <c r="W875" s="235"/>
      <c r="X875" s="235"/>
      <c r="Y875" s="235"/>
      <c r="Z875" s="235"/>
      <c r="AA875" s="246">
        <v>3</v>
      </c>
      <c r="AB875" s="154" t="str">
        <f>IF(AND(COUNTBLANK(I861:I864)=0,Group_players=4,M862=M863,M863=M864),IF(COUNTIF(X860:X863,X862)=3,AB888,IF(AND(COUNTIF(X860:X863,X862)=1,X861&lt;&gt;X863),IF(M863=2,IF(SMALL(X860:X863,1)=X862,1,IF(SMALL(X860:X863,2)=X862,2,IF(SMALL(X860:X863,3)=X862,3))),IF(M863=1,IF(SMALL(X860:X863,1)=X862,2,IF(SMALL(X860:X863,2)=X862,3,IF(SMALL(X860:X863,3)=X862,4))),"")),IF(COUNTIF(X860:X863,X862)=1,IF(X862&lt;X861,IF(M863=2,1,2),IF(M863=2,3,4)),IF(COUNTIF(X860:X863,X862)=2,IF(X862=X861,IF(X862&lt;X863,IF(M863=2,IF(Q882=3,1,2),IF(M863=1,IF(Q882=3,2,3))),IF(X862&gt;X863,IF(M863=2,IF(Q882=3,2,3),IF(M863=1,IF(Q882=3,3,4))))),IF(X862=X863,IF(X862&lt;X861,IF(M863=2,IF(Q887=3,1,2),IF(M863=1,IF(Q887=3,2,3))),IF(X862&gt;X861,IF(M863=2,IF(Q887=3,2,3),IF(M863=1,IF(Q887=3,3,4))))))),"")))),"")</f>
        <v/>
      </c>
      <c r="AC875" s="192"/>
      <c r="AD875" s="192"/>
      <c r="AE875" s="192"/>
      <c r="AF875" s="203"/>
      <c r="AG875" s="203"/>
      <c r="AH875" s="203"/>
      <c r="AI875" s="203"/>
      <c r="AJ875" s="203"/>
      <c r="AK875" s="203"/>
      <c r="AL875" s="203"/>
      <c r="AM875" s="203"/>
      <c r="AN875" s="192"/>
      <c r="AO875" s="192"/>
      <c r="AP875" s="192"/>
      <c r="AQ875" s="192"/>
      <c r="AR875" s="192"/>
      <c r="AS875" s="192"/>
      <c r="AT875" s="192"/>
      <c r="AU875" s="192"/>
      <c r="AV875" s="192"/>
      <c r="AW875" s="192"/>
      <c r="AX875" s="192"/>
    </row>
    <row r="876" spans="2:50" ht="15" customHeight="1" thickBot="1" x14ac:dyDescent="0.35">
      <c r="B876" s="192"/>
      <c r="C876" s="192"/>
      <c r="D876" s="192"/>
      <c r="E876" s="164" t="str">
        <f>IF(Q876="","",IF(Q876=3,1,0))</f>
        <v/>
      </c>
      <c r="F876" s="164" t="str">
        <f>IF(Q876="","",IF(Q876&lt;3,1,0))</f>
        <v/>
      </c>
      <c r="G876" s="192"/>
      <c r="H876" s="192" t="str">
        <f>IF(I863="","",IF(I864="",3,4))</f>
        <v/>
      </c>
      <c r="I876" s="293" t="str">
        <f>IF(ISNUMBER(H876),VLOOKUP(H876,H861:I864,2,TRUE),"")</f>
        <v/>
      </c>
      <c r="J876" s="192"/>
      <c r="K876" s="192" t="str">
        <f>VLOOKUP(I876,I861:L864,3,FALSE)</f>
        <v/>
      </c>
      <c r="L876" s="155"/>
      <c r="M876" s="259"/>
      <c r="N876" s="259"/>
      <c r="O876" s="156"/>
      <c r="P876" s="157"/>
      <c r="Q876" s="260" t="str">
        <f>IF(L876="","",IF(AND(L876-L875&gt;1,L876&gt;10),1,0)+IF(AND(M876-M875&gt;1,M876&gt;10),1,0)+IF(AND(N876-N875&gt;1,N876&gt;10),1,0)+IF(AND(O876-O875&gt;1,O876&gt;10),1,0)+IF(AND(P876-P875&gt;1,P876&gt;10),1,0))</f>
        <v/>
      </c>
      <c r="R876" s="203" t="str">
        <f>IF(AND(Q875&lt;&gt;3,Q876&lt;&gt;3),"",IF(Q875=3,IF(VLOOKUP(I875,I861:L864,4,FALSE)&gt;VLOOKUP(I876,I861:L864,4,FALSE),VLOOKUP(R875,Point_dif,2,FALSE),VLOOKUP(R875,Point_dif,3,FALSE)),IF(Q876=3,IF(VLOOKUP(I876,I861:L864,4,FALSE)&gt;VLOOKUP(I875,I861:L864,4,FALSE),VLOOKUP(R875,Point_dif,2,FALSE),VLOOKUP(R875,Point_dif,3,FALSE)))))</f>
        <v/>
      </c>
      <c r="S876" s="256" t="str">
        <f>IF(R876="","",IF(Q876=3,+R876,-R876))</f>
        <v/>
      </c>
      <c r="T876" s="192"/>
      <c r="U876" s="235"/>
      <c r="V876" s="235"/>
      <c r="W876" s="235"/>
      <c r="X876" s="235"/>
      <c r="Y876" s="235"/>
      <c r="Z876" s="235"/>
      <c r="AA876" s="261">
        <v>4</v>
      </c>
      <c r="AB876" s="158" t="str">
        <f>IF(AND(COUNTBLANK(I861:I864)=0,Group_players=4,M862=M863,M863=M864),IF(COUNTIF(X860:X863,X863)=3,AB889,IF(AND(COUNTIF(X860:X863,X863)=1,X862&lt;&gt;X861),IF(M864=2,IF(SMALL(X860:X863,1)=X863,1,IF(SMALL(X860:X863,2)=X863,2,IF(SMALL(X860:X863,3)=X863,3))),IF(M864=1,IF(SMALL(X860:X863,1)=X863,2,IF(SMALL(X860:X863,2)=X863,3,IF(SMALL(X860:X863,3)=X863,4))),"")),IF(COUNTIF(X860:X863,X863)=1,IF(X863&lt;X861,IF(M864=2,1,2),IF(M864=2,3,4)),IF(COUNTIF(X860:X863,X863)=2,IF(X863=X861,IF(X863&lt;X862,IF(M864=2,IF(Q876=3,1,2),IF(M864=1,IF(Q876=3,2,3))),IF(X863&gt;X862,IF(M864=2,IF(Q876=3,2,3),IF(M864=1,IF(Q876=3,3,4))))),IF(X863=X862,IF(X863&lt;X861,IF(M864=2,IF(Q888=3,1,2),IF(M864=1,IF(Q888=3,2,3))),IF(X863&gt;X861,IF(M864=2,IF(Q888=3,2,3),IF(M864=1,IF(Q888=3,3,4))))))),"")))),"")</f>
        <v/>
      </c>
      <c r="AC876" s="192"/>
      <c r="AD876" s="192"/>
      <c r="AE876" s="192"/>
      <c r="AF876" s="203"/>
      <c r="AG876" s="203"/>
      <c r="AH876" s="203"/>
      <c r="AI876" s="203"/>
      <c r="AJ876" s="203"/>
      <c r="AK876" s="203"/>
      <c r="AL876" s="203"/>
      <c r="AM876" s="203"/>
      <c r="AN876" s="192"/>
      <c r="AO876" s="192"/>
      <c r="AP876" s="192"/>
      <c r="AQ876" s="192"/>
      <c r="AR876" s="192"/>
      <c r="AS876" s="192"/>
      <c r="AT876" s="192"/>
      <c r="AU876" s="192"/>
      <c r="AV876" s="192"/>
      <c r="AW876" s="192"/>
      <c r="AX876" s="192"/>
    </row>
    <row r="877" spans="2:50" ht="15" customHeight="1" thickTop="1" thickBot="1" x14ac:dyDescent="0.35">
      <c r="B877" s="192"/>
      <c r="C877" s="192"/>
      <c r="D877" s="192"/>
      <c r="E877" s="164"/>
      <c r="F877" s="164"/>
      <c r="G877" s="192"/>
      <c r="H877" s="192"/>
      <c r="I877" s="249" t="s">
        <v>117</v>
      </c>
      <c r="J877" s="249"/>
      <c r="K877" s="249"/>
      <c r="L877" s="250" t="s">
        <v>115</v>
      </c>
      <c r="M877" s="250" t="s">
        <v>116</v>
      </c>
      <c r="N877" s="250" t="s">
        <v>117</v>
      </c>
      <c r="O877" s="250" t="s">
        <v>118</v>
      </c>
      <c r="P877" s="250" t="s">
        <v>119</v>
      </c>
      <c r="Q877" s="250" t="s">
        <v>120</v>
      </c>
      <c r="R877" s="250"/>
      <c r="S877" s="251"/>
      <c r="T877" s="263"/>
      <c r="U877" s="264"/>
      <c r="V877" s="242"/>
      <c r="W877" s="242"/>
      <c r="X877" s="264"/>
      <c r="Y877" s="192"/>
      <c r="Z877" s="203"/>
      <c r="AA877" s="126" t="s">
        <v>93</v>
      </c>
      <c r="AB877" s="265" t="s">
        <v>110</v>
      </c>
      <c r="AC877" s="192"/>
      <c r="AD877" s="192"/>
      <c r="AE877" s="192"/>
      <c r="AF877" s="203"/>
      <c r="AG877" s="203"/>
      <c r="AH877" s="203"/>
      <c r="AI877" s="203"/>
      <c r="AJ877" s="203"/>
      <c r="AK877" s="203"/>
      <c r="AL877" s="203"/>
      <c r="AM877" s="203"/>
      <c r="AN877" s="192"/>
      <c r="AO877" s="192"/>
      <c r="AP877" s="192"/>
      <c r="AQ877" s="192"/>
      <c r="AR877" s="192"/>
      <c r="AS877" s="192"/>
      <c r="AT877" s="192"/>
      <c r="AU877" s="192"/>
      <c r="AV877" s="192"/>
      <c r="AW877" s="192"/>
      <c r="AX877" s="192"/>
    </row>
    <row r="878" spans="2:50" ht="15" customHeight="1" thickTop="1" x14ac:dyDescent="0.3">
      <c r="B878" s="192"/>
      <c r="C878" s="192"/>
      <c r="D878" s="192"/>
      <c r="E878" s="164" t="str">
        <f>IF(Q878="","",IF(Q878=3,1,0))</f>
        <v/>
      </c>
      <c r="F878" s="164" t="str">
        <f>IF(Q878="","",IF(Q878&lt;3,1,0))</f>
        <v/>
      </c>
      <c r="G878" s="192"/>
      <c r="H878" s="192" t="str">
        <f>IF(I863&lt;&gt;"",1,"")</f>
        <v/>
      </c>
      <c r="I878" s="192" t="str">
        <f>IF(ISNUMBER(H878),VLOOKUP(H878,H861:I864,2,TRUE),"")</f>
        <v/>
      </c>
      <c r="J878" s="192"/>
      <c r="K878" s="192" t="str">
        <f>VLOOKUP(I878,I861:L864,3,FALSE)</f>
        <v/>
      </c>
      <c r="L878" s="253"/>
      <c r="M878" s="254"/>
      <c r="N878" s="254"/>
      <c r="O878" s="152"/>
      <c r="P878" s="153"/>
      <c r="Q878" s="255" t="str">
        <f>IF(L878="","",IF(AND(L878-L879&gt;1,L878&gt;10),1,0)+IF(AND(M878-M879&gt;1,M878&gt;10),1,0)+IF(AND(N878-N879&gt;1,N878&gt;10),1,0)+IF(AND(O878-O879&gt;1,O878&gt;10),1,0)+IF(AND(P878-P879&gt;1,P878&gt;10),1,0))</f>
        <v/>
      </c>
      <c r="R878" s="203" t="str">
        <f>IF(AND(I878="",I879=""),"",ABS(VLOOKUP(I878,I861:L864,4,FALSE)-VLOOKUP(I879,I861:L864,4,FALSE)))</f>
        <v/>
      </c>
      <c r="S878" s="256" t="str">
        <f>IF(R879="","",IF(Q878=3,+R879,-R879))</f>
        <v/>
      </c>
      <c r="T878" s="192"/>
      <c r="U878" s="235"/>
      <c r="V878" s="235"/>
      <c r="W878" s="235"/>
      <c r="X878" s="235"/>
      <c r="Y878" s="235"/>
      <c r="Z878" s="235"/>
      <c r="AA878" s="243">
        <v>1</v>
      </c>
      <c r="AB878" s="222" t="str">
        <f>IF(AND(COUNTBLANK(I861:I864)=0,Group_players=4,M861=M862,M862=M863),IF(U868="","",IF(COUNTIF(U868:U871,U868)=3,"Tied",IF(AND(COUNTIF(U868:U871,U868)=1,U869&lt;&gt;U870),IF(M861=2,IF(SMALL(U868:U871,1)=U868,1,IF(SMALL(U868:U871,2)=U868,2,IF(SMALL(U868:U871,3)=U868,3))),IF(M861=1,IF(SMALL(U868:U871,1)=U868,2,IF(SMALL(U868:U871,2)=U868,3,IF(SMALL(U868:U871,3)=U868,4))),"")),IF(COUNTIF(U868:U871,U868)=1,IF(U868&lt;U869,IF(M861=2,1,2),IF(M861=2,3,4)),IF(COUNTIF(U868:U871,U868)=2,IF(U868=U869,IF(U868&lt;U870,IF(M861=2,IF(Q884=3,1,2),IF(M861=1,IF(Q884=3,2,3))),IF(U868&gt;U870,IF(M861=2,IF(Q884=3,2,3),IF(M861=1,IF(Q884=3,3,4))))),IF(U868=U870,IF(U868&lt;U869,IF(M861=2,IF(Q872=3,1,2),IF(M861=1,IF(Q872=3,2,3))),IF(U868&gt;U869,IF(M861=2,IF(Q872=3,2,3),IF(M861=1,IF(Q872=3,3,4)))))))))))),"")</f>
        <v/>
      </c>
      <c r="AC878" s="192"/>
      <c r="AD878" s="192"/>
      <c r="AE878" s="192"/>
      <c r="AF878" s="203"/>
      <c r="AG878" s="203"/>
      <c r="AH878" s="203"/>
      <c r="AI878" s="203"/>
      <c r="AJ878" s="203"/>
      <c r="AK878" s="203"/>
      <c r="AL878" s="203"/>
      <c r="AM878" s="203"/>
      <c r="AN878" s="192"/>
      <c r="AO878" s="192"/>
      <c r="AP878" s="192"/>
      <c r="AQ878" s="192"/>
      <c r="AR878" s="192"/>
      <c r="AS878" s="192"/>
      <c r="AT878" s="192"/>
      <c r="AU878" s="192"/>
      <c r="AV878" s="192"/>
      <c r="AW878" s="192"/>
      <c r="AX878" s="192"/>
    </row>
    <row r="879" spans="2:50" ht="15" customHeight="1" thickBot="1" x14ac:dyDescent="0.35">
      <c r="B879" s="192"/>
      <c r="C879" s="192"/>
      <c r="D879" s="192"/>
      <c r="E879" s="164" t="str">
        <f>IF(Q879="","",IF(Q879=3,1,0))</f>
        <v/>
      </c>
      <c r="F879" s="164" t="str">
        <f>IF(Q879="","",IF(Q879&lt;3,1,0))</f>
        <v/>
      </c>
      <c r="G879" s="192"/>
      <c r="H879" s="192" t="str">
        <f>IF(I863="","",IF(I864&lt;&gt;"",4,2))</f>
        <v/>
      </c>
      <c r="I879" s="293" t="str">
        <f>IF(ISNUMBER(H879),VLOOKUP(H879,H861:I864,2,TRUE),"")</f>
        <v/>
      </c>
      <c r="J879" s="192"/>
      <c r="K879" s="192" t="str">
        <f>VLOOKUP(I879,I861:L864,3,FALSE)</f>
        <v/>
      </c>
      <c r="L879" s="155"/>
      <c r="M879" s="259"/>
      <c r="N879" s="259"/>
      <c r="O879" s="156"/>
      <c r="P879" s="157"/>
      <c r="Q879" s="260" t="str">
        <f>IF(L879="","",IF(AND(L879-L878&gt;1,L879&gt;10),1,0)+IF(AND(M879-M878&gt;1,M879&gt;10),1,0)+IF(AND(N879-N878&gt;1,N879&gt;10),1,0)+IF(AND(O879-O878&gt;1,O879&gt;10),1,0)+IF(AND(P879-P878&gt;1,P879&gt;10),1,0))</f>
        <v/>
      </c>
      <c r="R879" s="203" t="str">
        <f>IF(AND(Q878&lt;&gt;3,Q879&lt;&gt;3),"",IF(Q878=3,IF(VLOOKUP(I878,I861:L864,4,FALSE)&gt;VLOOKUP(I879,I861:L864,4,FALSE),VLOOKUP(R878,Point_dif,2,FALSE),VLOOKUP(R878,Point_dif,3,FALSE)),IF(Q879=3,IF(VLOOKUP(I879,I861:L864,4,FALSE)&gt;VLOOKUP(I878,I861:L864,4,FALSE),VLOOKUP(R878,Point_dif,2,FALSE),VLOOKUP(R878,Point_dif,3,FALSE)))))</f>
        <v/>
      </c>
      <c r="S879" s="256" t="str">
        <f>IF(R879="","",IF(Q879=3,+R879,-R879))</f>
        <v/>
      </c>
      <c r="T879" s="192"/>
      <c r="U879" s="235"/>
      <c r="V879" s="235"/>
      <c r="W879" s="235"/>
      <c r="X879" s="235"/>
      <c r="Y879" s="235"/>
      <c r="Z879" s="235"/>
      <c r="AA879" s="246">
        <v>2</v>
      </c>
      <c r="AB879" s="222" t="str">
        <f>IF(AND(COUNTBLANK(I861:I864)=0,Group_players=4,M861=M862,M862=M863),IF(U869="","",IF(COUNTIF(U868:U871,U869)=3,"Tied",IF(AND(COUNTIF(U868:U871,U869)=1,U868&lt;&gt;U870),IF(M862=2,IF(SMALL(U868:U871,1)=U869,1,IF(SMALL(U868:U871,2)=U869,2,IF(SMALL(U868:U871,3)=U869,3))),IF(M862=1,IF(SMALL(U868:U871,1)=U869,2,IF(SMALL(U868:U871,2)=U869,3,IF(SMALL(U868:U871,3)=U869,4))),"")),IF(COUNTIF(U868:U871,U869)=1,IF(U869&lt;U868,IF(M862=2,1,2),IF(M862=2,3,4)),IF(COUNTIF(U868:U871,U869)=2,IF(U869=U868,IF(U869&lt;U870,IF(M862=2,IF(Q885=3,1,2),IF(M862=1,IF(Q885=3,2,3))),IF(U869&gt;U870,IF(M862=2,IF(Q885=3,2,3),IF(M862=1,IF(Q885=3,3,4))))),IF(U869=U870,IF(U869&lt;U868,IF(M862=2,IF(Q881=3,1,2),IF(M862=1,IF(Q881=3,2,3))),IF(U869&gt;U868,IF(M862=2,IF(Q881=3,2,3),IF(M862=1,IF(Q881=3,3,4)))))))))))),"")</f>
        <v/>
      </c>
      <c r="AC879" s="192"/>
      <c r="AD879" s="192"/>
      <c r="AE879" s="192"/>
      <c r="AF879" s="203"/>
      <c r="AG879" s="203"/>
      <c r="AH879" s="203"/>
      <c r="AI879" s="203"/>
      <c r="AJ879" s="203"/>
      <c r="AK879" s="203"/>
      <c r="AL879" s="203"/>
      <c r="AM879" s="203"/>
      <c r="AN879" s="192"/>
      <c r="AO879" s="192"/>
      <c r="AP879" s="192"/>
      <c r="AQ879" s="192"/>
      <c r="AR879" s="192"/>
      <c r="AS879" s="192"/>
      <c r="AT879" s="192"/>
      <c r="AU879" s="192"/>
      <c r="AV879" s="192"/>
      <c r="AW879" s="192"/>
      <c r="AX879" s="192"/>
    </row>
    <row r="880" spans="2:50" ht="15" customHeight="1" thickTop="1" thickBot="1" x14ac:dyDescent="0.35">
      <c r="B880" s="192"/>
      <c r="C880" s="192"/>
      <c r="D880" s="192"/>
      <c r="E880" s="164"/>
      <c r="F880" s="164"/>
      <c r="G880" s="192"/>
      <c r="H880" s="192"/>
      <c r="I880" s="249" t="s">
        <v>118</v>
      </c>
      <c r="J880" s="249"/>
      <c r="K880" s="249"/>
      <c r="L880" s="250" t="s">
        <v>115</v>
      </c>
      <c r="M880" s="250" t="s">
        <v>116</v>
      </c>
      <c r="N880" s="250" t="s">
        <v>117</v>
      </c>
      <c r="O880" s="250" t="s">
        <v>118</v>
      </c>
      <c r="P880" s="250" t="s">
        <v>119</v>
      </c>
      <c r="Q880" s="250" t="s">
        <v>120</v>
      </c>
      <c r="R880" s="250"/>
      <c r="S880" s="251"/>
      <c r="T880" s="192"/>
      <c r="U880" s="235"/>
      <c r="V880" s="235"/>
      <c r="W880" s="235"/>
      <c r="X880" s="235"/>
      <c r="Y880" s="235"/>
      <c r="Z880" s="235"/>
      <c r="AA880" s="240">
        <v>3</v>
      </c>
      <c r="AB880" s="241" t="str">
        <f>IF(AND(COUNTBLANK(I861:I864)=0,Group_players=4,M861=M862,M862=M863),IF(U870="","",IF(COUNTIF(U868:U871,U870)=3,"Tied",IF(AND(COUNTIF(U868:U871,U870)=1,U868&lt;&gt;U869),IF(M861=2,IF(SMALL(U868:U871,1)=U870,1,IF(SMALL(U868:U871,2)=U870,2,IF(SMALL(U868:U871,3)=U870,3))),IF(M863=1,IF(SMALL(U868:U871,1)=U870,2,IF(SMALL(U868:U871,2)=U870,3,IF(SMALL(U868:U871,3)=U870,4))),"")),IF(COUNTIF(U868:U871,U870)=1,IF(U870&lt;U869,IF(M863=2,1,2),IF(M863=2,3,4)),IF(COUNTIF(U868:U871,U870)=2,IF(U870=U869,IF(U870&lt;U868,IF(M863=2,IF(Q882=3,1,2),IF(M863=1,IF(Q882=3,2,3))),IF(U870&gt;U868,IF(M863=2,IF(Q882=3,2,3),IF(M863=1,IF(Q882=3,3,4))))),IF(U870=U868,IF(U870&lt;U869,IF(M863=2,IF(Q873=3,1,2),IF(M863=1,IF(Q873=3,2,3))),IF(U870&gt;U869,IF(M863=2,IF(Q873=3,2,3),IF(M863=1,IF(Q873=3,3,4)))))))))))),"")</f>
        <v/>
      </c>
      <c r="AC880" s="192"/>
      <c r="AD880" s="192"/>
      <c r="AE880" s="192"/>
      <c r="AF880" s="203"/>
      <c r="AG880" s="203"/>
      <c r="AH880" s="203"/>
      <c r="AI880" s="203"/>
      <c r="AJ880" s="203"/>
      <c r="AK880" s="203"/>
      <c r="AL880" s="203"/>
      <c r="AM880" s="203"/>
      <c r="AN880" s="192"/>
      <c r="AO880" s="192"/>
      <c r="AP880" s="192"/>
      <c r="AQ880" s="192"/>
      <c r="AR880" s="192"/>
      <c r="AS880" s="192"/>
      <c r="AT880" s="192"/>
      <c r="AU880" s="192"/>
      <c r="AV880" s="192"/>
      <c r="AW880" s="192"/>
      <c r="AX880" s="192"/>
    </row>
    <row r="881" spans="2:50" ht="15" customHeight="1" thickTop="1" x14ac:dyDescent="0.3">
      <c r="B881" s="192"/>
      <c r="C881" s="192"/>
      <c r="D881" s="192"/>
      <c r="E881" s="164" t="str">
        <f>IF(Q881="","",IF(Q881=3,1,0))</f>
        <v/>
      </c>
      <c r="F881" s="164" t="str">
        <f>IF(Q881="","",IF(Q881&lt;3,1,0))</f>
        <v/>
      </c>
      <c r="G881" s="192"/>
      <c r="H881" s="192" t="str">
        <f>IF(I864&lt;&gt;"",2,"")</f>
        <v/>
      </c>
      <c r="I881" s="192" t="str">
        <f>IF(ISNUMBER(H881),VLOOKUP(H881,H861:I864,2,TRUE),"")</f>
        <v/>
      </c>
      <c r="J881" s="192"/>
      <c r="K881" s="192" t="str">
        <f>VLOOKUP(I881,I861:L864,3,FALSE)</f>
        <v/>
      </c>
      <c r="L881" s="253"/>
      <c r="M881" s="254"/>
      <c r="N881" s="254"/>
      <c r="O881" s="152"/>
      <c r="P881" s="153"/>
      <c r="Q881" s="255" t="str">
        <f>IF(L881="","",IF(AND(L881-L882&gt;1,L881&gt;10),1,0)+IF(AND(M881-M882&gt;1,M881&gt;10),1,0)+IF(AND(N881-N882&gt;1,N881&gt;10),1,0)+IF(AND(O881-O882&gt;1,O881&gt;10),1,0)+IF(AND(P881-P882&gt;1,P881&gt;10),1,0))</f>
        <v/>
      </c>
      <c r="R881" s="203" t="str">
        <f>IF(AND(I881="",I882=""),"",ABS(VLOOKUP(I881,I861:L864,4,FALSE)-VLOOKUP(I882,I861:L864,4,FALSE)))</f>
        <v/>
      </c>
      <c r="S881" s="256" t="str">
        <f>IF(R882="","",IF(Q881=3,+R882,-R882))</f>
        <v/>
      </c>
      <c r="T881" s="192"/>
      <c r="U881" s="235"/>
      <c r="V881" s="235"/>
      <c r="W881" s="235"/>
      <c r="X881" s="235"/>
      <c r="Y881" s="235"/>
      <c r="Z881" s="235"/>
      <c r="AA881" s="243">
        <v>1</v>
      </c>
      <c r="AB881" s="222" t="str">
        <f>IF(AND(COUNTBLANK(I861:I864)=0,Group_players=4,M861=M863,M863=M864),IF(V868="","",IF(COUNTIF(V868:V871,V868)=3,"Tied",IF(AND(COUNTIF(V868:V871,V868)=1,V870&lt;&gt;U871),IF(M861=2,IF(SMALL(V868:V871,1)=V868,1,IF(SMALL(V868:V871,2)=V868,2,IF(SMALL(V868:V871,3)=V868,3))),IF(M861=1,IF(SMALL(V868:V871,1)=V868,2,IF(SMALL(V868:V871,2)=V868,3,IF(SMALL(V868:V871,3)=V868,4))),"")),IF(COUNTIF(V868:V871,V868)=1,IF(V868&lt;V870,IF(M861=2,1,2),IF(M861=2,3,4)),IF(COUNTIF(V868:V871,V868)=2,IF(V868=V870,IF(V868&lt;V871,IF(M861=2,IF(Q872=3,1,2),IF(M861=1,IF(Q872=3,2,3))),IF(V868&gt;V871,IF(M861=2,IF(Q872=3,2,3),IF(M861=1,IF(Q872=3,3,4))))),IF(V868=V871,IF(V868&lt;V870,IF(M861=2,IF(Q878=3,1,2),IF(M861=1,IF(Q878=3,2,3))),IF(V868&gt;V869,IF(M861=2,IF(Q878=3,2,3),IF(M861=1,IF(Q878=3,3,4)))))))))))),"")</f>
        <v/>
      </c>
      <c r="AC881" s="192"/>
      <c r="AD881" s="192"/>
      <c r="AE881" s="192"/>
      <c r="AF881" s="203"/>
      <c r="AG881" s="203"/>
      <c r="AH881" s="203"/>
      <c r="AI881" s="203"/>
      <c r="AJ881" s="203"/>
      <c r="AK881" s="203"/>
      <c r="AL881" s="203"/>
      <c r="AM881" s="203"/>
      <c r="AN881" s="192"/>
      <c r="AO881" s="192"/>
      <c r="AP881" s="192"/>
      <c r="AQ881" s="192"/>
      <c r="AR881" s="192"/>
      <c r="AS881" s="192"/>
      <c r="AT881" s="192"/>
      <c r="AU881" s="192"/>
      <c r="AV881" s="192"/>
      <c r="AW881" s="192"/>
      <c r="AX881" s="192"/>
    </row>
    <row r="882" spans="2:50" ht="15" customHeight="1" thickBot="1" x14ac:dyDescent="0.35">
      <c r="B882" s="192"/>
      <c r="C882" s="192"/>
      <c r="D882" s="192"/>
      <c r="E882" s="164" t="str">
        <f>IF(Q882="","",IF(Q882=3,1,0))</f>
        <v/>
      </c>
      <c r="F882" s="164" t="str">
        <f>IF(Q882="","",IF(Q882&lt;3,1,0))</f>
        <v/>
      </c>
      <c r="G882" s="192"/>
      <c r="H882" s="192" t="str">
        <f>IF(I864&lt;&gt;"",3,"")</f>
        <v/>
      </c>
      <c r="I882" s="192" t="str">
        <f>IF(ISNUMBER(H882),VLOOKUP(H882,H861:I864,2,TRUE),"")</f>
        <v/>
      </c>
      <c r="J882" s="192"/>
      <c r="K882" s="192" t="str">
        <f>VLOOKUP(I882,I861:L864,3,FALSE)</f>
        <v/>
      </c>
      <c r="L882" s="155"/>
      <c r="M882" s="259"/>
      <c r="N882" s="259"/>
      <c r="O882" s="156"/>
      <c r="P882" s="157"/>
      <c r="Q882" s="260" t="str">
        <f>IF(L882="","",IF(AND(L882-L881&gt;1,L882&gt;10),1,0)+IF(AND(M882-M881&gt;1,M882&gt;10),1,0)+IF(AND(N882-N881&gt;1,N882&gt;10),1,0)+IF(AND(O882-O881&gt;1,O882&gt;10),1,0)+IF(AND(P882-P881&gt;1,P882&gt;10),1,0))</f>
        <v/>
      </c>
      <c r="R882" s="203" t="str">
        <f>IF(AND(Q881&lt;&gt;3,Q882&lt;&gt;3),"",IF(Q881=3,IF(VLOOKUP(I881,I861:L864,4,FALSE)&gt;VLOOKUP(I882,I861:L864,4,FALSE),VLOOKUP(R881,Point_dif,2,FALSE),VLOOKUP(R881,Point_dif,3,FALSE)),IF(Q882=3,IF(VLOOKUP(I882,I861:L864,4,FALSE)&gt;VLOOKUP(I881,I861:L864,4,FALSE),VLOOKUP(R881,Point_dif,2,FALSE),VLOOKUP(R881,Point_dif,3,FALSE)))))</f>
        <v/>
      </c>
      <c r="S882" s="256" t="str">
        <f>IF(R882="","",IF(Q882=3,+R882,-R882))</f>
        <v/>
      </c>
      <c r="T882" s="192"/>
      <c r="U882" s="159"/>
      <c r="V882" s="266"/>
      <c r="W882" s="266"/>
      <c r="X882" s="266"/>
      <c r="Y882" s="192"/>
      <c r="Z882" s="203"/>
      <c r="AA882" s="246">
        <v>3</v>
      </c>
      <c r="AB882" s="222" t="str">
        <f>IF(AND(COUNTBLANK(I861:I864)=0,Group_players=4,M861=M863,M863=M864),IF(V870="","",IF(COUNTIF(V868:V871,V870)=3,"Tied",IF(AND(COUNTIF(V868:V871,V870)=1,V868&lt;&gt;V871),IF(M863=2,IF(SMALL(V868:V871,1)=V870,1,IF(SMALL(V868:V871,2)=V870,2,IF(SMALL(V868:V871,3)=V870,3))),IF(M863=1,IF(SMALL(V868:V871,1)=V870,2,IF(SMALL(V868:V871,2)=V870,3,IF(SMALL(V868:V871,3)=V870,4))),"")),IF(COUNTIF(V868:V871,V870)=1,IF(V870&lt;V868,IF(M863=2,1,2),IF(M863=2,3,4)),IF(COUNTIF(V868:V871,V870)=2,IF(V870=V868,IF(V870&lt;V871,IF(M863=2,IF(Q873=3,1,2),IF(M863=1,IF(Q873=3,2,3))),IF(V870&gt;V871,IF(M863=2,IF(Q873=3,2,3),IF(M863=1,IF(Q873=3,3,4))))),IF(V870=V871,IF(V870&lt;V868,IF(M863=2,IF(Q887=3,1,2),IF(M863=1,IF(Q887=3,2,3))),IF(V870&gt;V868,IF(M863=2,IF(Q887=3,2,3),IF(M863=1,IF(Q887=3,3,4)))))))))))),"")</f>
        <v/>
      </c>
      <c r="AC882" s="192"/>
      <c r="AD882" s="192"/>
      <c r="AE882" s="192"/>
      <c r="AF882" s="203"/>
      <c r="AG882" s="203"/>
      <c r="AH882" s="203"/>
      <c r="AI882" s="203"/>
      <c r="AJ882" s="203"/>
      <c r="AK882" s="203"/>
      <c r="AL882" s="203"/>
      <c r="AM882" s="203"/>
      <c r="AN882" s="192"/>
      <c r="AO882" s="192"/>
      <c r="AP882" s="192"/>
      <c r="AQ882" s="192"/>
      <c r="AR882" s="192"/>
      <c r="AS882" s="192"/>
      <c r="AT882" s="192"/>
      <c r="AU882" s="192"/>
      <c r="AV882" s="192"/>
      <c r="AW882" s="192"/>
      <c r="AX882" s="192"/>
    </row>
    <row r="883" spans="2:50" ht="15" customHeight="1" thickTop="1" thickBot="1" x14ac:dyDescent="0.35">
      <c r="B883" s="192"/>
      <c r="C883" s="192"/>
      <c r="D883" s="192"/>
      <c r="E883" s="164"/>
      <c r="F883" s="164"/>
      <c r="G883" s="192"/>
      <c r="H883" s="192"/>
      <c r="I883" s="249" t="s">
        <v>119</v>
      </c>
      <c r="J883" s="249"/>
      <c r="K883" s="249"/>
      <c r="L883" s="250" t="s">
        <v>115</v>
      </c>
      <c r="M883" s="250" t="s">
        <v>116</v>
      </c>
      <c r="N883" s="250" t="s">
        <v>117</v>
      </c>
      <c r="O883" s="250" t="s">
        <v>118</v>
      </c>
      <c r="P883" s="250" t="s">
        <v>119</v>
      </c>
      <c r="Q883" s="250" t="s">
        <v>120</v>
      </c>
      <c r="R883" s="250"/>
      <c r="S883" s="251"/>
      <c r="T883" s="247"/>
      <c r="U883" s="235"/>
      <c r="V883" s="235"/>
      <c r="W883" s="235"/>
      <c r="X883" s="235"/>
      <c r="Y883" s="235"/>
      <c r="Z883" s="235"/>
      <c r="AA883" s="240">
        <v>4</v>
      </c>
      <c r="AB883" s="241" t="str">
        <f>IF(AND(COUNTBLANK(I861:I864)=0,Group_players=4,M861=M863,M863=M864),IF(V871="","",IF(COUNTIF(V868:V871,V871)=3,"Tied",IF(AND(COUNTIF(V868:V871,V871)=1,V870&lt;&gt;V868),IF(M864=2,IF(SMALL(V868:V871,1)=V871,1,IF(SMALL(V868:V871,2)=V871,2,IF(SMALL(V868:V871,3)=V871,3))),IF(M864=1,IF(SMALL(V868:V871,1)=V871,2,IF(SMALL(V868:V871,2)=V871,3,IF(SMALL(V868:V871,3)=V871,4))),"")),IF(COUNTIF(V868:V871,V871)=1,IF(V871&lt;V868,IF(M864=2,1,2),IF(M864=2,3,4)),IF(COUNTIF(V868:V871,V871)=2,IF(V871=V868,IF(V871&lt;V870,IF(M864=2,IF(Q879=3,1,2),IF(M864=1,IF(Q879=3,2,3))),IF(V871&gt;V870,IF(M864=2,IF(Q879=3,2,3),IF(M864=1,IF(Q879=3,3,4))))),IF(V871=V870,IF(V871&lt;V868,IF(M864=2,IF(Q888=3,1,2),IF(M864=1,IF(Q888=3,2,3))),IF(V871&gt;V868,IF(M864=2,IF(Q888=3,2,3),IF(M864=1,IF(Q888=3,3,4)))))))))))),"")</f>
        <v/>
      </c>
      <c r="AC883" s="192"/>
      <c r="AD883" s="192"/>
      <c r="AE883" s="192"/>
      <c r="AF883" s="203"/>
      <c r="AG883" s="203"/>
      <c r="AH883" s="203"/>
      <c r="AI883" s="203"/>
      <c r="AJ883" s="203"/>
      <c r="AK883" s="203"/>
      <c r="AL883" s="203"/>
      <c r="AM883" s="203"/>
      <c r="AN883" s="192"/>
      <c r="AO883" s="192"/>
      <c r="AP883" s="192"/>
      <c r="AQ883" s="192"/>
      <c r="AR883" s="192"/>
      <c r="AS883" s="192"/>
      <c r="AT883" s="192"/>
      <c r="AU883" s="192"/>
      <c r="AV883" s="192"/>
      <c r="AW883" s="192"/>
      <c r="AX883" s="192"/>
    </row>
    <row r="884" spans="2:50" ht="15" customHeight="1" thickTop="1" x14ac:dyDescent="0.3">
      <c r="B884" s="192"/>
      <c r="C884" s="192"/>
      <c r="D884" s="192"/>
      <c r="E884" s="164" t="str">
        <f>IF(Q884="","",IF(Q884=3,1,0))</f>
        <v/>
      </c>
      <c r="F884" s="164" t="str">
        <f>IF(Q884="","",IF(Q884&lt;3,1,0))</f>
        <v/>
      </c>
      <c r="G884" s="192"/>
      <c r="H884" s="192" t="str">
        <f>IF(I864&lt;&gt;"",1,"")</f>
        <v/>
      </c>
      <c r="I884" s="192" t="str">
        <f>IF(ISNUMBER(H884),VLOOKUP(H884,H861:I864,2,TRUE),"")</f>
        <v/>
      </c>
      <c r="J884" s="192"/>
      <c r="K884" s="192" t="str">
        <f>VLOOKUP(I884,I861:L864,3,FALSE)</f>
        <v/>
      </c>
      <c r="L884" s="253"/>
      <c r="M884" s="254"/>
      <c r="N884" s="254"/>
      <c r="O884" s="152"/>
      <c r="P884" s="153"/>
      <c r="Q884" s="255" t="str">
        <f>IF(L884="","",IF(AND(L884-L885&gt;1,L884&gt;10),1,0)+IF(AND(M884-M885&gt;1,M884&gt;10),1,0)+IF(AND(N884-N885&gt;1,N884&gt;10),1,0)+IF(AND(O884-O885&gt;1,O884&gt;10),1,0)+IF(AND(P884-P885&gt;1,P884&gt;10),1,0))</f>
        <v/>
      </c>
      <c r="R884" s="203" t="str">
        <f>IF(AND(I884="",I885=""),"",ABS(VLOOKUP(I884,I861:L864,4,FALSE)-VLOOKUP(I885,I861:L864,4,FALSE)))</f>
        <v/>
      </c>
      <c r="S884" s="256" t="str">
        <f>IF(R885="","",IF(Q884=3,+R885,-R885))</f>
        <v/>
      </c>
      <c r="T884" s="247"/>
      <c r="U884" s="235"/>
      <c r="V884" s="235"/>
      <c r="W884" s="235"/>
      <c r="X884" s="235"/>
      <c r="Y884" s="235"/>
      <c r="Z884" s="235"/>
      <c r="AA884" s="243">
        <v>1</v>
      </c>
      <c r="AB884" s="222" t="str">
        <f>IF(AND(COUNTBLANK(I861:I864)=0,Group_players=4,M861=M862,M862=M864),IF(W868="","",IF(COUNTIF(W868:W871,W868)=3,"Tied",IF(AND(COUNTIF(W868:W871,W868)=1,W869&lt;&gt;W870),IF(M861=2,IF(SMALL(W868:W871,1)=W868,1,IF(SMALL(W868:W871,2)=W868,2,IF(SMALL(W868:W871,3)=W868,3))),IF(M861=1,IF(SMALL(W868:W871,1)=W868,2,IF(SMALL(W868:W871,2)=W868,3,IF(SMALL(W868:W871,3)=W868,4))),"")),IF(COUNTIF(W868:W871,W868)=1,IF(W868&lt;W869,IF(M861=2,1,2),IF(M861=2,3,4)),IF(COUNTIF(W868:W871,W868)=2,IF(W868=W869,IF(W868&lt;W871,IF(M861=2,IF(Q884=3,1,2),IF(M861=1,IF(Q884=3,2,3))),IF(W868&gt;W871,IF(M861=2,IF(Q884=3,2,3),IF(M861=1,IF(Q884=3,3,4))))),IF(W868=W871,IF(W868&lt;W869,IF(M861=2,IF(Q878=3,1,2),IF(M861=1,IF(Q878=3,2,3))),IF(W868&gt;W869,IF(M861=2,IF(Q878=3,2,3),IF(M861=1,IF(Q878=3,3,4)))))))))))),"")</f>
        <v/>
      </c>
      <c r="AC884" s="192"/>
      <c r="AD884" s="192"/>
      <c r="AE884" s="192"/>
      <c r="AF884" s="203"/>
      <c r="AG884" s="203"/>
      <c r="AH884" s="203"/>
      <c r="AI884" s="203"/>
      <c r="AJ884" s="203"/>
      <c r="AK884" s="203"/>
      <c r="AL884" s="203"/>
      <c r="AM884" s="203"/>
      <c r="AN884" s="192"/>
      <c r="AO884" s="192"/>
      <c r="AP884" s="192"/>
      <c r="AQ884" s="192"/>
      <c r="AR884" s="192"/>
      <c r="AS884" s="192"/>
      <c r="AT884" s="192"/>
      <c r="AU884" s="192"/>
      <c r="AV884" s="192"/>
      <c r="AW884" s="192"/>
      <c r="AX884" s="192"/>
    </row>
    <row r="885" spans="2:50" ht="15" customHeight="1" thickBot="1" x14ac:dyDescent="0.35">
      <c r="B885" s="192"/>
      <c r="C885" s="192"/>
      <c r="D885" s="192"/>
      <c r="E885" s="164" t="str">
        <f>IF(Q885="","",IF(Q885=3,1,0))</f>
        <v/>
      </c>
      <c r="F885" s="164" t="str">
        <f>IF(Q885="","",IF(Q885&lt;3,1,0))</f>
        <v/>
      </c>
      <c r="G885" s="192"/>
      <c r="H885" s="192" t="str">
        <f>IF(I864&lt;&gt;"",2,"")</f>
        <v/>
      </c>
      <c r="I885" s="192" t="str">
        <f>IF(ISNUMBER(H885),VLOOKUP(H885,H861:I864,2,TRUE),"")</f>
        <v/>
      </c>
      <c r="J885" s="192"/>
      <c r="K885" s="192" t="str">
        <f>VLOOKUP(I885,I861:L864,3,FALSE)</f>
        <v/>
      </c>
      <c r="L885" s="155"/>
      <c r="M885" s="259"/>
      <c r="N885" s="259"/>
      <c r="O885" s="156"/>
      <c r="P885" s="157"/>
      <c r="Q885" s="260" t="str">
        <f>IF(L885="","",IF(AND(L885-L884&gt;1,L885&gt;10),1,0)+IF(AND(M885-M884&gt;1,M885&gt;10),1,0)+IF(AND(N885-N884&gt;1,N885&gt;10),1,0)+IF(AND(O885-O884&gt;1,O885&gt;10),1,0)+IF(AND(P885-P884&gt;1,P885&gt;10),1,0))</f>
        <v/>
      </c>
      <c r="R885" s="203" t="str">
        <f>IF(AND(Q884&lt;&gt;3,Q885&lt;&gt;3),"",IF(Q884=3,IF(VLOOKUP(I884,I861:L864,4,FALSE)&gt;VLOOKUP(I885,I861:L864,4,FALSE),VLOOKUP(R884,Point_dif,2,FALSE),VLOOKUP(R884,Point_dif,3,FALSE)),IF(Q885=3,IF(VLOOKUP(I885,I861:L864,4,FALSE)&gt;VLOOKUP(I885,I861:L864,4,FALSE),VLOOKUP(R884,Point_dif,2,FALSE),VLOOKUP(R884,Point_dif,3,FALSE)))))</f>
        <v/>
      </c>
      <c r="S885" s="256" t="str">
        <f>IF(R885="","",IF(Q885=3,+R885,-R885))</f>
        <v/>
      </c>
      <c r="T885" s="247"/>
      <c r="U885" s="235"/>
      <c r="V885" s="235"/>
      <c r="W885" s="235"/>
      <c r="X885" s="235"/>
      <c r="Y885" s="235"/>
      <c r="Z885" s="235"/>
      <c r="AA885" s="246">
        <v>2</v>
      </c>
      <c r="AB885" s="222" t="str">
        <f>IF(AND(COUNTBLANK(I861:I864)=0,Group_players=4,M861=M862,M862=M864),IF(W869="","",IF(COUNTIF(W868:W871,W869)=3,"Tied",IF(AND(COUNTIF(W868:W871,W869)=1,W868&lt;&gt;W870),IF(M862=2,IF(SMALL(W868:W871,1)=W869,1,IF(SMALL(W868:W871,2)=W869,2,IF(SMALL(W868:W871,3)=W869,3))),IF(M862=1,IF(SMALL(W868:W871,1)=W869,2,IF(SMALL(W868:W871,2)=W869,3,IF(SMALL(W868:W871,3)=W869,4))),"")),IF(COUNTIF(W868:W871,W869)=1,IF(W869&lt;W868,IF(M862=2,1,2),IF(M862=2,3,4)),IF(COUNTIF(W868:W871,W869)=2,IF(W869=W868,IF(W869&lt;W871,IF(M862=2,IF(Q885=3,1,2),IF(M862=1,IF(Q885=3,2,3))),IF(W869&gt;W871,IF(M862=2,IF(Q885=3,2,3),IF(M862=1,IF(Q885=3,3,4))))),IF(W869=W871,IF(W869&lt;W868,IF(M862=2,IF(Q875=3,1,2),IF(M862=1,IF(Q875=3,2,3))),IF(W869&gt;W868,IF(M862=2,IF(Q875=3,2,3),IF(M862=1,IF(Q875=3,3,4)))))))))))),"")</f>
        <v/>
      </c>
      <c r="AC885" s="192"/>
      <c r="AD885" s="192"/>
      <c r="AE885" s="192"/>
      <c r="AF885" s="203"/>
      <c r="AG885" s="203"/>
      <c r="AH885" s="203"/>
      <c r="AI885" s="203"/>
      <c r="AJ885" s="203"/>
      <c r="AK885" s="203"/>
      <c r="AL885" s="203"/>
      <c r="AM885" s="203"/>
      <c r="AN885" s="192"/>
      <c r="AO885" s="192"/>
      <c r="AP885" s="192"/>
      <c r="AQ885" s="192"/>
      <c r="AR885" s="192"/>
      <c r="AS885" s="192"/>
      <c r="AT885" s="192"/>
      <c r="AU885" s="192"/>
      <c r="AV885" s="192"/>
      <c r="AW885" s="192"/>
      <c r="AX885" s="192"/>
    </row>
    <row r="886" spans="2:50" ht="15" customHeight="1" thickTop="1" thickBot="1" x14ac:dyDescent="0.35">
      <c r="B886" s="192"/>
      <c r="C886" s="192"/>
      <c r="D886" s="192"/>
      <c r="E886" s="164"/>
      <c r="F886" s="164"/>
      <c r="G886" s="192"/>
      <c r="H886" s="192"/>
      <c r="I886" s="249" t="s">
        <v>121</v>
      </c>
      <c r="J886" s="249"/>
      <c r="K886" s="249"/>
      <c r="L886" s="250" t="s">
        <v>115</v>
      </c>
      <c r="M886" s="250" t="s">
        <v>116</v>
      </c>
      <c r="N886" s="250" t="s">
        <v>117</v>
      </c>
      <c r="O886" s="250" t="s">
        <v>118</v>
      </c>
      <c r="P886" s="250" t="s">
        <v>119</v>
      </c>
      <c r="Q886" s="250" t="s">
        <v>120</v>
      </c>
      <c r="R886" s="250"/>
      <c r="S886" s="251"/>
      <c r="T886" s="247"/>
      <c r="U886" s="235"/>
      <c r="V886" s="235"/>
      <c r="W886" s="235"/>
      <c r="X886" s="235"/>
      <c r="Y886" s="235"/>
      <c r="Z886" s="235"/>
      <c r="AA886" s="240">
        <v>4</v>
      </c>
      <c r="AB886" s="241" t="str">
        <f>IF(AND(COUNTBLANK(I861:I864)=0,Group_players=4,M861=M862,M862=M864),IF(W871="","",IF(COUNTIF(W868:W871,W871)=3,"Tied",IF(AND(COUNTIF(W868:W871,W871)=1,W868&lt;&gt;W869),IF(M864=2,IF(SMALL(W868:W871,1)=W871,1,IF(SMALL(W868:W871,2)=W871,2,IF(SMALL(W868:W871,3)=W871,3))),IF(M864=1,IF(SMALL(W868:W871,1)=W871,2,IF(SMALL(W868:W871,2)=W871,3,IF(SMALL(W868:W871,3)=W871,4))),"")),IF(COUNTIF(W868:W871,W871)=1,IF(W871&lt;W868,IF(M864=2,1,2),IF(M864=2,3,4)),IF(COUNTIF(W868:W871,W871)=2,IF(W871=W868,IF(W871&lt;W869,IF(M864=2,IF(Q879=3,1,2),IF(M864=1,IF(Q879=3,2,3))),IF(W871&gt;W870,IF(M864=2,IF(Q879=3,2,3),IF(M864=1,IF(Q879=3,3,4))))),IF(W871=W869,IF(W871&lt;W868,IF(M864=2,IF(Q876=3,1,2),IF(M864=1,IF(Q876=3,2,3))),IF(W871&gt;W868,IF(M864=2,IF(Q876=3,2,3),IF(M864=1,IF(Q876=3,3,4)))))))))))),"")</f>
        <v/>
      </c>
      <c r="AC886" s="192"/>
      <c r="AD886" s="192"/>
      <c r="AE886" s="192"/>
      <c r="AF886" s="203"/>
      <c r="AG886" s="203"/>
      <c r="AH886" s="203"/>
      <c r="AI886" s="203"/>
      <c r="AJ886" s="203"/>
      <c r="AK886" s="203"/>
      <c r="AL886" s="203"/>
      <c r="AM886" s="203"/>
      <c r="AN886" s="192"/>
      <c r="AO886" s="192"/>
      <c r="AP886" s="192"/>
      <c r="AQ886" s="192"/>
      <c r="AR886" s="192"/>
      <c r="AS886" s="192"/>
      <c r="AT886" s="192"/>
      <c r="AU886" s="192"/>
      <c r="AV886" s="192"/>
      <c r="AW886" s="192"/>
      <c r="AX886" s="192"/>
    </row>
    <row r="887" spans="2:50" ht="15" customHeight="1" thickTop="1" x14ac:dyDescent="0.3">
      <c r="B887" s="192"/>
      <c r="C887" s="192"/>
      <c r="D887" s="192"/>
      <c r="E887" s="164" t="str">
        <f>IF(Q887="","",IF(Q887=3,1,0))</f>
        <v/>
      </c>
      <c r="F887" s="164" t="str">
        <f>IF(Q887="","",IF(Q887&lt;3,1,0))</f>
        <v/>
      </c>
      <c r="G887" s="192"/>
      <c r="H887" s="192" t="str">
        <f>IF(I864&lt;&gt;"",3,"")</f>
        <v/>
      </c>
      <c r="I887" s="192" t="str">
        <f>IF(ISNUMBER(H887),VLOOKUP(H887,H861:I864,2,TRUE),"")</f>
        <v/>
      </c>
      <c r="J887" s="192"/>
      <c r="K887" s="192" t="str">
        <f>VLOOKUP(I887,I861:L864,3,FALSE)</f>
        <v/>
      </c>
      <c r="L887" s="253"/>
      <c r="M887" s="254"/>
      <c r="N887" s="254"/>
      <c r="O887" s="152"/>
      <c r="P887" s="153"/>
      <c r="Q887" s="255" t="str">
        <f>IF(L887="","",IF(AND(L887-L888&gt;1,L887&gt;10),1,0)+IF(AND(M887-M888&gt;1,M887&gt;10),1,0)+IF(AND(N887-N888&gt;1,N887&gt;10),1,0)+IF(AND(O887-O888&gt;1,O887&gt;10),1,0)+IF(AND(P887-P888&gt;1,P887&gt;10),1,0))</f>
        <v/>
      </c>
      <c r="R887" s="203" t="str">
        <f>IF(AND(I887="",I888=""),"",ABS(VLOOKUP(I887,I861:L864,4,FALSE)-VLOOKUP(I888,I861:L864,4,FALSE)))</f>
        <v/>
      </c>
      <c r="S887" s="256" t="str">
        <f>IF(R888="","",IF(Q887=3,+R888,-R888))</f>
        <v/>
      </c>
      <c r="T887" s="247"/>
      <c r="U887" s="264"/>
      <c r="V887" s="242"/>
      <c r="W887" s="192"/>
      <c r="X887" s="264"/>
      <c r="Y887" s="192"/>
      <c r="Z887" s="192"/>
      <c r="AA887" s="243">
        <v>2</v>
      </c>
      <c r="AB887" s="222" t="str">
        <f>IF(AND(COUNTBLANK(I861:I864)=0,Group_players=4,M862=M863,M863=M864),IF(X869="","",IF(COUNTIF(X868:X871,X869)=3,"Tied",IF(AND(COUNTIF(X868:X871,X869)=1,X870&lt;&gt;X871),IF(M862=2,IF(SMALL(X868:X871,1)=X869,1,IF(SMALL(X868:X871,2)=X869,2,IF(SMALL(X868:X871,3)=X869,3))),IF(M862=1,IF(SMALL(X868:X871,1)=X869,2,IF(SMALL(X868:X871,2)=X869,3,IF(SMALL(X868:X871,3)=X869,4))),"")),IF(COUNTIF(X868:X871,X869)=1,IF(X869&lt;X871,IF(M862=2,1,2),IF(M862=1,4)),IF(COUNTIF(X868:X871,X869)=2,IF(X869=X870,IF(X869&lt;X871,IF(M862=2,IF(Q881=3,1,2),IF(M862=1,IF(Q881=3,2,3))),IF(X869&gt;X871,IF(M862=2,IF(Q881=3,2,3),IF(M862=1,IF(Q881=3,3,4))))),IF(X869=X871,IF(X869&lt;X870,IF(M862=2,IF(Q875=3,1,2),IF(M862=1,IF(Q875=3,2,3))),IF(X869&gt;X870,IF(M862=2,IF(Q875=3,2,3),IF(M862=1,IF(Q875=3,3,4)))))))))))),"")</f>
        <v/>
      </c>
      <c r="AC887" s="192"/>
      <c r="AD887" s="192"/>
      <c r="AE887" s="192"/>
      <c r="AF887" s="203"/>
      <c r="AG887" s="203"/>
      <c r="AH887" s="203"/>
      <c r="AI887" s="203"/>
      <c r="AJ887" s="203"/>
      <c r="AK887" s="203"/>
      <c r="AL887" s="203"/>
      <c r="AM887" s="203"/>
      <c r="AN887" s="192"/>
      <c r="AO887" s="192"/>
      <c r="AP887" s="192"/>
      <c r="AQ887" s="192"/>
      <c r="AR887" s="192"/>
      <c r="AS887" s="192"/>
      <c r="AT887" s="192"/>
      <c r="AU887" s="192"/>
      <c r="AV887" s="192"/>
      <c r="AW887" s="192"/>
      <c r="AX887" s="192"/>
    </row>
    <row r="888" spans="2:50" ht="15" customHeight="1" thickBot="1" x14ac:dyDescent="0.35">
      <c r="B888" s="192"/>
      <c r="C888" s="192"/>
      <c r="D888" s="192"/>
      <c r="E888" s="164" t="str">
        <f>IF(Q888="","",IF(Q888=3,1,0))</f>
        <v/>
      </c>
      <c r="F888" s="164" t="str">
        <f>IF(Q888="","",IF(Q888&lt;3,1,0))</f>
        <v/>
      </c>
      <c r="G888" s="192"/>
      <c r="H888" s="192" t="str">
        <f>IF(I864&lt;&gt;"",4,"")</f>
        <v/>
      </c>
      <c r="I888" s="192" t="str">
        <f>IF(ISNUMBER(H888),VLOOKUP(H888,H861:I864,2,TRUE),"")</f>
        <v/>
      </c>
      <c r="J888" s="192"/>
      <c r="K888" s="192" t="str">
        <f>VLOOKUP(I888,I861:L864,3,FALSE)</f>
        <v/>
      </c>
      <c r="L888" s="155"/>
      <c r="M888" s="259"/>
      <c r="N888" s="259"/>
      <c r="O888" s="156"/>
      <c r="P888" s="157"/>
      <c r="Q888" s="260" t="str">
        <f>IF(L888="","",IF(AND(L888-L887&gt;1,L888&gt;10),1,0)+IF(AND(M888-M887&gt;1,M888&gt;10),1,0)+IF(AND(N888-N887&gt;1,N888&gt;10),1,0)+IF(AND(O888-O887&gt;1,O888&gt;10),1,0)+IF(AND(P888-P887&gt;1,P888&gt;10),1,0))</f>
        <v/>
      </c>
      <c r="R888" s="203" t="str">
        <f>IF(AND(Q887&lt;&gt;3,Q888&lt;&gt;3),"",IF(Q887=3,IF(VLOOKUP(I887,I861:L864,4,FALSE)&gt;VLOOKUP(I888,I861:L864,4,FALSE),VLOOKUP(R887,Point_dif,2,FALSE),VLOOKUP(R887,Point_dif,3,FALSE)),IF(Q888=3,IF(VLOOKUP(I888,I861:L864,4,FALSE)&gt;VLOOKUP(I887,I861:L864,4,FALSE),VLOOKUP(R887,Point_dif,2,FALSE),VLOOKUP(R887,Point_dif,3,FALSE)))))</f>
        <v/>
      </c>
      <c r="S888" s="260" t="str">
        <f>IF(R888="","",IF(Q888=3,+R888,-R888))</f>
        <v/>
      </c>
      <c r="T888" s="247"/>
      <c r="U888" s="235"/>
      <c r="V888" s="235"/>
      <c r="W888" s="235"/>
      <c r="X888" s="235"/>
      <c r="Y888" s="235"/>
      <c r="Z888" s="235"/>
      <c r="AA888" s="246">
        <v>3</v>
      </c>
      <c r="AB888" s="222" t="str">
        <f>IF(AND(COUNTBLANK(I861:I864)=0,Group_players=4,Group_players=4,M862=M863,M863=M864),IF(X870="","",IF(COUNTIF(X868:X871,X870)=3,"Tied",IF(AND(COUNTIF(X868:X871,X870)=1,X869&lt;&gt;X871),IF(M863=2,IF(SMALL(X868:X871,1)=X870,1,IF(SMALL(X868:X871,2)=X870,2,IF(SMALL(X868:X871,3)=X870,3))),IF(M863=1,IF(SMALL(X868:X871,1)=X870,2,IF(SMALL(X868:X871,2)=X870,3,IF(SMALL(X868:X871,3)=X870,4))),"")),IF(COUNTIF(X868:X871,X870)=1,IF(X870&lt;X869,IF(M863=2,1,2),IF(M863=2,3,4)),IF(COUNTIF(X868:X871,X870)=2,IF(X870=X869,IF(X870&lt;X871,IF(M863=2,IF(Q882=3,1,2),IF(M863=1,IF(Q882=3,2,3))),IF(X870&gt;X871,IF(M863=2,IF(Q882=3,2,3),IF(M863=1,IF(Q882=3,3,4))))),IF(X870=X871,IF(X870&lt;X869,IF(M863=2,IF(Q887=3,1,2),IF(M863=1,IF(Q887=3,2,3))),IF(X870&gt;X869,IF(M863=2,IF(Q887=3,2,3),IF(M863=1,IF(Q887=3,3,4)))))))))))),"")</f>
        <v/>
      </c>
      <c r="AC888" s="192"/>
      <c r="AD888" s="192"/>
      <c r="AE888" s="192"/>
      <c r="AF888" s="203"/>
      <c r="AG888" s="203"/>
      <c r="AH888" s="203"/>
      <c r="AI888" s="203"/>
      <c r="AJ888" s="203"/>
      <c r="AK888" s="203"/>
      <c r="AL888" s="203"/>
      <c r="AM888" s="203"/>
      <c r="AN888" s="192"/>
      <c r="AO888" s="192"/>
      <c r="AP888" s="192"/>
      <c r="AQ888" s="192"/>
      <c r="AR888" s="192"/>
      <c r="AS888" s="192"/>
      <c r="AT888" s="192"/>
      <c r="AU888" s="192"/>
      <c r="AV888" s="192"/>
      <c r="AW888" s="192"/>
      <c r="AX888" s="192"/>
    </row>
    <row r="889" spans="2:50" ht="15" customHeight="1" thickTop="1" thickBot="1" x14ac:dyDescent="0.35">
      <c r="B889" s="192"/>
      <c r="C889" s="192"/>
      <c r="D889" s="192"/>
      <c r="E889" s="192"/>
      <c r="F889" s="192"/>
      <c r="G889" s="192"/>
      <c r="H889" s="192"/>
      <c r="I889" s="192"/>
      <c r="J889" s="192"/>
      <c r="K889" s="192"/>
      <c r="L889" s="192"/>
      <c r="M889" s="192"/>
      <c r="N889" s="192"/>
      <c r="O889" s="268"/>
      <c r="P889" s="192"/>
      <c r="Q889" s="192"/>
      <c r="R889" s="247"/>
      <c r="S889" s="247"/>
      <c r="T889" s="247"/>
      <c r="U889" s="235"/>
      <c r="V889" s="235"/>
      <c r="W889" s="235"/>
      <c r="X889" s="235"/>
      <c r="Y889" s="235"/>
      <c r="Z889" s="235"/>
      <c r="AA889" s="261">
        <v>4</v>
      </c>
      <c r="AB889" s="233" t="str">
        <f>IF(AND(COUNTBLANK(I861:I864)=0,Group_players=4,M862=M863,M863=M864),IF(X871="","",IF(COUNTIF(X868:X871,X871)=3,"Tied",IF(AND(COUNTIF(X868:X871,X871)=1,X870&lt;&gt;X869),IF(M864=2,IF(SMALL(X868:X871,1)=X871,1,IF(SMALL(X868:X871,2)=X871,2,IF(SMALL(X868:X871,3)=X871,3))),IF(M864=1,IF(SMALL(X868:X871,1)=X871,2,IF(SMALL(X868:X871,2)=X871,3,IF(SMALL(X868:X871,3)=X871,4))),"")),IF(COUNTIF(X868:X871,X871)=1,IF(X871&lt;X869,IF(M864=2,1,2),IF(M864=2,3,4)),IF(COUNTIF(X868:X871,X871)=2,IF(X871=X869,IF(X871&lt;X870,IF(M864=2,IF(Q876=3,1,2),IF(M864=1,IF(Q876=3,2,3))),IF(X871&gt;X870,IF(M864=2,IF(Q876=3,2,3),IF(M864=1,IF(Q876=3,3,4))))),IF(X871=X870,IF(X871&lt;X869,IF(M864=2,IF(Q888=3,1,2),IF(M864=1,IF(Q888=3,2,3))),IF(X871&gt;X869,IF(M864=2,IF(Q888=3,2,3),IF(M864=1,IF(Q888=3,3,4)))))))))))),"")</f>
        <v/>
      </c>
      <c r="AC889" s="192"/>
      <c r="AD889" s="192"/>
      <c r="AE889" s="192"/>
      <c r="AF889" s="203"/>
      <c r="AG889" s="203"/>
      <c r="AH889" s="203"/>
      <c r="AI889" s="203"/>
      <c r="AJ889" s="203"/>
      <c r="AK889" s="203"/>
      <c r="AL889" s="203"/>
      <c r="AM889" s="203"/>
      <c r="AN889" s="192"/>
      <c r="AO889" s="192"/>
      <c r="AP889" s="192"/>
      <c r="AQ889" s="192"/>
      <c r="AR889" s="192"/>
      <c r="AS889" s="192"/>
      <c r="AT889" s="192"/>
      <c r="AU889" s="192"/>
      <c r="AV889" s="192"/>
      <c r="AW889" s="192"/>
      <c r="AX889" s="192"/>
    </row>
    <row r="890" spans="2:50" ht="15" customHeight="1" thickTop="1" x14ac:dyDescent="0.3">
      <c r="B890" s="192"/>
      <c r="C890" s="192"/>
      <c r="D890" s="192"/>
      <c r="E890" s="192"/>
      <c r="F890" s="192"/>
      <c r="G890" s="192"/>
      <c r="H890" s="192"/>
      <c r="I890" s="192"/>
      <c r="J890" s="192"/>
      <c r="K890" s="192"/>
      <c r="L890" s="192"/>
      <c r="M890" s="192"/>
      <c r="N890" s="192"/>
      <c r="O890" s="192"/>
      <c r="P890" s="192"/>
      <c r="Q890" s="192"/>
      <c r="R890" s="192"/>
      <c r="S890" s="192"/>
      <c r="T890" s="203"/>
      <c r="U890" s="192"/>
      <c r="V890" s="192"/>
      <c r="W890" s="192"/>
      <c r="X890" s="192"/>
      <c r="Y890" s="192"/>
      <c r="Z890" s="192"/>
      <c r="AA890" s="192"/>
      <c r="AB890" s="192"/>
      <c r="AC890" s="192"/>
      <c r="AD890" s="192"/>
      <c r="AE890" s="192"/>
      <c r="AF890" s="203"/>
      <c r="AG890" s="203"/>
      <c r="AH890" s="203"/>
      <c r="AI890" s="203"/>
      <c r="AJ890" s="203"/>
      <c r="AK890" s="203"/>
      <c r="AL890" s="203"/>
      <c r="AM890" s="203"/>
      <c r="AN890" s="192"/>
      <c r="AO890" s="192"/>
      <c r="AP890" s="192"/>
      <c r="AQ890" s="192"/>
      <c r="AR890" s="192"/>
      <c r="AS890" s="192"/>
      <c r="AT890" s="192"/>
      <c r="AU890" s="192"/>
      <c r="AV890" s="192"/>
      <c r="AW890" s="192"/>
      <c r="AX890" s="192"/>
    </row>
    <row r="891" spans="2:50" ht="15" customHeight="1" x14ac:dyDescent="0.3">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c r="AA891" s="192"/>
      <c r="AB891" s="192"/>
      <c r="AC891" s="192"/>
      <c r="AD891" s="192"/>
      <c r="AE891" s="192"/>
      <c r="AF891" s="203"/>
      <c r="AG891" s="203"/>
      <c r="AH891" s="203"/>
      <c r="AI891" s="203"/>
      <c r="AJ891" s="203"/>
      <c r="AK891" s="203"/>
      <c r="AL891" s="203"/>
      <c r="AM891" s="203"/>
      <c r="AN891" s="192"/>
      <c r="AO891" s="192"/>
      <c r="AP891" s="192"/>
      <c r="AQ891" s="192"/>
      <c r="AR891" s="192"/>
      <c r="AS891" s="192"/>
      <c r="AT891" s="192"/>
      <c r="AU891" s="192"/>
      <c r="AV891" s="192"/>
      <c r="AW891" s="192"/>
      <c r="AX891" s="192"/>
    </row>
    <row r="892" spans="2:50" ht="15" customHeight="1" x14ac:dyDescent="0.3">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269"/>
      <c r="AA892" s="192"/>
      <c r="AB892" s="192"/>
      <c r="AC892" s="192"/>
      <c r="AD892" s="192"/>
      <c r="AE892" s="192"/>
      <c r="AF892" s="203"/>
      <c r="AG892" s="203"/>
      <c r="AH892" s="203"/>
      <c r="AI892" s="203"/>
      <c r="AJ892" s="203"/>
      <c r="AK892" s="203"/>
      <c r="AL892" s="203"/>
      <c r="AM892" s="203"/>
      <c r="AN892" s="192"/>
      <c r="AO892" s="192"/>
      <c r="AP892" s="192"/>
      <c r="AQ892" s="192"/>
      <c r="AR892" s="192"/>
      <c r="AS892" s="192"/>
      <c r="AT892" s="192"/>
      <c r="AU892" s="192"/>
      <c r="AV892" s="192"/>
      <c r="AW892" s="192"/>
      <c r="AX892" s="192"/>
    </row>
    <row r="893" spans="2:50" ht="15" customHeight="1" x14ac:dyDescent="0.3">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c r="AA893" s="192"/>
      <c r="AB893" s="192"/>
      <c r="AC893" s="192"/>
      <c r="AD893" s="192"/>
      <c r="AE893" s="192"/>
      <c r="AF893" s="203"/>
      <c r="AG893" s="203"/>
      <c r="AH893" s="203"/>
      <c r="AI893" s="203"/>
      <c r="AJ893" s="203"/>
      <c r="AK893" s="203"/>
      <c r="AL893" s="203"/>
      <c r="AM893" s="203"/>
      <c r="AN893" s="192"/>
      <c r="AO893" s="192"/>
      <c r="AP893" s="192"/>
      <c r="AQ893" s="192"/>
      <c r="AR893" s="192"/>
      <c r="AS893" s="192"/>
      <c r="AT893" s="192"/>
      <c r="AU893" s="192"/>
      <c r="AV893" s="192"/>
      <c r="AW893" s="192"/>
      <c r="AX893" s="192"/>
    </row>
    <row r="894" spans="2:50" ht="15" customHeight="1" x14ac:dyDescent="0.3">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c r="AA894" s="192"/>
      <c r="AB894" s="192"/>
      <c r="AC894" s="192"/>
      <c r="AD894" s="192"/>
      <c r="AE894" s="192"/>
      <c r="AF894" s="203"/>
      <c r="AG894" s="203"/>
      <c r="AH894" s="203"/>
      <c r="AI894" s="203"/>
      <c r="AJ894" s="203"/>
      <c r="AK894" s="203"/>
      <c r="AL894" s="203"/>
      <c r="AM894" s="203"/>
      <c r="AN894" s="192"/>
      <c r="AO894" s="192"/>
      <c r="AP894" s="192"/>
      <c r="AQ894" s="192"/>
      <c r="AR894" s="192"/>
      <c r="AS894" s="192"/>
      <c r="AT894" s="192"/>
      <c r="AU894" s="192"/>
      <c r="AV894" s="192"/>
      <c r="AW894" s="192"/>
      <c r="AX894" s="192"/>
    </row>
    <row r="895" spans="2:50" ht="15" customHeight="1" thickBot="1" x14ac:dyDescent="0.4">
      <c r="B895" s="192"/>
      <c r="C895" s="192"/>
      <c r="D895" s="192"/>
      <c r="E895" s="192"/>
      <c r="F895" s="192"/>
      <c r="G895" s="192"/>
      <c r="H895" s="192"/>
      <c r="I895" s="383" t="s">
        <v>147</v>
      </c>
      <c r="J895" s="383"/>
      <c r="K895" s="383"/>
      <c r="L895" s="383"/>
      <c r="M895" s="383"/>
      <c r="N895" s="383"/>
      <c r="O895" s="383"/>
      <c r="P895" s="383"/>
      <c r="Q895" s="383"/>
      <c r="R895" s="383"/>
      <c r="S895" s="192"/>
      <c r="T895" s="192"/>
      <c r="U895" s="370" t="s">
        <v>92</v>
      </c>
      <c r="V895" s="371"/>
      <c r="W895" s="371"/>
      <c r="X895" s="372"/>
      <c r="Y895" s="192"/>
      <c r="Z895" s="192"/>
      <c r="AA895" s="192"/>
      <c r="AB895" s="192"/>
      <c r="AC895" s="192"/>
      <c r="AD895" s="192"/>
      <c r="AE895" s="192"/>
      <c r="AF895" s="203"/>
      <c r="AG895" s="203"/>
      <c r="AH895" s="203"/>
      <c r="AI895" s="203"/>
      <c r="AJ895" s="203"/>
      <c r="AK895" s="203"/>
      <c r="AL895" s="203"/>
      <c r="AM895" s="203"/>
      <c r="AN895" s="192"/>
      <c r="AO895" s="192"/>
      <c r="AP895" s="192"/>
      <c r="AQ895" s="192"/>
      <c r="AR895" s="192"/>
      <c r="AS895" s="192"/>
      <c r="AT895" s="192"/>
      <c r="AU895" s="192"/>
      <c r="AV895" s="192"/>
      <c r="AW895" s="192"/>
      <c r="AX895" s="192"/>
    </row>
    <row r="896" spans="2:50" ht="15" customHeight="1" thickTop="1" thickBot="1" x14ac:dyDescent="0.35">
      <c r="B896" s="192"/>
      <c r="C896" s="192"/>
      <c r="D896" s="192"/>
      <c r="E896" s="192"/>
      <c r="F896" s="192"/>
      <c r="G896" s="192"/>
      <c r="H896" s="192"/>
      <c r="I896" s="400" t="s">
        <v>93</v>
      </c>
      <c r="J896" s="160"/>
      <c r="K896" s="396" t="s">
        <v>94</v>
      </c>
      <c r="L896" s="398" t="s">
        <v>95</v>
      </c>
      <c r="M896" s="390" t="s">
        <v>96</v>
      </c>
      <c r="N896" s="390" t="s">
        <v>97</v>
      </c>
      <c r="O896" s="373" t="s">
        <v>98</v>
      </c>
      <c r="P896" s="373" t="str">
        <f>IF(COUNT(U897:X908)=3,"LM/WM Ratio",IF(COUNT(U897:X908)=6,"LP/WP Ratio",""))</f>
        <v/>
      </c>
      <c r="Q896" s="390" t="s">
        <v>99</v>
      </c>
      <c r="R896" s="392" t="s">
        <v>100</v>
      </c>
      <c r="S896" s="192"/>
      <c r="T896" s="120"/>
      <c r="U896" s="121" t="s">
        <v>101</v>
      </c>
      <c r="V896" s="122" t="s">
        <v>102</v>
      </c>
      <c r="W896" s="122" t="s">
        <v>103</v>
      </c>
      <c r="X896" s="123" t="s">
        <v>104</v>
      </c>
      <c r="Y896" s="380" t="s">
        <v>105</v>
      </c>
      <c r="Z896" s="379"/>
      <c r="AA896" s="378" t="s">
        <v>106</v>
      </c>
      <c r="AB896" s="379"/>
      <c r="AC896" s="192"/>
      <c r="AD896" s="192"/>
      <c r="AE896" s="203"/>
      <c r="AF896" s="203"/>
      <c r="AG896" s="203"/>
      <c r="AH896" s="203"/>
      <c r="AI896" s="203"/>
      <c r="AJ896" s="203"/>
      <c r="AK896" s="203"/>
      <c r="AL896" s="203"/>
      <c r="AM896" s="203"/>
      <c r="AN896" s="192"/>
      <c r="AO896" s="192"/>
      <c r="AP896" s="192"/>
      <c r="AQ896" s="192"/>
      <c r="AR896" s="192"/>
      <c r="AS896" s="192"/>
      <c r="AT896" s="192"/>
      <c r="AU896" s="192"/>
      <c r="AV896" s="192"/>
      <c r="AW896" s="192"/>
      <c r="AX896" s="192"/>
    </row>
    <row r="897" spans="2:50" ht="15" customHeight="1" thickTop="1" thickBot="1" x14ac:dyDescent="0.35">
      <c r="B897" s="192"/>
      <c r="C897" s="192"/>
      <c r="D897" s="192"/>
      <c r="E897" s="192"/>
      <c r="F897" s="192"/>
      <c r="G897" s="192"/>
      <c r="H897" s="192"/>
      <c r="I897" s="401"/>
      <c r="J897" s="161"/>
      <c r="K897" s="397"/>
      <c r="L897" s="399"/>
      <c r="M897" s="391"/>
      <c r="N897" s="391"/>
      <c r="O897" s="374"/>
      <c r="P897" s="374"/>
      <c r="Q897" s="391"/>
      <c r="R897" s="393"/>
      <c r="S897" s="192"/>
      <c r="T897" s="208">
        <v>1</v>
      </c>
      <c r="U897" s="209" t="str">
        <f>IF(M898="","",IF(COUNTIF(M898:M900,M898)=3,IF(COUNTBLANK(I898:I901)=1,(Q910+Q916)/(Q909+Q915),IF(COUNTBLANK(I898:I901)=0,(Q922+Q910)/(Q921+Q909),"")),""))</f>
        <v/>
      </c>
      <c r="V897" s="125" t="str">
        <f>IF(AND(COUNTBLANK(I898:I901)=0,M898=M900,M900=M901),(Q910+Q916)/(Q909+Q915),"")</f>
        <v/>
      </c>
      <c r="W897" s="210" t="str">
        <f>IF(AND(COUNTBLANK(I898:I901)=0,M898=M899,M899=M901),(Q922+Q916)/(Q921+Q915),"")</f>
        <v/>
      </c>
      <c r="X897" s="211"/>
      <c r="Y897" s="169" t="s">
        <v>93</v>
      </c>
      <c r="Z897" s="170" t="s">
        <v>107</v>
      </c>
      <c r="AA897" s="169" t="s">
        <v>93</v>
      </c>
      <c r="AB897" s="170" t="s">
        <v>107</v>
      </c>
      <c r="AC897" s="192"/>
      <c r="AD897" s="192"/>
      <c r="AE897" s="192"/>
      <c r="AF897" s="203"/>
      <c r="AG897" s="203"/>
      <c r="AH897" s="203"/>
      <c r="AI897" s="203"/>
      <c r="AJ897" s="203"/>
      <c r="AK897" s="203"/>
      <c r="AL897" s="203"/>
      <c r="AM897" s="203"/>
      <c r="AN897" s="192"/>
      <c r="AO897" s="192"/>
      <c r="AP897" s="192"/>
      <c r="AQ897" s="192"/>
      <c r="AR897" s="192"/>
      <c r="AS897" s="192"/>
      <c r="AT897" s="192"/>
      <c r="AU897" s="192"/>
      <c r="AV897" s="192"/>
      <c r="AW897" s="192"/>
      <c r="AX897" s="192"/>
    </row>
    <row r="898" spans="2:50" ht="15" customHeight="1" thickTop="1" thickBot="1" x14ac:dyDescent="0.35">
      <c r="B898" s="192"/>
      <c r="C898" s="192"/>
      <c r="D898" s="192"/>
      <c r="E898" s="192"/>
      <c r="F898" s="192" t="str">
        <f>IF(I898="","",VLOOKUP(I898,Siembra,2,FALSE))</f>
        <v/>
      </c>
      <c r="G898" s="192" t="str">
        <f>O898</f>
        <v/>
      </c>
      <c r="H898" s="192">
        <v>1</v>
      </c>
      <c r="I898" s="128" t="str">
        <f>IF(K898="","",IF(ISNUMBER(Sorteo!$A$17),VLOOKUP(K898,Draw,2,FALSE),""))</f>
        <v/>
      </c>
      <c r="J898" s="129" t="str">
        <f>O898</f>
        <v/>
      </c>
      <c r="K898" s="130" t="str">
        <f>IF($K$9="","",IF(Group_players=4,IF(Tablas!CF$3="","",Tablas!CF$3),IF(Group_players=3,IF(Tablas!CF$11="","",Tablas!CF$11),"")))</f>
        <v/>
      </c>
      <c r="L898" s="131" t="str">
        <f>IF(K898="","",VLOOKUP(I898,Siembra,3,FALSE))</f>
        <v/>
      </c>
      <c r="M898" s="132" t="str">
        <f>IF(AND(Q909="",Q910=""),"",IF(I898="","",SUMIFS(E909:E925,I909:I925,I898)))</f>
        <v/>
      </c>
      <c r="N898" s="132" t="str">
        <f>IF(M898="","",IF(I898="","",SUMIFS(F909:F925,I909:I925,I898)))</f>
        <v/>
      </c>
      <c r="O898" s="132" t="str">
        <f>IF(M898="","",IF(COUNTBLANK(I898:I901)=1,IF(M898=2,1,IF(M898=0,3,IF(AND(M898=1,M899&lt;&gt;1),2,IF(COUNTIF(M898:M900,1)&gt;1,Z898)))),IF(COUNTBLANK(I898:I901)=0,IF(COUNTIF(M898:M901,M898)=1,IF(M898=3,1,IF(M898=2,2,IF(M898=1,3,IF(M898=0,4)))),IF(Group_players=3,Z898,IF(COUNTIF(M898:M901,M898)=2,AB898,IF(AND(M898=M899,M899=M900),AB902,IF(AND(M898=M900,M900=M901),AB905,IF(AND(M898=M899,M899=M901),AB908,"")))))),99)))</f>
        <v/>
      </c>
      <c r="P898" s="133" t="str">
        <f>IF(COUNT(U897:X908)=3,IF(ISNUMBER(U897),U897,IF(ISNUMBER(V897),V897,IF(ISNUMBER(W897),W897,IF(X897="","")))),IF(COUNT(U897:X908)=6,IF(ISNUMBER(U905),U905,IF(ISNUMBER(V905),V905,IF(ISNUMBER(W905),W905,IF(ISBLANK(X897),"")))),""))</f>
        <v/>
      </c>
      <c r="Q898" s="132" t="str">
        <f>IF(M898="","",SUMIF(I909:S925,I898,S909:S925))</f>
        <v/>
      </c>
      <c r="R898" s="134" t="str">
        <f>IF(M898="","",L898+Q898)</f>
        <v/>
      </c>
      <c r="S898" s="203"/>
      <c r="T898" s="208">
        <v>2</v>
      </c>
      <c r="U898" s="209" t="str">
        <f>IF(M899="","",IF(COUNTIF(M898:M900,M899)=3,IF(COUNTBLANK(I898:I901)=1,(Q913+Q915)/(Q912+Q916),IF(COUNTBLANK(I898:I901)=0,(Q919+Q921)/(Q918+Q922),"")),""))</f>
        <v/>
      </c>
      <c r="V898" s="135"/>
      <c r="W898" s="212" t="str">
        <f>IF(AND(COUNTBLANK(I898:I901)=0,M899=M898,M898=M901),(Q921+Q913)/(Q922+Q912),"")</f>
        <v/>
      </c>
      <c r="X898" s="213" t="str">
        <f>IF(AND(COUNTBLANK(I898:I901)=0,M899=M900,M900=M901),(Q919+Q913)/(Q918+Q912),"")</f>
        <v/>
      </c>
      <c r="Y898" s="214">
        <v>1</v>
      </c>
      <c r="Z898" s="215" t="str">
        <f>IF(U897="","",IF(OR(Group_players=3,AND(Group_players=4,COUNTBLANK(I898:I901)=1)),IF(COUNTIF(M898:M900,M898)=1,"",IF(AND(U897=U898,U898=U899),Z902,IF(AND(U897&lt;&gt;U898,U897&lt;&gt;U899,U898&lt;&gt;U899),(IF(SMALL(U897:U899,1)=U897,1,IF(SMALL(U897:U899,2)=U897,2,IF(SMALL(U897:U899,3)=U897,3)))),IF(AND(U897&lt;U898,U898=U899),1,IF(AND(U897&gt;U898,U898=U899),3,IF(AND(U897=U898,U897&lt;U899),(IF(Q915=3,1,2)),IF(AND(U897=U898,U897&gt;U899),(IF(Q915=3,2,3)),IF(AND(U897=U899,U897&lt;U898),(IF(Q909=3,1,2)),IF(AND(U897=U899,U897&gt;U898),(IF(Q909=3,2,3)),99))))))))),""))</f>
        <v/>
      </c>
      <c r="AA898" s="216">
        <v>1</v>
      </c>
      <c r="AB898" s="217" t="str">
        <f>IF(COUNTIF(M898:M901,M898)&lt;&gt;2,"",IF(COUNTIF(M898:M901,M898)=1,"",IF(AND(COUNTIF(M898:M901,M898)=2,M898=2),IF(M898=M899,IF(Q921=3,1,2),IF(M898=M900,IF(Q909=3,1,2),IF(M898=M901,IF(Q915=3,1,2)))),IF(AND(COUNTIF(M898:M901,M898)=2,M898=1),IF(M898=M899,IF(Q921=3,3,4),IF(M898=M900,IF(Q909=3,3,4),IF(M898=M901,IF(Q915=3,3,4)))),IF(COUNTIF(M898:M901,M898)=3,AB902)))))</f>
        <v/>
      </c>
      <c r="AC898" s="192"/>
      <c r="AD898" s="192"/>
      <c r="AE898" s="192"/>
      <c r="AF898" s="203"/>
      <c r="AG898" s="203"/>
      <c r="AH898" s="203"/>
      <c r="AI898" s="203"/>
      <c r="AJ898" s="203"/>
      <c r="AK898" s="203"/>
      <c r="AL898" s="203"/>
      <c r="AM898" s="203"/>
      <c r="AN898" s="192"/>
      <c r="AO898" s="192"/>
      <c r="AP898" s="192"/>
      <c r="AQ898" s="192"/>
      <c r="AR898" s="192"/>
      <c r="AS898" s="192"/>
      <c r="AT898" s="192"/>
      <c r="AU898" s="192"/>
      <c r="AV898" s="192"/>
      <c r="AW898" s="192"/>
      <c r="AX898" s="192"/>
    </row>
    <row r="899" spans="2:50" ht="15" customHeight="1" thickTop="1" thickBot="1" x14ac:dyDescent="0.35">
      <c r="B899" s="192"/>
      <c r="C899" s="192"/>
      <c r="D899" s="192"/>
      <c r="E899" s="192"/>
      <c r="F899" s="192" t="str">
        <f>IF(I899="","",VLOOKUP(I899,Siembra,2,FALSE))</f>
        <v/>
      </c>
      <c r="G899" s="192" t="str">
        <f>O899</f>
        <v/>
      </c>
      <c r="H899" s="192">
        <v>2</v>
      </c>
      <c r="I899" s="128" t="str">
        <f>IF(K899="","",IF(ISNUMBER(Sorteo!$A$17),VLOOKUP(K899,Draw,2,FALSE),""))</f>
        <v/>
      </c>
      <c r="J899" s="129" t="str">
        <f>O899</f>
        <v/>
      </c>
      <c r="K899" s="136" t="str">
        <f>IF($K$9="","",IF(Group_players=4,IF(Tablas!CF$4="","",Tablas!CF$4),IF(Group_players=3,IF(Tablas!CF$12="","",Tablas!CF$12),"")))</f>
        <v/>
      </c>
      <c r="L899" s="137" t="str">
        <f>IF(K899="","",VLOOKUP(I899,Siembra,3,FALSE))</f>
        <v/>
      </c>
      <c r="M899" s="132" t="str">
        <f>IF(AND(L909="",L910=""),"",IF(I899="","",SUMIFS(E909:E926,I909:I926,I899)))</f>
        <v/>
      </c>
      <c r="N899" s="138" t="str">
        <f>IF(M899="","",IF(I899="","",SUMIFS(F909:F925,I909:I925,I899)))</f>
        <v/>
      </c>
      <c r="O899" s="132" t="str">
        <f>IF(M899="","",IF(COUNTBLANK(I898:I901)=1,IF(M899=2,1,IF(M899=0,3,IF(AND(M899=1,M900&lt;&gt;1),2,IF(COUNTIF(M898:M901,1)&gt;1,Z899)))),IF(COUNTBLANK(I898:I901)=0,IF(COUNTIF(M898:M901,M899)=1,IF(M899=3,1,IF(M899=2,2,IF(M899=1,3,IF(M899=0,4)))),IF(Group_players=3,Z899,IF(COUNTIF(M898:M901,M899)=2,AB899,IF(AND(M899=M898,M898=M900),AB903,IF(AND(M899=M898,M898=M901),AB909,IF(AND(M899=M900,M900=M901),AB911,"")))))))))</f>
        <v/>
      </c>
      <c r="P899" s="133" t="str">
        <f>IF(COUNT(U897:X908)=3,IF(ISNUMBER(U898),U898,IF(ISNUMBER(W898),W898,IF(ISNUMBER(X898),X898,IF(X898="","")))),IF(COUNT(U897:X908)=6,IF(ISNUMBER(U906),U906,IF(ISNUMBER(W906),W906,IF(ISNUMBER(X906),X906,IF(ISBLANK(X905),"")))),""))</f>
        <v/>
      </c>
      <c r="Q899" s="138" t="str">
        <f>IF(M899="","",SUMIF(I909:S925,I899,S909:$S925))</f>
        <v/>
      </c>
      <c r="R899" s="139" t="str">
        <f>IF(M899="","",L899+Q899)</f>
        <v/>
      </c>
      <c r="S899" s="203"/>
      <c r="T899" s="208">
        <v>3</v>
      </c>
      <c r="U899" s="209" t="str">
        <f>IF(M900="","",IF(COUNTIF(M898:M900,M900)=3,IF(COUNTBLANK(I898:I901)=1,(Q909+Q912)/(Q910+Q913),IF(COUNTBLANK(I898:I901)=0,(Q909+Q918)/(Q910+Q919),"")),""))</f>
        <v/>
      </c>
      <c r="V899" s="125" t="str">
        <f>IF(AND(COUNTBLANK(I898:I901)=0,M900=M901,M901=M898),(Q909+Q925)/(Q910+Q924),"")</f>
        <v/>
      </c>
      <c r="W899" s="218"/>
      <c r="X899" s="213" t="str">
        <f>IF(AND(COUNTBLANK(I898:I901)=0,M900=M901,M901=M899),(Q918+Q925)/(Q919+Q924),"")</f>
        <v/>
      </c>
      <c r="Y899" s="219">
        <v>2</v>
      </c>
      <c r="Z899" s="220" t="str">
        <f>IF(U898="","",IF(OR(Group_players=3,AND(Group_players=4,COUNTBLANK(I898:I901)=1)),IF(COUNTIF(M898:M900,M899)=1,"",IF(AND(U898=U897,U898=U899),Z903,IF(AND(U898&lt;&gt;U897,U898&lt;&gt;U899,U897&lt;&gt;U899),(IF(SMALL(U897:U899,1)=U898,1,IF(SMALL(U897:U899,2)=U898,2,IF(SMALL(U897:U899,3)=U898,3)))),IF(AND(U898&lt;U897,U897=U899),1,IF(AND(U898&gt;U897,U897=U899),3,IF(AND(U898=U897,U898&lt;U899),(IF(Q916=3,1,2)),IF(AND(U898=U897,U898&gt;U899),(IF(Q916=3,2,3)),IF(AND(U898=U899,U898&lt;U897),(IF(Q912=3,1,2)),IF(AND(U898=U899,U898&gt;U897),(IF(Q912=3,2,3)),99))))))))),""))</f>
        <v/>
      </c>
      <c r="AA899" s="221">
        <v>2</v>
      </c>
      <c r="AB899" s="222" t="str">
        <f>IF(COUNTIF(M898:M901,M899)&lt;&gt;2,"",IF(COUNTIF(M898:M901,M899)=1,"",IF(AND(COUNTIF(M898:M901,M899)=2,M899=2),IF(M899=M898,IF(Q922=3,1,2),IF(M899=M900,IF(Q918=3,1,2),IF(M899=M901,IF(Q912=3,1,2)))),IF(AND(COUNTIF(M898:M901,M899)=2,M899=1),IF(M899=M898,IF(Q922=3,3,4),IF(M899=M900,IF(Q918=3,3,4),IF(M899=M901,IF(Q912=3,3,4)))),AB904))))</f>
        <v/>
      </c>
      <c r="AC899" s="192"/>
      <c r="AD899" s="192"/>
      <c r="AE899" s="192"/>
      <c r="AF899" s="203"/>
      <c r="AG899" s="203"/>
      <c r="AH899" s="203"/>
      <c r="AI899" s="203"/>
      <c r="AJ899" s="203"/>
      <c r="AK899" s="203"/>
      <c r="AL899" s="203"/>
      <c r="AM899" s="203"/>
      <c r="AN899" s="192"/>
      <c r="AO899" s="192"/>
      <c r="AP899" s="192"/>
      <c r="AQ899" s="192"/>
      <c r="AR899" s="192"/>
      <c r="AS899" s="192"/>
      <c r="AT899" s="192"/>
      <c r="AU899" s="192"/>
      <c r="AV899" s="192"/>
      <c r="AW899" s="192"/>
      <c r="AX899" s="192"/>
    </row>
    <row r="900" spans="2:50" ht="15" customHeight="1" thickBot="1" x14ac:dyDescent="0.35">
      <c r="B900" s="192"/>
      <c r="C900" s="192"/>
      <c r="D900" s="192"/>
      <c r="E900" s="192"/>
      <c r="F900" s="192" t="str">
        <f>IF(I900="","",VLOOKUP(I900,Siembra,2,FALSE))</f>
        <v/>
      </c>
      <c r="G900" s="192" t="str">
        <f>O900</f>
        <v/>
      </c>
      <c r="H900" s="192">
        <v>3</v>
      </c>
      <c r="I900" s="128" t="str">
        <f>IF(K900="","",IF(ISNUMBER(Sorteo!$A$17),VLOOKUP(K900,Draw,2,FALSE),""))</f>
        <v/>
      </c>
      <c r="J900" s="129" t="str">
        <f>O900</f>
        <v/>
      </c>
      <c r="K900" s="136" t="str">
        <f>IF($K$9="","",IF(Group_players=4,IF(Tablas!CF$5="","",Tablas!CF$5),IF(Group_players=3,IF(Tablas!CF$13="","",Tablas!CF$13),"")))</f>
        <v/>
      </c>
      <c r="L900" s="137" t="str">
        <f>IF(K900="","",VLOOKUP(I900,Siembra,3,FALSE))</f>
        <v/>
      </c>
      <c r="M900" s="132" t="str">
        <f>IF(AND(L910="",L909=""),"",IF(I900="","",SUMIFS(E909:E927,I909:I927,I900)))</f>
        <v/>
      </c>
      <c r="N900" s="138" t="str">
        <f>IF(M900="","",IF(I900="","",SUMIFS(F909:F925,I909:I925,I900)))</f>
        <v/>
      </c>
      <c r="O900" s="132" t="str">
        <f>IF(M900="","",IF(COUNTBLANK(I898:I901)=1,IF(M900=2,1,IF(M900=0,3,IF(AND(M900=1,M900&lt;&gt;M898),2,IF(COUNTIF(M898:M901,1)&gt;1,Z900)))),IF(COUNTBLANK(I898:I901)=0,IF(COUNTIF(M898:M901,M900)=1,IF(M900=3,1,IF(M900=2,2,IF(M900=1,3,IF(M900=0,4)))),IF(Group_players=3,Z900,IF(COUNTIF(M898:M901,M900)=2,AB900,IF(AND(M900=M898,M898=M899),AB904,IF(AND(M900=M898,M898=M901),AB906,IF(AND(M900=M899,M899=M901),AB912,"")))))))))</f>
        <v/>
      </c>
      <c r="P900" s="133" t="str">
        <f>IF(COUNT(U897:X908)=3,IF(ISNUMBER(U899),U899,IF(ISNUMBER(V899),V899,IF(ISNUMBER(X899),X899,IF(W899="","")))),IF(COUNT(U897:X908)=6,IF(ISNUMBER(U907),U907,IF(ISNUMBER(V907),V907,IF(ISNUMBER(X907),X907,""))),""))</f>
        <v/>
      </c>
      <c r="Q900" s="138" t="str">
        <f>IF(M900="","",SUMIF(I909:S925,I900,S909:S925))</f>
        <v/>
      </c>
      <c r="R900" s="139" t="str">
        <f>IF(M900="","",L900+Q900)</f>
        <v/>
      </c>
      <c r="S900" s="203"/>
      <c r="T900" s="208">
        <v>4</v>
      </c>
      <c r="U900" s="223"/>
      <c r="V900" s="140" t="str">
        <f>IF(AND(COUNTBLANK(I898:I901)=0,M901=M898,M898=M900),(Q915+Q924)/(Q916+Q925),"")</f>
        <v/>
      </c>
      <c r="W900" s="224" t="str">
        <f>IF(AND(COUNTBLANK(I898:I901)=0,M901=M898,M898=M899),(Q915+Q912)/(Q916+Q913),"")</f>
        <v/>
      </c>
      <c r="X900" s="225" t="str">
        <f>IF(AND(COUNTBLANK(I898:I901)=0,M901=M899,M899=M900),(Q912+Q924)/(Q913+Q925),"")</f>
        <v/>
      </c>
      <c r="Y900" s="226">
        <v>3</v>
      </c>
      <c r="Z900" s="227" t="str">
        <f>IF(U899="","",IF(OR(Group_players=3,AND(Group_players=4,COUNTBLANK(I898:I901)=1)),IF(COUNTIF(M898:M900,M900)=1,"",IF(AND(U899=U897,U899=U898),Z904,IF(AND(U899&lt;&gt;U898,U898&lt;&gt;U897,U899&lt;&gt;U897),(IF(SMALL(U897:U899,1)=U899,1,IF(SMALL(U897:U899,2)=U899,2,IF(SMALL(U897:U899,3)=U899,3)))),IF(AND(U899&lt;U898,U898=U897),1,IF(AND(U899&gt;U898,U898=U897),3,IF(AND(U899=U898,U899&lt;U897),(IF(Q913=3,1,2)),IF(AND(U899=U898,U899&gt;U897),(IF(Q913=3,2,3)),IF(AND(U899=U897,U899&lt;U898),(IF(Q910=3,1,2)),IF(AND(U899=U897,U899&gt;U898),(IF(Q910=3,2,3)),99))))))))),""))</f>
        <v/>
      </c>
      <c r="AA900" s="221">
        <v>3</v>
      </c>
      <c r="AB900" s="222" t="str">
        <f>IF(COUNTIF(M898:M901,M900)&lt;&gt;2,"",IF(COUNTIF(M898:M901,M900)=1,"",IF(AND(COUNTIF(M898:M901,M900)=2,M900=2),IF(M900=M898,IF(Q910=3,1,2),IF(M900=M899,IF(Q919=3,1,2),IF(M900=M901,IF(Q924=3,1,2)))),IF(AND(COUNTIF(M898:M901,M900)=2,M900=1),IF(M900=M898,IF(Q910=3,3,4),IF(M900=M899,IF(Q919=3,3,4),IF(M900=M901,IF(Q924=3,3,4)))),AB904))))</f>
        <v/>
      </c>
      <c r="AC900" s="192"/>
      <c r="AD900" s="192"/>
      <c r="AE900" s="192"/>
      <c r="AF900" s="203"/>
      <c r="AG900" s="203"/>
      <c r="AH900" s="203"/>
      <c r="AI900" s="203"/>
      <c r="AJ900" s="203"/>
      <c r="AK900" s="203"/>
      <c r="AL900" s="203"/>
      <c r="AM900" s="203"/>
      <c r="AN900" s="192"/>
      <c r="AO900" s="192"/>
      <c r="AP900" s="192"/>
      <c r="AQ900" s="192"/>
      <c r="AR900" s="192"/>
      <c r="AS900" s="192"/>
      <c r="AT900" s="192"/>
      <c r="AU900" s="192"/>
      <c r="AV900" s="192"/>
      <c r="AW900" s="192"/>
      <c r="AX900" s="192"/>
    </row>
    <row r="901" spans="2:50" ht="15" customHeight="1" thickTop="1" thickBot="1" x14ac:dyDescent="0.35">
      <c r="B901" s="192"/>
      <c r="C901" s="192"/>
      <c r="D901" s="192"/>
      <c r="E901" s="192"/>
      <c r="F901" s="192" t="str">
        <f>IF(I901="","",VLOOKUP(I901,Siembra,2,FALSE))</f>
        <v/>
      </c>
      <c r="G901" s="192" t="str">
        <f>O901</f>
        <v/>
      </c>
      <c r="H901" s="192">
        <v>4</v>
      </c>
      <c r="I901" s="141" t="str">
        <f>IF(K901="","",IF(ISNUMBER(Sorteo!$A$17),VLOOKUP(K901,Draw,2,FALSE),""))</f>
        <v/>
      </c>
      <c r="J901" s="142" t="str">
        <f>O901</f>
        <v/>
      </c>
      <c r="K901" s="143" t="str">
        <f>IF($K$9="","",IF(Group_players=4,IF(Tablas!CF6="","",Tablas!CF6),""))</f>
        <v/>
      </c>
      <c r="L901" s="144" t="str">
        <f>IF(K901="","",VLOOKUP(I901,Siembra,3,FALSE))</f>
        <v/>
      </c>
      <c r="M901" s="145" t="str">
        <f>IF(AND(Q912="",Q913=""),"",IF(I901="","",SUMIFS(E909:E928,I909:I928,I901)))</f>
        <v/>
      </c>
      <c r="N901" s="145" t="str">
        <f>IF(M901="","",IF(I901="","",SUMIFS(F909:F925,I909:I925,I901)))</f>
        <v/>
      </c>
      <c r="O901" s="145" t="str">
        <f>IF(M901="","",IF(COUNTIF(M898:M901,M901)=1,IF(M901=3,1,IF(M901=2,2,IF(M901=1,3,IF(M901=0,4)))),IF(COUNTIF(M898:M901,M901)=2,AB901,IF(AND(M901=M898,M898=M900),AB907,IF(AND(M901=M898,M898=M899),AB910,IF(AND(M901=M899,M899=M900),AB913,""))))))</f>
        <v/>
      </c>
      <c r="P901" s="146" t="str">
        <f>IF(COUNT(U897:X908)=3,IF(ISNUMBER(V900),V900,IF(ISNUMBER(W900),W900,IF(ISNUMBER(X900),X900,IF(X900="","")))),IF(COUNT(U897:X908)=6,IF(ISNUMBER(V908),V908,IF(ISNUMBER(W908),W908,IF(ISNUMBER(X908),X908,""))),""))</f>
        <v/>
      </c>
      <c r="Q901" s="145" t="str">
        <f>IF(M901="","",SUMIF(I909:S925,I901,S909:$S925))</f>
        <v/>
      </c>
      <c r="R901" s="147" t="str">
        <f>IF(M901="","",L901+Q901)</f>
        <v/>
      </c>
      <c r="S901" s="203"/>
      <c r="T901" s="192"/>
      <c r="U901" s="192"/>
      <c r="V901" s="192"/>
      <c r="W901" s="192"/>
      <c r="X901" s="192"/>
      <c r="Y901" s="230" t="s">
        <v>93</v>
      </c>
      <c r="Z901" s="231" t="s">
        <v>110</v>
      </c>
      <c r="AA901" s="232">
        <v>4</v>
      </c>
      <c r="AB901" s="233" t="str">
        <f>IF(COUNTIF(M898:M901,M901)&lt;&gt;2,"",IF(COUNTIF(M898:M901,M901)=1,"",IF(AND(COUNTIF(M898:M901,M901)=2,M901=2),IF(M901=M898,IF(Q916=3,1,2),IF(M901=M899,IF(Q913=3,1,2),IF(M901=M900,IF(Q925=3,1,2)))),IF(AND(COUNTIF(M898:M901,M901)=2,M901=1),IF(M901=M898,IF(Q916=3,3,4),IF(M901=M899,IF(Q913=3,3,4),IF(M901=M900,IF(Q925=3,3,4)))),AB907))))</f>
        <v/>
      </c>
      <c r="AC901" s="192"/>
      <c r="AD901" s="192"/>
      <c r="AE901" s="192"/>
      <c r="AF901" s="203"/>
      <c r="AG901" s="203"/>
      <c r="AH901" s="203"/>
      <c r="AI901" s="203"/>
      <c r="AJ901" s="203"/>
      <c r="AK901" s="203"/>
      <c r="AL901" s="203"/>
      <c r="AM901" s="203"/>
      <c r="AN901" s="192"/>
      <c r="AO901" s="192"/>
      <c r="AP901" s="192"/>
      <c r="AQ901" s="192"/>
      <c r="AR901" s="192"/>
      <c r="AS901" s="192"/>
      <c r="AT901" s="192"/>
      <c r="AU901" s="192"/>
      <c r="AV901" s="192"/>
      <c r="AW901" s="192"/>
      <c r="AX901" s="192"/>
    </row>
    <row r="902" spans="2:50" ht="15" customHeight="1" thickTop="1" x14ac:dyDescent="0.3">
      <c r="B902" s="192"/>
      <c r="C902" s="192"/>
      <c r="D902" s="192"/>
      <c r="E902" s="192"/>
      <c r="F902" s="192"/>
      <c r="G902" s="192"/>
      <c r="H902" s="192"/>
      <c r="I902" s="192"/>
      <c r="J902" s="192"/>
      <c r="K902" s="192"/>
      <c r="L902" s="192"/>
      <c r="M902" s="192"/>
      <c r="N902" s="192"/>
      <c r="O902" s="192"/>
      <c r="P902" s="192"/>
      <c r="Q902" s="192"/>
      <c r="R902" s="192"/>
      <c r="S902" s="192"/>
      <c r="T902" s="208"/>
      <c r="U902" s="192"/>
      <c r="V902" s="148"/>
      <c r="W902" s="148"/>
      <c r="X902" s="234"/>
      <c r="Y902" s="214">
        <v>1</v>
      </c>
      <c r="Z902" s="215" t="str">
        <f>IF(U905="","",IF(OR(Group_players=3,AND(Group_players=4,COUNTBLANK(I898:I901)=1)),IF(COUNTIF(M898:M900,M898)=1,"",IF(COUNTIF(U897:U899,U897)=3,IF(AND(U905=U906,U906=U907),"Tied",IF(AND(U905&lt;&gt;U906,U905&lt;&gt;U907,U906&lt;&gt;U907),(IF(SMALL(U905:U907,1)=U905,1,IF(SMALL(U905:U907,2)=U905,2,IF(SMALL(U905:U907,3)=U905,3)))),IF(AND(U905&lt;U906,U906=U907),1,IF(AND(U905&gt;U906,U906=U907),3,IF(AND(U905=U906,U905&lt;U907),(IF(Q915=3,1,2)),IF(AND(U905=U906,U905&gt;U907),(IF(Q915=3,2,3)),IF(AND(U905=U907,U905&lt;U906),(IF(Q909=3,1,2)),IF(AND(U905=U907,U905&gt;U906),(IF(Q909=3,2,3)),99)))))))),"")),""))</f>
        <v/>
      </c>
      <c r="AA902" s="208">
        <v>1</v>
      </c>
      <c r="AB902" s="222" t="str">
        <f>IF(AND(COUNTBLANK(I898:I901)=0,Group_players=4,M898=M899,M899=M900),IF(COUNTIF(U897:U900,U897)=3,AB915,IF(AND(COUNTIF(U897:U900,U897)=1,U898&lt;&gt;U899),IF(M898=2,IF(SMALL(U897:U900,1)=U897,1,IF(SMALL(U897:U900,2)=U897,2,IF(SMALL(U897:U900,3)=U897,3))),IF(M898=1,IF(SMALL(U897:U900,1)=U897,2,IF(SMALL(U897:U900,2)=U897,3,IF(SMALL(U897:U900,3)=U897,4))),"")),IF(COUNTIF(U897:U900,U897)=1,IF(U897&lt;U898,IF(M898=2,1,2),IF(M898=2,3,4)),IF(COUNTIF(U897:U900,U897)=2,IF(U897=U898,IF(U897&lt;U899,IF(M898=2,IF(Q921=3,1,2),IF(M898=1,IF(Q921=3,2,3))),IF(U897&gt;U899,IF(M898=2,IF(Q921=3,2,3),IF(M898=1,IF(Q921=3,3,4))))),IF(U897=U899,IF(U897&lt;U898,IF(M898=2,IF(Q909=3,1,2),IF(M898=1,IF(Q909=3,2,3))),IF(U897&gt;U898,IF(M898=2,IF(Q909=3,2,3),IF(M898=1,IF(Q909=3,3,4))))))),"")))),"")</f>
        <v/>
      </c>
      <c r="AC902" s="192"/>
      <c r="AD902" s="192"/>
      <c r="AE902" s="269"/>
      <c r="AF902" s="203"/>
      <c r="AG902" s="203"/>
      <c r="AH902" s="203"/>
      <c r="AI902" s="203"/>
      <c r="AJ902" s="203"/>
      <c r="AK902" s="203"/>
      <c r="AL902" s="203"/>
      <c r="AM902" s="203"/>
      <c r="AN902" s="192"/>
      <c r="AO902" s="192"/>
      <c r="AP902" s="192"/>
      <c r="AQ902" s="192"/>
      <c r="AR902" s="192"/>
      <c r="AS902" s="192"/>
      <c r="AT902" s="192"/>
      <c r="AU902" s="192"/>
      <c r="AV902" s="192"/>
      <c r="AW902" s="192"/>
      <c r="AX902" s="192"/>
    </row>
    <row r="903" spans="2:50" ht="15" customHeight="1" thickBot="1" x14ac:dyDescent="0.35">
      <c r="B903" s="192"/>
      <c r="C903" s="192"/>
      <c r="D903" s="192"/>
      <c r="E903" s="192"/>
      <c r="F903" s="192"/>
      <c r="G903" s="192"/>
      <c r="H903" s="192"/>
      <c r="I903" s="269"/>
      <c r="J903" s="269"/>
      <c r="K903" s="192"/>
      <c r="L903" s="192"/>
      <c r="M903" s="192"/>
      <c r="N903" s="192"/>
      <c r="O903" s="192"/>
      <c r="P903" s="192"/>
      <c r="Q903" s="192"/>
      <c r="R903" s="192"/>
      <c r="S903" s="192"/>
      <c r="T903" s="208"/>
      <c r="U903" s="368" t="s">
        <v>111</v>
      </c>
      <c r="V903" s="369"/>
      <c r="W903" s="369"/>
      <c r="X903" s="369"/>
      <c r="Y903" s="236">
        <v>2</v>
      </c>
      <c r="Z903" s="220" t="str">
        <f>IF(U898="","",IF(OR(Group_players=3,AND(Group_players=4,COUNTBLANK(I898:I901)=1)),IF(COUNTIF(M898:M900,M899)=1,"",IF(COUNTIF(U897:U899,U898)=3,IF(AND(U906=U905,U906=U907),"Tied",IF(AND(U906&lt;&gt;U905,U906&lt;&gt;U907,U905&lt;&gt;U907),(IF(SMALL(U905:U907,1)=U906,1,IF(SMALL(U905:U907,2)=U906,2,IF(SMALL(U905:U907,3)=U906,3)))),IF(AND(U906&lt;U905,U905=U907),1,IF(AND(U906&gt;U905,U905=U907),3,IF(AND(U906=U905,U906&lt;U907),(IF(Q916=3,1,2)),IF(AND(U906=U905,U906&gt;U907),(IF(Q916=3,2,3)),IF(AND(U906=U907,U906&lt;U905),(IF(Q912=3,1,2)),IF(AND(U906=U907,U906&gt;U905),(IF(Q912=3,2,3)),99)))))))),"")),""))</f>
        <v/>
      </c>
      <c r="AA903" s="208">
        <v>2</v>
      </c>
      <c r="AB903" s="222" t="str">
        <f>IF(AND(COUNTBLANK(I898:I901)=0,Group_players=4,M898=M899,M899=M900),IF(COUNTIF(U897:U900,U898)=3,AB916,IF(AND(COUNTIF(U897:U900,U898)=1,U897&lt;&gt;U899),IF(M899=2,IF(SMALL(U897:U900,1)=U898,1,IF(SMALL(U897:U900,2)=U898,2,IF(SMALL(U897:U900,3)=U898,3))),IF(M899=1,IF(SMALL(U897:U900,1)=U898,2,IF(SMALL(U897:U900,2)=U898,3,IF(SMALL(U897:U900,3)=U898,4))),"")),IF(COUNTIF(U897:U899,U898)=1,IF(U898&lt;U897,IF(M899=2,1,2),IF(M899=2,3,99)),IF(COUNTIF(U897:U900,U898)=2,IF(U898=U897,IF(U898&lt;U899,IF(M899=2,IF(Q922=3,1,2),IF(M899=1,IF(Q922=3,2,3))),IF(U898&gt;U899,IF(M899=2,IF(Q922=3,2,3),IF(M899=1,IF(Q922=3,3,4))))),IF(U898=U899,IF(U898&lt;U897,IF(M899=2,IF(Q918=3,1,2),IF(M899=1,IF(Q918=3,2,3))),IF(U898&gt;U897,IF(M899=2,IF(Q918=3,2,3),IF(M899=1,IF(Q918=3,3,4))))))),"")))),"")</f>
        <v/>
      </c>
      <c r="AC903" s="192"/>
      <c r="AD903" s="192"/>
      <c r="AE903" s="192"/>
      <c r="AF903" s="203"/>
      <c r="AG903" s="203"/>
      <c r="AH903" s="203"/>
      <c r="AI903" s="203"/>
      <c r="AJ903" s="203"/>
      <c r="AK903" s="203"/>
      <c r="AL903" s="203"/>
      <c r="AM903" s="203"/>
      <c r="AN903" s="192"/>
      <c r="AO903" s="192"/>
      <c r="AP903" s="192"/>
      <c r="AQ903" s="192"/>
      <c r="AR903" s="192"/>
      <c r="AS903" s="192"/>
      <c r="AT903" s="192"/>
      <c r="AU903" s="192"/>
      <c r="AV903" s="192"/>
      <c r="AW903" s="192"/>
      <c r="AX903" s="192"/>
    </row>
    <row r="904" spans="2:50" ht="15" customHeight="1" thickTop="1" thickBot="1" x14ac:dyDescent="0.35">
      <c r="B904" s="192"/>
      <c r="C904" s="192"/>
      <c r="D904" s="192"/>
      <c r="E904" s="192"/>
      <c r="F904" s="192"/>
      <c r="G904" s="192"/>
      <c r="H904" s="192"/>
      <c r="I904" s="192"/>
      <c r="J904" s="192"/>
      <c r="K904" s="192"/>
      <c r="L904" s="192"/>
      <c r="M904" s="192"/>
      <c r="N904" s="192"/>
      <c r="O904" s="192"/>
      <c r="P904" s="192"/>
      <c r="Q904" s="192"/>
      <c r="R904" s="192"/>
      <c r="S904" s="192"/>
      <c r="T904" s="120"/>
      <c r="U904" s="121" t="s">
        <v>101</v>
      </c>
      <c r="V904" s="122" t="s">
        <v>102</v>
      </c>
      <c r="W904" s="122" t="s">
        <v>103</v>
      </c>
      <c r="X904" s="123" t="s">
        <v>104</v>
      </c>
      <c r="Y904" s="238">
        <v>3</v>
      </c>
      <c r="Z904" s="239" t="str">
        <f>IF(U899="","",IF(OR(Group_players=3,AND(Group_players=4,COUNTBLANK(I898:I901)=1)),IF(COUNTIF(M898:M900,M900)=1,"",IF(COUNTIF(U897:U899,U899)=3,IF(AND(U907=U905,U907=U906),"Tied",IF(AND(U907&lt;&gt;U906,U906&lt;&gt;U905,U907&lt;&gt;U905),(IF(SMALL(U905:U907,1)=U907,1,IF(SMALL(U905:U907,2)=U907,2,IF(SMALL(U905:U907,3)=U907,3)))),IF(AND(U907&lt;U906,U906=U905),1,IF(AND(U907&gt;U906,U906=U905),3,IF(AND(U907=U906,U907&lt;U905),(IF(Q913=3,1,2)),IF(AND(U907=U906,U907&gt;U905),(IF(Q913=3,2,3)),IF(AND(U907=U905,U907&lt;U906),(IF(Q910=3,1,2)),IF(AND(U907=U905,U907&gt;U906),(IF(Q910=3,2,3)),99)))))))),"")),""))</f>
        <v/>
      </c>
      <c r="AA904" s="240">
        <v>3</v>
      </c>
      <c r="AB904" s="241" t="str">
        <f>IF(AND(COUNTBLANK(I898:I901)=0,Group_players=4,M898=M899,M899=M900),IF(COUNTIF(U897:U900,U899)=3,AB917,IF(AND(COUNTIF(U897:U900,U899)=1,U897&lt;&gt;U898),IF(M898=2,IF(SMALL(U897:U900,1)=U899,1,IF(SMALL(U897:U900,2)=U899,2,IF(SMALL(U897:U900,3)=U899,3))),IF(M900=1,IF(SMALL(U897:U900,1)=U899,2,IF(SMALL(U897:U900,2)=U899,3,IF(SMALL(U897:U900,3)=U899,4))),"")),IF(COUNTIF(U897:U900,U899)=1,IF(U899&lt;U898,IF(M900=2,1,2),IF(M900=2,3,4)),IF(COUNTIF(U897:U900,U899)=2,IF(U899=U898,IF(U899&lt;U897,IF(M900=2,IF(Q919=3,1,2),IF(M900=1,IF(Q919=3,2,3))),IF(U899&gt;U897,IF(M900=2,IF(Q919=3,2,3),IF(M900=1,IF(Q919=3,3,4))))),IF(U899=U897,IF(U899&lt;U898,IF(M900=2,IF(Q910=3,1,2),IF(M900=1,IF(Q910=3,2,3))),IF(U899&gt;U898,IF(M900=2,IF(Q910=3,2,3),IF(M900=1,IF(Q910=3,3,4))))))),"")))),"")</f>
        <v/>
      </c>
      <c r="AC904" s="192"/>
      <c r="AD904" s="192"/>
      <c r="AE904" s="192"/>
      <c r="AF904" s="203"/>
      <c r="AG904" s="203"/>
      <c r="AH904" s="203"/>
      <c r="AI904" s="203"/>
      <c r="AJ904" s="203"/>
      <c r="AK904" s="203"/>
      <c r="AL904" s="203"/>
      <c r="AM904" s="203"/>
      <c r="AN904" s="192"/>
      <c r="AO904" s="192"/>
      <c r="AP904" s="192"/>
      <c r="AQ904" s="192"/>
      <c r="AR904" s="192"/>
      <c r="AS904" s="192"/>
      <c r="AT904" s="192"/>
      <c r="AU904" s="192"/>
      <c r="AV904" s="192"/>
      <c r="AW904" s="192"/>
      <c r="AX904" s="192"/>
    </row>
    <row r="905" spans="2:50" ht="15" customHeight="1" thickTop="1" thickBot="1" x14ac:dyDescent="0.35">
      <c r="B905" s="192"/>
      <c r="C905" s="192"/>
      <c r="D905" s="192"/>
      <c r="E905" s="192"/>
      <c r="F905" s="192"/>
      <c r="G905" s="192"/>
      <c r="H905" s="192"/>
      <c r="I905" s="192"/>
      <c r="J905" s="192"/>
      <c r="K905" s="192"/>
      <c r="L905" s="192"/>
      <c r="M905" s="192"/>
      <c r="N905" s="192"/>
      <c r="O905" s="192"/>
      <c r="P905" s="192"/>
      <c r="Q905" s="192"/>
      <c r="R905" s="192"/>
      <c r="S905" s="192"/>
      <c r="T905" s="208">
        <v>1</v>
      </c>
      <c r="U905" s="209" t="str">
        <f>IF(U897="","",IF(OR(U897&lt;&gt;U898,U897&lt;&gt;U899),"",IF(COUNTIF(M898:M900,M898)=1,"",IF(COUNTBLANK(I898:I901)=1,(SUM(L910:P910)+SUM(L916:P916))/(SUM(L909:P909)+SUM(L915:P915)),IF(COUNTBLANK(I898:I901)=0,(SUM(L922:P922)+SUM(L910:P910))/(SUM(L921:P921)+SUM(L909:P909)),"")))))</f>
        <v/>
      </c>
      <c r="V905" s="125" t="str">
        <f>IF(V897="","",IF(OR(V897&lt;&gt;V899,V897&lt;&gt;V900),"",IF(AND(COUNTBLANK(I898:I901)=0,M898=M900,M900=M901),(SUM(L910:P910)+SUM(L916:P916))/(SUM(L909:P909)+SUM(L915:P915)),"")))</f>
        <v/>
      </c>
      <c r="W905" s="210" t="str">
        <f>IF(W897="","",IF(OR(W897&lt;&gt;W898,W897&lt;&gt;W900),"",IF(AND(COUNTBLANK(I898:I901)=0,M898=M899,M899=M901),(SUM(L922:P922)+SUM(L916:P916))/(SUM(L921:P921)+SUM(L915:P915)),"")))</f>
        <v/>
      </c>
      <c r="X905" s="211"/>
      <c r="Y905" s="242"/>
      <c r="Z905" s="242"/>
      <c r="AA905" s="243">
        <v>1</v>
      </c>
      <c r="AB905" s="244" t="str">
        <f>IF(AND(COUNTBLANK(I898:I901)=0,Group_players=4,M898=M900,M900=M901),IF(COUNTIF(V897:V900,V897)=3,AB918,IF(AND(COUNTIF(V897:V900,V897)=1,V899&lt;&gt;U908),IF(M898=2,IF(SMALL(V897:V900,1)=V897,1,IF(SMALL(V897:V900,2)=V897,2,IF(SMALL(V897:V900,3)=V897,3))),IF(M898=1,IF(SMALL(V897:V900,1)=V897,2,IF(SMALL(V897:V900,2)=V897,3,IF(SMALL(V897:V900,3)=V897,4))),"")),IF(COUNTIF(V897:V900,V897)=1,IF(V897&lt;V899,IF(M898=2,1,2),IF(M898=2,3,4)),IF(COUNTIF(V897:V900,V897)=2,IF(V897=V899,IF(V897&lt;V900,IF(M898=2,IF(Q909=3,1,2),IF(M898=1,IF(Q909=3,2,3))),IF(V897&gt;V900,IF(M898=2,IF(Q909=3,2,3),IF(M898=1,IF(Q909=3,3,4))))),IF(V897=V900,IF(V897&lt;V899,IF(M898=2,IF(Q915=3,1,2),IF(M898=1,IF(Q915=3,2,3))),IF(V897&gt;V898,IF(M898=2,IF(Q915=3,2,3),IF(M898=1,IF(Q915=3,3,4))))))),"")))),"")</f>
        <v/>
      </c>
      <c r="AC905" s="192"/>
      <c r="AD905" s="192"/>
      <c r="AE905" s="192"/>
      <c r="AF905" s="203"/>
      <c r="AG905" s="203"/>
      <c r="AH905" s="203"/>
      <c r="AI905" s="203"/>
      <c r="AJ905" s="203"/>
      <c r="AK905" s="203"/>
      <c r="AL905" s="203"/>
      <c r="AM905" s="203"/>
      <c r="AN905" s="192"/>
      <c r="AO905" s="192"/>
      <c r="AP905" s="192"/>
      <c r="AQ905" s="192"/>
      <c r="AR905" s="192"/>
      <c r="AS905" s="192"/>
      <c r="AT905" s="192"/>
      <c r="AU905" s="192"/>
      <c r="AV905" s="192"/>
      <c r="AW905" s="192"/>
      <c r="AX905" s="192"/>
    </row>
    <row r="906" spans="2:50" ht="15" customHeight="1" thickTop="1" thickBot="1" x14ac:dyDescent="0.35">
      <c r="B906" s="192"/>
      <c r="C906" s="192"/>
      <c r="D906" s="192"/>
      <c r="E906" s="117"/>
      <c r="F906" s="117"/>
      <c r="G906" s="117"/>
      <c r="H906" s="192"/>
      <c r="I906" s="192"/>
      <c r="J906" s="192"/>
      <c r="K906" s="192"/>
      <c r="L906" s="192"/>
      <c r="M906" s="192"/>
      <c r="N906" s="192"/>
      <c r="O906" s="192"/>
      <c r="P906" s="192"/>
      <c r="Q906" s="192"/>
      <c r="R906" s="192"/>
      <c r="S906" s="394" t="s">
        <v>112</v>
      </c>
      <c r="T906" s="208">
        <v>2</v>
      </c>
      <c r="U906" s="209" t="str">
        <f>IF(U897="","",IF(OR(U898&lt;&gt;U897,U898&lt;&gt;U899),"",IF(COUNTIF(M898:M900,M899)=1,"",IF(COUNTBLANK(I898:I901)=1,(SUM(L913:P913)+SUM(L915:P915))/(SUM(L912:P912)+SUM(L916:P916)),IF(COUNTBLANK(I898:I901)=0,(SUM(L921:P921)+SUM(L919:P919))/(SUM(L922:P922)+SUM(L918:P918)))))))</f>
        <v/>
      </c>
      <c r="V906" s="135"/>
      <c r="W906" s="212" t="str">
        <f>IF(W897="","",IF(OR(W898&lt;&gt;W897,W898&lt;&gt;W900),"",IF(AND(COUNTBLANK(I898:I901)=0,M898=M899,M899=M901),(SUM(L913:P913)+SUM(L921:P921))/(SUM(L922:P922)+SUM(L912:P912)),"")))</f>
        <v/>
      </c>
      <c r="X906" s="245" t="str">
        <f>IF(X898="","",IF(OR(X898&lt;&gt;X899,X898&lt;&gt;X900),"",IF(AND(COUNTBLANK(I898:I901)=0,M899=M900,M900=M901),(SUM(L919:P919)+SUM(L913:P913))/(SUM(L918:P918)+SUM(L912:P912)),"")))</f>
        <v/>
      </c>
      <c r="Y906" s="242"/>
      <c r="Z906" s="203"/>
      <c r="AA906" s="246">
        <v>3</v>
      </c>
      <c r="AB906" s="222" t="str">
        <f>IF(AND(COUNTBLANK(I898:I901)=0,Group_players=4,M898=M900,M900=M901),IF(COUNTIF(V897:V900,V899)=3,AB919,IF(AND(COUNTIF(V897:V900,V899)=1,V897&lt;&gt;V900),IF(M900=2,IF(SMALL(V897:V900,1)=V899,1,IF(SMALL(V897:V900,2)=V899,2,IF(SMALL(V897:V900,3)=V899,3))),IF(M900=1,IF(SMALL(V897:V900,1)=V899,2,IF(SMALL(V897:V900,2)=V899,3,IF(SMALL(V897:V900,3)=V899,4))),"")),IF(COUNTIF(V897:V900,V899)=1,IF(V899&lt;V897,IF(M900=2,1,2),IF(M900=2,3,4)),IF(COUNTIF(V897:V900,V899)=2,IF(V899=V897,IF(V899&lt;V900,IF(M900=2,IF(Q910=3,1,2),IF(M900=1,IF(Q910=3,2,3))),IF(V899&gt;V900,IF(M900=2,IF(Q910=3,2,3),IF(M900=1,IF(Q910=3,3,4))))),IF(V899=V900,IF(V899&lt;V897,IF(M900=2,IF(Q924=3,1,2),IF(M900=1,IF(Q924=3,2,3))),IF(V899&gt;V897,IF(M900=2,IF(Q924=3,2,3),IF(M900=1,IF(Q924=3,3,4))))))),"")))),"")</f>
        <v/>
      </c>
      <c r="AC906" s="192"/>
      <c r="AD906" s="192"/>
      <c r="AE906" s="192"/>
      <c r="AF906" s="203"/>
      <c r="AG906" s="203"/>
      <c r="AH906" s="203"/>
      <c r="AI906" s="203"/>
      <c r="AJ906" s="203"/>
      <c r="AK906" s="203"/>
      <c r="AL906" s="203"/>
      <c r="AM906" s="203"/>
      <c r="AN906" s="192"/>
      <c r="AO906" s="192"/>
      <c r="AP906" s="192"/>
      <c r="AQ906" s="192"/>
      <c r="AR906" s="192"/>
      <c r="AS906" s="192"/>
      <c r="AT906" s="192"/>
      <c r="AU906" s="192"/>
      <c r="AV906" s="192"/>
      <c r="AW906" s="192"/>
      <c r="AX906" s="192"/>
    </row>
    <row r="907" spans="2:50" ht="15" customHeight="1" thickTop="1" thickBot="1" x14ac:dyDescent="0.35">
      <c r="B907" s="192"/>
      <c r="C907" s="192"/>
      <c r="D907" s="192"/>
      <c r="E907" s="117"/>
      <c r="F907" s="117"/>
      <c r="G907" s="117"/>
      <c r="H907" s="192"/>
      <c r="I907" s="192"/>
      <c r="J907" s="192"/>
      <c r="K907" s="192"/>
      <c r="L907" s="192"/>
      <c r="M907" s="192"/>
      <c r="N907" s="192"/>
      <c r="O907" s="192"/>
      <c r="P907" s="192"/>
      <c r="Q907" s="192"/>
      <c r="R907" s="247"/>
      <c r="S907" s="395"/>
      <c r="T907" s="208">
        <v>3</v>
      </c>
      <c r="U907" s="209" t="str">
        <f>IF(U897="","",IF(OR(U899&lt;&gt;U897,U899&lt;&gt;U898),"",IF(COUNTIF(M898:M900,M900)=1,"",IF(COUNTBLANK(I898:I901)=1,(SUM(L909:P909)+SUM(L912:P912))/(SUM(L910:P910)+SUM(L913:P913)),IF(COUNTBLANK(I898:I901)=0,(SUM(L909:P909)+SUM(L918:P918))/(SUM(L910:P910)+SUM(L919:P919)))))))</f>
        <v/>
      </c>
      <c r="V907" s="125" t="str">
        <f>IF(V897="","",IF(OR(V899&lt;&gt;V897,V899&lt;&gt;V900),"",IF(AND(COUNTBLANK(I898:I901)=0,M898=M900,M900=M901),(SUM(L909:P909)+SUM(L925:P925))/(SUM(L910:P910)+SUM(L924:P924)),"")))</f>
        <v/>
      </c>
      <c r="W907" s="218"/>
      <c r="X907" s="245" t="str">
        <f>IF(X898="","",IF(OR(X899&lt;&gt;X898,X899&lt;&gt;X900),"",IF(AND(COUNTBLANK(I898:I901)=0,M899=M900,M900=M901),(SUM(L918:P918)+SUM(L925:P925))/(SUM(L919:P919)+SUM(L924:P924)),"")))</f>
        <v/>
      </c>
      <c r="Y907" s="208"/>
      <c r="Z907" s="203"/>
      <c r="AA907" s="240">
        <v>4</v>
      </c>
      <c r="AB907" s="222" t="str">
        <f>IF(AND(COUNTBLANK(I898:I901)=0,Group_players=4,M898=M900,M900=M901),IF(COUNTIF(V897:V900,V900)=3,AB920,IF(AND(COUNTIF(V897:V900,V900)=1,V899&lt;&gt;V897),IF(M901=2,IF(SMALL(V897:V900,1)=V900,1,IF(SMALL(V897:V900,2)=V900,2,IF(SMALL(V897:V900,3)=V900,3))),IF(M901=1,IF(SMALL(V897:V900,1)=V900,2,IF(SMALL(V897:V900,2)=V900,3,IF(SMALL(V897:V900,3)=V900,4))),"")),IF(COUNTIF(V897:V900,V900)=1,IF(V900&lt;V897,IF(M901=2,1,2),IF(M901=2,3,4)),IF(COUNTIF(V897:V900,V900)=2,IF(V900=V897,IF(V900&lt;V899,IF(M901=2,IF(Q916=3,1,2),IF(M901=1,IF(Q916=3,2,3))),IF(V900&gt;V899,IF(M901=2,IF(Q916=3,2,3),IF(M901=1,IF(Q916=3,3,4))))),IF(V900=V899,IF(V900&lt;V897,IF(M901=2,IF(Q925=3,1,2),IF(M901=1,IF(Q925=3,2,3))),IF(V900&gt;V897,IF(M901=2,IF(Q925=3,2,3),IF(M901=1,IF(Q925=3,3,4))))))),"")))),"")</f>
        <v/>
      </c>
      <c r="AC907" s="192"/>
      <c r="AD907" s="192"/>
      <c r="AE907" s="192"/>
      <c r="AF907" s="203"/>
      <c r="AG907" s="203"/>
      <c r="AH907" s="203"/>
      <c r="AI907" s="203"/>
      <c r="AJ907" s="203"/>
      <c r="AK907" s="203"/>
      <c r="AL907" s="203"/>
      <c r="AM907" s="203"/>
      <c r="AN907" s="192"/>
      <c r="AO907" s="192"/>
      <c r="AP907" s="192"/>
      <c r="AQ907" s="192"/>
      <c r="AR907" s="192"/>
      <c r="AS907" s="192"/>
      <c r="AT907" s="192"/>
      <c r="AU907" s="192"/>
      <c r="AV907" s="192"/>
      <c r="AW907" s="192"/>
      <c r="AX907" s="192"/>
    </row>
    <row r="908" spans="2:50" ht="15" customHeight="1" thickTop="1" thickBot="1" x14ac:dyDescent="0.35">
      <c r="B908" s="192"/>
      <c r="C908" s="192"/>
      <c r="D908" s="192"/>
      <c r="E908" s="168" t="s">
        <v>113</v>
      </c>
      <c r="F908" s="168" t="s">
        <v>114</v>
      </c>
      <c r="G908" s="117"/>
      <c r="H908" s="192"/>
      <c r="I908" s="249" t="s">
        <v>115</v>
      </c>
      <c r="J908" s="249"/>
      <c r="K908" s="249"/>
      <c r="L908" s="250" t="s">
        <v>115</v>
      </c>
      <c r="M908" s="250" t="s">
        <v>116</v>
      </c>
      <c r="N908" s="250" t="s">
        <v>117</v>
      </c>
      <c r="O908" s="250" t="s">
        <v>118</v>
      </c>
      <c r="P908" s="250" t="s">
        <v>119</v>
      </c>
      <c r="Q908" s="250" t="s">
        <v>120</v>
      </c>
      <c r="R908" s="250"/>
      <c r="S908" s="251"/>
      <c r="T908" s="208">
        <v>4</v>
      </c>
      <c r="U908" s="223"/>
      <c r="V908" s="140" t="str">
        <f>IF(V897="","",IF(OR(V900&lt;&gt;V897,V900&lt;&gt;V899),"",IF(AND(COUNTBLANK(I898:I901)=0,M898=M900,M900=M901),(SUM(L915:P915)+SUM(L924:P924))/(SUM(L916:P916)+SUM(L925:P925)),"")))</f>
        <v/>
      </c>
      <c r="W908" s="224" t="str">
        <f>IF(W897="","",IF(OR(W900&lt;&gt;W897,W900&lt;&gt;W898),"",IF(AND(COUNTBLANK(I898:I901)=0,M898=M899,M899=M901),(SUM(L915:P915)+SUM(L912:P912))/(SUM(L916:P916)+SUM(L913:P913)),"")))</f>
        <v/>
      </c>
      <c r="X908" s="252" t="str">
        <f>IF(X898="","",IF(OR(X900&lt;&gt;X898,X900&lt;&gt;X899),"",IF(AND(COUNTBLANK(I898:I901)=0,M899=M900,M900=M901),(SUM(L912:P912)+SUM(L924:P924))/(SUM(L913:P913)+SUM(L925:P925)),"")))</f>
        <v/>
      </c>
      <c r="Y908" s="192"/>
      <c r="Z908" s="203"/>
      <c r="AA908" s="243">
        <v>1</v>
      </c>
      <c r="AB908" s="151" t="str">
        <f>IF(AND(COUNTBLANK(I898:I901)=0,Group_players=4,M898=M899,M899=M901),IF(COUNTIF(W897:W900,W897)=3,AB921,IF(AND(COUNTIF(W897:W900,W897)=1,W898&lt;&gt;W900),IF(M898=2,IF(SMALL(W897:W900,1)=W897,1,IF(SMALL(W897:W900,2)=W897,2,IF(SMALL(W897:W900,3)=W897,3))),IF(M898=1,IF(SMALL(W897:W900,1)=W897,2,IF(SMALL(W897:W900,2)=W897,3,IF(SMALL(W897:W900,3)=W897,4))),"")),IF(COUNTIF(W897:W900,W897)=1,IF(W897&lt;W898,IF(M898=2,1,2),IF(M898=2,3,4)),IF(COUNTIF(W897:W900,W897)=2,IF(W897=W898,IF(W897&lt;W900,IF(M898=2,IF(Q921=3,1,2),IF(M898=1,IF(Q921=3,2,3))),IF(W897&gt;W900,IF(M898=2,IF(Q921=3,2,3),IF(M898=1,IF(Q921=3,3,4))))),IF(W897=W900,IF(W897&lt;W898,IF(M898=2,IF(Q915=3,1,2),IF(M898=1,IF(Q915=3,2,3))),IF(W897&gt;W898,IF(M898=2,IF(Q915=3,2,3),IF(M898=1,IF(Q915=3,3,4))))))),"")))),"")</f>
        <v/>
      </c>
      <c r="AC908" s="192"/>
      <c r="AD908" s="192"/>
      <c r="AE908" s="192"/>
      <c r="AF908" s="203"/>
      <c r="AG908" s="203"/>
      <c r="AH908" s="203"/>
      <c r="AI908" s="203"/>
      <c r="AJ908" s="203"/>
      <c r="AK908" s="203"/>
      <c r="AL908" s="203"/>
      <c r="AM908" s="203"/>
      <c r="AN908" s="192"/>
      <c r="AO908" s="192"/>
      <c r="AP908" s="192"/>
      <c r="AQ908" s="192"/>
      <c r="AR908" s="192"/>
      <c r="AS908" s="192"/>
      <c r="AT908" s="192"/>
      <c r="AU908" s="192"/>
      <c r="AV908" s="192"/>
      <c r="AW908" s="192"/>
      <c r="AX908" s="192"/>
    </row>
    <row r="909" spans="2:50" ht="15" customHeight="1" thickTop="1" x14ac:dyDescent="0.3">
      <c r="B909" s="192"/>
      <c r="C909" s="192"/>
      <c r="D909" s="192"/>
      <c r="E909" s="164" t="str">
        <f>IF(Q909="","",IF(Q909=3,1,0))</f>
        <v/>
      </c>
      <c r="F909" s="164" t="str">
        <f>IF(Q909="","",IF(Q909&lt;3,1,0))</f>
        <v/>
      </c>
      <c r="G909" s="192"/>
      <c r="H909" s="192" t="str">
        <f>IF(I898="","",1)</f>
        <v/>
      </c>
      <c r="I909" s="192" t="str">
        <f>IF(ISNUMBER(H909),VLOOKUP(H909,H898:I901,2,TRUE),"")</f>
        <v/>
      </c>
      <c r="J909" s="192"/>
      <c r="K909" s="192" t="str">
        <f>VLOOKUP(I909,I898:L901,3,FALSE)</f>
        <v/>
      </c>
      <c r="L909" s="253"/>
      <c r="M909" s="254"/>
      <c r="N909" s="254"/>
      <c r="O909" s="152"/>
      <c r="P909" s="153"/>
      <c r="Q909" s="255" t="str">
        <f>IF(L909="","",IF(AND(L909-L910&gt;1,L909&gt;10),1,0)+IF(AND(M909-M910&gt;1,M909&gt;10),1,0)+IF(AND(N909-N910&gt;1,N909&gt;10),1,0)+IF(AND(O909-O910&gt;1,O909&gt;10),1,0)+IF(AND(P909-P910&gt;1,P909&gt;10),1,0))</f>
        <v/>
      </c>
      <c r="R909" s="203" t="str">
        <f>IF(AND(I909="",I910=""),"",ABS(VLOOKUP(I909,I898:L901,4,FALSE)-VLOOKUP(I910,I898:L901,4,FALSE)))</f>
        <v/>
      </c>
      <c r="S909" s="256" t="str">
        <f>IF(R910="","",IF(Q909=3,+R910,-R910))</f>
        <v/>
      </c>
      <c r="T909" s="257"/>
      <c r="U909" s="258"/>
      <c r="V909" s="258"/>
      <c r="W909" s="258"/>
      <c r="X909" s="258"/>
      <c r="Y909" s="192"/>
      <c r="Z909" s="203"/>
      <c r="AA909" s="246">
        <v>2</v>
      </c>
      <c r="AB909" s="154" t="str">
        <f>IF(AND(COUNTBLANK(I898:I901)=0,Group_players=4,M898=M899,M899=M901),IF(COUNTIF(W897:W900,W898)=3,AB922,IF(AND(COUNTIF(W897:W900,W898)=1,W897&lt;&gt;W899),IF(M899=2,IF(SMALL(W897:W900,1)=W898,1,IF(SMALL(W897:W900,2)=W898,2,IF(SMALL(W897:W900,3)=W898,3))),IF(M899=1,IF(SMALL(W897:W900,1)=W898,2,IF(SMALL(W897:W900,2)=W898,3,IF(SMALL(W897:W900,3)=W898,4))),"")),IF(COUNTIF(W897:W900,W898)=1,IF(W898&lt;W897,IF(M899=2,1,2),IF(M899=2,3,4)),IF(COUNTIF(W897:W900,W898)=2,IF(W898=W897,IF(W898&lt;W900,IF(M899=2,IF(Q922=3,1,2),IF(M899=1,IF(Q922=3,2,3))),IF(W898&gt;W900,IF(M899=2,IF(Q922=3,2,3),IF(M899=1,IF(Q922=3,3,4))))),IF(W898=W900,IF(W898&lt;W897,IF(M899=2,IF(Q912=3,1,2),IF(M899=1,IF(Q912=3,2,3))),IF(W898&gt;W897,IF(M899=2,IF(Q912=3,2,3),IF(M899=1,IF(Q912=3,3,4))))))),"")))),"")</f>
        <v/>
      </c>
      <c r="AC909" s="192"/>
      <c r="AD909" s="192"/>
      <c r="AE909" s="192"/>
      <c r="AF909" s="203"/>
      <c r="AG909" s="203"/>
      <c r="AH909" s="203"/>
      <c r="AI909" s="203"/>
      <c r="AJ909" s="203"/>
      <c r="AK909" s="203"/>
      <c r="AL909" s="203"/>
      <c r="AM909" s="203"/>
      <c r="AN909" s="192"/>
      <c r="AO909" s="192"/>
      <c r="AP909" s="192"/>
      <c r="AQ909" s="192"/>
      <c r="AR909" s="192"/>
      <c r="AS909" s="192"/>
      <c r="AT909" s="192"/>
      <c r="AU909" s="192"/>
      <c r="AV909" s="192"/>
      <c r="AW909" s="192"/>
      <c r="AX909" s="192"/>
    </row>
    <row r="910" spans="2:50" ht="15" customHeight="1" thickBot="1" x14ac:dyDescent="0.35">
      <c r="B910" s="192"/>
      <c r="C910" s="192"/>
      <c r="D910" s="192"/>
      <c r="E910" s="164" t="str">
        <f>IF(Q910="","",IF(Q910=3,1,0))</f>
        <v/>
      </c>
      <c r="F910" s="164" t="str">
        <f>IF(Q910="","",IF(Q910&lt;3,1,0))</f>
        <v/>
      </c>
      <c r="G910" s="192"/>
      <c r="H910" s="192" t="str">
        <f>IF(I899="","",IF(I900="",2,3))</f>
        <v/>
      </c>
      <c r="I910" s="192" t="str">
        <f>IF(ISNUMBER(H910),VLOOKUP(H910,H898:I901,2,TRUE),"")</f>
        <v/>
      </c>
      <c r="J910" s="192"/>
      <c r="K910" s="192" t="str">
        <f>VLOOKUP(I910,I898:L901,3,FALSE)</f>
        <v/>
      </c>
      <c r="L910" s="155"/>
      <c r="M910" s="259"/>
      <c r="N910" s="259"/>
      <c r="O910" s="156"/>
      <c r="P910" s="157"/>
      <c r="Q910" s="260" t="str">
        <f>IF(L910="","",IF(AND(L910-L909&gt;1,L910&gt;10),1,0)+IF(AND(M910-M909&gt;1,M910&gt;10),1,0)+IF(AND(N910-N909&gt;1,N910&gt;10),1,0)+IF(AND(O910-O909&gt;1,O910&gt;10),1,0)+IF(AND(P910-P909&gt;1,P910&gt;10),1,0))</f>
        <v/>
      </c>
      <c r="R910" s="203" t="str">
        <f>IF(AND(Q909&lt;&gt;3,Q910&lt;&gt;3),"",IF(Q909=3,IF(VLOOKUP(I909,I898:L901,4,FALSE)&gt;VLOOKUP(I910,I898:L901,4,FALSE),VLOOKUP(R909,Point_dif,2,FALSE),VLOOKUP(R909,Point_dif,3,FALSE)),IF(Q910=3,IF(VLOOKUP(I910,I898:L901,4,FALSE)&gt;VLOOKUP(I909,I898:L901,4,FALSE),VLOOKUP(R909,Point_dif,2,FALSE),VLOOKUP(R909,Point_dif,3,FALSE)))))</f>
        <v/>
      </c>
      <c r="S910" s="256" t="str">
        <f>IF(R910="","",IF(Q910=3,+R910,-R910))</f>
        <v/>
      </c>
      <c r="T910" s="192"/>
      <c r="U910" s="235"/>
      <c r="V910" s="235"/>
      <c r="W910" s="235"/>
      <c r="X910" s="235"/>
      <c r="Y910" s="235"/>
      <c r="Z910" s="235"/>
      <c r="AA910" s="240">
        <v>4</v>
      </c>
      <c r="AB910" s="158" t="str">
        <f>IF(AND(COUNTBLANK(I898:I901)=0,Group_players=4,M898=M899,M899=M901),IF(COUNTIF(W897:W900,W900)=3,AB923,IF(AND(COUNTIF(W897:W900,W900)=1,W897&lt;&gt;W898),IF(M901=2,IF(SMALL(W897:W900,1)=W900,1,IF(SMALL(W897:W900,2)=W900,2,IF(SMALL(W897:W900,3)=W900,3))),IF(M901=1,IF(SMALL(W897:W900,1)=W900,2,IF(SMALL(W897:W900,2)=W900,3,IF(SMALL(W897:W900,3)=W900,4))),"")),IF(COUNTIF(W897:W900,W900)=1,IF(W900&lt;W897,IF(M901=2,1,2),IF(M901=2,3,4)),IF(COUNTIF(W897:W900,W900)=2,IF(W900=W897,IF(W900&lt;W898,IF(M901=2,IF(Q916=3,1,2),IF(M901=1,IF(Q916=3,2,3))),IF(W900&gt;W899,IF(M901=2,IF(Q916=3,2,3),IF(M901=1,IF(Q916=3,3,4))))),IF(W900=W898,IF(W900&lt;W897,IF(M901=2,IF(Q913=3,1,2),IF(M901=1,IF(Q913=3,2,3))),IF(W900&gt;W897,IF(M901=2,IF(Q913=3,2,3),IF(M901=1,IF(Q913=3,3,4))))))),"")))),"")</f>
        <v/>
      </c>
      <c r="AC910" s="192"/>
      <c r="AD910" s="192"/>
      <c r="AE910" s="192"/>
      <c r="AF910" s="203"/>
      <c r="AG910" s="203"/>
      <c r="AH910" s="203"/>
      <c r="AI910" s="203"/>
      <c r="AJ910" s="203"/>
      <c r="AK910" s="203"/>
      <c r="AL910" s="203"/>
      <c r="AM910" s="203"/>
      <c r="AN910" s="192"/>
      <c r="AO910" s="192"/>
      <c r="AP910" s="192"/>
      <c r="AQ910" s="192"/>
      <c r="AR910" s="192"/>
      <c r="AS910" s="192"/>
      <c r="AT910" s="192"/>
      <c r="AU910" s="192"/>
      <c r="AV910" s="192"/>
      <c r="AW910" s="192"/>
      <c r="AX910" s="192"/>
    </row>
    <row r="911" spans="2:50" ht="15" customHeight="1" thickTop="1" thickBot="1" x14ac:dyDescent="0.35">
      <c r="B911" s="192"/>
      <c r="C911" s="192"/>
      <c r="D911" s="192"/>
      <c r="E911" s="164"/>
      <c r="F911" s="164"/>
      <c r="G911" s="192"/>
      <c r="H911" s="192"/>
      <c r="I911" s="249" t="s">
        <v>116</v>
      </c>
      <c r="J911" s="249"/>
      <c r="K911" s="249"/>
      <c r="L911" s="250" t="s">
        <v>115</v>
      </c>
      <c r="M911" s="250" t="s">
        <v>116</v>
      </c>
      <c r="N911" s="250" t="s">
        <v>117</v>
      </c>
      <c r="O911" s="250" t="s">
        <v>118</v>
      </c>
      <c r="P911" s="250" t="s">
        <v>119</v>
      </c>
      <c r="Q911" s="250" t="s">
        <v>120</v>
      </c>
      <c r="R911" s="250"/>
      <c r="S911" s="251"/>
      <c r="T911" s="192"/>
      <c r="U911" s="235"/>
      <c r="V911" s="235"/>
      <c r="W911" s="235"/>
      <c r="X911" s="235"/>
      <c r="Y911" s="235"/>
      <c r="Z911" s="235"/>
      <c r="AA911" s="243">
        <v>2</v>
      </c>
      <c r="AB911" s="151" t="str">
        <f>IF(AND(COUNTBLANK(I898:I901)=0,Group_players=4,M899=M900,M900=M901),IF(COUNTIF(X897:X900,X898)=3,AB924,IF(AND(COUNTIF(X897:X900,X898)=1,X899&lt;&gt;X900),IF(M899=2,IF(SMALL(X897:X900,1)=X898,1,IF(SMALL(X897:X900,2)=X898,2,IF(SMALL(X897:X900,3)=X898,3))),IF(M899=1,IF(SMALL(X897:X900,1)=X898,2,IF(SMALL(X897:X900,2)=X898,3,IF(SMALL(X897:X900,3)=X898,4))),"")),IF(COUNTIF(X897:X900,X898)=1,IF(X898&lt;X900,IF(M899=2,1,2),IF(M899=1,3,3)),IF(COUNTIF(X897:X900,X898)=2,IF(X898=X899,IF(X898&lt;X900,IF(M899=2,IF(Q918=3,1,2),IF(M899=1,IF(Q918=3,2,3))),IF(X898&gt;X900,IF(M899=2,IF(Q918=3,2,3),IF(M899=1,IF(Q918=3,3,4))))),IF(X898=X900,IF(X898&lt;X899,IF(M899=2,IF(Q912=3,1,2),IF(M899=1,IF(Q912=3,2,3))),IF(X898&gt;X899,IF(M899=2,IF(Q912=3,2,3),IF(M899=1,IF(Q912=3,3,4))))))),"")))),"")</f>
        <v/>
      </c>
      <c r="AC911" s="192"/>
      <c r="AD911" s="192"/>
      <c r="AE911" s="192"/>
      <c r="AF911" s="203"/>
      <c r="AG911" s="203"/>
      <c r="AH911" s="203"/>
      <c r="AI911" s="203"/>
      <c r="AJ911" s="203"/>
      <c r="AK911" s="203"/>
      <c r="AL911" s="203"/>
      <c r="AM911" s="203"/>
      <c r="AN911" s="192"/>
      <c r="AO911" s="192"/>
      <c r="AP911" s="192"/>
      <c r="AQ911" s="192"/>
      <c r="AR911" s="192"/>
      <c r="AS911" s="192"/>
      <c r="AT911" s="192"/>
      <c r="AU911" s="192"/>
      <c r="AV911" s="192"/>
      <c r="AW911" s="192"/>
      <c r="AX911" s="192"/>
    </row>
    <row r="912" spans="2:50" ht="15" customHeight="1" thickTop="1" x14ac:dyDescent="0.3">
      <c r="B912" s="192"/>
      <c r="C912" s="192"/>
      <c r="D912" s="192"/>
      <c r="E912" s="164" t="str">
        <f>IF(Q912="","",IF(Q912=3,1,0))</f>
        <v/>
      </c>
      <c r="F912" s="164" t="str">
        <f>IF(Q912="","",IF(Q912&lt;3,1,0))</f>
        <v/>
      </c>
      <c r="G912" s="192"/>
      <c r="H912" s="192" t="str">
        <f>IF(I900="","",2)</f>
        <v/>
      </c>
      <c r="I912" s="192" t="str">
        <f>IF(ISNUMBER(H912),VLOOKUP(H912,H898:I901,2,TRUE),"")</f>
        <v/>
      </c>
      <c r="J912" s="192"/>
      <c r="K912" s="192" t="str">
        <f>VLOOKUP(I912,I898:L901,3,FALSE)</f>
        <v/>
      </c>
      <c r="L912" s="253"/>
      <c r="M912" s="254"/>
      <c r="N912" s="254"/>
      <c r="O912" s="152"/>
      <c r="P912" s="153"/>
      <c r="Q912" s="255" t="str">
        <f>IF(L912="","",IF(AND(L912-L913&gt;1,L912&gt;10),1,0)+IF(AND(M912-M913&gt;1,M912&gt;10),1,0)+IF(AND(N912-N913&gt;1,N912&gt;10),1,0)+IF(AND(O912-O913&gt;1,O912&gt;10),1,0)+IF(AND(P912-P913&gt;1,P912&gt;10),1,0))</f>
        <v/>
      </c>
      <c r="R912" s="203" t="str">
        <f>IF(AND(I912="",I913=""),"",ABS(VLOOKUP(I912,I898:L901,4,FALSE)-VLOOKUP(I913,I898:L901,4,FALSE)))</f>
        <v/>
      </c>
      <c r="S912" s="256" t="str">
        <f>IF(R913="","",IF(Q912=3,+R913,-R913))</f>
        <v/>
      </c>
      <c r="T912" s="192"/>
      <c r="U912" s="235"/>
      <c r="V912" s="235"/>
      <c r="W912" s="235"/>
      <c r="X912" s="235"/>
      <c r="Y912" s="235"/>
      <c r="Z912" s="235"/>
      <c r="AA912" s="246">
        <v>3</v>
      </c>
      <c r="AB912" s="154" t="str">
        <f>IF(AND(COUNTBLANK(I898:I901)=0,Group_players=4,M899=M900,M900=M901),IF(COUNTIF(X897:X900,X899)=3,AB925,IF(AND(COUNTIF(X897:X900,X899)=1,X898&lt;&gt;X900),IF(M900=2,IF(SMALL(X897:X900,1)=X899,1,IF(SMALL(X897:X900,2)=X899,2,IF(SMALL(X897:X900,3)=X899,3))),IF(M900=1,IF(SMALL(X897:X900,1)=X899,2,IF(SMALL(X897:X900,2)=X899,3,IF(SMALL(X897:X900,3)=X899,4))),"")),IF(COUNTIF(X897:X900,X899)=1,IF(X899&lt;X898,IF(M900=2,1,2),IF(M900=2,3,4)),IF(COUNTIF(X897:X900,X899)=2,IF(X899=X898,IF(X899&lt;X900,IF(M900=2,IF(Q919=3,1,2),IF(M900=1,IF(Q919=3,2,3))),IF(X899&gt;X900,IF(M900=2,IF(Q919=3,2,3),IF(M900=1,IF(Q919=3,3,4))))),IF(X899=X900,IF(X899&lt;X898,IF(M900=2,IF(Q924=3,1,2),IF(M900=1,IF(Q924=3,2,3))),IF(X899&gt;X898,IF(M900=2,IF(Q924=3,2,3),IF(M900=1,IF(Q924=3,3,4))))))),"")))),"")</f>
        <v/>
      </c>
      <c r="AC912" s="192"/>
      <c r="AD912" s="192"/>
      <c r="AE912" s="192"/>
      <c r="AF912" s="203"/>
      <c r="AG912" s="203"/>
      <c r="AH912" s="203"/>
      <c r="AI912" s="203"/>
      <c r="AJ912" s="203"/>
      <c r="AK912" s="203"/>
      <c r="AL912" s="203"/>
      <c r="AM912" s="203"/>
      <c r="AN912" s="192"/>
      <c r="AO912" s="192"/>
      <c r="AP912" s="192"/>
      <c r="AQ912" s="192"/>
      <c r="AR912" s="192"/>
      <c r="AS912" s="192"/>
      <c r="AT912" s="192"/>
      <c r="AU912" s="192"/>
      <c r="AV912" s="192"/>
      <c r="AW912" s="192"/>
      <c r="AX912" s="192"/>
    </row>
    <row r="913" spans="2:50" ht="15" customHeight="1" thickBot="1" x14ac:dyDescent="0.35">
      <c r="B913" s="192"/>
      <c r="C913" s="192"/>
      <c r="D913" s="192"/>
      <c r="E913" s="164" t="str">
        <f>IF(Q913="","",IF(Q913=3,1,0))</f>
        <v/>
      </c>
      <c r="F913" s="164" t="str">
        <f>IF(Q913="","",IF(Q913&lt;3,1,0))</f>
        <v/>
      </c>
      <c r="G913" s="192"/>
      <c r="H913" s="192" t="str">
        <f>IF(I900="","",IF(I901="",3,4))</f>
        <v/>
      </c>
      <c r="I913" s="192" t="str">
        <f>IF(ISNUMBER(H913),VLOOKUP(H913,H898:I901,2,TRUE),"")</f>
        <v/>
      </c>
      <c r="J913" s="192"/>
      <c r="K913" s="192" t="str">
        <f>VLOOKUP(I913,I898:L901,3,FALSE)</f>
        <v/>
      </c>
      <c r="L913" s="155"/>
      <c r="M913" s="259"/>
      <c r="N913" s="259"/>
      <c r="O913" s="156"/>
      <c r="P913" s="157"/>
      <c r="Q913" s="260" t="str">
        <f>IF(L913="","",IF(AND(L913-L912&gt;1,L913&gt;10),1,0)+IF(AND(M913-M912&gt;1,M913&gt;10),1,0)+IF(AND(N913-N912&gt;1,N913&gt;10),1,0)+IF(AND(O913-O912&gt;1,O913&gt;10),1,0)+IF(AND(P913-P912&gt;1,P913&gt;10),1,0))</f>
        <v/>
      </c>
      <c r="R913" s="203" t="str">
        <f>IF(AND(Q912&lt;&gt;3,Q913&lt;&gt;3),"",IF(Q912=3,IF(VLOOKUP(I912,I898:L901,4,FALSE)&gt;VLOOKUP(I913,I898:L901,4,FALSE),VLOOKUP(R912,Point_dif,2,FALSE),VLOOKUP(R912,Point_dif,3,FALSE)),IF(Q913=3,IF(VLOOKUP(I913,I898:L901,4,FALSE)&gt;VLOOKUP(I912,I898:L901,4,FALSE),VLOOKUP(R912,Point_dif,2,FALSE),VLOOKUP(R912,Point_dif,3,FALSE)))))</f>
        <v/>
      </c>
      <c r="S913" s="256" t="str">
        <f>IF(R913="","",IF(Q913=3,+R913,-R913))</f>
        <v/>
      </c>
      <c r="T913" s="192"/>
      <c r="U913" s="235"/>
      <c r="V913" s="235"/>
      <c r="W913" s="235"/>
      <c r="X913" s="235"/>
      <c r="Y913" s="235"/>
      <c r="Z913" s="235"/>
      <c r="AA913" s="261">
        <v>4</v>
      </c>
      <c r="AB913" s="158" t="str">
        <f>IF(AND(COUNTBLANK(I898:I901)=0,Group_players=4,M899=M900,M900=M901),IF(COUNTIF(X897:X900,X900)=3,AB926,IF(AND(COUNTIF(X897:X900,X900)=1,X899&lt;&gt;X898),IF(M901=2,IF(SMALL(X897:X900,1)=X900,1,IF(SMALL(X897:X900,2)=X900,2,IF(SMALL(X897:X900,3)=X900,3))),IF(M901=1,IF(SMALL(X897:X900,1)=X900,2,IF(SMALL(X897:X900,2)=X900,3,IF(SMALL(X897:X900,3)=X900,4))),"")),IF(COUNTIF(X897:X900,X900)=1,IF(X900&lt;X898,IF(M901=2,1,2),IF(M901=2,3,4)),IF(COUNTIF(X897:X900,X900)=2,IF(X900=X898,IF(X900&lt;X899,IF(M901=2,IF(Q913=3,1,2),IF(M901=1,IF(Q913=3,2,3))),IF(X900&gt;X899,IF(M901=2,IF(Q913=3,2,3),IF(M901=1,IF(Q913=3,3,4))))),IF(X900=X899,IF(X900&lt;X898,IF(M901=2,IF(Q925=3,1,2),IF(M901=1,IF(Q925=3,2,3))),IF(X900&gt;X898,IF(M901=2,IF(Q925=3,2,3),IF(M901=1,IF(Q925=3,3,4))))))),"")))),"")</f>
        <v/>
      </c>
      <c r="AC913" s="192"/>
      <c r="AD913" s="192"/>
      <c r="AE913" s="192"/>
      <c r="AF913" s="203"/>
      <c r="AG913" s="203"/>
      <c r="AH913" s="203"/>
      <c r="AI913" s="203"/>
      <c r="AJ913" s="203"/>
      <c r="AK913" s="203"/>
      <c r="AL913" s="203"/>
      <c r="AM913" s="203"/>
      <c r="AN913" s="192"/>
      <c r="AO913" s="192"/>
      <c r="AP913" s="192"/>
      <c r="AQ913" s="192"/>
      <c r="AR913" s="192"/>
      <c r="AS913" s="192"/>
      <c r="AT913" s="192"/>
      <c r="AU913" s="192"/>
      <c r="AV913" s="192"/>
      <c r="AW913" s="192"/>
      <c r="AX913" s="192"/>
    </row>
    <row r="914" spans="2:50" ht="15" customHeight="1" thickTop="1" thickBot="1" x14ac:dyDescent="0.35">
      <c r="B914" s="192"/>
      <c r="C914" s="192"/>
      <c r="D914" s="192"/>
      <c r="E914" s="164"/>
      <c r="F914" s="164"/>
      <c r="G914" s="192"/>
      <c r="H914" s="192"/>
      <c r="I914" s="249" t="s">
        <v>117</v>
      </c>
      <c r="J914" s="249"/>
      <c r="K914" s="249"/>
      <c r="L914" s="250" t="s">
        <v>115</v>
      </c>
      <c r="M914" s="250" t="s">
        <v>116</v>
      </c>
      <c r="N914" s="250" t="s">
        <v>117</v>
      </c>
      <c r="O914" s="250" t="s">
        <v>118</v>
      </c>
      <c r="P914" s="250" t="s">
        <v>119</v>
      </c>
      <c r="Q914" s="250" t="s">
        <v>120</v>
      </c>
      <c r="R914" s="250"/>
      <c r="S914" s="251"/>
      <c r="T914" s="263"/>
      <c r="U914" s="264"/>
      <c r="V914" s="242"/>
      <c r="W914" s="242"/>
      <c r="X914" s="264"/>
      <c r="Y914" s="192"/>
      <c r="Z914" s="203"/>
      <c r="AA914" s="126" t="s">
        <v>93</v>
      </c>
      <c r="AB914" s="265" t="s">
        <v>110</v>
      </c>
      <c r="AC914" s="192"/>
      <c r="AD914" s="192"/>
      <c r="AE914" s="192"/>
      <c r="AF914" s="203"/>
      <c r="AG914" s="203"/>
      <c r="AH914" s="203"/>
      <c r="AI914" s="203"/>
      <c r="AJ914" s="203"/>
      <c r="AK914" s="203"/>
      <c r="AL914" s="203"/>
      <c r="AM914" s="203"/>
      <c r="AN914" s="192"/>
      <c r="AO914" s="192"/>
      <c r="AP914" s="192"/>
      <c r="AQ914" s="192"/>
      <c r="AR914" s="192"/>
      <c r="AS914" s="192"/>
      <c r="AT914" s="192"/>
      <c r="AU914" s="192"/>
      <c r="AV914" s="192"/>
      <c r="AW914" s="192"/>
      <c r="AX914" s="192"/>
    </row>
    <row r="915" spans="2:50" ht="15" customHeight="1" thickTop="1" x14ac:dyDescent="0.3">
      <c r="B915" s="192"/>
      <c r="C915" s="192"/>
      <c r="D915" s="192"/>
      <c r="E915" s="164" t="str">
        <f>IF(Q915="","",IF(Q915=3,1,0))</f>
        <v/>
      </c>
      <c r="F915" s="164" t="str">
        <f>IF(Q915="","",IF(Q915&lt;3,1,0))</f>
        <v/>
      </c>
      <c r="G915" s="192"/>
      <c r="H915" s="192" t="str">
        <f>IF(I900&lt;&gt;"",1,"")</f>
        <v/>
      </c>
      <c r="I915" s="192" t="str">
        <f>IF(ISNUMBER(H915),VLOOKUP(H915,H898:I901,2,TRUE),"")</f>
        <v/>
      </c>
      <c r="J915" s="192"/>
      <c r="K915" s="192" t="str">
        <f>VLOOKUP(I915,I898:L901,3,FALSE)</f>
        <v/>
      </c>
      <c r="L915" s="253"/>
      <c r="M915" s="254"/>
      <c r="N915" s="254"/>
      <c r="O915" s="152"/>
      <c r="P915" s="153"/>
      <c r="Q915" s="255" t="str">
        <f>IF(L915="","",IF(AND(L915-L916&gt;1,L915&gt;10),1,0)+IF(AND(M915-M916&gt;1,M915&gt;10),1,0)+IF(AND(N915-N916&gt;1,N915&gt;10),1,0)+IF(AND(O915-O916&gt;1,O915&gt;10),1,0)+IF(AND(P915-P916&gt;1,P915&gt;10),1,0))</f>
        <v/>
      </c>
      <c r="R915" s="203" t="str">
        <f>IF(AND(I915="",I916=""),"",ABS(VLOOKUP(I915,I898:L901,4,FALSE)-VLOOKUP(I916,I898:L901,4,FALSE)))</f>
        <v/>
      </c>
      <c r="S915" s="256" t="str">
        <f>IF(R916="","",IF(Q915=3,+R916,-R916))</f>
        <v/>
      </c>
      <c r="T915" s="192"/>
      <c r="U915" s="235"/>
      <c r="V915" s="235"/>
      <c r="W915" s="235"/>
      <c r="X915" s="235"/>
      <c r="Y915" s="235"/>
      <c r="Z915" s="235"/>
      <c r="AA915" s="243">
        <v>1</v>
      </c>
      <c r="AB915" s="222" t="str">
        <f>IF(AND(COUNTBLANK(I898:I901)=0,Group_players=4,M898=M899,M899=M900),IF(U905="","",IF(COUNTIF(U905:U908,U905)=3,"Tied",IF(AND(COUNTIF(U905:U908,U905)=1,U906&lt;&gt;U907),IF(M898=2,IF(SMALL(U905:U908,1)=U905,1,IF(SMALL(U905:U908,2)=U905,2,IF(SMALL(U905:U908,3)=U905,3))),IF(M898=1,IF(SMALL(U905:U908,1)=U905,2,IF(SMALL(U905:U908,2)=U905,3,IF(SMALL(U905:U908,3)=U905,4))),"")),IF(COUNTIF(U905:U908,U905)=1,IF(U905&lt;U906,IF(M898=2,1,2),IF(M898=2,3,4)),IF(COUNTIF(U905:U908,U905)=2,IF(U905=U906,IF(U905&lt;U907,IF(M898=2,IF(Q921=3,1,2),IF(M898=1,IF(Q921=3,2,3))),IF(U905&gt;U907,IF(M898=2,IF(Q921=3,2,3),IF(M898=1,IF(Q921=3,3,4))))),IF(U905=U907,IF(U905&lt;U906,IF(M898=2,IF(Q909=3,1,2),IF(M898=1,IF(Q909=3,2,3))),IF(U905&gt;U906,IF(M898=2,IF(Q909=3,2,3),IF(M898=1,IF(Q909=3,3,4)))))))))))),"")</f>
        <v/>
      </c>
      <c r="AC915" s="192"/>
      <c r="AD915" s="192"/>
      <c r="AE915" s="192"/>
      <c r="AF915" s="203"/>
      <c r="AG915" s="203"/>
      <c r="AH915" s="203"/>
      <c r="AI915" s="203"/>
      <c r="AJ915" s="203"/>
      <c r="AK915" s="203"/>
      <c r="AL915" s="203"/>
      <c r="AM915" s="203"/>
      <c r="AN915" s="192"/>
      <c r="AO915" s="192"/>
      <c r="AP915" s="192"/>
      <c r="AQ915" s="192"/>
      <c r="AR915" s="192"/>
      <c r="AS915" s="192"/>
      <c r="AT915" s="192"/>
      <c r="AU915" s="192"/>
      <c r="AV915" s="192"/>
      <c r="AW915" s="192"/>
      <c r="AX915" s="192"/>
    </row>
    <row r="916" spans="2:50" ht="15" customHeight="1" thickBot="1" x14ac:dyDescent="0.35">
      <c r="B916" s="192"/>
      <c r="C916" s="192"/>
      <c r="D916" s="192"/>
      <c r="E916" s="164" t="str">
        <f>IF(Q916="","",IF(Q916=3,1,0))</f>
        <v/>
      </c>
      <c r="F916" s="164" t="str">
        <f>IF(Q916="","",IF(Q916&lt;3,1,0))</f>
        <v/>
      </c>
      <c r="G916" s="192"/>
      <c r="H916" s="192" t="str">
        <f>IF(I900="","",IF(I901&lt;&gt;"",4,2))</f>
        <v/>
      </c>
      <c r="I916" s="192" t="str">
        <f>IF(ISNUMBER(H916),VLOOKUP(H916,H898:I901,2,TRUE),"")</f>
        <v/>
      </c>
      <c r="J916" s="192"/>
      <c r="K916" s="192" t="str">
        <f>VLOOKUP(I916,I898:L901,3,FALSE)</f>
        <v/>
      </c>
      <c r="L916" s="155"/>
      <c r="M916" s="259"/>
      <c r="N916" s="259"/>
      <c r="O916" s="156"/>
      <c r="P916" s="157"/>
      <c r="Q916" s="260" t="str">
        <f>IF(L916="","",IF(AND(L916-L915&gt;1,L916&gt;10),1,0)+IF(AND(M916-M915&gt;1,M916&gt;10),1,0)+IF(AND(N916-N915&gt;1,N916&gt;10),1,0)+IF(AND(O916-O915&gt;1,O916&gt;10),1,0)+IF(AND(P916-P915&gt;1,P916&gt;10),1,0))</f>
        <v/>
      </c>
      <c r="R916" s="203" t="str">
        <f>IF(AND(Q915&lt;&gt;3,Q916&lt;&gt;3),"",IF(Q915=3,IF(VLOOKUP(I915,I898:L901,4,FALSE)&gt;VLOOKUP(I916,I898:L901,4,FALSE),VLOOKUP(R915,Point_dif,2,FALSE),VLOOKUP(R915,Point_dif,3,FALSE)),IF(Q916=3,IF(VLOOKUP(I916,I898:L901,4,FALSE)&gt;VLOOKUP(I915,I898:L901,4,FALSE),VLOOKUP(R915,Point_dif,2,FALSE),VLOOKUP(R915,Point_dif,3,FALSE)))))</f>
        <v/>
      </c>
      <c r="S916" s="256" t="str">
        <f>IF(R916="","",IF(Q916=3,+R916,-R916))</f>
        <v/>
      </c>
      <c r="T916" s="192"/>
      <c r="U916" s="235"/>
      <c r="V916" s="235"/>
      <c r="W916" s="235"/>
      <c r="X916" s="235"/>
      <c r="Y916" s="235"/>
      <c r="Z916" s="235"/>
      <c r="AA916" s="246">
        <v>2</v>
      </c>
      <c r="AB916" s="222" t="str">
        <f>IF(AND(COUNTBLANK(I898:I901)=0,Group_players=4,M898=M899,M899=M900),IF(U906="","",IF(COUNTIF(U905:U908,U906)=3,"Tied",IF(AND(COUNTIF(U905:U908,U906)=1,U905&lt;&gt;U907),IF(M899=2,IF(SMALL(U905:U908,1)=U906,1,IF(SMALL(U905:U908,2)=U906,2,IF(SMALL(U905:U908,3)=U906,3))),IF(M899=1,IF(SMALL(U905:U908,1)=U906,2,IF(SMALL(U905:U908,2)=U906,3,IF(SMALL(U905:U908,3)=U906,4))),"")),IF(COUNTIF(U905:U908,U906)=1,IF(U906&lt;U905,IF(M899=2,1,2),IF(M899=2,3,4)),IF(COUNTIF(U905:U908,U906)=2,IF(U906=U905,IF(U906&lt;U907,IF(M899=2,IF(Q922=3,1,2),IF(M899=1,IF(Q922=3,2,3))),IF(U906&gt;U907,IF(M899=2,IF(Q922=3,2,3),IF(M899=1,IF(Q922=3,3,4))))),IF(U906=U907,IF(U906&lt;U905,IF(M899=2,IF(Q918=3,1,2),IF(M899=1,IF(Q918=3,2,3))),IF(U906&gt;U905,IF(M899=2,IF(Q918=3,2,3),IF(M899=1,IF(Q918=3,3,4)))))))))))),"")</f>
        <v/>
      </c>
      <c r="AC916" s="192"/>
      <c r="AD916" s="192"/>
      <c r="AE916" s="192"/>
      <c r="AF916" s="203"/>
      <c r="AG916" s="203"/>
      <c r="AH916" s="203"/>
      <c r="AI916" s="203"/>
      <c r="AJ916" s="203"/>
      <c r="AK916" s="203"/>
      <c r="AL916" s="203"/>
      <c r="AM916" s="203"/>
      <c r="AN916" s="192"/>
      <c r="AO916" s="192"/>
      <c r="AP916" s="192"/>
      <c r="AQ916" s="192"/>
      <c r="AR916" s="192"/>
      <c r="AS916" s="192"/>
      <c r="AT916" s="192"/>
      <c r="AU916" s="192"/>
      <c r="AV916" s="192"/>
      <c r="AW916" s="192"/>
      <c r="AX916" s="192"/>
    </row>
    <row r="917" spans="2:50" ht="15" customHeight="1" thickTop="1" thickBot="1" x14ac:dyDescent="0.35">
      <c r="B917" s="192"/>
      <c r="C917" s="192"/>
      <c r="D917" s="192"/>
      <c r="E917" s="164"/>
      <c r="F917" s="164"/>
      <c r="G917" s="192"/>
      <c r="H917" s="192"/>
      <c r="I917" s="249" t="s">
        <v>118</v>
      </c>
      <c r="J917" s="249"/>
      <c r="K917" s="249"/>
      <c r="L917" s="250" t="s">
        <v>115</v>
      </c>
      <c r="M917" s="250" t="s">
        <v>116</v>
      </c>
      <c r="N917" s="250" t="s">
        <v>117</v>
      </c>
      <c r="O917" s="250" t="s">
        <v>118</v>
      </c>
      <c r="P917" s="250" t="s">
        <v>119</v>
      </c>
      <c r="Q917" s="250" t="s">
        <v>120</v>
      </c>
      <c r="R917" s="250"/>
      <c r="S917" s="251"/>
      <c r="T917" s="192"/>
      <c r="U917" s="235"/>
      <c r="V917" s="235"/>
      <c r="W917" s="235"/>
      <c r="X917" s="235"/>
      <c r="Y917" s="235"/>
      <c r="Z917" s="235"/>
      <c r="AA917" s="240">
        <v>3</v>
      </c>
      <c r="AB917" s="241" t="str">
        <f>IF(AND(COUNTBLANK(I898:I901)=0,Group_players=4,M898=M899,M899=M900),IF(U907="","",IF(COUNTIF(U905:U908,U907)=3,"Tied",IF(AND(COUNTIF(U905:U908,U907)=1,U905&lt;&gt;U906),IF(M898=2,IF(SMALL(U905:U908,1)=U907,1,IF(SMALL(U905:U908,2)=U907,2,IF(SMALL(U905:U908,3)=U907,3))),IF(M900=1,IF(SMALL(U905:U908,1)=U907,2,IF(SMALL(U905:U908,2)=U907,3,IF(SMALL(U905:U908,3)=U907,4))),"")),IF(COUNTIF(U905:U908,U907)=1,IF(U907&lt;U906,IF(M900=2,1,2),IF(M900=2,3,4)),IF(COUNTIF(U905:U908,U907)=2,IF(U907=U906,IF(U907&lt;U905,IF(M900=2,IF(Q919=3,1,2),IF(M900=1,IF(Q919=3,2,3))),IF(U907&gt;U905,IF(M900=2,IF(Q919=3,2,3),IF(M900=1,IF(Q919=3,3,4))))),IF(U907=U905,IF(U907&lt;U906,IF(M900=2,IF(Q910=3,1,2),IF(M900=1,IF(Q910=3,2,3))),IF(U907&gt;U906,IF(M900=2,IF(Q910=3,2,3),IF(M900=1,IF(Q910=3,3,4)))))))))))),"")</f>
        <v/>
      </c>
      <c r="AC917" s="192"/>
      <c r="AD917" s="192"/>
      <c r="AE917" s="192"/>
      <c r="AF917" s="203"/>
      <c r="AG917" s="203"/>
      <c r="AH917" s="203"/>
      <c r="AI917" s="203"/>
      <c r="AJ917" s="203"/>
      <c r="AK917" s="203"/>
      <c r="AL917" s="203"/>
      <c r="AM917" s="203"/>
      <c r="AN917" s="192"/>
      <c r="AO917" s="192"/>
      <c r="AP917" s="192"/>
      <c r="AQ917" s="192"/>
      <c r="AR917" s="192"/>
      <c r="AS917" s="192"/>
      <c r="AT917" s="192"/>
      <c r="AU917" s="192"/>
      <c r="AV917" s="192"/>
      <c r="AW917" s="192"/>
      <c r="AX917" s="192"/>
    </row>
    <row r="918" spans="2:50" ht="15" customHeight="1" thickTop="1" x14ac:dyDescent="0.3">
      <c r="B918" s="192"/>
      <c r="C918" s="192"/>
      <c r="D918" s="192"/>
      <c r="E918" s="164" t="str">
        <f>IF(Q918="","",IF(Q918=3,1,0))</f>
        <v/>
      </c>
      <c r="F918" s="164" t="str">
        <f>IF(Q918="","",IF(Q918&lt;3,1,0))</f>
        <v/>
      </c>
      <c r="G918" s="192"/>
      <c r="H918" s="192" t="str">
        <f>IF(I901&lt;&gt;"",2,"")</f>
        <v/>
      </c>
      <c r="I918" s="192" t="str">
        <f>IF(ISNUMBER(H918),VLOOKUP(H918,H898:I901,2,TRUE),"")</f>
        <v/>
      </c>
      <c r="J918" s="192"/>
      <c r="K918" s="192" t="str">
        <f>VLOOKUP(I918,I898:L901,3,FALSE)</f>
        <v/>
      </c>
      <c r="L918" s="253"/>
      <c r="M918" s="254"/>
      <c r="N918" s="254"/>
      <c r="O918" s="152"/>
      <c r="P918" s="153"/>
      <c r="Q918" s="255" t="str">
        <f>IF(L918="","",IF(AND(L918-L919&gt;1,L918&gt;10),1,0)+IF(AND(M918-M919&gt;1,M918&gt;10),1,0)+IF(AND(N918-N919&gt;1,N918&gt;10),1,0)+IF(AND(O918-O919&gt;1,O918&gt;10),1,0)+IF(AND(P918-P919&gt;1,P918&gt;10),1,0))</f>
        <v/>
      </c>
      <c r="R918" s="203" t="str">
        <f>IF(AND(I918="",I919=""),"",ABS(VLOOKUP(I918,I898:L901,4,FALSE)-VLOOKUP(I919,I898:L901,4,FALSE)))</f>
        <v/>
      </c>
      <c r="S918" s="256" t="str">
        <f>IF(R919="","",IF(Q918=3,+R919,-R919))</f>
        <v/>
      </c>
      <c r="T918" s="192"/>
      <c r="U918" s="235"/>
      <c r="V918" s="235"/>
      <c r="W918" s="235"/>
      <c r="X918" s="235"/>
      <c r="Y918" s="235"/>
      <c r="Z918" s="235"/>
      <c r="AA918" s="243">
        <v>1</v>
      </c>
      <c r="AB918" s="222" t="str">
        <f>IF(AND(COUNTBLANK(I898:I901)=0,Group_players=4,M898=M900,M900=M901),IF(V905="","",IF(COUNTIF(V905:V908,V905)=3,"Tied",IF(AND(COUNTIF(V905:V908,V905)=1,V907&lt;&gt;U908),IF(M898=2,IF(SMALL(V905:V908,1)=V905,1,IF(SMALL(V905:V908,2)=V905,2,IF(SMALL(V905:V908,3)=V905,3))),IF(M898=1,IF(SMALL(V905:V908,1)=V905,2,IF(SMALL(V905:V908,2)=V905,3,IF(SMALL(V905:V908,3)=V905,4))),"")),IF(COUNTIF(V905:V908,V905)=1,IF(V905&lt;V907,IF(M898=2,1,2),IF(M898=2,3,4)),IF(COUNTIF(V905:V908,V905)=2,IF(V905=V907,IF(V905&lt;V908,IF(M898=2,IF(Q909=3,1,2),IF(M898=1,IF(Q909=3,2,3))),IF(V905&gt;V908,IF(M898=2,IF(Q909=3,2,3),IF(M898=1,IF(Q909=3,3,4))))),IF(V905=V908,IF(V905&lt;V907,IF(M898=2,IF(Q915=3,1,2),IF(M898=1,IF(Q915=3,2,3))),IF(V905&gt;V906,IF(M898=2,IF(Q915=3,2,3),IF(M898=1,IF(Q915=3,3,4)))))))))))),"")</f>
        <v/>
      </c>
      <c r="AC918" s="192"/>
      <c r="AD918" s="192"/>
      <c r="AE918" s="192"/>
      <c r="AF918" s="203"/>
      <c r="AG918" s="203"/>
      <c r="AH918" s="203"/>
      <c r="AI918" s="203"/>
      <c r="AJ918" s="203"/>
      <c r="AK918" s="203"/>
      <c r="AL918" s="203"/>
      <c r="AM918" s="203"/>
      <c r="AN918" s="192"/>
      <c r="AO918" s="192"/>
      <c r="AP918" s="192"/>
      <c r="AQ918" s="192"/>
      <c r="AR918" s="192"/>
      <c r="AS918" s="192"/>
      <c r="AT918" s="192"/>
      <c r="AU918" s="192"/>
      <c r="AV918" s="192"/>
      <c r="AW918" s="192"/>
      <c r="AX918" s="192"/>
    </row>
    <row r="919" spans="2:50" ht="15" customHeight="1" thickBot="1" x14ac:dyDescent="0.35">
      <c r="B919" s="192"/>
      <c r="C919" s="192"/>
      <c r="D919" s="192"/>
      <c r="E919" s="164" t="str">
        <f>IF(Q919="","",IF(Q919=3,1,0))</f>
        <v/>
      </c>
      <c r="F919" s="164" t="str">
        <f>IF(Q919="","",IF(Q919&lt;3,1,0))</f>
        <v/>
      </c>
      <c r="G919" s="192"/>
      <c r="H919" s="192" t="str">
        <f>IF(I901&lt;&gt;"",3,"")</f>
        <v/>
      </c>
      <c r="I919" s="192" t="str">
        <f>IF(ISNUMBER(H919),VLOOKUP(H919,H898:I901,2,TRUE),"")</f>
        <v/>
      </c>
      <c r="J919" s="192"/>
      <c r="K919" s="192" t="str">
        <f>VLOOKUP(I919,I898:L901,3,FALSE)</f>
        <v/>
      </c>
      <c r="L919" s="155"/>
      <c r="M919" s="259"/>
      <c r="N919" s="259"/>
      <c r="O919" s="156"/>
      <c r="P919" s="157"/>
      <c r="Q919" s="260" t="str">
        <f>IF(L919="","",IF(AND(L919-L918&gt;1,L919&gt;10),1,0)+IF(AND(M919-M918&gt;1,M919&gt;10),1,0)+IF(AND(N919-N918&gt;1,N919&gt;10),1,0)+IF(AND(O919-O918&gt;1,O919&gt;10),1,0)+IF(AND(P919-P918&gt;1,P919&gt;10),1,0))</f>
        <v/>
      </c>
      <c r="R919" s="203" t="str">
        <f>IF(AND(Q918&lt;&gt;3,Q919&lt;&gt;3),"",IF(Q918=3,IF(VLOOKUP(I918,I898:L901,4,FALSE)&gt;VLOOKUP(I919,I898:L901,4,FALSE),VLOOKUP(R918,Point_dif,2,FALSE),VLOOKUP(R918,Point_dif,3,FALSE)),IF(Q919=3,IF(VLOOKUP(I919,I898:L901,4,FALSE)&gt;VLOOKUP(I918,I898:L901,4,FALSE),VLOOKUP(R918,Point_dif,2,FALSE),VLOOKUP(R918,Point_dif,3,FALSE)))))</f>
        <v/>
      </c>
      <c r="S919" s="256" t="str">
        <f>IF(R919="","",IF(Q919=3,+R919,-R919))</f>
        <v/>
      </c>
      <c r="T919" s="192"/>
      <c r="U919" s="159"/>
      <c r="V919" s="266"/>
      <c r="W919" s="266"/>
      <c r="X919" s="266"/>
      <c r="Y919" s="192"/>
      <c r="Z919" s="203"/>
      <c r="AA919" s="246">
        <v>3</v>
      </c>
      <c r="AB919" s="222" t="str">
        <f>IF(AND(COUNTBLANK(I898:I901)=0,Group_players=4,M898=M900,M900=M901),IF(V907="","",IF(COUNTIF(V905:V908,V907)=3,"Tied",IF(AND(COUNTIF(V905:V908,V907)=1,V905&lt;&gt;V908),IF(M900=2,IF(SMALL(V905:V908,1)=V907,1,IF(SMALL(V905:V908,2)=V907,2,IF(SMALL(V905:V908,3)=V907,3))),IF(M900=1,IF(SMALL(V905:V908,1)=V907,2,IF(SMALL(V905:V908,2)=V907,3,IF(SMALL(V905:V908,3)=V907,4))),"")),IF(COUNTIF(V905:V908,V907)=1,IF(V907&lt;V905,IF(M900=2,1,2),IF(M900=2,3,4)),IF(COUNTIF(V905:V908,V907)=2,IF(V907=V905,IF(V907&lt;V908,IF(M900=2,IF(Q910=3,1,2),IF(M900=1,IF(Q910=3,2,3))),IF(V907&gt;V908,IF(M900=2,IF(Q910=3,2,3),IF(M900=1,IF(Q910=3,3,4))))),IF(V907=V908,IF(V907&lt;V905,IF(M900=2,IF(Q924=3,1,2),IF(M900=1,IF(Q924=3,2,3))),IF(V907&gt;V905,IF(M900=2,IF(Q924=3,2,3),IF(M900=1,IF(Q924=3,3,4)))))))))))),"")</f>
        <v/>
      </c>
      <c r="AC919" s="192"/>
      <c r="AD919" s="192"/>
      <c r="AE919" s="192"/>
      <c r="AF919" s="203"/>
      <c r="AG919" s="203"/>
      <c r="AH919" s="203"/>
      <c r="AI919" s="203"/>
      <c r="AJ919" s="203"/>
      <c r="AK919" s="203"/>
      <c r="AL919" s="203"/>
      <c r="AM919" s="203"/>
      <c r="AN919" s="192"/>
      <c r="AO919" s="192"/>
      <c r="AP919" s="192"/>
      <c r="AQ919" s="192"/>
      <c r="AR919" s="192"/>
      <c r="AS919" s="192"/>
      <c r="AT919" s="192"/>
      <c r="AU919" s="192"/>
      <c r="AV919" s="192"/>
      <c r="AW919" s="192"/>
      <c r="AX919" s="192"/>
    </row>
    <row r="920" spans="2:50" ht="15" customHeight="1" thickTop="1" thickBot="1" x14ac:dyDescent="0.35">
      <c r="B920" s="192"/>
      <c r="C920" s="192"/>
      <c r="D920" s="192"/>
      <c r="E920" s="164"/>
      <c r="F920" s="164"/>
      <c r="G920" s="192"/>
      <c r="H920" s="192"/>
      <c r="I920" s="249" t="s">
        <v>119</v>
      </c>
      <c r="J920" s="249"/>
      <c r="K920" s="249"/>
      <c r="L920" s="250" t="s">
        <v>115</v>
      </c>
      <c r="M920" s="250" t="s">
        <v>116</v>
      </c>
      <c r="N920" s="250" t="s">
        <v>117</v>
      </c>
      <c r="O920" s="250" t="s">
        <v>118</v>
      </c>
      <c r="P920" s="250" t="s">
        <v>119</v>
      </c>
      <c r="Q920" s="250" t="s">
        <v>120</v>
      </c>
      <c r="R920" s="250"/>
      <c r="S920" s="251"/>
      <c r="T920" s="247"/>
      <c r="U920" s="235"/>
      <c r="V920" s="235"/>
      <c r="W920" s="235"/>
      <c r="X920" s="235"/>
      <c r="Y920" s="235"/>
      <c r="Z920" s="235"/>
      <c r="AA920" s="240">
        <v>4</v>
      </c>
      <c r="AB920" s="241" t="str">
        <f>IF(AND(COUNTBLANK(I898:I901)=0,Group_players=4,M898=M900,M900=M901),IF(V908="","",IF(COUNTIF(V905:V908,V908)=3,"Tied",IF(AND(COUNTIF(V905:V908,V908)=1,V907&lt;&gt;V905),IF(M901=2,IF(SMALL(V905:V908,1)=V908,1,IF(SMALL(V905:V908,2)=V908,2,IF(SMALL(V905:V908,3)=V908,3))),IF(M901=1,IF(SMALL(V905:V908,1)=V908,2,IF(SMALL(V905:V908,2)=V908,3,IF(SMALL(V905:V908,3)=V908,4))),"")),IF(COUNTIF(V905:V908,V908)=1,IF(V908&lt;V905,IF(M901=2,1,2),IF(M901=2,3,4)),IF(COUNTIF(V905:V908,V908)=2,IF(V908=V905,IF(V908&lt;V907,IF(M901=2,IF(Q916=3,1,2),IF(M901=1,IF(Q916=3,2,3))),IF(V908&gt;V907,IF(M901=2,IF(Q916=3,2,3),IF(M901=1,IF(Q916=3,3,4))))),IF(V908=V907,IF(V908&lt;V905,IF(M901=2,IF(Q925=3,1,2),IF(M901=1,IF(Q925=3,2,3))),IF(V908&gt;V905,IF(M901=2,IF(Q925=3,2,3),IF(M901=1,IF(Q925=3,3,4)))))))))))),"")</f>
        <v/>
      </c>
      <c r="AC920" s="192"/>
      <c r="AD920" s="192"/>
      <c r="AE920" s="192"/>
      <c r="AF920" s="203"/>
      <c r="AG920" s="203"/>
      <c r="AH920" s="203"/>
      <c r="AI920" s="203"/>
      <c r="AJ920" s="203"/>
      <c r="AK920" s="203"/>
      <c r="AL920" s="203"/>
      <c r="AM920" s="203"/>
      <c r="AN920" s="192"/>
      <c r="AO920" s="192"/>
      <c r="AP920" s="192"/>
      <c r="AQ920" s="192"/>
      <c r="AR920" s="192"/>
      <c r="AS920" s="192"/>
      <c r="AT920" s="192"/>
      <c r="AU920" s="192"/>
      <c r="AV920" s="192"/>
      <c r="AW920" s="192"/>
      <c r="AX920" s="192"/>
    </row>
    <row r="921" spans="2:50" ht="15" customHeight="1" thickTop="1" x14ac:dyDescent="0.3">
      <c r="B921" s="192"/>
      <c r="C921" s="192"/>
      <c r="D921" s="192"/>
      <c r="E921" s="164" t="str">
        <f>IF(Q921="","",IF(Q921=3,1,0))</f>
        <v/>
      </c>
      <c r="F921" s="164" t="str">
        <f>IF(Q921="","",IF(Q921&lt;3,1,0))</f>
        <v/>
      </c>
      <c r="G921" s="192"/>
      <c r="H921" s="192" t="str">
        <f>IF(I901&lt;&gt;"",1,"")</f>
        <v/>
      </c>
      <c r="I921" s="192" t="str">
        <f>IF(ISNUMBER(H921),VLOOKUP(H921,H898:I901,2,TRUE),"")</f>
        <v/>
      </c>
      <c r="J921" s="192"/>
      <c r="K921" s="192" t="str">
        <f>VLOOKUP(I921,I898:L901,3,FALSE)</f>
        <v/>
      </c>
      <c r="L921" s="253"/>
      <c r="M921" s="254"/>
      <c r="N921" s="254"/>
      <c r="O921" s="152"/>
      <c r="P921" s="153"/>
      <c r="Q921" s="255" t="str">
        <f>IF(L921="","",IF(AND(L921-L922&gt;1,L921&gt;10),1,0)+IF(AND(M921-M922&gt;1,M921&gt;10),1,0)+IF(AND(N921-N922&gt;1,N921&gt;10),1,0)+IF(AND(O921-O922&gt;1,O921&gt;10),1,0)+IF(AND(P921-P922&gt;1,P921&gt;10),1,0))</f>
        <v/>
      </c>
      <c r="R921" s="203" t="str">
        <f>IF(AND(I921="",I922=""),"",ABS(VLOOKUP(I921,I898:L901,4,FALSE)-VLOOKUP(I922,I898:L901,4,FALSE)))</f>
        <v/>
      </c>
      <c r="S921" s="256" t="str">
        <f>IF(R922="","",IF(Q921=3,+R922,-R922))</f>
        <v/>
      </c>
      <c r="T921" s="247"/>
      <c r="U921" s="235"/>
      <c r="V921" s="235"/>
      <c r="W921" s="235"/>
      <c r="X921" s="235"/>
      <c r="Y921" s="235"/>
      <c r="Z921" s="235"/>
      <c r="AA921" s="243">
        <v>1</v>
      </c>
      <c r="AB921" s="222" t="str">
        <f>IF(AND(COUNTBLANK(I898:I901)=0,Group_players=4,M898=M899,M899=M901),IF(W905="","",IF(COUNTIF(W905:W908,W905)=3,"Tied",IF(AND(COUNTIF(W905:W908,W905)=1,W906&lt;&gt;W907),IF(M898=2,IF(SMALL(W905:W908,1)=W905,1,IF(SMALL(W905:W908,2)=W905,2,IF(SMALL(W905:W908,3)=W905,3))),IF(M898=1,IF(SMALL(W905:W908,1)=W905,2,IF(SMALL(W905:W908,2)=W905,3,IF(SMALL(W905:W908,3)=W905,4))),"")),IF(COUNTIF(W905:W908,W905)=1,IF(W905&lt;W906,IF(M898=2,1,2),IF(M898=2,3,4)),IF(COUNTIF(W905:W908,W905)=2,IF(W905=W906,IF(W905&lt;W908,IF(M898=2,IF(Q921=3,1,2),IF(M898=1,IF(Q921=3,2,3))),IF(W905&gt;W908,IF(M898=2,IF(Q921=3,2,3),IF(M898=1,IF(Q921=3,3,4))))),IF(W905=W908,IF(W905&lt;W906,IF(M898=2,IF(Q915=3,1,2),IF(M898=1,IF(Q915=3,2,3))),IF(W905&gt;W906,IF(M898=2,IF(Q915=3,2,3),IF(M898=1,IF(Q915=3,3,4)))))))))))),"")</f>
        <v/>
      </c>
      <c r="AC921" s="192"/>
      <c r="AD921" s="192"/>
      <c r="AE921" s="192"/>
      <c r="AF921" s="203"/>
      <c r="AG921" s="203"/>
      <c r="AH921" s="203"/>
      <c r="AI921" s="203"/>
      <c r="AJ921" s="203"/>
      <c r="AK921" s="203"/>
      <c r="AL921" s="203"/>
      <c r="AM921" s="203"/>
      <c r="AN921" s="192"/>
      <c r="AO921" s="192"/>
      <c r="AP921" s="192"/>
      <c r="AQ921" s="192"/>
      <c r="AR921" s="192"/>
      <c r="AS921" s="192"/>
      <c r="AT921" s="192"/>
      <c r="AU921" s="192"/>
      <c r="AV921" s="192"/>
      <c r="AW921" s="192"/>
      <c r="AX921" s="192"/>
    </row>
    <row r="922" spans="2:50" ht="15" customHeight="1" thickBot="1" x14ac:dyDescent="0.35">
      <c r="B922" s="192"/>
      <c r="C922" s="192"/>
      <c r="D922" s="192"/>
      <c r="E922" s="164" t="str">
        <f>IF(Q922="","",IF(Q922=3,1,0))</f>
        <v/>
      </c>
      <c r="F922" s="164" t="str">
        <f>IF(Q922="","",IF(Q922&lt;3,1,0))</f>
        <v/>
      </c>
      <c r="G922" s="192"/>
      <c r="H922" s="192" t="str">
        <f>IF(I901&lt;&gt;"",2,"")</f>
        <v/>
      </c>
      <c r="I922" s="192" t="str">
        <f>IF(ISNUMBER(H922),VLOOKUP(H922,H898:I901,2,TRUE),"")</f>
        <v/>
      </c>
      <c r="J922" s="192"/>
      <c r="K922" s="192" t="str">
        <f>VLOOKUP(I922,I898:L901,3,FALSE)</f>
        <v/>
      </c>
      <c r="L922" s="155"/>
      <c r="M922" s="259"/>
      <c r="N922" s="259"/>
      <c r="O922" s="156"/>
      <c r="P922" s="157"/>
      <c r="Q922" s="260" t="str">
        <f>IF(L922="","",IF(AND(L922-L921&gt;1,L922&gt;10),1,0)+IF(AND(M922-M921&gt;1,M922&gt;10),1,0)+IF(AND(N922-N921&gt;1,N922&gt;10),1,0)+IF(AND(O922-O921&gt;1,O922&gt;10),1,0)+IF(AND(P922-P921&gt;1,P922&gt;10),1,0))</f>
        <v/>
      </c>
      <c r="R922" s="203" t="str">
        <f>IF(AND(Q921&lt;&gt;3,Q922&lt;&gt;3),"",IF(Q921=3,IF(VLOOKUP(I921,I898:L901,4,FALSE)&gt;VLOOKUP(I922,I898:L901,4,FALSE),VLOOKUP(R921,Point_dif,2,FALSE),VLOOKUP(R921,Point_dif,3,FALSE)),IF(Q922=3,IF(VLOOKUP(I922,I898:L901,4,FALSE)&gt;VLOOKUP(I922,I898:L901,4,FALSE),VLOOKUP(R921,Point_dif,2,FALSE),VLOOKUP(R921,Point_dif,3,FALSE)))))</f>
        <v/>
      </c>
      <c r="S922" s="256" t="str">
        <f>IF(R922="","",IF(Q922=3,+R922,-R922))</f>
        <v/>
      </c>
      <c r="T922" s="247"/>
      <c r="U922" s="235"/>
      <c r="V922" s="235"/>
      <c r="W922" s="235"/>
      <c r="X922" s="235"/>
      <c r="Y922" s="235"/>
      <c r="Z922" s="235"/>
      <c r="AA922" s="246">
        <v>2</v>
      </c>
      <c r="AB922" s="222" t="str">
        <f>IF(AND(COUNTBLANK(I898:I901)=0,Group_players=4,M898=M899,M899=M901),IF(W906="","",IF(COUNTIF(W905:W908,W906)=3,"Tied",IF(AND(COUNTIF(W905:W908,W906)=1,W905&lt;&gt;W907),IF(M899=2,IF(SMALL(W905:W908,1)=W906,1,IF(SMALL(W905:W908,2)=W906,2,IF(SMALL(W905:W908,3)=W906,3))),IF(M899=1,IF(SMALL(W905:W908,1)=W906,2,IF(SMALL(W905:W908,2)=W906,3,IF(SMALL(W905:W908,3)=W906,4))),"")),IF(COUNTIF(W905:W908,W906)=1,IF(W906&lt;W905,IF(M899=2,1,2),IF(M899=2,3,4)),IF(COUNTIF(W905:W908,W906)=2,IF(W906=W905,IF(W906&lt;W908,IF(M899=2,IF(Q922=3,1,2),IF(M899=1,IF(Q922=3,2,3))),IF(W906&gt;W908,IF(M899=2,IF(Q922=3,2,3),IF(M899=1,IF(Q922=3,3,4))))),IF(W906=W908,IF(W906&lt;W905,IF(M899=2,IF(Q912=3,1,2),IF(M899=1,IF(Q912=3,2,3))),IF(W906&gt;W905,IF(M899=2,IF(Q912=3,2,3),IF(M899=1,IF(Q912=3,3,4)))))))))))),"")</f>
        <v/>
      </c>
      <c r="AC922" s="192"/>
      <c r="AD922" s="192"/>
      <c r="AE922" s="192"/>
      <c r="AF922" s="203"/>
      <c r="AG922" s="203"/>
      <c r="AH922" s="203"/>
      <c r="AI922" s="203"/>
      <c r="AJ922" s="203"/>
      <c r="AK922" s="203"/>
      <c r="AL922" s="203"/>
      <c r="AM922" s="203"/>
      <c r="AN922" s="192"/>
      <c r="AO922" s="192"/>
      <c r="AP922" s="192"/>
      <c r="AQ922" s="192"/>
      <c r="AR922" s="192"/>
      <c r="AS922" s="192"/>
      <c r="AT922" s="192"/>
      <c r="AU922" s="192"/>
      <c r="AV922" s="192"/>
      <c r="AW922" s="192"/>
      <c r="AX922" s="192"/>
    </row>
    <row r="923" spans="2:50" ht="15" customHeight="1" thickTop="1" thickBot="1" x14ac:dyDescent="0.35">
      <c r="B923" s="192"/>
      <c r="C923" s="192"/>
      <c r="D923" s="192"/>
      <c r="E923" s="164"/>
      <c r="F923" s="164"/>
      <c r="G923" s="192"/>
      <c r="H923" s="192"/>
      <c r="I923" s="249" t="s">
        <v>121</v>
      </c>
      <c r="J923" s="249"/>
      <c r="K923" s="249"/>
      <c r="L923" s="250" t="s">
        <v>115</v>
      </c>
      <c r="M923" s="250" t="s">
        <v>116</v>
      </c>
      <c r="N923" s="250" t="s">
        <v>117</v>
      </c>
      <c r="O923" s="250" t="s">
        <v>118</v>
      </c>
      <c r="P923" s="250" t="s">
        <v>119</v>
      </c>
      <c r="Q923" s="250" t="s">
        <v>120</v>
      </c>
      <c r="R923" s="250"/>
      <c r="S923" s="251"/>
      <c r="T923" s="247"/>
      <c r="U923" s="235"/>
      <c r="V923" s="235"/>
      <c r="W923" s="235"/>
      <c r="X923" s="235"/>
      <c r="Y923" s="235"/>
      <c r="Z923" s="235"/>
      <c r="AA923" s="240">
        <v>4</v>
      </c>
      <c r="AB923" s="241" t="str">
        <f>IF(AND(COUNTBLANK(I898:I901)=0,Group_players=4,M898=M899,M899=M901),IF(W908="","",IF(COUNTIF(W905:W908,W908)=3,"Tied",IF(AND(COUNTIF(W905:W908,W908)=1,W905&lt;&gt;W906),IF(M901=2,IF(SMALL(W905:W908,1)=W908,1,IF(SMALL(W905:W908,2)=W908,2,IF(SMALL(W905:W908,3)=W908,3))),IF(M901=1,IF(SMALL(W905:W908,1)=W908,2,IF(SMALL(W905:W908,2)=W908,3,IF(SMALL(W905:W908,3)=W908,4))),"")),IF(COUNTIF(W905:W908,W908)=1,IF(W908&lt;W905,IF(M901=2,1,2),IF(M901=2,3,4)),IF(COUNTIF(W905:W908,W908)=2,IF(W908=W905,IF(W908&lt;W906,IF(M901=2,IF(Q916=3,1,2),IF(M901=1,IF(Q916=3,2,3))),IF(W908&gt;W907,IF(M901=2,IF(Q916=3,2,3),IF(M901=1,IF(Q916=3,3,4))))),IF(W908=W906,IF(W908&lt;W905,IF(M901=2,IF(Q913=3,1,2),IF(M901=1,IF(Q913=3,2,3))),IF(W908&gt;W905,IF(M901=2,IF(Q913=3,2,3),IF(M901=1,IF(Q913=3,3,4)))))))))))),"")</f>
        <v/>
      </c>
      <c r="AC923" s="192"/>
      <c r="AD923" s="192"/>
      <c r="AE923" s="192"/>
      <c r="AF923" s="203"/>
      <c r="AG923" s="203"/>
      <c r="AH923" s="203"/>
      <c r="AI923" s="203"/>
      <c r="AJ923" s="203"/>
      <c r="AK923" s="203"/>
      <c r="AL923" s="203"/>
      <c r="AM923" s="203"/>
      <c r="AN923" s="192"/>
      <c r="AO923" s="192"/>
      <c r="AP923" s="192"/>
      <c r="AQ923" s="192"/>
      <c r="AR923" s="192"/>
      <c r="AS923" s="192"/>
      <c r="AT923" s="192"/>
      <c r="AU923" s="192"/>
      <c r="AV923" s="192"/>
      <c r="AW923" s="192"/>
      <c r="AX923" s="192"/>
    </row>
    <row r="924" spans="2:50" ht="15" customHeight="1" thickTop="1" x14ac:dyDescent="0.3">
      <c r="B924" s="192"/>
      <c r="C924" s="192"/>
      <c r="D924" s="192"/>
      <c r="E924" s="164" t="str">
        <f>IF(Q924="","",IF(Q924=3,1,0))</f>
        <v/>
      </c>
      <c r="F924" s="164" t="str">
        <f>IF(Q924="","",IF(Q924&lt;3,1,0))</f>
        <v/>
      </c>
      <c r="G924" s="192"/>
      <c r="H924" s="192" t="str">
        <f>IF(I901&lt;&gt;"",3,"")</f>
        <v/>
      </c>
      <c r="I924" s="192" t="str">
        <f>IF(ISNUMBER(H924),VLOOKUP(H924,H898:I901,2,TRUE),"")</f>
        <v/>
      </c>
      <c r="J924" s="192"/>
      <c r="K924" s="192" t="str">
        <f>VLOOKUP(I924,I898:L901,3,FALSE)</f>
        <v/>
      </c>
      <c r="L924" s="253"/>
      <c r="M924" s="254"/>
      <c r="N924" s="254"/>
      <c r="O924" s="152"/>
      <c r="P924" s="153"/>
      <c r="Q924" s="255" t="str">
        <f>IF(L924="","",IF(AND(L924-L925&gt;1,L924&gt;10),1,0)+IF(AND(M924-M925&gt;1,M924&gt;10),1,0)+IF(AND(N924-N925&gt;1,N924&gt;10),1,0)+IF(AND(O924-O925&gt;1,O924&gt;10),1,0)+IF(AND(P924-P925&gt;1,P924&gt;10),1,0))</f>
        <v/>
      </c>
      <c r="R924" s="203" t="str">
        <f>IF(AND(I924="",I925=""),"",ABS(VLOOKUP(I924,I898:L901,4,FALSE)-VLOOKUP(I925,I898:L901,4,FALSE)))</f>
        <v/>
      </c>
      <c r="S924" s="256" t="str">
        <f>IF(R925="","",IF(Q924=3,+R925,-R925))</f>
        <v/>
      </c>
      <c r="T924" s="247"/>
      <c r="U924" s="264"/>
      <c r="V924" s="242"/>
      <c r="W924" s="192"/>
      <c r="X924" s="264"/>
      <c r="Y924" s="192"/>
      <c r="Z924" s="192"/>
      <c r="AA924" s="243">
        <v>2</v>
      </c>
      <c r="AB924" s="222" t="str">
        <f>IF(AND(COUNTBLANK(I898:I901)=0,Group_players=4,M899=M900,M900=M901),IF(X906="","",IF(COUNTIF(X905:X908,X906)=3,"Tied",IF(AND(COUNTIF(X905:X908,X906)=1,X907&lt;&gt;X908),IF(M899=2,IF(SMALL(X905:X908,1)=X906,1,IF(SMALL(X905:X908,2)=X906,2,IF(SMALL(X905:X908,3)=X906,3))),IF(M899=1,IF(SMALL(X905:X908,1)=X906,2,IF(SMALL(X905:X908,2)=X906,3,IF(SMALL(X905:X908,3)=X906,4))),"")),IF(COUNTIF(X905:X908,X906)=1,IF(X906&lt;X908,IF(M899=2,1,2),IF(M899=1,4)),IF(COUNTIF(X905:X908,X906)=2,IF(X906=X907,IF(X906&lt;X908,IF(M899=2,IF(Q918=3,1,2),IF(M899=1,IF(Q918=3,2,3))),IF(X906&gt;X908,IF(M899=2,IF(Q918=3,2,3),IF(M899=1,IF(Q918=3,3,4))))),IF(X906=X908,IF(X906&lt;X907,IF(M899=2,IF(Q912=3,1,2),IF(M899=1,IF(Q912=3,2,3))),IF(X906&gt;X907,IF(M899=2,IF(Q912=3,2,3),IF(M899=1,IF(Q912=3,3,4)))))))))))),"")</f>
        <v/>
      </c>
      <c r="AC924" s="192"/>
      <c r="AD924" s="192"/>
      <c r="AE924" s="192"/>
      <c r="AF924" s="203"/>
      <c r="AG924" s="203"/>
      <c r="AH924" s="203"/>
      <c r="AI924" s="203"/>
      <c r="AJ924" s="203"/>
      <c r="AK924" s="203"/>
      <c r="AL924" s="203"/>
      <c r="AM924" s="203"/>
      <c r="AN924" s="192"/>
      <c r="AO924" s="192"/>
      <c r="AP924" s="192"/>
      <c r="AQ924" s="192"/>
      <c r="AR924" s="192"/>
      <c r="AS924" s="192"/>
      <c r="AT924" s="192"/>
      <c r="AU924" s="192"/>
      <c r="AV924" s="192"/>
      <c r="AW924" s="192"/>
      <c r="AX924" s="192"/>
    </row>
    <row r="925" spans="2:50" ht="15" customHeight="1" thickBot="1" x14ac:dyDescent="0.35">
      <c r="B925" s="192"/>
      <c r="C925" s="192"/>
      <c r="D925" s="192"/>
      <c r="E925" s="164" t="str">
        <f>IF(Q925="","",IF(Q925=3,1,0))</f>
        <v/>
      </c>
      <c r="F925" s="164" t="str">
        <f>IF(Q925="","",IF(Q925&lt;3,1,0))</f>
        <v/>
      </c>
      <c r="G925" s="192"/>
      <c r="H925" s="192" t="str">
        <f>IF(I901&lt;&gt;"",4,"")</f>
        <v/>
      </c>
      <c r="I925" s="192" t="str">
        <f>IF(ISNUMBER(H925),VLOOKUP(H925,H898:I901,2,TRUE),"")</f>
        <v/>
      </c>
      <c r="J925" s="192"/>
      <c r="K925" s="192" t="str">
        <f>VLOOKUP(I925,I898:L901,3,FALSE)</f>
        <v/>
      </c>
      <c r="L925" s="155"/>
      <c r="M925" s="259"/>
      <c r="N925" s="259"/>
      <c r="O925" s="156"/>
      <c r="P925" s="157"/>
      <c r="Q925" s="260" t="str">
        <f>IF(L925="","",IF(AND(L925-L924&gt;1,L925&gt;10),1,0)+IF(AND(M925-M924&gt;1,M925&gt;10),1,0)+IF(AND(N925-N924&gt;1,N925&gt;10),1,0)+IF(AND(O925-O924&gt;1,O925&gt;10),1,0)+IF(AND(P925-P924&gt;1,P925&gt;10),1,0))</f>
        <v/>
      </c>
      <c r="R925" s="203" t="str">
        <f>IF(AND(Q924&lt;&gt;3,Q925&lt;&gt;3),"",IF(Q924=3,IF(VLOOKUP(I924,I898:L901,4,FALSE)&gt;VLOOKUP(I925,I898:L901,4,FALSE),VLOOKUP(R924,Point_dif,2,FALSE),VLOOKUP(R924,Point_dif,3,FALSE)),IF(Q925=3,IF(VLOOKUP(I925,I898:L901,4,FALSE)&gt;VLOOKUP(I924,I898:L901,4,FALSE),VLOOKUP(R924,Point_dif,2,FALSE),VLOOKUP(R924,Point_dif,3,FALSE)))))</f>
        <v/>
      </c>
      <c r="S925" s="260" t="str">
        <f>IF(R925="","",IF(Q925=3,+R925,-R925))</f>
        <v/>
      </c>
      <c r="T925" s="247"/>
      <c r="U925" s="235"/>
      <c r="V925" s="235"/>
      <c r="W925" s="235"/>
      <c r="X925" s="235"/>
      <c r="Y925" s="235"/>
      <c r="Z925" s="235"/>
      <c r="AA925" s="246">
        <v>3</v>
      </c>
      <c r="AB925" s="222" t="str">
        <f>IF(AND(COUNTBLANK(I898:I901)=0,Group_players=4,Group_players=4,M899=M900,M900=M901),IF(X907="","",IF(COUNTIF(X905:X908,X907)=3,"Tied",IF(AND(COUNTIF(X905:X908,X907)=1,X906&lt;&gt;X908),IF(M900=2,IF(SMALL(X905:X908,1)=X907,1,IF(SMALL(X905:X908,2)=X907,2,IF(SMALL(X905:X908,3)=X907,3))),IF(M900=1,IF(SMALL(X905:X908,1)=X907,2,IF(SMALL(X905:X908,2)=X907,3,IF(SMALL(X905:X908,3)=X907,4))),"")),IF(COUNTIF(X905:X908,X907)=1,IF(X907&lt;X906,IF(M900=2,1,2),IF(M900=2,3,4)),IF(COUNTIF(X905:X908,X907)=2,IF(X907=X906,IF(X907&lt;X908,IF(M900=2,IF(Q919=3,1,2),IF(M900=1,IF(Q919=3,2,3))),IF(X907&gt;X908,IF(M900=2,IF(Q919=3,2,3),IF(M900=1,IF(Q919=3,3,4))))),IF(X907=X908,IF(X907&lt;X906,IF(M900=2,IF(Q924=3,1,2),IF(M900=1,IF(Q924=3,2,3))),IF(X907&gt;X906,IF(M900=2,IF(Q924=3,2,3),IF(M900=1,IF(Q924=3,3,4)))))))))))),"")</f>
        <v/>
      </c>
      <c r="AC925" s="192"/>
      <c r="AD925" s="192"/>
      <c r="AE925" s="192"/>
      <c r="AF925" s="203"/>
      <c r="AG925" s="203"/>
      <c r="AH925" s="203"/>
      <c r="AI925" s="203"/>
      <c r="AJ925" s="203"/>
      <c r="AK925" s="203"/>
      <c r="AL925" s="203"/>
      <c r="AM925" s="203"/>
      <c r="AN925" s="192"/>
      <c r="AO925" s="192"/>
      <c r="AP925" s="192"/>
      <c r="AQ925" s="192"/>
      <c r="AR925" s="192"/>
      <c r="AS925" s="192"/>
      <c r="AT925" s="192"/>
      <c r="AU925" s="192"/>
      <c r="AV925" s="192"/>
      <c r="AW925" s="192"/>
      <c r="AX925" s="192"/>
    </row>
    <row r="926" spans="2:50" ht="15" customHeight="1" thickTop="1" thickBot="1" x14ac:dyDescent="0.35">
      <c r="B926" s="192"/>
      <c r="C926" s="192"/>
      <c r="D926" s="192"/>
      <c r="E926" s="192"/>
      <c r="F926" s="192"/>
      <c r="G926" s="192"/>
      <c r="H926" s="192"/>
      <c r="I926" s="192"/>
      <c r="J926" s="192"/>
      <c r="K926" s="192"/>
      <c r="L926" s="192"/>
      <c r="M926" s="192"/>
      <c r="N926" s="192"/>
      <c r="O926" s="268"/>
      <c r="P926" s="192"/>
      <c r="Q926" s="192"/>
      <c r="R926" s="247"/>
      <c r="S926" s="247"/>
      <c r="T926" s="247"/>
      <c r="U926" s="235"/>
      <c r="V926" s="235"/>
      <c r="W926" s="235"/>
      <c r="X926" s="235"/>
      <c r="Y926" s="235"/>
      <c r="Z926" s="235"/>
      <c r="AA926" s="261">
        <v>4</v>
      </c>
      <c r="AB926" s="233" t="str">
        <f>IF(AND(COUNTBLANK(I898:I901)=0,Group_players=4,M899=M900,M900=M901),IF(X908="","",IF(COUNTIF(X905:X908,X908)=3,"Tied",IF(AND(COUNTIF(X905:X908,X908)=1,X907&lt;&gt;X906),IF(M901=2,IF(SMALL(X905:X908,1)=X908,1,IF(SMALL(X905:X908,2)=X908,2,IF(SMALL(X905:X908,3)=X908,3))),IF(M901=1,IF(SMALL(X905:X908,1)=X908,2,IF(SMALL(X905:X908,2)=X908,3,IF(SMALL(X905:X908,3)=X908,4))),"")),IF(COUNTIF(X905:X908,X908)=1,IF(X908&lt;X906,IF(M901=2,1,2),IF(M901=2,3,4)),IF(COUNTIF(X905:X908,X908)=2,IF(X908=X906,IF(X908&lt;X907,IF(M901=2,IF(Q913=3,1,2),IF(M901=1,IF(Q913=3,2,3))),IF(X908&gt;X907,IF(M901=2,IF(Q913=3,2,3),IF(M901=1,IF(Q913=3,3,4))))),IF(X908=X907,IF(X908&lt;X906,IF(M901=2,IF(Q925=3,1,2),IF(M901=1,IF(Q925=3,2,3))),IF(X908&gt;X906,IF(M901=2,IF(Q925=3,2,3),IF(M901=1,IF(Q925=3,3,4)))))))))))),"")</f>
        <v/>
      </c>
      <c r="AC926" s="192"/>
      <c r="AD926" s="192"/>
      <c r="AE926" s="192"/>
      <c r="AF926" s="203"/>
      <c r="AG926" s="203"/>
      <c r="AH926" s="203"/>
      <c r="AI926" s="203"/>
      <c r="AJ926" s="203"/>
      <c r="AK926" s="203"/>
      <c r="AL926" s="203"/>
      <c r="AM926" s="203"/>
      <c r="AN926" s="192"/>
      <c r="AO926" s="192"/>
      <c r="AP926" s="192"/>
      <c r="AQ926" s="192"/>
      <c r="AR926" s="192"/>
      <c r="AS926" s="192"/>
      <c r="AT926" s="192"/>
      <c r="AU926" s="192"/>
      <c r="AV926" s="192"/>
      <c r="AW926" s="192"/>
      <c r="AX926" s="192"/>
    </row>
    <row r="927" spans="2:50" ht="15" customHeight="1" thickTop="1" x14ac:dyDescent="0.3">
      <c r="B927" s="192"/>
      <c r="C927" s="192"/>
      <c r="D927" s="192"/>
      <c r="E927" s="192"/>
      <c r="F927" s="192"/>
      <c r="G927" s="192"/>
      <c r="H927" s="192"/>
      <c r="I927" s="192"/>
      <c r="J927" s="192"/>
      <c r="K927" s="192"/>
      <c r="L927" s="192"/>
      <c r="M927" s="192"/>
      <c r="N927" s="192"/>
      <c r="O927" s="192"/>
      <c r="P927" s="192"/>
      <c r="Q927" s="192"/>
      <c r="R927" s="192"/>
      <c r="S927" s="192"/>
      <c r="T927" s="203"/>
      <c r="U927" s="192"/>
      <c r="V927" s="192"/>
      <c r="W927" s="192"/>
      <c r="X927" s="192"/>
      <c r="Y927" s="192"/>
      <c r="Z927" s="192"/>
      <c r="AA927" s="192"/>
      <c r="AB927" s="192"/>
      <c r="AC927" s="192"/>
      <c r="AD927" s="192"/>
      <c r="AE927" s="192"/>
      <c r="AF927" s="203"/>
      <c r="AG927" s="203"/>
      <c r="AH927" s="203"/>
      <c r="AI927" s="203"/>
      <c r="AJ927" s="203"/>
      <c r="AK927" s="203"/>
      <c r="AL927" s="203"/>
      <c r="AM927" s="203"/>
      <c r="AN927" s="192"/>
      <c r="AO927" s="192"/>
      <c r="AP927" s="192"/>
      <c r="AQ927" s="192"/>
      <c r="AR927" s="192"/>
      <c r="AS927" s="192"/>
      <c r="AT927" s="192"/>
      <c r="AU927" s="192"/>
      <c r="AV927" s="192"/>
      <c r="AW927" s="192"/>
      <c r="AX927" s="192"/>
    </row>
    <row r="928" spans="2:50" ht="15" customHeight="1" x14ac:dyDescent="0.3">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c r="AA928" s="192"/>
      <c r="AB928" s="192"/>
      <c r="AC928" s="192"/>
      <c r="AD928" s="192"/>
      <c r="AE928" s="192"/>
      <c r="AF928" s="203"/>
      <c r="AG928" s="203"/>
      <c r="AH928" s="203"/>
      <c r="AI928" s="203"/>
      <c r="AJ928" s="203"/>
      <c r="AK928" s="203"/>
      <c r="AL928" s="203"/>
      <c r="AM928" s="203"/>
      <c r="AN928" s="192"/>
      <c r="AO928" s="192"/>
      <c r="AP928" s="192"/>
      <c r="AQ928" s="192"/>
      <c r="AR928" s="192"/>
      <c r="AS928" s="192"/>
      <c r="AT928" s="192"/>
      <c r="AU928" s="192"/>
      <c r="AV928" s="192"/>
      <c r="AW928" s="192"/>
      <c r="AX928" s="192"/>
    </row>
    <row r="929" spans="2:50" ht="15" customHeight="1" x14ac:dyDescent="0.3">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269"/>
      <c r="AA929" s="192"/>
      <c r="AB929" s="192"/>
      <c r="AC929" s="192"/>
      <c r="AD929" s="192"/>
      <c r="AE929" s="192"/>
      <c r="AF929" s="203"/>
      <c r="AG929" s="203"/>
      <c r="AH929" s="203"/>
      <c r="AI929" s="203"/>
      <c r="AJ929" s="203"/>
      <c r="AK929" s="203"/>
      <c r="AL929" s="203"/>
      <c r="AM929" s="203"/>
      <c r="AN929" s="192"/>
      <c r="AO929" s="192"/>
      <c r="AP929" s="192"/>
      <c r="AQ929" s="192"/>
      <c r="AR929" s="192"/>
      <c r="AS929" s="192"/>
      <c r="AT929" s="192"/>
      <c r="AU929" s="192"/>
      <c r="AV929" s="192"/>
      <c r="AW929" s="192"/>
      <c r="AX929" s="192"/>
    </row>
    <row r="930" spans="2:50" ht="15" customHeight="1" x14ac:dyDescent="0.3">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c r="AA930" s="192"/>
      <c r="AB930" s="192"/>
      <c r="AC930" s="192"/>
      <c r="AD930" s="192"/>
      <c r="AE930" s="192"/>
      <c r="AF930" s="203"/>
      <c r="AG930" s="203"/>
      <c r="AH930" s="203"/>
      <c r="AI930" s="203"/>
      <c r="AJ930" s="203"/>
      <c r="AK930" s="203"/>
      <c r="AL930" s="203"/>
      <c r="AM930" s="203"/>
      <c r="AN930" s="192"/>
      <c r="AO930" s="192"/>
      <c r="AP930" s="192"/>
      <c r="AQ930" s="192"/>
      <c r="AR930" s="192"/>
      <c r="AS930" s="192"/>
      <c r="AT930" s="192"/>
      <c r="AU930" s="192"/>
      <c r="AV930" s="192"/>
      <c r="AW930" s="192"/>
      <c r="AX930" s="192"/>
    </row>
    <row r="931" spans="2:50" ht="15" customHeight="1" x14ac:dyDescent="0.3">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c r="AA931" s="192"/>
      <c r="AB931" s="192"/>
      <c r="AC931" s="192"/>
      <c r="AD931" s="192"/>
      <c r="AE931" s="192"/>
      <c r="AF931" s="203"/>
      <c r="AG931" s="203"/>
      <c r="AH931" s="203"/>
      <c r="AI931" s="203"/>
      <c r="AJ931" s="203"/>
      <c r="AK931" s="203"/>
      <c r="AL931" s="203"/>
      <c r="AM931" s="203"/>
      <c r="AN931" s="192"/>
      <c r="AO931" s="192"/>
      <c r="AP931" s="192"/>
      <c r="AQ931" s="192"/>
      <c r="AR931" s="192"/>
      <c r="AS931" s="192"/>
      <c r="AT931" s="192"/>
      <c r="AU931" s="192"/>
      <c r="AV931" s="192"/>
      <c r="AW931" s="192"/>
      <c r="AX931" s="192"/>
    </row>
    <row r="932" spans="2:50" ht="15" customHeight="1" thickBot="1" x14ac:dyDescent="0.4">
      <c r="B932" s="192"/>
      <c r="C932" s="192"/>
      <c r="D932" s="192"/>
      <c r="E932" s="192"/>
      <c r="F932" s="192"/>
      <c r="G932" s="192"/>
      <c r="H932" s="192"/>
      <c r="I932" s="383" t="s">
        <v>148</v>
      </c>
      <c r="J932" s="383"/>
      <c r="K932" s="383"/>
      <c r="L932" s="383"/>
      <c r="M932" s="383"/>
      <c r="N932" s="383"/>
      <c r="O932" s="383"/>
      <c r="P932" s="383"/>
      <c r="Q932" s="383"/>
      <c r="R932" s="383"/>
      <c r="S932" s="192"/>
      <c r="T932" s="192"/>
      <c r="U932" s="370" t="s">
        <v>92</v>
      </c>
      <c r="V932" s="371"/>
      <c r="W932" s="371"/>
      <c r="X932" s="372"/>
      <c r="Y932" s="192"/>
      <c r="Z932" s="192"/>
      <c r="AA932" s="192"/>
      <c r="AB932" s="192"/>
      <c r="AC932" s="192"/>
      <c r="AD932" s="192"/>
      <c r="AE932" s="192"/>
      <c r="AF932" s="203"/>
      <c r="AG932" s="203"/>
      <c r="AH932" s="203"/>
      <c r="AI932" s="203"/>
      <c r="AJ932" s="203"/>
      <c r="AK932" s="203"/>
      <c r="AL932" s="203"/>
      <c r="AM932" s="203"/>
      <c r="AN932" s="192"/>
      <c r="AO932" s="192"/>
      <c r="AP932" s="192"/>
      <c r="AQ932" s="192"/>
      <c r="AR932" s="192"/>
      <c r="AS932" s="192"/>
      <c r="AT932" s="192"/>
      <c r="AU932" s="192"/>
      <c r="AV932" s="192"/>
      <c r="AW932" s="192"/>
      <c r="AX932" s="192"/>
    </row>
    <row r="933" spans="2:50" ht="15" customHeight="1" thickTop="1" thickBot="1" x14ac:dyDescent="0.35">
      <c r="B933" s="192"/>
      <c r="C933" s="192"/>
      <c r="D933" s="192"/>
      <c r="E933" s="192"/>
      <c r="F933" s="192"/>
      <c r="G933" s="192"/>
      <c r="H933" s="192"/>
      <c r="I933" s="400" t="s">
        <v>93</v>
      </c>
      <c r="J933" s="160"/>
      <c r="K933" s="396" t="s">
        <v>94</v>
      </c>
      <c r="L933" s="398" t="s">
        <v>95</v>
      </c>
      <c r="M933" s="390" t="s">
        <v>96</v>
      </c>
      <c r="N933" s="390" t="s">
        <v>97</v>
      </c>
      <c r="O933" s="373" t="s">
        <v>98</v>
      </c>
      <c r="P933" s="373" t="str">
        <f>IF(COUNT(U934:X945)=3,"LM/WM Ratio",IF(COUNT(U934:X945)=6,"LP/WP Ratio",""))</f>
        <v/>
      </c>
      <c r="Q933" s="390" t="s">
        <v>99</v>
      </c>
      <c r="R933" s="392" t="s">
        <v>100</v>
      </c>
      <c r="S933" s="192"/>
      <c r="T933" s="120"/>
      <c r="U933" s="121" t="s">
        <v>101</v>
      </c>
      <c r="V933" s="122" t="s">
        <v>102</v>
      </c>
      <c r="W933" s="122" t="s">
        <v>103</v>
      </c>
      <c r="X933" s="123" t="s">
        <v>104</v>
      </c>
      <c r="Y933" s="380" t="s">
        <v>105</v>
      </c>
      <c r="Z933" s="379"/>
      <c r="AA933" s="378" t="s">
        <v>106</v>
      </c>
      <c r="AB933" s="379"/>
      <c r="AC933" s="192"/>
      <c r="AD933" s="192"/>
      <c r="AE933" s="203"/>
      <c r="AF933" s="203"/>
      <c r="AG933" s="203"/>
      <c r="AH933" s="203"/>
      <c r="AI933" s="203"/>
      <c r="AJ933" s="203"/>
      <c r="AK933" s="203"/>
      <c r="AL933" s="203"/>
      <c r="AM933" s="203"/>
      <c r="AN933" s="192"/>
      <c r="AO933" s="192"/>
      <c r="AP933" s="192"/>
      <c r="AQ933" s="192"/>
      <c r="AR933" s="192"/>
      <c r="AS933" s="192"/>
      <c r="AT933" s="192"/>
      <c r="AU933" s="192"/>
      <c r="AV933" s="192"/>
      <c r="AW933" s="192"/>
      <c r="AX933" s="192"/>
    </row>
    <row r="934" spans="2:50" ht="15" customHeight="1" thickTop="1" thickBot="1" x14ac:dyDescent="0.35">
      <c r="B934" s="192"/>
      <c r="C934" s="192"/>
      <c r="D934" s="192"/>
      <c r="E934" s="192"/>
      <c r="F934" s="192"/>
      <c r="G934" s="192"/>
      <c r="H934" s="192"/>
      <c r="I934" s="401"/>
      <c r="J934" s="161"/>
      <c r="K934" s="397"/>
      <c r="L934" s="399"/>
      <c r="M934" s="391"/>
      <c r="N934" s="391"/>
      <c r="O934" s="374"/>
      <c r="P934" s="374"/>
      <c r="Q934" s="391"/>
      <c r="R934" s="393"/>
      <c r="S934" s="192"/>
      <c r="T934" s="208">
        <v>1</v>
      </c>
      <c r="U934" s="209" t="str">
        <f>IF(M935="","",IF(COUNTIF(M935:M937,M935)=3,IF(COUNTBLANK(I935:I938)=1,(Q947+Q953)/(Q946+Q952),IF(COUNTBLANK(I935:I938)=0,(Q959+Q947)/(Q958+Q946),"")),""))</f>
        <v/>
      </c>
      <c r="V934" s="125" t="str">
        <f>IF(AND(COUNTBLANK(I935:I938)=0,M935=M937,M937=M938),(Q947+Q953)/(Q946+Q952),"")</f>
        <v/>
      </c>
      <c r="W934" s="210" t="str">
        <f>IF(AND(COUNTBLANK(I935:I938)=0,M935=M936,M936=M938),(Q959+Q953)/(Q958+Q952),"")</f>
        <v/>
      </c>
      <c r="X934" s="211"/>
      <c r="Y934" s="169" t="s">
        <v>93</v>
      </c>
      <c r="Z934" s="170" t="s">
        <v>107</v>
      </c>
      <c r="AA934" s="169" t="s">
        <v>93</v>
      </c>
      <c r="AB934" s="170" t="s">
        <v>107</v>
      </c>
      <c r="AC934" s="192"/>
      <c r="AD934" s="192"/>
      <c r="AE934" s="192"/>
      <c r="AF934" s="203"/>
      <c r="AG934" s="203"/>
      <c r="AH934" s="203"/>
      <c r="AI934" s="203"/>
      <c r="AJ934" s="203"/>
      <c r="AK934" s="203"/>
      <c r="AL934" s="203"/>
      <c r="AM934" s="203"/>
      <c r="AN934" s="192"/>
      <c r="AO934" s="192"/>
      <c r="AP934" s="192"/>
      <c r="AQ934" s="192"/>
      <c r="AR934" s="192"/>
      <c r="AS934" s="192"/>
      <c r="AT934" s="192"/>
      <c r="AU934" s="192"/>
      <c r="AV934" s="192"/>
      <c r="AW934" s="192"/>
      <c r="AX934" s="192"/>
    </row>
    <row r="935" spans="2:50" ht="15" customHeight="1" thickTop="1" thickBot="1" x14ac:dyDescent="0.35">
      <c r="B935" s="192"/>
      <c r="C935" s="192"/>
      <c r="D935" s="192"/>
      <c r="E935" s="192"/>
      <c r="F935" s="192" t="str">
        <f>IF(I935="","",VLOOKUP(I935,Siembra,2,FALSE))</f>
        <v/>
      </c>
      <c r="G935" s="192" t="str">
        <f>O935</f>
        <v/>
      </c>
      <c r="H935" s="192">
        <v>1</v>
      </c>
      <c r="I935" s="128" t="str">
        <f>IF(K935="","",IF(ISNUMBER(Sorteo!$A$17),VLOOKUP(K935,Draw,2,FALSE),""))</f>
        <v/>
      </c>
      <c r="J935" s="129" t="str">
        <f>O935</f>
        <v/>
      </c>
      <c r="K935" s="130" t="str">
        <f>IF($K$9="","",IF(Group_players=4,IF(Tablas!CG$3="","",Tablas!CG$3),IF(Group_players=3,IF(Tablas!CG$11="","",Tablas!CG$11),"")))</f>
        <v/>
      </c>
      <c r="L935" s="131" t="str">
        <f>IF(K935="","",VLOOKUP(I935,Siembra,3,FALSE))</f>
        <v/>
      </c>
      <c r="M935" s="132" t="str">
        <f>IF(AND(Q946="",Q947=""),"",IF(I935="","",SUMIFS(E946:E962,I946:I962,I935)))</f>
        <v/>
      </c>
      <c r="N935" s="132" t="str">
        <f>IF(M935="","",IF(I935="","",SUMIFS(F946:F962,I946:I962,I935)))</f>
        <v/>
      </c>
      <c r="O935" s="132" t="str">
        <f>IF(M935="","",IF(COUNTBLANK(I935:I938)=1,IF(M935=2,1,IF(M935=0,3,IF(AND(M935=1,M936&lt;&gt;1),2,IF(COUNTIF(M935:M937,1)&gt;1,Z935)))),IF(COUNTBLANK(I935:I938)=0,IF(COUNTIF(M935:M938,M935)=1,IF(M935=3,1,IF(M935=2,2,IF(M935=1,3,IF(M935=0,4)))),IF(Group_players=3,Z935,IF(COUNTIF(M935:M938,M935)=2,AB935,IF(AND(M935=M936,M936=M937),AB939,IF(AND(M935=M937,M937=M938),AB942,IF(AND(M935=M936,M936=M938),AB945,"")))))),99)))</f>
        <v/>
      </c>
      <c r="P935" s="133" t="str">
        <f>IF(COUNT(U934:X945)=3,IF(ISNUMBER(U934),U934,IF(ISNUMBER(V934),V934,IF(ISNUMBER(W934),W934,IF(X934="","")))),IF(COUNT(U934:X945)=6,IF(ISNUMBER(U942),U942,IF(ISNUMBER(V942),V942,IF(ISNUMBER(W942),W942,IF(ISBLANK(X934),"")))),""))</f>
        <v/>
      </c>
      <c r="Q935" s="132" t="str">
        <f>IF(M935="","",SUMIF(I946:S962,I935,S946:S962))</f>
        <v/>
      </c>
      <c r="R935" s="134" t="str">
        <f>IF(M935="","",L935+Q935)</f>
        <v/>
      </c>
      <c r="S935" s="203"/>
      <c r="T935" s="208">
        <v>2</v>
      </c>
      <c r="U935" s="209" t="str">
        <f>IF(M936="","",IF(COUNTIF(M935:M937,M936)=3,IF(COUNTBLANK(I935:I938)=1,(Q950+Q952)/(Q949+Q953),IF(COUNTBLANK(I935:I938)=0,(Q956+Q958)/(Q955+Q959),"")),""))</f>
        <v/>
      </c>
      <c r="V935" s="135"/>
      <c r="W935" s="212" t="str">
        <f>IF(AND(COUNTBLANK(I935:I938)=0,M936=M935,M935=M938),(Q958+Q950)/(Q959+Q949),"")</f>
        <v/>
      </c>
      <c r="X935" s="213" t="str">
        <f>IF(AND(COUNTBLANK(I935:I938)=0,M936=M937,M937=M938),(Q956+Q950)/(Q955+Q949),"")</f>
        <v/>
      </c>
      <c r="Y935" s="214">
        <v>1</v>
      </c>
      <c r="Z935" s="215" t="str">
        <f>IF(U934="","",IF(OR(Group_players=3,AND(Group_players=4,COUNTBLANK(I935:I938)=1)),IF(COUNTIF(M935:M937,M935)=1,"",IF(AND(U934=U935,U935=U936),Z939,IF(AND(U934&lt;&gt;U935,U934&lt;&gt;U936,U935&lt;&gt;U936),(IF(SMALL(U934:U936,1)=U934,1,IF(SMALL(U934:U936,2)=U934,2,IF(SMALL(U934:U936,3)=U934,3)))),IF(AND(U934&lt;U935,U935=U936),1,IF(AND(U934&gt;U935,U935=U936),3,IF(AND(U934=U935,U934&lt;U936),(IF(Q952=3,1,2)),IF(AND(U934=U935,U934&gt;U936),(IF(Q952=3,2,3)),IF(AND(U934=U936,U934&lt;U935),(IF(Q946=3,1,2)),IF(AND(U934=U936,U934&gt;U935),(IF(Q946=3,2,3)),99))))))))),""))</f>
        <v/>
      </c>
      <c r="AA935" s="216">
        <v>1</v>
      </c>
      <c r="AB935" s="217" t="str">
        <f>IF(COUNTIF(M935:M938,M935)&lt;&gt;2,"",IF(COUNTIF(M935:M938,M935)=1,"",IF(AND(COUNTIF(M935:M938,M935)=2,M935=2),IF(M935=M936,IF(Q958=3,1,2),IF(M935=M937,IF(Q946=3,1,2),IF(M935=M938,IF(Q952=3,1,2)))),IF(AND(COUNTIF(M935:M938,M935)=2,M935=1),IF(M935=M936,IF(Q958=3,3,4),IF(M935=M937,IF(Q946=3,3,4),IF(M935=M938,IF(Q952=3,3,4)))),IF(COUNTIF(M935:M938,M935)=3,AB939)))))</f>
        <v/>
      </c>
      <c r="AC935" s="192"/>
      <c r="AD935" s="192"/>
      <c r="AE935" s="192"/>
      <c r="AF935" s="203"/>
      <c r="AG935" s="203"/>
      <c r="AH935" s="203"/>
      <c r="AI935" s="203"/>
      <c r="AJ935" s="203"/>
      <c r="AK935" s="203"/>
      <c r="AL935" s="203"/>
      <c r="AM935" s="203"/>
      <c r="AN935" s="192"/>
      <c r="AO935" s="192"/>
      <c r="AP935" s="192"/>
      <c r="AQ935" s="192"/>
      <c r="AR935" s="192"/>
      <c r="AS935" s="192"/>
      <c r="AT935" s="192"/>
      <c r="AU935" s="192"/>
      <c r="AV935" s="192"/>
      <c r="AW935" s="192"/>
      <c r="AX935" s="192"/>
    </row>
    <row r="936" spans="2:50" ht="15" customHeight="1" thickTop="1" thickBot="1" x14ac:dyDescent="0.35">
      <c r="B936" s="192"/>
      <c r="C936" s="192"/>
      <c r="D936" s="192"/>
      <c r="E936" s="192"/>
      <c r="F936" s="192" t="str">
        <f>IF(I936="","",VLOOKUP(I936,Siembra,2,FALSE))</f>
        <v/>
      </c>
      <c r="G936" s="192" t="str">
        <f>O936</f>
        <v/>
      </c>
      <c r="H936" s="192">
        <v>2</v>
      </c>
      <c r="I936" s="128" t="str">
        <f>IF(K936="","",IF(ISNUMBER(Sorteo!$A$17),VLOOKUP(K936,Draw,2,FALSE),""))</f>
        <v/>
      </c>
      <c r="J936" s="129" t="str">
        <f>O936</f>
        <v/>
      </c>
      <c r="K936" s="136" t="str">
        <f>IF($K$9="","",IF(Group_players=4,IF(Tablas!CG$4="","",Tablas!CG$4),IF(Group_players=3,IF(Tablas!CG$12="","",Tablas!CG$12),"")))</f>
        <v/>
      </c>
      <c r="L936" s="137" t="str">
        <f>IF(K936="","",VLOOKUP(I936,Siembra,3,FALSE))</f>
        <v/>
      </c>
      <c r="M936" s="132" t="str">
        <f>IF(AND(L946="",L947=""),"",IF(I936="","",SUMIFS(E946:E963,I946:I963,I936)))</f>
        <v/>
      </c>
      <c r="N936" s="138" t="str">
        <f>IF(M936="","",IF(I936="","",SUMIFS(F946:F962,I946:I962,I936)))</f>
        <v/>
      </c>
      <c r="O936" s="132" t="str">
        <f>IF(M936="","",IF(COUNTBLANK(I935:I938)=1,IF(M936=2,1,IF(M936=0,3,IF(AND(M936=1,M937&lt;&gt;1),2,IF(COUNTIF(M935:M938,1)&gt;1,Z936)))),IF(COUNTBLANK(I935:I938)=0,IF(COUNTIF(M935:M938,M936)=1,IF(M936=3,1,IF(M936=2,2,IF(M936=1,3,IF(M936=0,4)))),IF(Group_players=3,Z936,IF(COUNTIF(M935:M938,M936)=2,AB936,IF(AND(M936=M935,M935=M937),AB940,IF(AND(M936=M935,M935=M938),AB946,IF(AND(M936=M937,M937=M938),AB948,"")))))))))</f>
        <v/>
      </c>
      <c r="P936" s="133" t="str">
        <f>IF(COUNT(U934:X945)=3,IF(ISNUMBER(U935),U935,IF(ISNUMBER(W935),W935,IF(ISNUMBER(X935),X935,IF(X935="","")))),IF(COUNT(U934:X945)=6,IF(ISNUMBER(U943),U943,IF(ISNUMBER(W943),W943,IF(ISNUMBER(X943),X943,IF(ISBLANK(X942),"")))),""))</f>
        <v/>
      </c>
      <c r="Q936" s="138" t="str">
        <f>IF(M936="","",SUMIF(I946:S962,I936,S946:$S962))</f>
        <v/>
      </c>
      <c r="R936" s="139" t="str">
        <f>IF(M936="","",L936+Q936)</f>
        <v/>
      </c>
      <c r="S936" s="203"/>
      <c r="T936" s="208">
        <v>3</v>
      </c>
      <c r="U936" s="209" t="str">
        <f>IF(M937="","",IF(COUNTIF(M935:M937,M937)=3,IF(COUNTBLANK(I935:I938)=1,(Q946+Q949)/(Q947+Q950),IF(COUNTBLANK(I935:I938)=0,(Q946+Q955)/(Q947+Q956),"")),""))</f>
        <v/>
      </c>
      <c r="V936" s="125" t="str">
        <f>IF(AND(COUNTBLANK(I935:I938)=0,M937=M938,M938=M935),(Q946+Q962)/(Q947+Q961),"")</f>
        <v/>
      </c>
      <c r="W936" s="218"/>
      <c r="X936" s="213" t="str">
        <f>IF(AND(COUNTBLANK(I935:I938)=0,M937=M938,M938=M936),(Q955+Q962)/(Q956+Q961),"")</f>
        <v/>
      </c>
      <c r="Y936" s="219">
        <v>2</v>
      </c>
      <c r="Z936" s="220" t="str">
        <f>IF(U935="","",IF(OR(Group_players=3,AND(Group_players=4,COUNTBLANK(I935:I938)=1)),IF(COUNTIF(M935:M937,M936)=1,"",IF(AND(U935=U934,U935=U936),Z940,IF(AND(U935&lt;&gt;U934,U935&lt;&gt;U936,U934&lt;&gt;U936),(IF(SMALL(U934:U936,1)=U935,1,IF(SMALL(U934:U936,2)=U935,2,IF(SMALL(U934:U936,3)=U935,3)))),IF(AND(U935&lt;U934,U934=U936),1,IF(AND(U935&gt;U934,U934=U936),3,IF(AND(U935=U934,U935&lt;U936),(IF(Q953=3,1,2)),IF(AND(U935=U934,U935&gt;U936),(IF(Q953=3,2,3)),IF(AND(U935=U936,U935&lt;U934),(IF(Q949=3,1,2)),IF(AND(U935=U936,U935&gt;U934),(IF(Q949=3,2,3)),99))))))))),""))</f>
        <v/>
      </c>
      <c r="AA936" s="221">
        <v>2</v>
      </c>
      <c r="AB936" s="222" t="str">
        <f>IF(COUNTIF(M935:M938,M936)&lt;&gt;2,"",IF(COUNTIF(M935:M938,M936)=1,"",IF(AND(COUNTIF(M935:M938,M936)=2,M936=2),IF(M936=M935,IF(Q959=3,1,2),IF(M936=M937,IF(Q955=3,1,2),IF(M936=M938,IF(Q949=3,1,2)))),IF(AND(COUNTIF(M935:M938,M936)=2,M936=1),IF(M936=M935,IF(Q959=3,3,4),IF(M936=M937,IF(Q955=3,3,4),IF(M936=M938,IF(Q949=3,3,4)))),AB941))))</f>
        <v/>
      </c>
      <c r="AC936" s="192"/>
      <c r="AD936" s="192"/>
      <c r="AE936" s="192"/>
      <c r="AF936" s="203"/>
      <c r="AG936" s="203"/>
      <c r="AH936" s="203"/>
      <c r="AI936" s="203"/>
      <c r="AJ936" s="203"/>
      <c r="AK936" s="203"/>
      <c r="AL936" s="203"/>
      <c r="AM936" s="203"/>
      <c r="AN936" s="192"/>
      <c r="AO936" s="192"/>
      <c r="AP936" s="192"/>
      <c r="AQ936" s="192"/>
      <c r="AR936" s="192"/>
      <c r="AS936" s="192"/>
      <c r="AT936" s="192"/>
      <c r="AU936" s="192"/>
      <c r="AV936" s="192"/>
      <c r="AW936" s="192"/>
      <c r="AX936" s="192"/>
    </row>
    <row r="937" spans="2:50" ht="15" customHeight="1" thickBot="1" x14ac:dyDescent="0.35">
      <c r="B937" s="192"/>
      <c r="C937" s="192"/>
      <c r="D937" s="192"/>
      <c r="E937" s="192"/>
      <c r="F937" s="192" t="str">
        <f>IF(I937="","",VLOOKUP(I937,Siembra,2,FALSE))</f>
        <v/>
      </c>
      <c r="G937" s="192" t="str">
        <f>O937</f>
        <v/>
      </c>
      <c r="H937" s="192">
        <v>3</v>
      </c>
      <c r="I937" s="128" t="str">
        <f>IF(K937="","",IF(ISNUMBER(Sorteo!$A$17),VLOOKUP(K937,Draw,2,FALSE),""))</f>
        <v/>
      </c>
      <c r="J937" s="129" t="str">
        <f>O937</f>
        <v/>
      </c>
      <c r="K937" s="136" t="str">
        <f>IF($K$9="","",IF(Group_players=4,IF(Tablas!CG$5="","",Tablas!CG$5),IF(Group_players=3,IF(Tablas!CG$13="","",Tablas!CG$13),"")))</f>
        <v/>
      </c>
      <c r="L937" s="137" t="str">
        <f>IF(K937="","",VLOOKUP(I937,Siembra,3,FALSE))</f>
        <v/>
      </c>
      <c r="M937" s="132" t="str">
        <f>IF(AND(L947="",L946=""),"",IF(I937="","",SUMIFS(E946:E964,I946:I964,I937)))</f>
        <v/>
      </c>
      <c r="N937" s="138" t="str">
        <f>IF(M937="","",IF(I937="","",SUMIFS(F946:F962,I946:I962,I937)))</f>
        <v/>
      </c>
      <c r="O937" s="132" t="str">
        <f>IF(M937="","",IF(COUNTBLANK(I935:I938)=1,IF(M937=2,1,IF(M937=0,3,IF(AND(M937=1,M937&lt;&gt;M935),2,IF(COUNTIF(M935:M938,1)&gt;1,Z937)))),IF(COUNTBLANK(I935:I938)=0,IF(COUNTIF(M935:M938,M937)=1,IF(M937=3,1,IF(M937=2,2,IF(M937=1,3,IF(M937=0,4)))),IF(Group_players=3,Z937,IF(COUNTIF(M935:M938,M937)=2,AB937,IF(AND(M937=M935,M935=M936),AB941,IF(AND(M937=M935,M935=M938),AB943,IF(AND(M937=M936,M936=M938),AB949,"")))))))))</f>
        <v/>
      </c>
      <c r="P937" s="133" t="str">
        <f>IF(COUNT(U934:X945)=3,IF(ISNUMBER(U936),U936,IF(ISNUMBER(V936),V936,IF(ISNUMBER(X936),X936,IF(W936="","")))),IF(COUNT(U934:X945)=6,IF(ISNUMBER(U944),U944,IF(ISNUMBER(V944),V944,IF(ISNUMBER(X944),X944,""))),""))</f>
        <v/>
      </c>
      <c r="Q937" s="138" t="str">
        <f>IF(M937="","",SUMIF(I946:S962,I937,S946:S962))</f>
        <v/>
      </c>
      <c r="R937" s="139" t="str">
        <f>IF(M937="","",L937+Q937)</f>
        <v/>
      </c>
      <c r="S937" s="203"/>
      <c r="T937" s="208">
        <v>4</v>
      </c>
      <c r="U937" s="223"/>
      <c r="V937" s="140" t="str">
        <f>IF(AND(COUNTBLANK(I935:I938)=0,M938=M935,M935=M937),(Q952+Q961)/(Q953+Q962),"")</f>
        <v/>
      </c>
      <c r="W937" s="224" t="str">
        <f>IF(AND(COUNTBLANK(I935:I938)=0,M938=M935,M935=M936),(Q952+Q949)/(Q953+Q950),"")</f>
        <v/>
      </c>
      <c r="X937" s="225" t="str">
        <f>IF(AND(COUNTBLANK(I935:I938)=0,M938=M936,M936=M937),(Q949+Q961)/(Q950+Q962),"")</f>
        <v/>
      </c>
      <c r="Y937" s="226">
        <v>3</v>
      </c>
      <c r="Z937" s="227" t="str">
        <f>IF(U936="","",IF(OR(Group_players=3,AND(Group_players=4,COUNTBLANK(I935:I938)=1)),IF(COUNTIF(M935:M937,M937)=1,"",IF(AND(U936=U934,U936=U935),Z941,IF(AND(U936&lt;&gt;U935,U935&lt;&gt;U934,U936&lt;&gt;U934),(IF(SMALL(U934:U936,1)=U936,1,IF(SMALL(U934:U936,2)=U936,2,IF(SMALL(U934:U936,3)=U936,3)))),IF(AND(U936&lt;U935,U935=U934),1,IF(AND(U936&gt;U935,U935=U934),3,IF(AND(U936=U935,U936&lt;U934),(IF(Q950=3,1,2)),IF(AND(U936=U935,U936&gt;U934),(IF(Q950=3,2,3)),IF(AND(U936=U934,U936&lt;U935),(IF(Q947=3,1,2)),IF(AND(U936=U934,U936&gt;U935),(IF(Q947=3,2,3)),99))))))))),""))</f>
        <v/>
      </c>
      <c r="AA937" s="221">
        <v>3</v>
      </c>
      <c r="AB937" s="222" t="str">
        <f>IF(COUNTIF(M935:M938,M937)&lt;&gt;2,"",IF(COUNTIF(M935:M938,M937)=1,"",IF(AND(COUNTIF(M935:M938,M937)=2,M937=2),IF(M937=M935,IF(Q947=3,1,2),IF(M937=M936,IF(Q956=3,1,2),IF(M937=M938,IF(Q961=3,1,2)))),IF(AND(COUNTIF(M935:M938,M937)=2,M937=1),IF(M937=M935,IF(Q947=3,3,4),IF(M937=M936,IF(Q956=3,3,4),IF(M937=M938,IF(Q961=3,3,4)))),AB941))))</f>
        <v/>
      </c>
      <c r="AC937" s="192"/>
      <c r="AD937" s="192"/>
      <c r="AE937" s="192"/>
      <c r="AF937" s="203"/>
      <c r="AG937" s="203"/>
      <c r="AH937" s="203"/>
      <c r="AI937" s="203"/>
      <c r="AJ937" s="203"/>
      <c r="AK937" s="203"/>
      <c r="AL937" s="203"/>
      <c r="AM937" s="203"/>
      <c r="AN937" s="192"/>
      <c r="AO937" s="192"/>
      <c r="AP937" s="192"/>
      <c r="AQ937" s="192"/>
      <c r="AR937" s="192"/>
      <c r="AS937" s="192"/>
      <c r="AT937" s="192"/>
      <c r="AU937" s="192"/>
      <c r="AV937" s="192"/>
      <c r="AW937" s="192"/>
      <c r="AX937" s="192"/>
    </row>
    <row r="938" spans="2:50" ht="15" customHeight="1" thickTop="1" thickBot="1" x14ac:dyDescent="0.35">
      <c r="B938" s="192"/>
      <c r="C938" s="192"/>
      <c r="D938" s="192"/>
      <c r="E938" s="192"/>
      <c r="F938" s="192" t="str">
        <f>IF(I938="","",VLOOKUP(I938,Siembra,2,FALSE))</f>
        <v/>
      </c>
      <c r="G938" s="192" t="str">
        <f>O938</f>
        <v/>
      </c>
      <c r="H938" s="192">
        <v>4</v>
      </c>
      <c r="I938" s="141" t="str">
        <f>IF(K938="","",IF(ISNUMBER(Sorteo!$A$17),VLOOKUP(K938,Draw,2,FALSE),""))</f>
        <v/>
      </c>
      <c r="J938" s="142" t="str">
        <f>O938</f>
        <v/>
      </c>
      <c r="K938" s="143" t="str">
        <f>IF($K$9="","",IF(Group_players=4,IF(Tablas!CG6="","",Tablas!CG6),""))</f>
        <v/>
      </c>
      <c r="L938" s="144" t="str">
        <f>IF(K938="","",VLOOKUP(I938,Siembra,3,FALSE))</f>
        <v/>
      </c>
      <c r="M938" s="145" t="str">
        <f>IF(AND(Q949="",Q950=""),"",IF(I938="","",SUMIFS(E946:E965,I946:I965,I938)))</f>
        <v/>
      </c>
      <c r="N938" s="145" t="str">
        <f>IF(M938="","",IF(I938="","",SUMIFS(F946:F962,I946:I962,I938)))</f>
        <v/>
      </c>
      <c r="O938" s="145" t="str">
        <f>IF(M938="","",IF(COUNTIF(M935:M938,M938)=1,IF(M938=3,1,IF(M938=2,2,IF(M938=1,3,IF(M938=0,4)))),IF(COUNTIF(M935:M938,M938)=2,AB938,IF(AND(M938=M935,M935=M937),AB944,IF(AND(M938=M935,M935=M936),AB947,IF(AND(M938=M936,M936=M937),AB950,""))))))</f>
        <v/>
      </c>
      <c r="P938" s="146" t="str">
        <f>IF(COUNT(U934:X945)=3,IF(ISNUMBER(V937),V937,IF(ISNUMBER(W937),W937,IF(ISNUMBER(X937),X937,IF(X937="","")))),IF(COUNT(U934:X945)=6,IF(ISNUMBER(V945),V945,IF(ISNUMBER(W945),W945,IF(ISNUMBER(X945),X945,""))),""))</f>
        <v/>
      </c>
      <c r="Q938" s="145" t="str">
        <f>IF(M938="","",SUMIF(I946:S962,I938,S946:$S962))</f>
        <v/>
      </c>
      <c r="R938" s="147" t="str">
        <f>IF(M938="","",L938+Q938)</f>
        <v/>
      </c>
      <c r="S938" s="203"/>
      <c r="T938" s="192"/>
      <c r="U938" s="192"/>
      <c r="V938" s="192"/>
      <c r="W938" s="192"/>
      <c r="X938" s="192"/>
      <c r="Y938" s="230" t="s">
        <v>93</v>
      </c>
      <c r="Z938" s="231" t="s">
        <v>110</v>
      </c>
      <c r="AA938" s="232">
        <v>4</v>
      </c>
      <c r="AB938" s="233" t="str">
        <f>IF(COUNTIF(M935:M938,M938)&lt;&gt;2,"",IF(COUNTIF(M935:M938,M938)=1,"",IF(AND(COUNTIF(M935:M938,M938)=2,M938=2),IF(M938=M935,IF(Q953=3,1,2),IF(M938=M936,IF(Q950=3,1,2),IF(M938=M937,IF(Q962=3,1,2)))),IF(AND(COUNTIF(M935:M938,M938)=2,M938=1),IF(M938=M935,IF(Q953=3,3,4),IF(M938=M936,IF(Q950=3,3,4),IF(M938=M937,IF(Q962=3,3,4)))),AB944))))</f>
        <v/>
      </c>
      <c r="AC938" s="192"/>
      <c r="AD938" s="192"/>
      <c r="AE938" s="192"/>
      <c r="AF938" s="203"/>
      <c r="AG938" s="203"/>
      <c r="AH938" s="203"/>
      <c r="AI938" s="203"/>
      <c r="AJ938" s="203"/>
      <c r="AK938" s="203"/>
      <c r="AL938" s="203"/>
      <c r="AM938" s="203"/>
      <c r="AN938" s="192"/>
      <c r="AO938" s="192"/>
      <c r="AP938" s="192"/>
      <c r="AQ938" s="192"/>
      <c r="AR938" s="192"/>
      <c r="AS938" s="192"/>
      <c r="AT938" s="192"/>
      <c r="AU938" s="192"/>
      <c r="AV938" s="192"/>
      <c r="AW938" s="192"/>
      <c r="AX938" s="192"/>
    </row>
    <row r="939" spans="2:50" ht="15" customHeight="1" thickTop="1" x14ac:dyDescent="0.3">
      <c r="B939" s="192"/>
      <c r="C939" s="192"/>
      <c r="D939" s="192"/>
      <c r="E939" s="192"/>
      <c r="F939" s="192"/>
      <c r="G939" s="192"/>
      <c r="H939" s="192"/>
      <c r="I939" s="192"/>
      <c r="J939" s="192"/>
      <c r="K939" s="192"/>
      <c r="L939" s="192"/>
      <c r="M939" s="192"/>
      <c r="N939" s="192"/>
      <c r="O939" s="192"/>
      <c r="P939" s="192"/>
      <c r="Q939" s="192"/>
      <c r="R939" s="192"/>
      <c r="S939" s="192"/>
      <c r="T939" s="208"/>
      <c r="U939" s="192"/>
      <c r="V939" s="148"/>
      <c r="W939" s="148"/>
      <c r="X939" s="234"/>
      <c r="Y939" s="214">
        <v>1</v>
      </c>
      <c r="Z939" s="215" t="str">
        <f>IF(U942="","",IF(OR(Group_players=3,AND(Group_players=4,COUNTBLANK(I935:I938)=1)),IF(COUNTIF(M935:M937,M935)=1,"",IF(COUNTIF(U934:U936,U934)=3,IF(AND(U942=U943,U943=U944),"Tied",IF(AND(U942&lt;&gt;U943,U942&lt;&gt;U944,U943&lt;&gt;U944),(IF(SMALL(U942:U944,1)=U942,1,IF(SMALL(U942:U944,2)=U942,2,IF(SMALL(U942:U944,3)=U942,3)))),IF(AND(U942&lt;U943,U943=U944),1,IF(AND(U942&gt;U943,U943=U944),3,IF(AND(U942=U943,U942&lt;U944),(IF(Q952=3,1,2)),IF(AND(U942=U943,U942&gt;U944),(IF(Q952=3,2,3)),IF(AND(U942=U944,U942&lt;U943),(IF(Q946=3,1,2)),IF(AND(U942=U944,U942&gt;U943),(IF(Q946=3,2,3)),99)))))))),"")),""))</f>
        <v/>
      </c>
      <c r="AA939" s="208">
        <v>1</v>
      </c>
      <c r="AB939" s="222" t="str">
        <f>IF(AND(COUNTBLANK(I935:I938)=0,Group_players=4,M935=M936,M936=M937),IF(COUNTIF(U934:U937,U934)=3,AB952,IF(AND(COUNTIF(U934:U937,U934)=1,U935&lt;&gt;U936),IF(M935=2,IF(SMALL(U934:U937,1)=U934,1,IF(SMALL(U934:U937,2)=U934,2,IF(SMALL(U934:U937,3)=U934,3))),IF(M935=1,IF(SMALL(U934:U937,1)=U934,2,IF(SMALL(U934:U937,2)=U934,3,IF(SMALL(U934:U937,3)=U934,4))),"")),IF(COUNTIF(U934:U937,U934)=1,IF(U934&lt;U935,IF(M935=2,1,2),IF(M935=2,3,4)),IF(COUNTIF(U934:U937,U934)=2,IF(U934=U935,IF(U934&lt;U936,IF(M935=2,IF(Q958=3,1,2),IF(M935=1,IF(Q958=3,2,3))),IF(U934&gt;U936,IF(M935=2,IF(Q958=3,2,3),IF(M935=1,IF(Q958=3,3,4))))),IF(U934=U936,IF(U934&lt;U935,IF(M935=2,IF(Q946=3,1,2),IF(M935=1,IF(Q946=3,2,3))),IF(U934&gt;U935,IF(M935=2,IF(Q946=3,2,3),IF(M935=1,IF(Q946=3,3,4))))))),"")))),"")</f>
        <v/>
      </c>
      <c r="AC939" s="192"/>
      <c r="AD939" s="192"/>
      <c r="AE939" s="269"/>
      <c r="AF939" s="203"/>
      <c r="AG939" s="203"/>
      <c r="AH939" s="203"/>
      <c r="AI939" s="203"/>
      <c r="AJ939" s="203"/>
      <c r="AK939" s="203"/>
      <c r="AL939" s="203"/>
      <c r="AM939" s="203"/>
      <c r="AN939" s="192"/>
      <c r="AO939" s="192"/>
      <c r="AP939" s="192"/>
      <c r="AQ939" s="192"/>
      <c r="AR939" s="192"/>
      <c r="AS939" s="192"/>
      <c r="AT939" s="192"/>
      <c r="AU939" s="192"/>
      <c r="AV939" s="192"/>
      <c r="AW939" s="192"/>
      <c r="AX939" s="192"/>
    </row>
    <row r="940" spans="2:50" ht="15" customHeight="1" thickBot="1" x14ac:dyDescent="0.35">
      <c r="B940" s="192"/>
      <c r="C940" s="192"/>
      <c r="D940" s="192"/>
      <c r="E940" s="192"/>
      <c r="F940" s="192"/>
      <c r="G940" s="192"/>
      <c r="H940" s="192"/>
      <c r="I940" s="269"/>
      <c r="J940" s="269"/>
      <c r="K940" s="192"/>
      <c r="L940" s="192"/>
      <c r="M940" s="192"/>
      <c r="N940" s="192"/>
      <c r="O940" s="192"/>
      <c r="P940" s="192"/>
      <c r="Q940" s="192"/>
      <c r="R940" s="192"/>
      <c r="S940" s="192"/>
      <c r="T940" s="208"/>
      <c r="U940" s="368" t="s">
        <v>111</v>
      </c>
      <c r="V940" s="369"/>
      <c r="W940" s="369"/>
      <c r="X940" s="369"/>
      <c r="Y940" s="236">
        <v>2</v>
      </c>
      <c r="Z940" s="220" t="str">
        <f>IF(U935="","",IF(OR(Group_players=3,AND(Group_players=4,COUNTBLANK(I935:I938)=1)),IF(COUNTIF(M935:M937,M936)=1,"",IF(COUNTIF(U934:U936,U935)=3,IF(AND(U943=U942,U943=U944),"Tied",IF(AND(U943&lt;&gt;U942,U943&lt;&gt;U944,U942&lt;&gt;U944),(IF(SMALL(U942:U944,1)=U943,1,IF(SMALL(U942:U944,2)=U943,2,IF(SMALL(U942:U944,3)=U943,3)))),IF(AND(U943&lt;U942,U942=U944),1,IF(AND(U943&gt;U942,U942=U944),3,IF(AND(U943=U942,U943&lt;U944),(IF(Q953=3,1,2)),IF(AND(U943=U942,U943&gt;U944),(IF(Q953=3,2,3)),IF(AND(U943=U944,U943&lt;U942),(IF(Q949=3,1,2)),IF(AND(U943=U944,U943&gt;U942),(IF(Q949=3,2,3)),99)))))))),"")),""))</f>
        <v/>
      </c>
      <c r="AA940" s="208">
        <v>2</v>
      </c>
      <c r="AB940" s="222" t="str">
        <f>IF(AND(COUNTBLANK(I935:I938)=0,Group_players=4,M935=M936,M936=M937),IF(COUNTIF(U934:U937,U935)=3,AB953,IF(AND(COUNTIF(U934:U937,U935)=1,U934&lt;&gt;U936),IF(M936=2,IF(SMALL(U934:U937,1)=U935,1,IF(SMALL(U934:U937,2)=U935,2,IF(SMALL(U934:U937,3)=U935,3))),IF(M936=1,IF(SMALL(U934:U937,1)=U935,2,IF(SMALL(U934:U937,2)=U935,3,IF(SMALL(U934:U937,3)=U935,4))),"")),IF(COUNTIF(U934:U936,U935)=1,IF(U935&lt;U934,IF(M936=2,1,2),IF(M936=2,3,99)),IF(COUNTIF(U934:U937,U935)=2,IF(U935=U934,IF(U935&lt;U936,IF(M936=2,IF(Q959=3,1,2),IF(M936=1,IF(Q959=3,2,3))),IF(U935&gt;U936,IF(M936=2,IF(Q959=3,2,3),IF(M936=1,IF(Q959=3,3,4))))),IF(U935=U936,IF(U935&lt;U934,IF(M936=2,IF(Q955=3,1,2),IF(M936=1,IF(Q955=3,2,3))),IF(U935&gt;U934,IF(M936=2,IF(Q955=3,2,3),IF(M936=1,IF(Q955=3,3,4))))))),"")))),"")</f>
        <v/>
      </c>
      <c r="AC940" s="192"/>
      <c r="AD940" s="192"/>
      <c r="AE940" s="192"/>
      <c r="AF940" s="203"/>
      <c r="AG940" s="203"/>
      <c r="AH940" s="203"/>
      <c r="AI940" s="203"/>
      <c r="AJ940" s="203"/>
      <c r="AK940" s="203"/>
      <c r="AL940" s="203"/>
      <c r="AM940" s="203"/>
      <c r="AN940" s="192"/>
      <c r="AO940" s="192"/>
      <c r="AP940" s="192"/>
      <c r="AQ940" s="192"/>
      <c r="AR940" s="192"/>
      <c r="AS940" s="192"/>
      <c r="AT940" s="192"/>
      <c r="AU940" s="192"/>
      <c r="AV940" s="192"/>
      <c r="AW940" s="192"/>
      <c r="AX940" s="192"/>
    </row>
    <row r="941" spans="2:50" ht="15" customHeight="1" thickTop="1" thickBot="1" x14ac:dyDescent="0.35">
      <c r="B941" s="192"/>
      <c r="C941" s="192"/>
      <c r="D941" s="192"/>
      <c r="E941" s="192"/>
      <c r="F941" s="192"/>
      <c r="G941" s="192"/>
      <c r="H941" s="192"/>
      <c r="I941" s="192"/>
      <c r="J941" s="192"/>
      <c r="K941" s="192"/>
      <c r="L941" s="192"/>
      <c r="M941" s="192"/>
      <c r="N941" s="192"/>
      <c r="O941" s="192"/>
      <c r="P941" s="192"/>
      <c r="Q941" s="192"/>
      <c r="R941" s="192"/>
      <c r="S941" s="192"/>
      <c r="T941" s="120"/>
      <c r="U941" s="121" t="s">
        <v>101</v>
      </c>
      <c r="V941" s="122" t="s">
        <v>102</v>
      </c>
      <c r="W941" s="122" t="s">
        <v>103</v>
      </c>
      <c r="X941" s="123" t="s">
        <v>104</v>
      </c>
      <c r="Y941" s="238">
        <v>3</v>
      </c>
      <c r="Z941" s="239" t="str">
        <f>IF(U936="","",IF(OR(Group_players=3,AND(Group_players=4,COUNTBLANK(I935:I938)=1)),IF(COUNTIF(M935:M937,M937)=1,"",IF(COUNTIF(U934:U936,U936)=3,IF(AND(U944=U942,U944=U943),"Tied",IF(AND(U944&lt;&gt;U943,U943&lt;&gt;U942,U944&lt;&gt;U942),(IF(SMALL(U942:U944,1)=U944,1,IF(SMALL(U942:U944,2)=U944,2,IF(SMALL(U942:U944,3)=U944,3)))),IF(AND(U944&lt;U943,U943=U942),1,IF(AND(U944&gt;U943,U943=U942),3,IF(AND(U944=U943,U944&lt;U942),(IF(Q950=3,1,2)),IF(AND(U944=U943,U944&gt;U942),(IF(Q950=3,2,3)),IF(AND(U944=U942,U944&lt;U943),(IF(Q947=3,1,2)),IF(AND(U944=U942,U944&gt;U943),(IF(Q947=3,2,3)),99)))))))),"")),""))</f>
        <v/>
      </c>
      <c r="AA941" s="240">
        <v>3</v>
      </c>
      <c r="AB941" s="241" t="str">
        <f>IF(AND(COUNTBLANK(I935:I938)=0,Group_players=4,M935=M936,M936=M937),IF(COUNTIF(U934:U937,U936)=3,AB954,IF(AND(COUNTIF(U934:U937,U936)=1,U934&lt;&gt;U935),IF(M935=2,IF(SMALL(U934:U937,1)=U936,1,IF(SMALL(U934:U937,2)=U936,2,IF(SMALL(U934:U937,3)=U936,3))),IF(M937=1,IF(SMALL(U934:U937,1)=U936,2,IF(SMALL(U934:U937,2)=U936,3,IF(SMALL(U934:U937,3)=U936,4))),"")),IF(COUNTIF(U934:U937,U936)=1,IF(U936&lt;U935,IF(M937=2,1,2),IF(M937=2,3,4)),IF(COUNTIF(U934:U937,U936)=2,IF(U936=U935,IF(U936&lt;U934,IF(M937=2,IF(Q956=3,1,2),IF(M937=1,IF(Q956=3,2,3))),IF(U936&gt;U934,IF(M937=2,IF(Q956=3,2,3),IF(M937=1,IF(Q956=3,3,4))))),IF(U936=U934,IF(U936&lt;U935,IF(M937=2,IF(Q947=3,1,2),IF(M937=1,IF(Q947=3,2,3))),IF(U936&gt;U935,IF(M937=2,IF(Q947=3,2,3),IF(M937=1,IF(Q947=3,3,4))))))),"")))),"")</f>
        <v/>
      </c>
      <c r="AC941" s="192"/>
      <c r="AD941" s="192"/>
      <c r="AE941" s="192"/>
      <c r="AF941" s="203"/>
      <c r="AG941" s="203"/>
      <c r="AH941" s="203"/>
      <c r="AI941" s="203"/>
      <c r="AJ941" s="203"/>
      <c r="AK941" s="203"/>
      <c r="AL941" s="203"/>
      <c r="AM941" s="203"/>
      <c r="AN941" s="192"/>
      <c r="AO941" s="192"/>
      <c r="AP941" s="192"/>
      <c r="AQ941" s="192"/>
      <c r="AR941" s="192"/>
      <c r="AS941" s="192"/>
      <c r="AT941" s="192"/>
      <c r="AU941" s="192"/>
      <c r="AV941" s="192"/>
      <c r="AW941" s="192"/>
      <c r="AX941" s="192"/>
    </row>
    <row r="942" spans="2:50" ht="15" customHeight="1" thickTop="1" thickBot="1" x14ac:dyDescent="0.35">
      <c r="B942" s="192"/>
      <c r="C942" s="192"/>
      <c r="D942" s="192"/>
      <c r="E942" s="192"/>
      <c r="F942" s="192"/>
      <c r="G942" s="192"/>
      <c r="H942" s="192"/>
      <c r="I942" s="192"/>
      <c r="J942" s="192"/>
      <c r="K942" s="192"/>
      <c r="L942" s="192"/>
      <c r="M942" s="192"/>
      <c r="N942" s="192"/>
      <c r="O942" s="192"/>
      <c r="P942" s="192"/>
      <c r="Q942" s="192"/>
      <c r="R942" s="192"/>
      <c r="S942" s="192"/>
      <c r="T942" s="208">
        <v>1</v>
      </c>
      <c r="U942" s="209" t="str">
        <f>IF(U934="","",IF(OR(U934&lt;&gt;U935,U934&lt;&gt;U936),"",IF(COUNTIF(M935:M937,M935)=1,"",IF(COUNTBLANK(I935:I938)=1,(SUM(L947:P947)+SUM(L953:P953))/(SUM(L946:P946)+SUM(L952:P952)),IF(COUNTBLANK(I935:I938)=0,(SUM(L959:P959)+SUM(L947:P947))/(SUM(L958:P958)+SUM(L946:P946)),"")))))</f>
        <v/>
      </c>
      <c r="V942" s="125" t="str">
        <f>IF(V934="","",IF(OR(V934&lt;&gt;V936,V934&lt;&gt;V937),"",IF(AND(COUNTBLANK(I935:I938)=0,M935=M937,M937=M938),(SUM(L947:P947)+SUM(L953:P953))/(SUM(L946:P946)+SUM(L952:P952)),"")))</f>
        <v/>
      </c>
      <c r="W942" s="210" t="str">
        <f>IF(W934="","",IF(OR(W934&lt;&gt;W935,W934&lt;&gt;W937),"",IF(AND(COUNTBLANK(I935:I938)=0,M935=M936,M936=M938),(SUM(L959:P959)+SUM(L953:P953))/(SUM(L958:P958)+SUM(L952:P952)),"")))</f>
        <v/>
      </c>
      <c r="X942" s="211"/>
      <c r="Y942" s="242"/>
      <c r="Z942" s="242"/>
      <c r="AA942" s="243">
        <v>1</v>
      </c>
      <c r="AB942" s="244" t="str">
        <f>IF(AND(COUNTBLANK(I935:I938)=0,Group_players=4,M935=M937,M937=M938),IF(COUNTIF(V934:V937,V934)=3,AB955,IF(AND(COUNTIF(V934:V937,V934)=1,V936&lt;&gt;U945),IF(M935=2,IF(SMALL(V934:V937,1)=V934,1,IF(SMALL(V934:V937,2)=V934,2,IF(SMALL(V934:V937,3)=V934,3))),IF(M935=1,IF(SMALL(V934:V937,1)=V934,2,IF(SMALL(V934:V937,2)=V934,3,IF(SMALL(V934:V937,3)=V934,4))),"")),IF(COUNTIF(V934:V937,V934)=1,IF(V934&lt;V936,IF(M935=2,1,2),IF(M935=2,3,4)),IF(COUNTIF(V934:V937,V934)=2,IF(V934=V936,IF(V934&lt;V937,IF(M935=2,IF(Q946=3,1,2),IF(M935=1,IF(Q946=3,2,3))),IF(V934&gt;V937,IF(M935=2,IF(Q946=3,2,3),IF(M935=1,IF(Q946=3,3,4))))),IF(V934=V937,IF(V934&lt;V936,IF(M935=2,IF(Q952=3,1,2),IF(M935=1,IF(Q952=3,2,3))),IF(V934&gt;V935,IF(M935=2,IF(Q952=3,2,3),IF(M935=1,IF(Q952=3,3,4))))))),"")))),"")</f>
        <v/>
      </c>
      <c r="AC942" s="192"/>
      <c r="AD942" s="192"/>
      <c r="AE942" s="192"/>
      <c r="AF942" s="203"/>
      <c r="AG942" s="203"/>
      <c r="AH942" s="203"/>
      <c r="AI942" s="203"/>
      <c r="AJ942" s="203"/>
      <c r="AK942" s="203"/>
      <c r="AL942" s="203"/>
      <c r="AM942" s="203"/>
      <c r="AN942" s="192"/>
      <c r="AO942" s="192"/>
      <c r="AP942" s="192"/>
      <c r="AQ942" s="192"/>
      <c r="AR942" s="192"/>
      <c r="AS942" s="192"/>
      <c r="AT942" s="192"/>
      <c r="AU942" s="192"/>
      <c r="AV942" s="192"/>
      <c r="AW942" s="192"/>
      <c r="AX942" s="192"/>
    </row>
    <row r="943" spans="2:50" ht="15" customHeight="1" thickTop="1" thickBot="1" x14ac:dyDescent="0.35">
      <c r="B943" s="192"/>
      <c r="C943" s="192"/>
      <c r="D943" s="192"/>
      <c r="E943" s="117"/>
      <c r="F943" s="117"/>
      <c r="G943" s="117"/>
      <c r="H943" s="192"/>
      <c r="I943" s="192"/>
      <c r="J943" s="192"/>
      <c r="K943" s="192"/>
      <c r="L943" s="192"/>
      <c r="M943" s="192"/>
      <c r="N943" s="192"/>
      <c r="O943" s="192"/>
      <c r="P943" s="192"/>
      <c r="Q943" s="192"/>
      <c r="R943" s="192"/>
      <c r="S943" s="394" t="s">
        <v>112</v>
      </c>
      <c r="T943" s="208">
        <v>2</v>
      </c>
      <c r="U943" s="209" t="str">
        <f>IF(U934="","",IF(OR(U935&lt;&gt;U934,U935&lt;&gt;U936),"",IF(COUNTIF(M935:M937,M936)=1,"",IF(COUNTBLANK(I935:I938)=1,(SUM(L950:P950)+SUM(L952:P952))/(SUM(L949:P949)+SUM(L953:P953)),IF(COUNTBLANK(I935:I938)=0,(SUM(L958:P958)+SUM(L956:P956))/(SUM(L959:P959)+SUM(L955:P955)))))))</f>
        <v/>
      </c>
      <c r="V943" s="135"/>
      <c r="W943" s="212" t="str">
        <f>IF(W934="","",IF(OR(W935&lt;&gt;W934,W935&lt;&gt;W937),"",IF(AND(COUNTBLANK(I935:I938)=0,M935=M936,M936=M938),(SUM(L950:P950)+SUM(L958:P958))/(SUM(L959:P959)+SUM(L949:P949)),"")))</f>
        <v/>
      </c>
      <c r="X943" s="245" t="str">
        <f>IF(X935="","",IF(OR(X935&lt;&gt;X936,X935&lt;&gt;X937),"",IF(AND(COUNTBLANK(I935:I938)=0,M936=M937,M937=M938),(SUM(L956:P956)+SUM(L950:P950))/(SUM(L955:P955)+SUM(L949:P949)),"")))</f>
        <v/>
      </c>
      <c r="Y943" s="242"/>
      <c r="Z943" s="203"/>
      <c r="AA943" s="246">
        <v>3</v>
      </c>
      <c r="AB943" s="222" t="str">
        <f>IF(AND(COUNTBLANK(I935:I938)=0,Group_players=4,M935=M937,M937=M938),IF(COUNTIF(V934:V937,V936)=3,AB956,IF(AND(COUNTIF(V934:V937,V936)=1,V934&lt;&gt;V937),IF(M937=2,IF(SMALL(V934:V937,1)=V936,1,IF(SMALL(V934:V937,2)=V936,2,IF(SMALL(V934:V937,3)=V936,3))),IF(M937=1,IF(SMALL(V934:V937,1)=V936,2,IF(SMALL(V934:V937,2)=V936,3,IF(SMALL(V934:V937,3)=V936,4))),"")),IF(COUNTIF(V934:V937,V936)=1,IF(V936&lt;V934,IF(M937=2,1,2),IF(M937=2,3,4)),IF(COUNTIF(V934:V937,V936)=2,IF(V936=V934,IF(V936&lt;V937,IF(M937=2,IF(Q947=3,1,2),IF(M937=1,IF(Q947=3,2,3))),IF(V936&gt;V937,IF(M937=2,IF(Q947=3,2,3),IF(M937=1,IF(Q947=3,3,4))))),IF(V936=V937,IF(V936&lt;V934,IF(M937=2,IF(Q961=3,1,2),IF(M937=1,IF(Q961=3,2,3))),IF(V936&gt;V934,IF(M937=2,IF(Q961=3,2,3),IF(M937=1,IF(Q961=3,3,4))))))),"")))),"")</f>
        <v/>
      </c>
      <c r="AC943" s="192"/>
      <c r="AD943" s="192"/>
      <c r="AE943" s="192"/>
      <c r="AF943" s="203"/>
      <c r="AG943" s="203"/>
      <c r="AH943" s="203"/>
      <c r="AI943" s="203"/>
      <c r="AJ943" s="203"/>
      <c r="AK943" s="203"/>
      <c r="AL943" s="203"/>
      <c r="AM943" s="203"/>
      <c r="AN943" s="192"/>
      <c r="AO943" s="192"/>
      <c r="AP943" s="192"/>
      <c r="AQ943" s="192"/>
      <c r="AR943" s="192"/>
      <c r="AS943" s="192"/>
      <c r="AT943" s="192"/>
      <c r="AU943" s="192"/>
      <c r="AV943" s="192"/>
      <c r="AW943" s="192"/>
      <c r="AX943" s="192"/>
    </row>
    <row r="944" spans="2:50" ht="15" customHeight="1" thickTop="1" thickBot="1" x14ac:dyDescent="0.35">
      <c r="B944" s="192"/>
      <c r="C944" s="192"/>
      <c r="D944" s="192"/>
      <c r="E944" s="117"/>
      <c r="F944" s="117"/>
      <c r="G944" s="117"/>
      <c r="H944" s="192"/>
      <c r="I944" s="192"/>
      <c r="J944" s="192"/>
      <c r="K944" s="192"/>
      <c r="L944" s="192"/>
      <c r="M944" s="192"/>
      <c r="N944" s="192"/>
      <c r="O944" s="192"/>
      <c r="P944" s="192"/>
      <c r="Q944" s="192"/>
      <c r="R944" s="247"/>
      <c r="S944" s="395"/>
      <c r="T944" s="208">
        <v>3</v>
      </c>
      <c r="U944" s="209" t="str">
        <f>IF(U934="","",IF(OR(U936&lt;&gt;U934,U936&lt;&gt;U935),"",IF(COUNTIF(M935:M937,M937)=1,"",IF(COUNTBLANK(I935:I938)=1,(SUM(L946:P946)+SUM(L949:P949))/(SUM(L947:P947)+SUM(L950:P950)),IF(COUNTBLANK(I935:I938)=0,(SUM(L946:P946)+SUM(L955:P955))/(SUM(L947:P947)+SUM(L956:P956)))))))</f>
        <v/>
      </c>
      <c r="V944" s="125" t="str">
        <f>IF(V934="","",IF(OR(V936&lt;&gt;V934,V936&lt;&gt;V937),"",IF(AND(COUNTBLANK(I935:I938)=0,M935=M937,M937=M938),(SUM(L946:P946)+SUM(L962:P962))/(SUM(L947:P947)+SUM(L961:P961)),"")))</f>
        <v/>
      </c>
      <c r="W944" s="218"/>
      <c r="X944" s="245" t="str">
        <f>IF(X935="","",IF(OR(X936&lt;&gt;X935,X936&lt;&gt;X937),"",IF(AND(COUNTBLANK(I935:I938)=0,M936=M937,M937=M938),(SUM(L955:P955)+SUM(L962:P962))/(SUM(L956:P956)+SUM(L961:P961)),"")))</f>
        <v/>
      </c>
      <c r="Y944" s="208"/>
      <c r="Z944" s="203"/>
      <c r="AA944" s="240">
        <v>4</v>
      </c>
      <c r="AB944" s="222" t="str">
        <f>IF(AND(COUNTBLANK(I935:I938)=0,Group_players=4,M935=M937,M937=M938),IF(COUNTIF(V934:V937,V937)=3,AB957,IF(AND(COUNTIF(V934:V937,V937)=1,V936&lt;&gt;V934),IF(M938=2,IF(SMALL(V934:V937,1)=V937,1,IF(SMALL(V934:V937,2)=V937,2,IF(SMALL(V934:V937,3)=V937,3))),IF(M938=1,IF(SMALL(V934:V937,1)=V937,2,IF(SMALL(V934:V937,2)=V937,3,IF(SMALL(V934:V937,3)=V937,4))),"")),IF(COUNTIF(V934:V937,V937)=1,IF(V937&lt;V934,IF(M938=2,1,2),IF(M938=2,3,4)),IF(COUNTIF(V934:V937,V937)=2,IF(V937=V934,IF(V937&lt;V936,IF(M938=2,IF(Q953=3,1,2),IF(M938=1,IF(Q953=3,2,3))),IF(V937&gt;V936,IF(M938=2,IF(Q953=3,2,3),IF(M938=1,IF(Q953=3,3,4))))),IF(V937=V936,IF(V937&lt;V934,IF(M938=2,IF(Q962=3,1,2),IF(M938=1,IF(Q962=3,2,3))),IF(V937&gt;V934,IF(M938=2,IF(Q962=3,2,3),IF(M938=1,IF(Q962=3,3,4))))))),"")))),"")</f>
        <v/>
      </c>
      <c r="AC944" s="192"/>
      <c r="AD944" s="192"/>
      <c r="AE944" s="192"/>
      <c r="AF944" s="203"/>
      <c r="AG944" s="203"/>
      <c r="AH944" s="203"/>
      <c r="AI944" s="203"/>
      <c r="AJ944" s="203"/>
      <c r="AK944" s="203"/>
      <c r="AL944" s="203"/>
      <c r="AM944" s="203"/>
      <c r="AN944" s="192"/>
      <c r="AO944" s="192"/>
      <c r="AP944" s="192"/>
      <c r="AQ944" s="192"/>
      <c r="AR944" s="192"/>
      <c r="AS944" s="192"/>
      <c r="AT944" s="192"/>
      <c r="AU944" s="192"/>
      <c r="AV944" s="192"/>
      <c r="AW944" s="192"/>
      <c r="AX944" s="192"/>
    </row>
    <row r="945" spans="2:50" ht="15" customHeight="1" thickTop="1" thickBot="1" x14ac:dyDescent="0.35">
      <c r="B945" s="192"/>
      <c r="C945" s="192"/>
      <c r="D945" s="192"/>
      <c r="E945" s="168" t="s">
        <v>113</v>
      </c>
      <c r="F945" s="168" t="s">
        <v>114</v>
      </c>
      <c r="G945" s="117"/>
      <c r="H945" s="192"/>
      <c r="I945" s="249" t="s">
        <v>115</v>
      </c>
      <c r="J945" s="249"/>
      <c r="K945" s="249"/>
      <c r="L945" s="250" t="s">
        <v>115</v>
      </c>
      <c r="M945" s="250" t="s">
        <v>116</v>
      </c>
      <c r="N945" s="250" t="s">
        <v>117</v>
      </c>
      <c r="O945" s="250" t="s">
        <v>118</v>
      </c>
      <c r="P945" s="250" t="s">
        <v>119</v>
      </c>
      <c r="Q945" s="250" t="s">
        <v>120</v>
      </c>
      <c r="R945" s="250"/>
      <c r="S945" s="251"/>
      <c r="T945" s="208">
        <v>4</v>
      </c>
      <c r="U945" s="223"/>
      <c r="V945" s="140" t="str">
        <f>IF(V934="","",IF(OR(V937&lt;&gt;V934,V937&lt;&gt;V936),"",IF(AND(COUNTBLANK(I935:I938)=0,M935=M937,M937=M938),(SUM(L952:P952)+SUM(L961:P961))/(SUM(L953:P953)+SUM(L962:P962)),"")))</f>
        <v/>
      </c>
      <c r="W945" s="224" t="str">
        <f>IF(W934="","",IF(OR(W937&lt;&gt;W934,W937&lt;&gt;W935),"",IF(AND(COUNTBLANK(I935:I938)=0,M935=M936,M936=M938),(SUM(L952:P952)+SUM(L949:P949))/(SUM(L953:P953)+SUM(L950:P950)),"")))</f>
        <v/>
      </c>
      <c r="X945" s="252" t="str">
        <f>IF(X935="","",IF(OR(X937&lt;&gt;X935,X937&lt;&gt;X936),"",IF(AND(COUNTBLANK(I935:I938)=0,M936=M937,M937=M938),(SUM(L949:P949)+SUM(L961:P961))/(SUM(L950:P950)+SUM(L962:P962)),"")))</f>
        <v/>
      </c>
      <c r="Y945" s="192"/>
      <c r="Z945" s="203"/>
      <c r="AA945" s="243">
        <v>1</v>
      </c>
      <c r="AB945" s="151" t="str">
        <f>IF(AND(COUNTBLANK(I935:I938)=0,Group_players=4,M935=M936,M936=M938),IF(COUNTIF(W934:W937,W934)=3,AB958,IF(AND(COUNTIF(W934:W937,W934)=1,W935&lt;&gt;W937),IF(M935=2,IF(SMALL(W934:W937,1)=W934,1,IF(SMALL(W934:W937,2)=W934,2,IF(SMALL(W934:W937,3)=W934,3))),IF(M935=1,IF(SMALL(W934:W937,1)=W934,2,IF(SMALL(W934:W937,2)=W934,3,IF(SMALL(W934:W937,3)=W934,4))),"")),IF(COUNTIF(W934:W937,W934)=1,IF(W934&lt;W935,IF(M935=2,1,2),IF(M935=2,3,4)),IF(COUNTIF(W934:W937,W934)=2,IF(W934=W935,IF(W934&lt;W937,IF(M935=2,IF(Q958=3,1,2),IF(M935=1,IF(Q958=3,2,3))),IF(W934&gt;W937,IF(M935=2,IF(Q958=3,2,3),IF(M935=1,IF(Q958=3,3,4))))),IF(W934=W937,IF(W934&lt;W935,IF(M935=2,IF(Q952=3,1,2),IF(M935=1,IF(Q952=3,2,3))),IF(W934&gt;W935,IF(M935=2,IF(Q952=3,2,3),IF(M935=1,IF(Q952=3,3,4))))))),"")))),"")</f>
        <v/>
      </c>
      <c r="AC945" s="192"/>
      <c r="AD945" s="192"/>
      <c r="AE945" s="192"/>
      <c r="AF945" s="203"/>
      <c r="AG945" s="203"/>
      <c r="AH945" s="203"/>
      <c r="AI945" s="203"/>
      <c r="AJ945" s="203"/>
      <c r="AK945" s="203"/>
      <c r="AL945" s="203"/>
      <c r="AM945" s="203"/>
      <c r="AN945" s="192"/>
      <c r="AO945" s="192"/>
      <c r="AP945" s="192"/>
      <c r="AQ945" s="192"/>
      <c r="AR945" s="192"/>
      <c r="AS945" s="192"/>
      <c r="AT945" s="192"/>
      <c r="AU945" s="192"/>
      <c r="AV945" s="192"/>
      <c r="AW945" s="192"/>
      <c r="AX945" s="192"/>
    </row>
    <row r="946" spans="2:50" ht="15" customHeight="1" thickTop="1" x14ac:dyDescent="0.3">
      <c r="B946" s="192"/>
      <c r="C946" s="192"/>
      <c r="D946" s="192"/>
      <c r="E946" s="164" t="str">
        <f>IF(Q946="","",IF(Q946=3,1,0))</f>
        <v/>
      </c>
      <c r="F946" s="164" t="str">
        <f>IF(Q946="","",IF(Q946&lt;3,1,0))</f>
        <v/>
      </c>
      <c r="G946" s="192"/>
      <c r="H946" s="192" t="str">
        <f>IF(I935="","",1)</f>
        <v/>
      </c>
      <c r="I946" s="192" t="str">
        <f>IF(ISNUMBER(H946),VLOOKUP(H946,H935:I938,2,TRUE),"")</f>
        <v/>
      </c>
      <c r="J946" s="192"/>
      <c r="K946" s="192" t="str">
        <f>VLOOKUP(I946,I935:L938,3,FALSE)</f>
        <v/>
      </c>
      <c r="L946" s="253"/>
      <c r="M946" s="254"/>
      <c r="N946" s="254"/>
      <c r="O946" s="152"/>
      <c r="P946" s="153"/>
      <c r="Q946" s="255" t="str">
        <f>IF(L946="","",IF(AND(L946-L947&gt;1,L946&gt;10),1,0)+IF(AND(M946-M947&gt;1,M946&gt;10),1,0)+IF(AND(N946-N947&gt;1,N946&gt;10),1,0)+IF(AND(O946-O947&gt;1,O946&gt;10),1,0)+IF(AND(P946-P947&gt;1,P946&gt;10),1,0))</f>
        <v/>
      </c>
      <c r="R946" s="203" t="str">
        <f>IF(AND(I946="",I947=""),"",ABS(VLOOKUP(I946,I935:L938,4,FALSE)-VLOOKUP(I947,I935:L938,4,FALSE)))</f>
        <v/>
      </c>
      <c r="S946" s="256" t="str">
        <f>IF(R947="","",IF(Q946=3,+R947,-R947))</f>
        <v/>
      </c>
      <c r="T946" s="257"/>
      <c r="U946" s="258"/>
      <c r="V946" s="258"/>
      <c r="W946" s="258"/>
      <c r="X946" s="258"/>
      <c r="Y946" s="192"/>
      <c r="Z946" s="203"/>
      <c r="AA946" s="246">
        <v>2</v>
      </c>
      <c r="AB946" s="154" t="str">
        <f>IF(AND(COUNTBLANK(I935:I938)=0,Group_players=4,M935=M936,M936=M938),IF(COUNTIF(W934:W937,W935)=3,AB959,IF(AND(COUNTIF(W934:W937,W935)=1,W934&lt;&gt;W936),IF(M936=2,IF(SMALL(W934:W937,1)=W935,1,IF(SMALL(W934:W937,2)=W935,2,IF(SMALL(W934:W937,3)=W935,3))),IF(M936=1,IF(SMALL(W934:W937,1)=W935,2,IF(SMALL(W934:W937,2)=W935,3,IF(SMALL(W934:W937,3)=W935,4))),"")),IF(COUNTIF(W934:W937,W935)=1,IF(W935&lt;W934,IF(M936=2,1,2),IF(M936=2,3,4)),IF(COUNTIF(W934:W937,W935)=2,IF(W935=W934,IF(W935&lt;W937,IF(M936=2,IF(Q959=3,1,2),IF(M936=1,IF(Q959=3,2,3))),IF(W935&gt;W937,IF(M936=2,IF(Q959=3,2,3),IF(M936=1,IF(Q959=3,3,4))))),IF(W935=W937,IF(W935&lt;W934,IF(M936=2,IF(Q949=3,1,2),IF(M936=1,IF(Q949=3,2,3))),IF(W935&gt;W934,IF(M936=2,IF(Q949=3,2,3),IF(M936=1,IF(Q949=3,3,4))))))),"")))),"")</f>
        <v/>
      </c>
      <c r="AC946" s="192"/>
      <c r="AD946" s="192"/>
      <c r="AE946" s="192"/>
      <c r="AF946" s="203"/>
      <c r="AG946" s="203"/>
      <c r="AH946" s="203"/>
      <c r="AI946" s="203"/>
      <c r="AJ946" s="203"/>
      <c r="AK946" s="203"/>
      <c r="AL946" s="203"/>
      <c r="AM946" s="203"/>
      <c r="AN946" s="192"/>
      <c r="AO946" s="192"/>
      <c r="AP946" s="192"/>
      <c r="AQ946" s="192"/>
      <c r="AR946" s="192"/>
      <c r="AS946" s="192"/>
      <c r="AT946" s="192"/>
      <c r="AU946" s="192"/>
      <c r="AV946" s="192"/>
      <c r="AW946" s="192"/>
      <c r="AX946" s="192"/>
    </row>
    <row r="947" spans="2:50" ht="15" customHeight="1" thickBot="1" x14ac:dyDescent="0.35">
      <c r="B947" s="192"/>
      <c r="C947" s="192"/>
      <c r="D947" s="192"/>
      <c r="E947" s="164" t="str">
        <f>IF(Q947="","",IF(Q947=3,1,0))</f>
        <v/>
      </c>
      <c r="F947" s="164" t="str">
        <f>IF(Q947="","",IF(Q947&lt;3,1,0))</f>
        <v/>
      </c>
      <c r="G947" s="192"/>
      <c r="H947" s="192" t="str">
        <f>IF(I936="","",IF(I937="",2,3))</f>
        <v/>
      </c>
      <c r="I947" s="192" t="str">
        <f>IF(ISNUMBER(H947),VLOOKUP(H947,H935:I938,2,TRUE),"")</f>
        <v/>
      </c>
      <c r="J947" s="192"/>
      <c r="K947" s="192" t="str">
        <f>VLOOKUP(I947,I935:L938,3,FALSE)</f>
        <v/>
      </c>
      <c r="L947" s="155"/>
      <c r="M947" s="259"/>
      <c r="N947" s="259"/>
      <c r="O947" s="156"/>
      <c r="P947" s="157"/>
      <c r="Q947" s="260" t="str">
        <f>IF(L947="","",IF(AND(L947-L946&gt;1,L947&gt;10),1,0)+IF(AND(M947-M946&gt;1,M947&gt;10),1,0)+IF(AND(N947-N946&gt;1,N947&gt;10),1,0)+IF(AND(O947-O946&gt;1,O947&gt;10),1,0)+IF(AND(P947-P946&gt;1,P947&gt;10),1,0))</f>
        <v/>
      </c>
      <c r="R947" s="203" t="str">
        <f>IF(AND(Q946&lt;&gt;3,Q947&lt;&gt;3),"",IF(Q946=3,IF(VLOOKUP(I946,I935:L938,4,FALSE)&gt;VLOOKUP(I947,I935:L938,4,FALSE),VLOOKUP(R946,Point_dif,2,FALSE),VLOOKUP(R946,Point_dif,3,FALSE)),IF(Q947=3,IF(VLOOKUP(I947,I935:L938,4,FALSE)&gt;VLOOKUP(I946,I935:L938,4,FALSE),VLOOKUP(R946,Point_dif,2,FALSE),VLOOKUP(R946,Point_dif,3,FALSE)))))</f>
        <v/>
      </c>
      <c r="S947" s="256" t="str">
        <f>IF(R947="","",IF(Q947=3,+R947,-R947))</f>
        <v/>
      </c>
      <c r="T947" s="192"/>
      <c r="U947" s="235"/>
      <c r="V947" s="235"/>
      <c r="W947" s="235"/>
      <c r="X947" s="235"/>
      <c r="Y947" s="235"/>
      <c r="Z947" s="235"/>
      <c r="AA947" s="240">
        <v>4</v>
      </c>
      <c r="AB947" s="158" t="str">
        <f>IF(AND(COUNTBLANK(I935:I938)=0,Group_players=4,M935=M936,M936=M938),IF(COUNTIF(W934:W937,W937)=3,AB960,IF(AND(COUNTIF(W934:W937,W937)=1,W934&lt;&gt;W935),IF(M938=2,IF(SMALL(W934:W937,1)=W937,1,IF(SMALL(W934:W937,2)=W937,2,IF(SMALL(W934:W937,3)=W937,3))),IF(M938=1,IF(SMALL(W934:W937,1)=W937,2,IF(SMALL(W934:W937,2)=W937,3,IF(SMALL(W934:W937,3)=W937,4))),"")),IF(COUNTIF(W934:W937,W937)=1,IF(W937&lt;W934,IF(M938=2,1,2),IF(M938=2,3,4)),IF(COUNTIF(W934:W937,W937)=2,IF(W937=W934,IF(W937&lt;W935,IF(M938=2,IF(Q953=3,1,2),IF(M938=1,IF(Q953=3,2,3))),IF(W937&gt;W936,IF(M938=2,IF(Q953=3,2,3),IF(M938=1,IF(Q953=3,3,4))))),IF(W937=W935,IF(W937&lt;W934,IF(M938=2,IF(Q950=3,1,2),IF(M938=1,IF(Q950=3,2,3))),IF(W937&gt;W934,IF(M938=2,IF(Q950=3,2,3),IF(M938=1,IF(Q950=3,3,4))))))),"")))),"")</f>
        <v/>
      </c>
      <c r="AC947" s="192"/>
      <c r="AD947" s="192"/>
      <c r="AE947" s="192"/>
      <c r="AF947" s="203"/>
      <c r="AG947" s="203"/>
      <c r="AH947" s="203"/>
      <c r="AI947" s="203"/>
      <c r="AJ947" s="203"/>
      <c r="AK947" s="203"/>
      <c r="AL947" s="203"/>
      <c r="AM947" s="203"/>
      <c r="AN947" s="192"/>
      <c r="AO947" s="192"/>
      <c r="AP947" s="192"/>
      <c r="AQ947" s="192"/>
      <c r="AR947" s="192"/>
      <c r="AS947" s="192"/>
      <c r="AT947" s="192"/>
      <c r="AU947" s="192"/>
      <c r="AV947" s="192"/>
      <c r="AW947" s="192"/>
      <c r="AX947" s="192"/>
    </row>
    <row r="948" spans="2:50" ht="15" customHeight="1" thickTop="1" thickBot="1" x14ac:dyDescent="0.35">
      <c r="B948" s="192"/>
      <c r="C948" s="192"/>
      <c r="D948" s="192"/>
      <c r="E948" s="164"/>
      <c r="F948" s="164"/>
      <c r="G948" s="192"/>
      <c r="H948" s="192"/>
      <c r="I948" s="249" t="s">
        <v>116</v>
      </c>
      <c r="J948" s="249"/>
      <c r="K948" s="249"/>
      <c r="L948" s="250" t="s">
        <v>115</v>
      </c>
      <c r="M948" s="250" t="s">
        <v>116</v>
      </c>
      <c r="N948" s="250" t="s">
        <v>117</v>
      </c>
      <c r="O948" s="250" t="s">
        <v>118</v>
      </c>
      <c r="P948" s="250" t="s">
        <v>119</v>
      </c>
      <c r="Q948" s="250" t="s">
        <v>120</v>
      </c>
      <c r="R948" s="250"/>
      <c r="S948" s="251"/>
      <c r="T948" s="192"/>
      <c r="U948" s="235"/>
      <c r="V948" s="235"/>
      <c r="W948" s="235"/>
      <c r="X948" s="235"/>
      <c r="Y948" s="235"/>
      <c r="Z948" s="235"/>
      <c r="AA948" s="243">
        <v>2</v>
      </c>
      <c r="AB948" s="151" t="str">
        <f>IF(AND(COUNTBLANK(I935:I938)=0,Group_players=4,M936=M937,M937=M938),IF(COUNTIF(X934:X937,X935)=3,AB961,IF(AND(COUNTIF(X934:X937,X935)=1,X936&lt;&gt;X937),IF(M936=2,IF(SMALL(X934:X937,1)=X935,1,IF(SMALL(X934:X937,2)=X935,2,IF(SMALL(X934:X937,3)=X935,3))),IF(M936=1,IF(SMALL(X934:X937,1)=X935,2,IF(SMALL(X934:X937,2)=X935,3,IF(SMALL(X934:X937,3)=X935,4))),"")),IF(COUNTIF(X934:X937,X935)=1,IF(X935&lt;X937,IF(M936=2,1,2),IF(M936=1,3,3)),IF(COUNTIF(X934:X937,X935)=2,IF(X935=X936,IF(X935&lt;X937,IF(M936=2,IF(Q955=3,1,2),IF(M936=1,IF(Q955=3,2,3))),IF(X935&gt;X937,IF(M936=2,IF(Q955=3,2,3),IF(M936=1,IF(Q955=3,3,4))))),IF(X935=X937,IF(X935&lt;X936,IF(M936=2,IF(Q949=3,1,2),IF(M936=1,IF(Q949=3,2,3))),IF(X935&gt;X936,IF(M936=2,IF(Q949=3,2,3),IF(M936=1,IF(Q949=3,3,4))))))),"")))),"")</f>
        <v/>
      </c>
      <c r="AC948" s="192"/>
      <c r="AD948" s="192"/>
      <c r="AE948" s="192"/>
      <c r="AF948" s="203"/>
      <c r="AG948" s="203"/>
      <c r="AH948" s="203"/>
      <c r="AI948" s="203"/>
      <c r="AJ948" s="203"/>
      <c r="AK948" s="203"/>
      <c r="AL948" s="203"/>
      <c r="AM948" s="203"/>
      <c r="AN948" s="192"/>
      <c r="AO948" s="192"/>
      <c r="AP948" s="192"/>
      <c r="AQ948" s="192"/>
      <c r="AR948" s="192"/>
      <c r="AS948" s="192"/>
      <c r="AT948" s="192"/>
      <c r="AU948" s="192"/>
      <c r="AV948" s="192"/>
      <c r="AW948" s="192"/>
      <c r="AX948" s="192"/>
    </row>
    <row r="949" spans="2:50" ht="15" customHeight="1" thickTop="1" x14ac:dyDescent="0.3">
      <c r="B949" s="192"/>
      <c r="C949" s="192"/>
      <c r="D949" s="192"/>
      <c r="E949" s="164" t="str">
        <f>IF(Q949="","",IF(Q949=3,1,0))</f>
        <v/>
      </c>
      <c r="F949" s="164" t="str">
        <f>IF(Q949="","",IF(Q949&lt;3,1,0))</f>
        <v/>
      </c>
      <c r="G949" s="192"/>
      <c r="H949" s="192" t="str">
        <f>IF(I937="","",2)</f>
        <v/>
      </c>
      <c r="I949" s="192" t="str">
        <f>IF(ISNUMBER(H949),VLOOKUP(H949,H935:I938,2,TRUE),"")</f>
        <v/>
      </c>
      <c r="J949" s="192"/>
      <c r="K949" s="192" t="str">
        <f>VLOOKUP(I949,I935:L938,3,FALSE)</f>
        <v/>
      </c>
      <c r="L949" s="253"/>
      <c r="M949" s="254"/>
      <c r="N949" s="254"/>
      <c r="O949" s="152"/>
      <c r="P949" s="153"/>
      <c r="Q949" s="255" t="str">
        <f>IF(L949="","",IF(AND(L949-L950&gt;1,L949&gt;10),1,0)+IF(AND(M949-M950&gt;1,M949&gt;10),1,0)+IF(AND(N949-N950&gt;1,N949&gt;10),1,0)+IF(AND(O949-O950&gt;1,O949&gt;10),1,0)+IF(AND(P949-P950&gt;1,P949&gt;10),1,0))</f>
        <v/>
      </c>
      <c r="R949" s="203" t="str">
        <f>IF(AND(I949="",I950=""),"",ABS(VLOOKUP(I949,I935:L938,4,FALSE)-VLOOKUP(I950,I935:L938,4,FALSE)))</f>
        <v/>
      </c>
      <c r="S949" s="256" t="str">
        <f>IF(R950="","",IF(Q949=3,+R950,-R950))</f>
        <v/>
      </c>
      <c r="T949" s="192"/>
      <c r="U949" s="235"/>
      <c r="V949" s="235"/>
      <c r="W949" s="235"/>
      <c r="X949" s="235"/>
      <c r="Y949" s="235"/>
      <c r="Z949" s="235"/>
      <c r="AA949" s="246">
        <v>3</v>
      </c>
      <c r="AB949" s="154" t="str">
        <f>IF(AND(COUNTBLANK(I935:I938)=0,Group_players=4,M936=M937,M937=M938),IF(COUNTIF(X934:X937,X936)=3,AB962,IF(AND(COUNTIF(X934:X937,X936)=1,X935&lt;&gt;X937),IF(M937=2,IF(SMALL(X934:X937,1)=X936,1,IF(SMALL(X934:X937,2)=X936,2,IF(SMALL(X934:X937,3)=X936,3))),IF(M937=1,IF(SMALL(X934:X937,1)=X936,2,IF(SMALL(X934:X937,2)=X936,3,IF(SMALL(X934:X937,3)=X936,4))),"")),IF(COUNTIF(X934:X937,X936)=1,IF(X936&lt;X935,IF(M937=2,1,2),IF(M937=2,3,4)),IF(COUNTIF(X934:X937,X936)=2,IF(X936=X935,IF(X936&lt;X937,IF(M937=2,IF(Q956=3,1,2),IF(M937=1,IF(Q956=3,2,3))),IF(X936&gt;X937,IF(M937=2,IF(Q956=3,2,3),IF(M937=1,IF(Q956=3,3,4))))),IF(X936=X937,IF(X936&lt;X935,IF(M937=2,IF(Q961=3,1,2),IF(M937=1,IF(Q961=3,2,3))),IF(X936&gt;X935,IF(M937=2,IF(Q961=3,2,3),IF(M937=1,IF(Q961=3,3,4))))))),"")))),"")</f>
        <v/>
      </c>
      <c r="AC949" s="192"/>
      <c r="AD949" s="192"/>
      <c r="AE949" s="192"/>
      <c r="AF949" s="203"/>
      <c r="AG949" s="203"/>
      <c r="AH949" s="203"/>
      <c r="AI949" s="203"/>
      <c r="AJ949" s="203"/>
      <c r="AK949" s="203"/>
      <c r="AL949" s="203"/>
      <c r="AM949" s="203"/>
      <c r="AN949" s="192"/>
      <c r="AO949" s="192"/>
      <c r="AP949" s="192"/>
      <c r="AQ949" s="192"/>
      <c r="AR949" s="192"/>
      <c r="AS949" s="192"/>
      <c r="AT949" s="192"/>
      <c r="AU949" s="192"/>
      <c r="AV949" s="192"/>
      <c r="AW949" s="192"/>
      <c r="AX949" s="192"/>
    </row>
    <row r="950" spans="2:50" ht="15" customHeight="1" thickBot="1" x14ac:dyDescent="0.35">
      <c r="B950" s="192"/>
      <c r="C950" s="192"/>
      <c r="D950" s="192"/>
      <c r="E950" s="164" t="str">
        <f>IF(Q950="","",IF(Q950=3,1,0))</f>
        <v/>
      </c>
      <c r="F950" s="164" t="str">
        <f>IF(Q950="","",IF(Q950&lt;3,1,0))</f>
        <v/>
      </c>
      <c r="G950" s="192"/>
      <c r="H950" s="192" t="str">
        <f>IF(I937="","",IF(I938="",3,4))</f>
        <v/>
      </c>
      <c r="I950" s="192" t="str">
        <f>IF(ISNUMBER(H950),VLOOKUP(H950,H935:I938,2,TRUE),"")</f>
        <v/>
      </c>
      <c r="J950" s="192"/>
      <c r="K950" s="192" t="str">
        <f>VLOOKUP(I950,I935:L938,3,FALSE)</f>
        <v/>
      </c>
      <c r="L950" s="155"/>
      <c r="M950" s="259"/>
      <c r="N950" s="259"/>
      <c r="O950" s="156"/>
      <c r="P950" s="157"/>
      <c r="Q950" s="260" t="str">
        <f>IF(L950="","",IF(AND(L950-L949&gt;1,L950&gt;10),1,0)+IF(AND(M950-M949&gt;1,M950&gt;10),1,0)+IF(AND(N950-N949&gt;1,N950&gt;10),1,0)+IF(AND(O950-O949&gt;1,O950&gt;10),1,0)+IF(AND(P950-P949&gt;1,P950&gt;10),1,0))</f>
        <v/>
      </c>
      <c r="R950" s="203" t="str">
        <f>IF(AND(Q949&lt;&gt;3,Q950&lt;&gt;3),"",IF(Q949=3,IF(VLOOKUP(I949,I935:L938,4,FALSE)&gt;VLOOKUP(I950,I935:L938,4,FALSE),VLOOKUP(R949,Point_dif,2,FALSE),VLOOKUP(R949,Point_dif,3,FALSE)),IF(Q950=3,IF(VLOOKUP(I950,I935:L938,4,FALSE)&gt;VLOOKUP(I949,I935:L938,4,FALSE),VLOOKUP(R949,Point_dif,2,FALSE),VLOOKUP(R949,Point_dif,3,FALSE)))))</f>
        <v/>
      </c>
      <c r="S950" s="256" t="str">
        <f>IF(R950="","",IF(Q950=3,+R950,-R950))</f>
        <v/>
      </c>
      <c r="T950" s="192"/>
      <c r="U950" s="235"/>
      <c r="V950" s="235"/>
      <c r="W950" s="235"/>
      <c r="X950" s="235"/>
      <c r="Y950" s="235"/>
      <c r="Z950" s="235"/>
      <c r="AA950" s="261">
        <v>4</v>
      </c>
      <c r="AB950" s="158" t="str">
        <f>IF(AND(COUNTBLANK(I935:I938)=0,Group_players=4,M936=M937,M937=M938),IF(COUNTIF(X934:X937,X937)=3,AB963,IF(AND(COUNTIF(X934:X937,X937)=1,X936&lt;&gt;X935),IF(M938=2,IF(SMALL(X934:X937,1)=X937,1,IF(SMALL(X934:X937,2)=X937,2,IF(SMALL(X934:X937,3)=X937,3))),IF(M938=1,IF(SMALL(X934:X937,1)=X937,2,IF(SMALL(X934:X937,2)=X937,3,IF(SMALL(X934:X937,3)=X937,4))),"")),IF(COUNTIF(X934:X937,X937)=1,IF(X937&lt;X935,IF(M938=2,1,2),IF(M938=2,3,4)),IF(COUNTIF(X934:X937,X937)=2,IF(X937=X935,IF(X937&lt;X936,IF(M938=2,IF(Q950=3,1,2),IF(M938=1,IF(Q950=3,2,3))),IF(X937&gt;X936,IF(M938=2,IF(Q950=3,2,3),IF(M938=1,IF(Q950=3,3,4))))),IF(X937=X936,IF(X937&lt;X935,IF(M938=2,IF(Q962=3,1,2),IF(M938=1,IF(Q962=3,2,3))),IF(X937&gt;X935,IF(M938=2,IF(Q962=3,2,3),IF(M938=1,IF(Q962=3,3,4))))))),"")))),"")</f>
        <v/>
      </c>
      <c r="AC950" s="192"/>
      <c r="AD950" s="192"/>
      <c r="AE950" s="192"/>
      <c r="AF950" s="203"/>
      <c r="AG950" s="203"/>
      <c r="AH950" s="203"/>
      <c r="AI950" s="203"/>
      <c r="AJ950" s="203"/>
      <c r="AK950" s="203"/>
      <c r="AL950" s="203"/>
      <c r="AM950" s="203"/>
      <c r="AN950" s="192"/>
      <c r="AO950" s="192"/>
      <c r="AP950" s="192"/>
      <c r="AQ950" s="192"/>
      <c r="AR950" s="192"/>
      <c r="AS950" s="192"/>
      <c r="AT950" s="192"/>
      <c r="AU950" s="192"/>
      <c r="AV950" s="192"/>
      <c r="AW950" s="192"/>
      <c r="AX950" s="192"/>
    </row>
    <row r="951" spans="2:50" ht="15" customHeight="1" thickTop="1" thickBot="1" x14ac:dyDescent="0.35">
      <c r="B951" s="192"/>
      <c r="C951" s="192"/>
      <c r="D951" s="192"/>
      <c r="E951" s="164"/>
      <c r="F951" s="164"/>
      <c r="G951" s="192"/>
      <c r="H951" s="192"/>
      <c r="I951" s="249" t="s">
        <v>117</v>
      </c>
      <c r="J951" s="249"/>
      <c r="K951" s="249"/>
      <c r="L951" s="250" t="s">
        <v>115</v>
      </c>
      <c r="M951" s="250" t="s">
        <v>116</v>
      </c>
      <c r="N951" s="250" t="s">
        <v>117</v>
      </c>
      <c r="O951" s="250" t="s">
        <v>118</v>
      </c>
      <c r="P951" s="250" t="s">
        <v>119</v>
      </c>
      <c r="Q951" s="250" t="s">
        <v>120</v>
      </c>
      <c r="R951" s="250"/>
      <c r="S951" s="251"/>
      <c r="T951" s="263"/>
      <c r="U951" s="264"/>
      <c r="V951" s="242"/>
      <c r="W951" s="242"/>
      <c r="X951" s="264"/>
      <c r="Y951" s="192"/>
      <c r="Z951" s="203"/>
      <c r="AA951" s="126" t="s">
        <v>93</v>
      </c>
      <c r="AB951" s="265" t="s">
        <v>110</v>
      </c>
      <c r="AC951" s="192"/>
      <c r="AD951" s="192"/>
      <c r="AE951" s="192"/>
      <c r="AF951" s="203"/>
      <c r="AG951" s="203"/>
      <c r="AH951" s="203"/>
      <c r="AI951" s="203"/>
      <c r="AJ951" s="203"/>
      <c r="AK951" s="203"/>
      <c r="AL951" s="203"/>
      <c r="AM951" s="203"/>
      <c r="AN951" s="192"/>
      <c r="AO951" s="192"/>
      <c r="AP951" s="192"/>
      <c r="AQ951" s="192"/>
      <c r="AR951" s="192"/>
      <c r="AS951" s="192"/>
      <c r="AT951" s="192"/>
      <c r="AU951" s="192"/>
      <c r="AV951" s="192"/>
      <c r="AW951" s="192"/>
      <c r="AX951" s="192"/>
    </row>
    <row r="952" spans="2:50" ht="15" customHeight="1" thickTop="1" x14ac:dyDescent="0.3">
      <c r="B952" s="192"/>
      <c r="C952" s="192"/>
      <c r="D952" s="192"/>
      <c r="E952" s="164" t="str">
        <f>IF(Q952="","",IF(Q952=3,1,0))</f>
        <v/>
      </c>
      <c r="F952" s="164" t="str">
        <f>IF(Q952="","",IF(Q952&lt;3,1,0))</f>
        <v/>
      </c>
      <c r="G952" s="192"/>
      <c r="H952" s="192" t="str">
        <f>IF(I937&lt;&gt;"",1,"")</f>
        <v/>
      </c>
      <c r="I952" s="192" t="str">
        <f>IF(ISNUMBER(H952),VLOOKUP(H952,H935:I938,2,TRUE),"")</f>
        <v/>
      </c>
      <c r="J952" s="192"/>
      <c r="K952" s="192" t="str">
        <f>VLOOKUP(I952,I935:L938,3,FALSE)</f>
        <v/>
      </c>
      <c r="L952" s="253"/>
      <c r="M952" s="254"/>
      <c r="N952" s="254"/>
      <c r="O952" s="152"/>
      <c r="P952" s="153"/>
      <c r="Q952" s="255" t="str">
        <f>IF(L952="","",IF(AND(L952-L953&gt;1,L952&gt;10),1,0)+IF(AND(M952-M953&gt;1,M952&gt;10),1,0)+IF(AND(N952-N953&gt;1,N952&gt;10),1,0)+IF(AND(O952-O953&gt;1,O952&gt;10),1,0)+IF(AND(P952-P953&gt;1,P952&gt;10),1,0))</f>
        <v/>
      </c>
      <c r="R952" s="203" t="str">
        <f>IF(AND(I952="",I953=""),"",ABS(VLOOKUP(I952,I935:L938,4,FALSE)-VLOOKUP(I953,I935:L938,4,FALSE)))</f>
        <v/>
      </c>
      <c r="S952" s="256" t="str">
        <f>IF(R953="","",IF(Q952=3,+R953,-R953))</f>
        <v/>
      </c>
      <c r="T952" s="192"/>
      <c r="U952" s="235"/>
      <c r="V952" s="235"/>
      <c r="W952" s="235"/>
      <c r="X952" s="235"/>
      <c r="Y952" s="235"/>
      <c r="Z952" s="235"/>
      <c r="AA952" s="243">
        <v>1</v>
      </c>
      <c r="AB952" s="222" t="str">
        <f>IF(AND(COUNTBLANK(I935:I938)=0,Group_players=4,M935=M936,M936=M937),IF(U942="","",IF(COUNTIF(U942:U945,U942)=3,"Tied",IF(AND(COUNTIF(U942:U945,U942)=1,U943&lt;&gt;U944),IF(M935=2,IF(SMALL(U942:U945,1)=U942,1,IF(SMALL(U942:U945,2)=U942,2,IF(SMALL(U942:U945,3)=U942,3))),IF(M935=1,IF(SMALL(U942:U945,1)=U942,2,IF(SMALL(U942:U945,2)=U942,3,IF(SMALL(U942:U945,3)=U942,4))),"")),IF(COUNTIF(U942:U945,U942)=1,IF(U942&lt;U943,IF(M935=2,1,2),IF(M935=2,3,4)),IF(COUNTIF(U942:U945,U942)=2,IF(U942=U943,IF(U942&lt;U944,IF(M935=2,IF(Q958=3,1,2),IF(M935=1,IF(Q958=3,2,3))),IF(U942&gt;U944,IF(M935=2,IF(Q958=3,2,3),IF(M935=1,IF(Q958=3,3,4))))),IF(U942=U944,IF(U942&lt;U943,IF(M935=2,IF(Q946=3,1,2),IF(M935=1,IF(Q946=3,2,3))),IF(U942&gt;U943,IF(M935=2,IF(Q946=3,2,3),IF(M935=1,IF(Q946=3,3,4)))))))))))),"")</f>
        <v/>
      </c>
      <c r="AC952" s="192"/>
      <c r="AD952" s="192"/>
      <c r="AE952" s="192"/>
      <c r="AF952" s="203"/>
      <c r="AG952" s="203"/>
      <c r="AH952" s="203"/>
      <c r="AI952" s="203"/>
      <c r="AJ952" s="203"/>
      <c r="AK952" s="203"/>
      <c r="AL952" s="203"/>
      <c r="AM952" s="203"/>
      <c r="AN952" s="192"/>
      <c r="AO952" s="192"/>
      <c r="AP952" s="192"/>
      <c r="AQ952" s="192"/>
      <c r="AR952" s="192"/>
      <c r="AS952" s="192"/>
      <c r="AT952" s="192"/>
      <c r="AU952" s="192"/>
      <c r="AV952" s="192"/>
      <c r="AW952" s="192"/>
      <c r="AX952" s="192"/>
    </row>
    <row r="953" spans="2:50" ht="15" customHeight="1" thickBot="1" x14ac:dyDescent="0.35">
      <c r="B953" s="192"/>
      <c r="C953" s="192"/>
      <c r="D953" s="192"/>
      <c r="E953" s="164" t="str">
        <f>IF(Q953="","",IF(Q953=3,1,0))</f>
        <v/>
      </c>
      <c r="F953" s="164" t="str">
        <f>IF(Q953="","",IF(Q953&lt;3,1,0))</f>
        <v/>
      </c>
      <c r="G953" s="192"/>
      <c r="H953" s="192" t="str">
        <f>IF(I937="","",IF(I938&lt;&gt;"",4,2))</f>
        <v/>
      </c>
      <c r="I953" s="192" t="str">
        <f>IF(ISNUMBER(H953),VLOOKUP(H953,H935:I938,2,TRUE),"")</f>
        <v/>
      </c>
      <c r="J953" s="192"/>
      <c r="K953" s="192" t="str">
        <f>VLOOKUP(I953,I935:L938,3,FALSE)</f>
        <v/>
      </c>
      <c r="L953" s="155"/>
      <c r="M953" s="259"/>
      <c r="N953" s="259"/>
      <c r="O953" s="156"/>
      <c r="P953" s="157"/>
      <c r="Q953" s="260" t="str">
        <f>IF(L953="","",IF(AND(L953-L952&gt;1,L953&gt;10),1,0)+IF(AND(M953-M952&gt;1,M953&gt;10),1,0)+IF(AND(N953-N952&gt;1,N953&gt;10),1,0)+IF(AND(O953-O952&gt;1,O953&gt;10),1,0)+IF(AND(P953-P952&gt;1,P953&gt;10),1,0))</f>
        <v/>
      </c>
      <c r="R953" s="203" t="str">
        <f>IF(AND(Q952&lt;&gt;3,Q953&lt;&gt;3),"",IF(Q952=3,IF(VLOOKUP(I952,I935:L938,4,FALSE)&gt;VLOOKUP(I953,I935:L938,4,FALSE),VLOOKUP(R952,Point_dif,2,FALSE),VLOOKUP(R952,Point_dif,3,FALSE)),IF(Q953=3,IF(VLOOKUP(I953,I935:L938,4,FALSE)&gt;VLOOKUP(I952,I935:L938,4,FALSE),VLOOKUP(R952,Point_dif,2,FALSE),VLOOKUP(R952,Point_dif,3,FALSE)))))</f>
        <v/>
      </c>
      <c r="S953" s="256" t="str">
        <f>IF(R953="","",IF(Q953=3,+R953,-R953))</f>
        <v/>
      </c>
      <c r="T953" s="192"/>
      <c r="U953" s="235"/>
      <c r="V953" s="235"/>
      <c r="W953" s="235"/>
      <c r="X953" s="235"/>
      <c r="Y953" s="235"/>
      <c r="Z953" s="235"/>
      <c r="AA953" s="246">
        <v>2</v>
      </c>
      <c r="AB953" s="222" t="str">
        <f>IF(AND(COUNTBLANK(I935:I938)=0,Group_players=4,M935=M936,M936=M937),IF(U943="","",IF(COUNTIF(U942:U945,U943)=3,"Tied",IF(AND(COUNTIF(U942:U945,U943)=1,U942&lt;&gt;U944),IF(M936=2,IF(SMALL(U942:U945,1)=U943,1,IF(SMALL(U942:U945,2)=U943,2,IF(SMALL(U942:U945,3)=U943,3))),IF(M936=1,IF(SMALL(U942:U945,1)=U943,2,IF(SMALL(U942:U945,2)=U943,3,IF(SMALL(U942:U945,3)=U943,4))),"")),IF(COUNTIF(U942:U945,U943)=1,IF(U943&lt;U942,IF(M936=2,1,2),IF(M936=2,3,4)),IF(COUNTIF(U942:U945,U943)=2,IF(U943=U942,IF(U943&lt;U944,IF(M936=2,IF(Q959=3,1,2),IF(M936=1,IF(Q959=3,2,3))),IF(U943&gt;U944,IF(M936=2,IF(Q959=3,2,3),IF(M936=1,IF(Q959=3,3,4))))),IF(U943=U944,IF(U943&lt;U942,IF(M936=2,IF(Q955=3,1,2),IF(M936=1,IF(Q955=3,2,3))),IF(U943&gt;U942,IF(M936=2,IF(Q955=3,2,3),IF(M936=1,IF(Q955=3,3,4)))))))))))),"")</f>
        <v/>
      </c>
      <c r="AC953" s="192"/>
      <c r="AD953" s="192"/>
      <c r="AE953" s="192"/>
      <c r="AF953" s="203"/>
      <c r="AG953" s="203"/>
      <c r="AH953" s="203"/>
      <c r="AI953" s="203"/>
      <c r="AJ953" s="203"/>
      <c r="AK953" s="203"/>
      <c r="AL953" s="203"/>
      <c r="AM953" s="203"/>
      <c r="AN953" s="192"/>
      <c r="AO953" s="192"/>
      <c r="AP953" s="192"/>
      <c r="AQ953" s="192"/>
      <c r="AR953" s="192"/>
      <c r="AS953" s="192"/>
      <c r="AT953" s="192"/>
      <c r="AU953" s="192"/>
      <c r="AV953" s="192"/>
      <c r="AW953" s="192"/>
      <c r="AX953" s="192"/>
    </row>
    <row r="954" spans="2:50" ht="15" customHeight="1" thickTop="1" thickBot="1" x14ac:dyDescent="0.35">
      <c r="B954" s="192"/>
      <c r="C954" s="192"/>
      <c r="D954" s="192"/>
      <c r="E954" s="164"/>
      <c r="F954" s="164"/>
      <c r="G954" s="192"/>
      <c r="H954" s="192"/>
      <c r="I954" s="249" t="s">
        <v>118</v>
      </c>
      <c r="J954" s="249"/>
      <c r="K954" s="249"/>
      <c r="L954" s="250" t="s">
        <v>115</v>
      </c>
      <c r="M954" s="250" t="s">
        <v>116</v>
      </c>
      <c r="N954" s="250" t="s">
        <v>117</v>
      </c>
      <c r="O954" s="250" t="s">
        <v>118</v>
      </c>
      <c r="P954" s="250" t="s">
        <v>119</v>
      </c>
      <c r="Q954" s="250" t="s">
        <v>120</v>
      </c>
      <c r="R954" s="250"/>
      <c r="S954" s="251"/>
      <c r="T954" s="192"/>
      <c r="U954" s="235"/>
      <c r="V954" s="235"/>
      <c r="W954" s="235"/>
      <c r="X954" s="235"/>
      <c r="Y954" s="235"/>
      <c r="Z954" s="235"/>
      <c r="AA954" s="240">
        <v>3</v>
      </c>
      <c r="AB954" s="241" t="str">
        <f>IF(AND(COUNTBLANK(I935:I938)=0,Group_players=4,M935=M936,M936=M937),IF(U944="","",IF(COUNTIF(U942:U945,U944)=3,"Tied",IF(AND(COUNTIF(U942:U945,U944)=1,U942&lt;&gt;U943),IF(M935=2,IF(SMALL(U942:U945,1)=U944,1,IF(SMALL(U942:U945,2)=U944,2,IF(SMALL(U942:U945,3)=U944,3))),IF(M937=1,IF(SMALL(U942:U945,1)=U944,2,IF(SMALL(U942:U945,2)=U944,3,IF(SMALL(U942:U945,3)=U944,4))),"")),IF(COUNTIF(U942:U945,U944)=1,IF(U944&lt;U943,IF(M937=2,1,2),IF(M937=2,3,4)),IF(COUNTIF(U942:U945,U944)=2,IF(U944=U943,IF(U944&lt;U942,IF(M937=2,IF(Q956=3,1,2),IF(M937=1,IF(Q956=3,2,3))),IF(U944&gt;U942,IF(M937=2,IF(Q956=3,2,3),IF(M937=1,IF(Q956=3,3,4))))),IF(U944=U942,IF(U944&lt;U943,IF(M937=2,IF(Q947=3,1,2),IF(M937=1,IF(Q947=3,2,3))),IF(U944&gt;U943,IF(M937=2,IF(Q947=3,2,3),IF(M937=1,IF(Q947=3,3,4)))))))))))),"")</f>
        <v/>
      </c>
      <c r="AC954" s="192"/>
      <c r="AD954" s="192"/>
      <c r="AE954" s="192"/>
      <c r="AF954" s="203"/>
      <c r="AG954" s="203"/>
      <c r="AH954" s="203"/>
      <c r="AI954" s="203"/>
      <c r="AJ954" s="203"/>
      <c r="AK954" s="203"/>
      <c r="AL954" s="203"/>
      <c r="AM954" s="203"/>
      <c r="AN954" s="192"/>
      <c r="AO954" s="192"/>
      <c r="AP954" s="192"/>
      <c r="AQ954" s="192"/>
      <c r="AR954" s="192"/>
      <c r="AS954" s="192"/>
      <c r="AT954" s="192"/>
      <c r="AU954" s="192"/>
      <c r="AV954" s="192"/>
      <c r="AW954" s="192"/>
      <c r="AX954" s="192"/>
    </row>
    <row r="955" spans="2:50" ht="15" customHeight="1" thickTop="1" x14ac:dyDescent="0.3">
      <c r="B955" s="192"/>
      <c r="C955" s="192"/>
      <c r="D955" s="192"/>
      <c r="E955" s="164" t="str">
        <f>IF(Q955="","",IF(Q955=3,1,0))</f>
        <v/>
      </c>
      <c r="F955" s="164" t="str">
        <f>IF(Q955="","",IF(Q955&lt;3,1,0))</f>
        <v/>
      </c>
      <c r="G955" s="192"/>
      <c r="H955" s="192" t="str">
        <f>IF(I938&lt;&gt;"",2,"")</f>
        <v/>
      </c>
      <c r="I955" s="192" t="str">
        <f>IF(ISNUMBER(H955),VLOOKUP(H955,H935:I938,2,TRUE),"")</f>
        <v/>
      </c>
      <c r="J955" s="192"/>
      <c r="K955" s="192" t="str">
        <f>VLOOKUP(I955,I935:L938,3,FALSE)</f>
        <v/>
      </c>
      <c r="L955" s="253"/>
      <c r="M955" s="254"/>
      <c r="N955" s="254"/>
      <c r="O955" s="152"/>
      <c r="P955" s="153"/>
      <c r="Q955" s="255" t="str">
        <f>IF(L955="","",IF(AND(L955-L956&gt;1,L955&gt;10),1,0)+IF(AND(M955-M956&gt;1,M955&gt;10),1,0)+IF(AND(N955-N956&gt;1,N955&gt;10),1,0)+IF(AND(O955-O956&gt;1,O955&gt;10),1,0)+IF(AND(P955-P956&gt;1,P955&gt;10),1,0))</f>
        <v/>
      </c>
      <c r="R955" s="203" t="str">
        <f>IF(AND(I955="",I956=""),"",ABS(VLOOKUP(I955,I935:L938,4,FALSE)-VLOOKUP(I956,I935:L938,4,FALSE)))</f>
        <v/>
      </c>
      <c r="S955" s="256" t="str">
        <f>IF(R956="","",IF(Q955=3,+R956,-R956))</f>
        <v/>
      </c>
      <c r="T955" s="192"/>
      <c r="U955" s="235"/>
      <c r="V955" s="235"/>
      <c r="W955" s="235"/>
      <c r="X955" s="235"/>
      <c r="Y955" s="235"/>
      <c r="Z955" s="235"/>
      <c r="AA955" s="243">
        <v>1</v>
      </c>
      <c r="AB955" s="222" t="str">
        <f>IF(AND(COUNTBLANK(I935:I938)=0,Group_players=4,M935=M937,M937=M938),IF(V942="","",IF(COUNTIF(V942:V945,V942)=3,"Tied",IF(AND(COUNTIF(V942:V945,V942)=1,V944&lt;&gt;U945),IF(M935=2,IF(SMALL(V942:V945,1)=V942,1,IF(SMALL(V942:V945,2)=V942,2,IF(SMALL(V942:V945,3)=V942,3))),IF(M935=1,IF(SMALL(V942:V945,1)=V942,2,IF(SMALL(V942:V945,2)=V942,3,IF(SMALL(V942:V945,3)=V942,4))),"")),IF(COUNTIF(V942:V945,V942)=1,IF(V942&lt;V944,IF(M935=2,1,2),IF(M935=2,3,4)),IF(COUNTIF(V942:V945,V942)=2,IF(V942=V944,IF(V942&lt;V945,IF(M935=2,IF(Q946=3,1,2),IF(M935=1,IF(Q946=3,2,3))),IF(V942&gt;V945,IF(M935=2,IF(Q946=3,2,3),IF(M935=1,IF(Q946=3,3,4))))),IF(V942=V945,IF(V942&lt;V944,IF(M935=2,IF(Q952=3,1,2),IF(M935=1,IF(Q952=3,2,3))),IF(V942&gt;V943,IF(M935=2,IF(Q952=3,2,3),IF(M935=1,IF(Q952=3,3,4)))))))))))),"")</f>
        <v/>
      </c>
      <c r="AC955" s="192"/>
      <c r="AD955" s="192"/>
      <c r="AE955" s="192"/>
      <c r="AF955" s="203"/>
      <c r="AG955" s="203"/>
      <c r="AH955" s="203"/>
      <c r="AI955" s="203"/>
      <c r="AJ955" s="203"/>
      <c r="AK955" s="203"/>
      <c r="AL955" s="203"/>
      <c r="AM955" s="203"/>
      <c r="AN955" s="192"/>
      <c r="AO955" s="192"/>
      <c r="AP955" s="192"/>
      <c r="AQ955" s="192"/>
      <c r="AR955" s="192"/>
      <c r="AS955" s="192"/>
      <c r="AT955" s="192"/>
      <c r="AU955" s="192"/>
      <c r="AV955" s="192"/>
      <c r="AW955" s="192"/>
      <c r="AX955" s="192"/>
    </row>
    <row r="956" spans="2:50" ht="15" customHeight="1" thickBot="1" x14ac:dyDescent="0.35">
      <c r="B956" s="192"/>
      <c r="C956" s="192"/>
      <c r="D956" s="192"/>
      <c r="E956" s="164" t="str">
        <f>IF(Q956="","",IF(Q956=3,1,0))</f>
        <v/>
      </c>
      <c r="F956" s="164" t="str">
        <f>IF(Q956="","",IF(Q956&lt;3,1,0))</f>
        <v/>
      </c>
      <c r="G956" s="192"/>
      <c r="H956" s="192" t="str">
        <f>IF(I938&lt;&gt;"",3,"")</f>
        <v/>
      </c>
      <c r="I956" s="192" t="str">
        <f>IF(ISNUMBER(H956),VLOOKUP(H956,H935:I938,2,TRUE),"")</f>
        <v/>
      </c>
      <c r="J956" s="192"/>
      <c r="K956" s="192" t="str">
        <f>VLOOKUP(I956,I935:L938,3,FALSE)</f>
        <v/>
      </c>
      <c r="L956" s="155"/>
      <c r="M956" s="259"/>
      <c r="N956" s="259"/>
      <c r="O956" s="156"/>
      <c r="P956" s="157"/>
      <c r="Q956" s="260" t="str">
        <f>IF(L956="","",IF(AND(L956-L955&gt;1,L956&gt;10),1,0)+IF(AND(M956-M955&gt;1,M956&gt;10),1,0)+IF(AND(N956-N955&gt;1,N956&gt;10),1,0)+IF(AND(O956-O955&gt;1,O956&gt;10),1,0)+IF(AND(P956-P955&gt;1,P956&gt;10),1,0))</f>
        <v/>
      </c>
      <c r="R956" s="203" t="str">
        <f>IF(AND(Q955&lt;&gt;3,Q956&lt;&gt;3),"",IF(Q955=3,IF(VLOOKUP(I955,I935:L938,4,FALSE)&gt;VLOOKUP(I956,I935:L938,4,FALSE),VLOOKUP(R955,Point_dif,2,FALSE),VLOOKUP(R955,Point_dif,3,FALSE)),IF(Q956=3,IF(VLOOKUP(I956,I935:L938,4,FALSE)&gt;VLOOKUP(I955,I935:L938,4,FALSE),VLOOKUP(R955,Point_dif,2,FALSE),VLOOKUP(R955,Point_dif,3,FALSE)))))</f>
        <v/>
      </c>
      <c r="S956" s="256" t="str">
        <f>IF(R956="","",IF(Q956=3,+R956,-R956))</f>
        <v/>
      </c>
      <c r="T956" s="192"/>
      <c r="U956" s="159"/>
      <c r="V956" s="266"/>
      <c r="W956" s="266"/>
      <c r="X956" s="266"/>
      <c r="Y956" s="192"/>
      <c r="Z956" s="203"/>
      <c r="AA956" s="246">
        <v>3</v>
      </c>
      <c r="AB956" s="222" t="str">
        <f>IF(AND(COUNTBLANK(I935:I938)=0,Group_players=4,M935=M937,M937=M938),IF(V944="","",IF(COUNTIF(V942:V945,V944)=3,"Tied",IF(AND(COUNTIF(V942:V945,V944)=1,V942&lt;&gt;V945),IF(M937=2,IF(SMALL(V942:V945,1)=V944,1,IF(SMALL(V942:V945,2)=V944,2,IF(SMALL(V942:V945,3)=V944,3))),IF(M937=1,IF(SMALL(V942:V945,1)=V944,2,IF(SMALL(V942:V945,2)=V944,3,IF(SMALL(V942:V945,3)=V944,4))),"")),IF(COUNTIF(V942:V945,V944)=1,IF(V944&lt;V942,IF(M937=2,1,2),IF(M937=2,3,4)),IF(COUNTIF(V942:V945,V944)=2,IF(V944=V942,IF(V944&lt;V945,IF(M937=2,IF(Q947=3,1,2),IF(M937=1,IF(Q947=3,2,3))),IF(V944&gt;V945,IF(M937=2,IF(Q947=3,2,3),IF(M937=1,IF(Q947=3,3,4))))),IF(V944=V945,IF(V944&lt;V942,IF(M937=2,IF(Q961=3,1,2),IF(M937=1,IF(Q961=3,2,3))),IF(V944&gt;V942,IF(M937=2,IF(Q961=3,2,3),IF(M937=1,IF(Q961=3,3,4)))))))))))),"")</f>
        <v/>
      </c>
      <c r="AC956" s="192"/>
      <c r="AD956" s="192"/>
      <c r="AE956" s="192"/>
      <c r="AF956" s="203"/>
      <c r="AG956" s="203"/>
      <c r="AH956" s="203"/>
      <c r="AI956" s="203"/>
      <c r="AJ956" s="203"/>
      <c r="AK956" s="203"/>
      <c r="AL956" s="203"/>
      <c r="AM956" s="203"/>
      <c r="AN956" s="192"/>
      <c r="AO956" s="192"/>
      <c r="AP956" s="192"/>
      <c r="AQ956" s="192"/>
      <c r="AR956" s="192"/>
      <c r="AS956" s="192"/>
      <c r="AT956" s="192"/>
      <c r="AU956" s="192"/>
      <c r="AV956" s="192"/>
      <c r="AW956" s="192"/>
      <c r="AX956" s="192"/>
    </row>
    <row r="957" spans="2:50" ht="15" customHeight="1" thickTop="1" thickBot="1" x14ac:dyDescent="0.35">
      <c r="B957" s="192"/>
      <c r="C957" s="192"/>
      <c r="D957" s="192"/>
      <c r="E957" s="164"/>
      <c r="F957" s="164"/>
      <c r="G957" s="192"/>
      <c r="H957" s="192"/>
      <c r="I957" s="249" t="s">
        <v>119</v>
      </c>
      <c r="J957" s="249"/>
      <c r="K957" s="249"/>
      <c r="L957" s="250" t="s">
        <v>115</v>
      </c>
      <c r="M957" s="250" t="s">
        <v>116</v>
      </c>
      <c r="N957" s="250" t="s">
        <v>117</v>
      </c>
      <c r="O957" s="250" t="s">
        <v>118</v>
      </c>
      <c r="P957" s="250" t="s">
        <v>119</v>
      </c>
      <c r="Q957" s="250" t="s">
        <v>120</v>
      </c>
      <c r="R957" s="250"/>
      <c r="S957" s="251"/>
      <c r="T957" s="247"/>
      <c r="U957" s="235"/>
      <c r="V957" s="235"/>
      <c r="W957" s="235"/>
      <c r="X957" s="235"/>
      <c r="Y957" s="235"/>
      <c r="Z957" s="235"/>
      <c r="AA957" s="240">
        <v>4</v>
      </c>
      <c r="AB957" s="241" t="str">
        <f>IF(AND(COUNTBLANK(I935:I938)=0,Group_players=4,M935=M937,M937=M938),IF(V945="","",IF(COUNTIF(V942:V945,V945)=3,"Tied",IF(AND(COUNTIF(V942:V945,V945)=1,V944&lt;&gt;V942),IF(M938=2,IF(SMALL(V942:V945,1)=V945,1,IF(SMALL(V942:V945,2)=V945,2,IF(SMALL(V942:V945,3)=V945,3))),IF(M938=1,IF(SMALL(V942:V945,1)=V945,2,IF(SMALL(V942:V945,2)=V945,3,IF(SMALL(V942:V945,3)=V945,4))),"")),IF(COUNTIF(V942:V945,V945)=1,IF(V945&lt;V942,IF(M938=2,1,2),IF(M938=2,3,4)),IF(COUNTIF(V942:V945,V945)=2,IF(V945=V942,IF(V945&lt;V944,IF(M938=2,IF(Q953=3,1,2),IF(M938=1,IF(Q953=3,2,3))),IF(V945&gt;V944,IF(M938=2,IF(Q953=3,2,3),IF(M938=1,IF(Q953=3,3,4))))),IF(V945=V944,IF(V945&lt;V942,IF(M938=2,IF(Q962=3,1,2),IF(M938=1,IF(Q962=3,2,3))),IF(V945&gt;V942,IF(M938=2,IF(Q962=3,2,3),IF(M938=1,IF(Q962=3,3,4)))))))))))),"")</f>
        <v/>
      </c>
      <c r="AC957" s="192"/>
      <c r="AD957" s="192"/>
      <c r="AE957" s="192"/>
      <c r="AF957" s="203"/>
      <c r="AG957" s="203"/>
      <c r="AH957" s="203"/>
      <c r="AI957" s="203"/>
      <c r="AJ957" s="203"/>
      <c r="AK957" s="203"/>
      <c r="AL957" s="203"/>
      <c r="AM957" s="203"/>
      <c r="AN957" s="192"/>
      <c r="AO957" s="192"/>
      <c r="AP957" s="192"/>
      <c r="AQ957" s="192"/>
      <c r="AR957" s="192"/>
      <c r="AS957" s="192"/>
      <c r="AT957" s="192"/>
      <c r="AU957" s="192"/>
      <c r="AV957" s="192"/>
      <c r="AW957" s="192"/>
      <c r="AX957" s="192"/>
    </row>
    <row r="958" spans="2:50" ht="15" customHeight="1" thickTop="1" x14ac:dyDescent="0.3">
      <c r="B958" s="192"/>
      <c r="C958" s="192"/>
      <c r="D958" s="192"/>
      <c r="E958" s="164" t="str">
        <f>IF(Q958="","",IF(Q958=3,1,0))</f>
        <v/>
      </c>
      <c r="F958" s="164" t="str">
        <f>IF(Q958="","",IF(Q958&lt;3,1,0))</f>
        <v/>
      </c>
      <c r="G958" s="192"/>
      <c r="H958" s="192" t="str">
        <f>IF(I938&lt;&gt;"",1,"")</f>
        <v/>
      </c>
      <c r="I958" s="192" t="str">
        <f>IF(ISNUMBER(H958),VLOOKUP(H958,H935:I938,2,TRUE),"")</f>
        <v/>
      </c>
      <c r="J958" s="192"/>
      <c r="K958" s="192" t="str">
        <f>VLOOKUP(I958,I935:L938,3,FALSE)</f>
        <v/>
      </c>
      <c r="L958" s="253"/>
      <c r="M958" s="254"/>
      <c r="N958" s="254"/>
      <c r="O958" s="152"/>
      <c r="P958" s="153"/>
      <c r="Q958" s="255" t="str">
        <f>IF(L958="","",IF(AND(L958-L959&gt;1,L958&gt;10),1,0)+IF(AND(M958-M959&gt;1,M958&gt;10),1,0)+IF(AND(N958-N959&gt;1,N958&gt;10),1,0)+IF(AND(O958-O959&gt;1,O958&gt;10),1,0)+IF(AND(P958-P959&gt;1,P958&gt;10),1,0))</f>
        <v/>
      </c>
      <c r="R958" s="203" t="str">
        <f>IF(AND(I958="",I959=""),"",ABS(VLOOKUP(I958,I935:L938,4,FALSE)-VLOOKUP(I959,I935:L938,4,FALSE)))</f>
        <v/>
      </c>
      <c r="S958" s="256" t="str">
        <f>IF(R959="","",IF(Q958=3,+R959,-R959))</f>
        <v/>
      </c>
      <c r="T958" s="247"/>
      <c r="U958" s="235"/>
      <c r="V958" s="235"/>
      <c r="W958" s="235"/>
      <c r="X958" s="235"/>
      <c r="Y958" s="235"/>
      <c r="Z958" s="235"/>
      <c r="AA958" s="243">
        <v>1</v>
      </c>
      <c r="AB958" s="222" t="str">
        <f>IF(AND(COUNTBLANK(I935:I938)=0,Group_players=4,M935=M936,M936=M938),IF(W942="","",IF(COUNTIF(W942:W945,W942)=3,"Tied",IF(AND(COUNTIF(W942:W945,W942)=1,W943&lt;&gt;W944),IF(M935=2,IF(SMALL(W942:W945,1)=W942,1,IF(SMALL(W942:W945,2)=W942,2,IF(SMALL(W942:W945,3)=W942,3))),IF(M935=1,IF(SMALL(W942:W945,1)=W942,2,IF(SMALL(W942:W945,2)=W942,3,IF(SMALL(W942:W945,3)=W942,4))),"")),IF(COUNTIF(W942:W945,W942)=1,IF(W942&lt;W943,IF(M935=2,1,2),IF(M935=2,3,4)),IF(COUNTIF(W942:W945,W942)=2,IF(W942=W943,IF(W942&lt;W945,IF(M935=2,IF(Q958=3,1,2),IF(M935=1,IF(Q958=3,2,3))),IF(W942&gt;W945,IF(M935=2,IF(Q958=3,2,3),IF(M935=1,IF(Q958=3,3,4))))),IF(W942=W945,IF(W942&lt;W943,IF(M935=2,IF(Q952=3,1,2),IF(M935=1,IF(Q952=3,2,3))),IF(W942&gt;W943,IF(M935=2,IF(Q952=3,2,3),IF(M935=1,IF(Q952=3,3,4)))))))))))),"")</f>
        <v/>
      </c>
      <c r="AC958" s="192"/>
      <c r="AD958" s="192"/>
      <c r="AE958" s="192"/>
      <c r="AF958" s="203"/>
      <c r="AG958" s="203"/>
      <c r="AH958" s="203"/>
      <c r="AI958" s="203"/>
      <c r="AJ958" s="203"/>
      <c r="AK958" s="203"/>
      <c r="AL958" s="203"/>
      <c r="AM958" s="203"/>
      <c r="AN958" s="192"/>
      <c r="AO958" s="192"/>
      <c r="AP958" s="192"/>
      <c r="AQ958" s="192"/>
      <c r="AR958" s="192"/>
      <c r="AS958" s="192"/>
      <c r="AT958" s="192"/>
      <c r="AU958" s="192"/>
      <c r="AV958" s="192"/>
      <c r="AW958" s="192"/>
      <c r="AX958" s="192"/>
    </row>
    <row r="959" spans="2:50" ht="15" customHeight="1" thickBot="1" x14ac:dyDescent="0.35">
      <c r="B959" s="192"/>
      <c r="C959" s="192"/>
      <c r="D959" s="192"/>
      <c r="E959" s="164" t="str">
        <f>IF(Q959="","",IF(Q959=3,1,0))</f>
        <v/>
      </c>
      <c r="F959" s="164" t="str">
        <f>IF(Q959="","",IF(Q959&lt;3,1,0))</f>
        <v/>
      </c>
      <c r="G959" s="192"/>
      <c r="H959" s="192" t="str">
        <f>IF(I938&lt;&gt;"",2,"")</f>
        <v/>
      </c>
      <c r="I959" s="192" t="str">
        <f>IF(ISNUMBER(H959),VLOOKUP(H959,H935:I938,2,TRUE),"")</f>
        <v/>
      </c>
      <c r="J959" s="192"/>
      <c r="K959" s="192" t="str">
        <f>VLOOKUP(I959,I935:L938,3,FALSE)</f>
        <v/>
      </c>
      <c r="L959" s="155"/>
      <c r="M959" s="259"/>
      <c r="N959" s="259"/>
      <c r="O959" s="156"/>
      <c r="P959" s="157"/>
      <c r="Q959" s="260" t="str">
        <f>IF(L959="","",IF(AND(L959-L958&gt;1,L959&gt;10),1,0)+IF(AND(M959-M958&gt;1,M959&gt;10),1,0)+IF(AND(N959-N958&gt;1,N959&gt;10),1,0)+IF(AND(O959-O958&gt;1,O959&gt;10),1,0)+IF(AND(P959-P958&gt;1,P959&gt;10),1,0))</f>
        <v/>
      </c>
      <c r="R959" s="203" t="str">
        <f>IF(AND(Q958&lt;&gt;3,Q959&lt;&gt;3),"",IF(Q958=3,IF(VLOOKUP(I958,I935:L938,4,FALSE)&gt;VLOOKUP(I959,I935:L938,4,FALSE),VLOOKUP(R958,Point_dif,2,FALSE),VLOOKUP(R958,Point_dif,3,FALSE)),IF(Q959=3,IF(VLOOKUP(I959,I935:L938,4,FALSE)&gt;VLOOKUP(I959,I935:L938,4,FALSE),VLOOKUP(R958,Point_dif,2,FALSE),VLOOKUP(R958,Point_dif,3,FALSE)))))</f>
        <v/>
      </c>
      <c r="S959" s="256" t="str">
        <f>IF(R959="","",IF(Q959=3,+R959,-R959))</f>
        <v/>
      </c>
      <c r="T959" s="247"/>
      <c r="U959" s="235"/>
      <c r="V959" s="235"/>
      <c r="W959" s="235"/>
      <c r="X959" s="235"/>
      <c r="Y959" s="235"/>
      <c r="Z959" s="235"/>
      <c r="AA959" s="246">
        <v>2</v>
      </c>
      <c r="AB959" s="222" t="str">
        <f>IF(AND(COUNTBLANK(I935:I938)=0,Group_players=4,M935=M936,M936=M938),IF(W943="","",IF(COUNTIF(W942:W945,W943)=3,"Tied",IF(AND(COUNTIF(W942:W945,W943)=1,W942&lt;&gt;W944),IF(M936=2,IF(SMALL(W942:W945,1)=W943,1,IF(SMALL(W942:W945,2)=W943,2,IF(SMALL(W942:W945,3)=W943,3))),IF(M936=1,IF(SMALL(W942:W945,1)=W943,2,IF(SMALL(W942:W945,2)=W943,3,IF(SMALL(W942:W945,3)=W943,4))),"")),IF(COUNTIF(W942:W945,W943)=1,IF(W943&lt;W942,IF(M936=2,1,2),IF(M936=2,3,4)),IF(COUNTIF(W942:W945,W943)=2,IF(W943=W942,IF(W943&lt;W945,IF(M936=2,IF(Q959=3,1,2),IF(M936=1,IF(Q959=3,2,3))),IF(W943&gt;W945,IF(M936=2,IF(Q959=3,2,3),IF(M936=1,IF(Q959=3,3,4))))),IF(W943=W945,IF(W943&lt;W942,IF(M936=2,IF(Q949=3,1,2),IF(M936=1,IF(Q949=3,2,3))),IF(W943&gt;W942,IF(M936=2,IF(Q949=3,2,3),IF(M936=1,IF(Q949=3,3,4)))))))))))),"")</f>
        <v/>
      </c>
      <c r="AC959" s="192"/>
      <c r="AD959" s="192"/>
      <c r="AE959" s="192"/>
      <c r="AF959" s="203"/>
      <c r="AG959" s="203"/>
      <c r="AH959" s="203"/>
      <c r="AI959" s="203"/>
      <c r="AJ959" s="203"/>
      <c r="AK959" s="203"/>
      <c r="AL959" s="203"/>
      <c r="AM959" s="203"/>
      <c r="AN959" s="192"/>
      <c r="AO959" s="192"/>
      <c r="AP959" s="192"/>
      <c r="AQ959" s="192"/>
      <c r="AR959" s="192"/>
      <c r="AS959" s="192"/>
      <c r="AT959" s="192"/>
      <c r="AU959" s="192"/>
      <c r="AV959" s="192"/>
      <c r="AW959" s="192"/>
      <c r="AX959" s="192"/>
    </row>
    <row r="960" spans="2:50" ht="15" customHeight="1" thickTop="1" thickBot="1" x14ac:dyDescent="0.35">
      <c r="B960" s="192"/>
      <c r="C960" s="192"/>
      <c r="D960" s="192"/>
      <c r="E960" s="164"/>
      <c r="F960" s="164"/>
      <c r="G960" s="192"/>
      <c r="H960" s="192"/>
      <c r="I960" s="249" t="s">
        <v>121</v>
      </c>
      <c r="J960" s="249"/>
      <c r="K960" s="249"/>
      <c r="L960" s="250" t="s">
        <v>115</v>
      </c>
      <c r="M960" s="250" t="s">
        <v>116</v>
      </c>
      <c r="N960" s="250" t="s">
        <v>117</v>
      </c>
      <c r="O960" s="250" t="s">
        <v>118</v>
      </c>
      <c r="P960" s="250" t="s">
        <v>119</v>
      </c>
      <c r="Q960" s="250" t="s">
        <v>120</v>
      </c>
      <c r="R960" s="250"/>
      <c r="S960" s="251"/>
      <c r="T960" s="247"/>
      <c r="U960" s="235"/>
      <c r="V960" s="235"/>
      <c r="W960" s="235"/>
      <c r="X960" s="235"/>
      <c r="Y960" s="235"/>
      <c r="Z960" s="235"/>
      <c r="AA960" s="240">
        <v>4</v>
      </c>
      <c r="AB960" s="241" t="str">
        <f>IF(AND(COUNTBLANK(I935:I938)=0,Group_players=4,M935=M936,M936=M938),IF(W945="","",IF(COUNTIF(W942:W945,W945)=3,"Tied",IF(AND(COUNTIF(W942:W945,W945)=1,W942&lt;&gt;W943),IF(M938=2,IF(SMALL(W942:W945,1)=W945,1,IF(SMALL(W942:W945,2)=W945,2,IF(SMALL(W942:W945,3)=W945,3))),IF(M938=1,IF(SMALL(W942:W945,1)=W945,2,IF(SMALL(W942:W945,2)=W945,3,IF(SMALL(W942:W945,3)=W945,4))),"")),IF(COUNTIF(W942:W945,W945)=1,IF(W945&lt;W942,IF(M938=2,1,2),IF(M938=2,3,4)),IF(COUNTIF(W942:W945,W945)=2,IF(W945=W942,IF(W945&lt;W943,IF(M938=2,IF(Q953=3,1,2),IF(M938=1,IF(Q953=3,2,3))),IF(W945&gt;W944,IF(M938=2,IF(Q953=3,2,3),IF(M938=1,IF(Q953=3,3,4))))),IF(W945=W943,IF(W945&lt;W942,IF(M938=2,IF(Q950=3,1,2),IF(M938=1,IF(Q950=3,2,3))),IF(W945&gt;W942,IF(M938=2,IF(Q950=3,2,3),IF(M938=1,IF(Q950=3,3,4)))))))))))),"")</f>
        <v/>
      </c>
      <c r="AC960" s="192"/>
      <c r="AD960" s="192"/>
      <c r="AE960" s="192"/>
      <c r="AF960" s="203"/>
      <c r="AG960" s="203"/>
      <c r="AH960" s="203"/>
      <c r="AI960" s="203"/>
      <c r="AJ960" s="203"/>
      <c r="AK960" s="203"/>
      <c r="AL960" s="203"/>
      <c r="AM960" s="203"/>
      <c r="AN960" s="192"/>
      <c r="AO960" s="192"/>
      <c r="AP960" s="192"/>
      <c r="AQ960" s="192"/>
      <c r="AR960" s="192"/>
      <c r="AS960" s="192"/>
      <c r="AT960" s="192"/>
      <c r="AU960" s="192"/>
      <c r="AV960" s="192"/>
      <c r="AW960" s="192"/>
      <c r="AX960" s="192"/>
    </row>
    <row r="961" spans="2:50" ht="15" customHeight="1" thickTop="1" x14ac:dyDescent="0.3">
      <c r="B961" s="192"/>
      <c r="C961" s="192"/>
      <c r="D961" s="192"/>
      <c r="E961" s="164" t="str">
        <f>IF(Q961="","",IF(Q961=3,1,0))</f>
        <v/>
      </c>
      <c r="F961" s="164" t="str">
        <f>IF(Q961="","",IF(Q961&lt;3,1,0))</f>
        <v/>
      </c>
      <c r="G961" s="192"/>
      <c r="H961" s="192" t="str">
        <f>IF(I938&lt;&gt;"",3,"")</f>
        <v/>
      </c>
      <c r="I961" s="192" t="str">
        <f>IF(ISNUMBER(H961),VLOOKUP(H961,H935:I938,2,TRUE),"")</f>
        <v/>
      </c>
      <c r="J961" s="192"/>
      <c r="K961" s="192" t="str">
        <f>VLOOKUP(I961,I935:L938,3,FALSE)</f>
        <v/>
      </c>
      <c r="L961" s="253"/>
      <c r="M961" s="254"/>
      <c r="N961" s="254"/>
      <c r="O961" s="152"/>
      <c r="P961" s="153"/>
      <c r="Q961" s="255" t="str">
        <f>IF(L961="","",IF(AND(L961-L962&gt;1,L961&gt;10),1,0)+IF(AND(M961-M962&gt;1,M961&gt;10),1,0)+IF(AND(N961-N962&gt;1,N961&gt;10),1,0)+IF(AND(O961-O962&gt;1,O961&gt;10),1,0)+IF(AND(P961-P962&gt;1,P961&gt;10),1,0))</f>
        <v/>
      </c>
      <c r="R961" s="203" t="str">
        <f>IF(AND(I961="",I962=""),"",ABS(VLOOKUP(I961,I935:L938,4,FALSE)-VLOOKUP(I962,I935:L938,4,FALSE)))</f>
        <v/>
      </c>
      <c r="S961" s="256" t="str">
        <f>IF(R962="","",IF(Q961=3,+R962,-R962))</f>
        <v/>
      </c>
      <c r="T961" s="247"/>
      <c r="U961" s="264"/>
      <c r="V961" s="242"/>
      <c r="W961" s="192"/>
      <c r="X961" s="264"/>
      <c r="Y961" s="192"/>
      <c r="Z961" s="192"/>
      <c r="AA961" s="243">
        <v>2</v>
      </c>
      <c r="AB961" s="222" t="str">
        <f>IF(AND(COUNTBLANK(I935:I938)=0,Group_players=4,M936=M937,M937=M938),IF(X943="","",IF(COUNTIF(X942:X945,X943)=3,"Tied",IF(AND(COUNTIF(X942:X945,X943)=1,X944&lt;&gt;X945),IF(M936=2,IF(SMALL(X942:X945,1)=X943,1,IF(SMALL(X942:X945,2)=X943,2,IF(SMALL(X942:X945,3)=X943,3))),IF(M936=1,IF(SMALL(X942:X945,1)=X943,2,IF(SMALL(X942:X945,2)=X943,3,IF(SMALL(X942:X945,3)=X943,4))),"")),IF(COUNTIF(X942:X945,X943)=1,IF(X943&lt;X945,IF(M936=2,1,2),IF(M936=1,4)),IF(COUNTIF(X942:X945,X943)=2,IF(X943=X944,IF(X943&lt;X945,IF(M936=2,IF(Q955=3,1,2),IF(M936=1,IF(Q955=3,2,3))),IF(X943&gt;X945,IF(M936=2,IF(Q955=3,2,3),IF(M936=1,IF(Q955=3,3,4))))),IF(X943=X945,IF(X943&lt;X944,IF(M936=2,IF(Q949=3,1,2),IF(M936=1,IF(Q949=3,2,3))),IF(X943&gt;X944,IF(M936=2,IF(Q949=3,2,3),IF(M936=1,IF(Q949=3,3,4)))))))))))),"")</f>
        <v/>
      </c>
      <c r="AC961" s="192"/>
      <c r="AD961" s="192"/>
      <c r="AE961" s="192"/>
      <c r="AF961" s="203"/>
      <c r="AG961" s="203"/>
      <c r="AH961" s="203"/>
      <c r="AI961" s="203"/>
      <c r="AJ961" s="203"/>
      <c r="AK961" s="203"/>
      <c r="AL961" s="203"/>
      <c r="AM961" s="203"/>
      <c r="AN961" s="192"/>
      <c r="AO961" s="192"/>
      <c r="AP961" s="192"/>
      <c r="AQ961" s="192"/>
      <c r="AR961" s="192"/>
      <c r="AS961" s="192"/>
      <c r="AT961" s="192"/>
      <c r="AU961" s="192"/>
      <c r="AV961" s="192"/>
      <c r="AW961" s="192"/>
      <c r="AX961" s="192"/>
    </row>
    <row r="962" spans="2:50" ht="15" customHeight="1" thickBot="1" x14ac:dyDescent="0.35">
      <c r="B962" s="192"/>
      <c r="C962" s="192"/>
      <c r="D962" s="192"/>
      <c r="E962" s="164" t="str">
        <f>IF(Q962="","",IF(Q962=3,1,0))</f>
        <v/>
      </c>
      <c r="F962" s="164" t="str">
        <f>IF(Q962="","",IF(Q962&lt;3,1,0))</f>
        <v/>
      </c>
      <c r="G962" s="192"/>
      <c r="H962" s="192" t="str">
        <f>IF(I938&lt;&gt;"",4,"")</f>
        <v/>
      </c>
      <c r="I962" s="192" t="str">
        <f>IF(ISNUMBER(H962),VLOOKUP(H962,H935:I938,2,TRUE),"")</f>
        <v/>
      </c>
      <c r="J962" s="192"/>
      <c r="K962" s="192" t="str">
        <f>VLOOKUP(I962,I935:L938,3,FALSE)</f>
        <v/>
      </c>
      <c r="L962" s="155"/>
      <c r="M962" s="259"/>
      <c r="N962" s="259"/>
      <c r="O962" s="156"/>
      <c r="P962" s="157"/>
      <c r="Q962" s="260" t="str">
        <f>IF(L962="","",IF(AND(L962-L961&gt;1,L962&gt;10),1,0)+IF(AND(M962-M961&gt;1,M962&gt;10),1,0)+IF(AND(N962-N961&gt;1,N962&gt;10),1,0)+IF(AND(O962-O961&gt;1,O962&gt;10),1,0)+IF(AND(P962-P961&gt;1,P962&gt;10),1,0))</f>
        <v/>
      </c>
      <c r="R962" s="203" t="str">
        <f>IF(AND(Q961&lt;&gt;3,Q962&lt;&gt;3),"",IF(Q961=3,IF(VLOOKUP(I961,I935:L938,4,FALSE)&gt;VLOOKUP(I962,I935:L938,4,FALSE),VLOOKUP(R961,Point_dif,2,FALSE),VLOOKUP(R961,Point_dif,3,FALSE)),IF(Q962=3,IF(VLOOKUP(I962,I935:L938,4,FALSE)&gt;VLOOKUP(I961,I935:L938,4,FALSE),VLOOKUP(R961,Point_dif,2,FALSE),VLOOKUP(R961,Point_dif,3,FALSE)))))</f>
        <v/>
      </c>
      <c r="S962" s="260" t="str">
        <f>IF(R962="","",IF(Q962=3,+R962,-R962))</f>
        <v/>
      </c>
      <c r="T962" s="247"/>
      <c r="U962" s="235"/>
      <c r="V962" s="235"/>
      <c r="W962" s="235"/>
      <c r="X962" s="235"/>
      <c r="Y962" s="235"/>
      <c r="Z962" s="235"/>
      <c r="AA962" s="246">
        <v>3</v>
      </c>
      <c r="AB962" s="222" t="str">
        <f>IF(AND(COUNTBLANK(I935:I938)=0,Group_players=4,Group_players=4,M936=M937,M937=M938),IF(X944="","",IF(COUNTIF(X942:X945,X944)=3,"Tied",IF(AND(COUNTIF(X942:X945,X944)=1,X943&lt;&gt;X945),IF(M937=2,IF(SMALL(X942:X945,1)=X944,1,IF(SMALL(X942:X945,2)=X944,2,IF(SMALL(X942:X945,3)=X944,3))),IF(M937=1,IF(SMALL(X942:X945,1)=X944,2,IF(SMALL(X942:X945,2)=X944,3,IF(SMALL(X942:X945,3)=X944,4))),"")),IF(COUNTIF(X942:X945,X944)=1,IF(X944&lt;X943,IF(M937=2,1,2),IF(M937=2,3,4)),IF(COUNTIF(X942:X945,X944)=2,IF(X944=X943,IF(X944&lt;X945,IF(M937=2,IF(Q956=3,1,2),IF(M937=1,IF(Q956=3,2,3))),IF(X944&gt;X945,IF(M937=2,IF(Q956=3,2,3),IF(M937=1,IF(Q956=3,3,4))))),IF(X944=X945,IF(X944&lt;X943,IF(M937=2,IF(Q961=3,1,2),IF(M937=1,IF(Q961=3,2,3))),IF(X944&gt;X943,IF(M937=2,IF(Q961=3,2,3),IF(M937=1,IF(Q961=3,3,4)))))))))))),"")</f>
        <v/>
      </c>
      <c r="AC962" s="192"/>
      <c r="AD962" s="192"/>
      <c r="AE962" s="192"/>
      <c r="AF962" s="203"/>
      <c r="AG962" s="203"/>
      <c r="AH962" s="203"/>
      <c r="AI962" s="203"/>
      <c r="AJ962" s="203"/>
      <c r="AK962" s="203"/>
      <c r="AL962" s="203"/>
      <c r="AM962" s="203"/>
      <c r="AN962" s="192"/>
      <c r="AO962" s="192"/>
      <c r="AP962" s="192"/>
      <c r="AQ962" s="192"/>
      <c r="AR962" s="192"/>
      <c r="AS962" s="192"/>
      <c r="AT962" s="192"/>
      <c r="AU962" s="192"/>
      <c r="AV962" s="192"/>
      <c r="AW962" s="192"/>
      <c r="AX962" s="192"/>
    </row>
    <row r="963" spans="2:50" ht="15" customHeight="1" thickTop="1" thickBot="1" x14ac:dyDescent="0.35">
      <c r="B963" s="192"/>
      <c r="C963" s="192"/>
      <c r="D963" s="192"/>
      <c r="E963" s="192"/>
      <c r="F963" s="192"/>
      <c r="G963" s="192"/>
      <c r="H963" s="192"/>
      <c r="I963" s="192"/>
      <c r="J963" s="192"/>
      <c r="K963" s="192"/>
      <c r="L963" s="192"/>
      <c r="M963" s="192"/>
      <c r="N963" s="192"/>
      <c r="O963" s="268"/>
      <c r="P963" s="192"/>
      <c r="Q963" s="192"/>
      <c r="R963" s="247"/>
      <c r="S963" s="247"/>
      <c r="T963" s="247"/>
      <c r="U963" s="235"/>
      <c r="V963" s="235"/>
      <c r="W963" s="235"/>
      <c r="X963" s="235"/>
      <c r="Y963" s="235"/>
      <c r="Z963" s="235"/>
      <c r="AA963" s="261">
        <v>4</v>
      </c>
      <c r="AB963" s="233" t="str">
        <f>IF(AND(COUNTBLANK(I935:I938)=0,Group_players=4,M936=M937,M937=M938),IF(X945="","",IF(COUNTIF(X942:X945,X945)=3,"Tied",IF(AND(COUNTIF(X942:X945,X945)=1,X944&lt;&gt;X943),IF(M938=2,IF(SMALL(X942:X945,1)=X945,1,IF(SMALL(X942:X945,2)=X945,2,IF(SMALL(X942:X945,3)=X945,3))),IF(M938=1,IF(SMALL(X942:X945,1)=X945,2,IF(SMALL(X942:X945,2)=X945,3,IF(SMALL(X942:X945,3)=X945,4))),"")),IF(COUNTIF(X942:X945,X945)=1,IF(X945&lt;X943,IF(M938=2,1,2),IF(M938=2,3,4)),IF(COUNTIF(X942:X945,X945)=2,IF(X945=X943,IF(X945&lt;X944,IF(M938=2,IF(Q950=3,1,2),IF(M938=1,IF(Q950=3,2,3))),IF(X945&gt;X944,IF(M938=2,IF(Q950=3,2,3),IF(M938=1,IF(Q950=3,3,4))))),IF(X945=X944,IF(X945&lt;X943,IF(M938=2,IF(Q962=3,1,2),IF(M938=1,IF(Q962=3,2,3))),IF(X945&gt;X943,IF(M938=2,IF(Q962=3,2,3),IF(M938=1,IF(Q962=3,3,4)))))))))))),"")</f>
        <v/>
      </c>
      <c r="AC963" s="192"/>
      <c r="AD963" s="192"/>
      <c r="AE963" s="192"/>
      <c r="AF963" s="203"/>
      <c r="AG963" s="203"/>
      <c r="AH963" s="203"/>
      <c r="AI963" s="203"/>
      <c r="AJ963" s="203"/>
      <c r="AK963" s="203"/>
      <c r="AL963" s="203"/>
      <c r="AM963" s="203"/>
      <c r="AN963" s="192"/>
      <c r="AO963" s="192"/>
      <c r="AP963" s="192"/>
      <c r="AQ963" s="192"/>
      <c r="AR963" s="192"/>
      <c r="AS963" s="192"/>
      <c r="AT963" s="192"/>
      <c r="AU963" s="192"/>
      <c r="AV963" s="192"/>
      <c r="AW963" s="192"/>
      <c r="AX963" s="192"/>
    </row>
    <row r="964" spans="2:50" ht="15" customHeight="1" thickTop="1" x14ac:dyDescent="0.3">
      <c r="B964" s="192"/>
      <c r="C964" s="192"/>
      <c r="D964" s="192"/>
      <c r="E964" s="192"/>
      <c r="F964" s="192"/>
      <c r="G964" s="192"/>
      <c r="H964" s="192"/>
      <c r="I964" s="192"/>
      <c r="J964" s="192"/>
      <c r="K964" s="192"/>
      <c r="L964" s="192"/>
      <c r="M964" s="192"/>
      <c r="N964" s="192"/>
      <c r="O964" s="192"/>
      <c r="P964" s="192"/>
      <c r="Q964" s="192"/>
      <c r="R964" s="192"/>
      <c r="S964" s="192"/>
      <c r="T964" s="203"/>
      <c r="U964" s="192"/>
      <c r="V964" s="192"/>
      <c r="W964" s="192"/>
      <c r="X964" s="192"/>
      <c r="Y964" s="192"/>
      <c r="Z964" s="192"/>
      <c r="AA964" s="192"/>
      <c r="AB964" s="192"/>
      <c r="AC964" s="192"/>
      <c r="AD964" s="192"/>
      <c r="AE964" s="192"/>
      <c r="AF964" s="203"/>
      <c r="AG964" s="203"/>
      <c r="AH964" s="203"/>
      <c r="AI964" s="203"/>
      <c r="AJ964" s="203"/>
      <c r="AK964" s="203"/>
      <c r="AL964" s="203"/>
      <c r="AM964" s="203"/>
      <c r="AN964" s="192"/>
      <c r="AO964" s="192"/>
      <c r="AP964" s="192"/>
      <c r="AQ964" s="192"/>
      <c r="AR964" s="192"/>
      <c r="AS964" s="192"/>
      <c r="AT964" s="192"/>
      <c r="AU964" s="192"/>
      <c r="AV964" s="192"/>
      <c r="AW964" s="192"/>
      <c r="AX964" s="192"/>
    </row>
    <row r="965" spans="2:50" ht="15" customHeight="1" x14ac:dyDescent="0.3">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c r="AA965" s="192"/>
      <c r="AB965" s="192"/>
      <c r="AC965" s="192"/>
      <c r="AD965" s="192"/>
      <c r="AE965" s="192"/>
      <c r="AF965" s="203"/>
      <c r="AG965" s="203"/>
      <c r="AH965" s="203"/>
      <c r="AI965" s="203"/>
      <c r="AJ965" s="203"/>
      <c r="AK965" s="203"/>
      <c r="AL965" s="203"/>
      <c r="AM965" s="203"/>
      <c r="AN965" s="192"/>
      <c r="AO965" s="192"/>
      <c r="AP965" s="192"/>
      <c r="AQ965" s="192"/>
      <c r="AR965" s="192"/>
      <c r="AS965" s="192"/>
      <c r="AT965" s="192"/>
      <c r="AU965" s="192"/>
      <c r="AV965" s="192"/>
      <c r="AW965" s="192"/>
      <c r="AX965" s="192"/>
    </row>
    <row r="966" spans="2:50" ht="15" customHeight="1" x14ac:dyDescent="0.3">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269"/>
      <c r="AA966" s="192"/>
      <c r="AB966" s="192"/>
      <c r="AC966" s="192"/>
      <c r="AD966" s="192"/>
      <c r="AE966" s="192"/>
      <c r="AF966" s="203"/>
      <c r="AG966" s="203"/>
      <c r="AH966" s="203"/>
      <c r="AI966" s="203"/>
      <c r="AJ966" s="203"/>
      <c r="AK966" s="203"/>
      <c r="AL966" s="203"/>
      <c r="AM966" s="203"/>
      <c r="AN966" s="192"/>
      <c r="AO966" s="192"/>
      <c r="AP966" s="192"/>
      <c r="AQ966" s="192"/>
      <c r="AR966" s="192"/>
      <c r="AS966" s="192"/>
      <c r="AT966" s="192"/>
      <c r="AU966" s="192"/>
      <c r="AV966" s="192"/>
      <c r="AW966" s="192"/>
      <c r="AX966" s="192"/>
    </row>
    <row r="967" spans="2:50" ht="15" customHeight="1" x14ac:dyDescent="0.3">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c r="AA967" s="192"/>
      <c r="AB967" s="192"/>
      <c r="AC967" s="192"/>
      <c r="AD967" s="192"/>
      <c r="AE967" s="192"/>
      <c r="AF967" s="203"/>
      <c r="AG967" s="203"/>
      <c r="AH967" s="203"/>
      <c r="AI967" s="203"/>
      <c r="AJ967" s="203"/>
      <c r="AK967" s="203"/>
      <c r="AL967" s="203"/>
      <c r="AM967" s="203"/>
      <c r="AN967" s="192"/>
      <c r="AO967" s="192"/>
      <c r="AP967" s="192"/>
      <c r="AQ967" s="192"/>
      <c r="AR967" s="192"/>
      <c r="AS967" s="192"/>
      <c r="AT967" s="192"/>
      <c r="AU967" s="192"/>
      <c r="AV967" s="192"/>
      <c r="AW967" s="192"/>
      <c r="AX967" s="192"/>
    </row>
    <row r="968" spans="2:50" ht="15" customHeight="1" x14ac:dyDescent="0.3">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c r="AA968" s="192"/>
      <c r="AB968" s="192"/>
      <c r="AC968" s="192"/>
      <c r="AD968" s="192"/>
      <c r="AE968" s="192"/>
      <c r="AF968" s="203"/>
      <c r="AG968" s="203"/>
      <c r="AH968" s="203"/>
      <c r="AI968" s="203"/>
      <c r="AJ968" s="203"/>
      <c r="AK968" s="203"/>
      <c r="AL968" s="203"/>
      <c r="AM968" s="203"/>
      <c r="AN968" s="192"/>
      <c r="AO968" s="192"/>
      <c r="AP968" s="192"/>
      <c r="AQ968" s="192"/>
      <c r="AR968" s="192"/>
      <c r="AS968" s="192"/>
      <c r="AT968" s="192"/>
      <c r="AU968" s="192"/>
      <c r="AV968" s="192"/>
      <c r="AW968" s="192"/>
      <c r="AX968" s="192"/>
    </row>
    <row r="969" spans="2:50" ht="15" customHeight="1" thickBot="1" x14ac:dyDescent="0.4">
      <c r="B969" s="192"/>
      <c r="C969" s="192"/>
      <c r="D969" s="192"/>
      <c r="E969" s="192"/>
      <c r="F969" s="192"/>
      <c r="G969" s="192"/>
      <c r="H969" s="192"/>
      <c r="I969" s="383" t="s">
        <v>149</v>
      </c>
      <c r="J969" s="383"/>
      <c r="K969" s="383"/>
      <c r="L969" s="383"/>
      <c r="M969" s="383"/>
      <c r="N969" s="383"/>
      <c r="O969" s="383"/>
      <c r="P969" s="383"/>
      <c r="Q969" s="383"/>
      <c r="R969" s="383"/>
      <c r="S969" s="192"/>
      <c r="T969" s="192"/>
      <c r="U969" s="370" t="s">
        <v>92</v>
      </c>
      <c r="V969" s="371"/>
      <c r="W969" s="371"/>
      <c r="X969" s="372"/>
      <c r="Y969" s="192"/>
      <c r="Z969" s="192"/>
      <c r="AA969" s="192"/>
      <c r="AB969" s="192"/>
      <c r="AC969" s="192"/>
      <c r="AD969" s="192"/>
      <c r="AE969" s="192"/>
      <c r="AF969" s="203"/>
      <c r="AG969" s="203"/>
      <c r="AH969" s="203"/>
      <c r="AI969" s="203"/>
      <c r="AJ969" s="203"/>
      <c r="AK969" s="203"/>
      <c r="AL969" s="203"/>
      <c r="AM969" s="203"/>
      <c r="AN969" s="192"/>
      <c r="AO969" s="192"/>
      <c r="AP969" s="192"/>
      <c r="AQ969" s="192"/>
      <c r="AR969" s="192"/>
      <c r="AS969" s="192"/>
      <c r="AT969" s="192"/>
      <c r="AU969" s="192"/>
      <c r="AV969" s="192"/>
      <c r="AW969" s="192"/>
      <c r="AX969" s="192"/>
    </row>
    <row r="970" spans="2:50" ht="15" customHeight="1" thickTop="1" thickBot="1" x14ac:dyDescent="0.35">
      <c r="B970" s="192"/>
      <c r="C970" s="192"/>
      <c r="D970" s="192"/>
      <c r="E970" s="192"/>
      <c r="F970" s="192"/>
      <c r="G970" s="192"/>
      <c r="H970" s="192"/>
      <c r="I970" s="400" t="s">
        <v>93</v>
      </c>
      <c r="J970" s="160"/>
      <c r="K970" s="396" t="s">
        <v>94</v>
      </c>
      <c r="L970" s="398" t="s">
        <v>95</v>
      </c>
      <c r="M970" s="390" t="s">
        <v>96</v>
      </c>
      <c r="N970" s="390" t="s">
        <v>97</v>
      </c>
      <c r="O970" s="373" t="s">
        <v>98</v>
      </c>
      <c r="P970" s="373" t="str">
        <f>IF(COUNT(U971:X982)=3,"LM/WM Ratio",IF(COUNT(U971:X982)=6,"LP/WP Ratio",""))</f>
        <v/>
      </c>
      <c r="Q970" s="390" t="s">
        <v>99</v>
      </c>
      <c r="R970" s="392" t="s">
        <v>100</v>
      </c>
      <c r="S970" s="192"/>
      <c r="T970" s="120"/>
      <c r="U970" s="121" t="s">
        <v>101</v>
      </c>
      <c r="V970" s="122" t="s">
        <v>102</v>
      </c>
      <c r="W970" s="122" t="s">
        <v>103</v>
      </c>
      <c r="X970" s="123" t="s">
        <v>104</v>
      </c>
      <c r="Y970" s="380" t="s">
        <v>105</v>
      </c>
      <c r="Z970" s="379"/>
      <c r="AA970" s="378" t="s">
        <v>106</v>
      </c>
      <c r="AB970" s="379"/>
      <c r="AC970" s="192"/>
      <c r="AD970" s="192"/>
      <c r="AE970" s="203"/>
      <c r="AF970" s="203"/>
      <c r="AG970" s="203"/>
      <c r="AH970" s="203"/>
      <c r="AI970" s="203"/>
      <c r="AJ970" s="203"/>
      <c r="AK970" s="203"/>
      <c r="AL970" s="203"/>
      <c r="AM970" s="203"/>
      <c r="AN970" s="192"/>
      <c r="AO970" s="192"/>
      <c r="AP970" s="192"/>
      <c r="AQ970" s="192"/>
      <c r="AR970" s="192"/>
      <c r="AS970" s="192"/>
      <c r="AT970" s="192"/>
      <c r="AU970" s="192"/>
      <c r="AV970" s="192"/>
      <c r="AW970" s="192"/>
      <c r="AX970" s="192"/>
    </row>
    <row r="971" spans="2:50" ht="15" customHeight="1" thickTop="1" thickBot="1" x14ac:dyDescent="0.35">
      <c r="B971" s="192"/>
      <c r="C971" s="192"/>
      <c r="D971" s="192"/>
      <c r="E971" s="192"/>
      <c r="F971" s="192"/>
      <c r="G971" s="192"/>
      <c r="H971" s="192"/>
      <c r="I971" s="401"/>
      <c r="J971" s="161"/>
      <c r="K971" s="397"/>
      <c r="L971" s="399"/>
      <c r="M971" s="391"/>
      <c r="N971" s="391"/>
      <c r="O971" s="374"/>
      <c r="P971" s="374"/>
      <c r="Q971" s="391"/>
      <c r="R971" s="393"/>
      <c r="S971" s="192"/>
      <c r="T971" s="208">
        <v>1</v>
      </c>
      <c r="U971" s="209" t="str">
        <f>IF(M972="","",IF(COUNTIF(M972:M974,M972)=3,IF(COUNTBLANK(I972:I975)=1,(Q984+Q990)/(Q983+Q989),IF(COUNTBLANK(I972:I975)=0,(Q996+Q984)/(Q995+Q983),"")),""))</f>
        <v/>
      </c>
      <c r="V971" s="125" t="str">
        <f>IF(AND(COUNTBLANK(I972:I975)=0,M972=M974,M974=M975),(Q984+Q990)/(Q983+Q989),"")</f>
        <v/>
      </c>
      <c r="W971" s="210" t="str">
        <f>IF(AND(COUNTBLANK(I972:I975)=0,M972=M973,M973=M975),(Q996+Q990)/(Q995+Q989),"")</f>
        <v/>
      </c>
      <c r="X971" s="211"/>
      <c r="Y971" s="169" t="s">
        <v>93</v>
      </c>
      <c r="Z971" s="170" t="s">
        <v>107</v>
      </c>
      <c r="AA971" s="169" t="s">
        <v>93</v>
      </c>
      <c r="AB971" s="170" t="s">
        <v>107</v>
      </c>
      <c r="AC971" s="192"/>
      <c r="AD971" s="192"/>
      <c r="AE971" s="192"/>
      <c r="AF971" s="203"/>
      <c r="AG971" s="203"/>
      <c r="AH971" s="203"/>
      <c r="AI971" s="203"/>
      <c r="AJ971" s="203"/>
      <c r="AK971" s="203"/>
      <c r="AL971" s="203"/>
      <c r="AM971" s="203"/>
      <c r="AN971" s="192"/>
      <c r="AO971" s="192"/>
      <c r="AP971" s="192"/>
      <c r="AQ971" s="192"/>
      <c r="AR971" s="192"/>
      <c r="AS971" s="192"/>
      <c r="AT971" s="192"/>
      <c r="AU971" s="192"/>
      <c r="AV971" s="192"/>
      <c r="AW971" s="192"/>
      <c r="AX971" s="192"/>
    </row>
    <row r="972" spans="2:50" ht="15" customHeight="1" thickTop="1" thickBot="1" x14ac:dyDescent="0.35">
      <c r="B972" s="192"/>
      <c r="C972" s="192"/>
      <c r="D972" s="192"/>
      <c r="E972" s="192"/>
      <c r="F972" s="192" t="str">
        <f>IF(I972="","",VLOOKUP(I972,Siembra,2,FALSE))</f>
        <v/>
      </c>
      <c r="G972" s="192" t="str">
        <f>O972</f>
        <v/>
      </c>
      <c r="H972" s="192">
        <v>1</v>
      </c>
      <c r="I972" s="128" t="str">
        <f>IF(K972="","",IF(ISNUMBER(Sorteo!$A$17),VLOOKUP(K972,Draw,2,FALSE),""))</f>
        <v/>
      </c>
      <c r="J972" s="129" t="str">
        <f>O972</f>
        <v/>
      </c>
      <c r="K972" s="130" t="str">
        <f>IF($K$9="","",IF(Group_players=4,IF(Tablas!CH$3="","",Tablas!CH$3),IF(Group_players=3,IF(Tablas!CH$11="","",Tablas!CH$11),"")))</f>
        <v/>
      </c>
      <c r="L972" s="131" t="str">
        <f>IF(K972="","",VLOOKUP(I972,Siembra,3,FALSE))</f>
        <v/>
      </c>
      <c r="M972" s="132" t="str">
        <f>IF(AND(Q983="",Q984=""),"",IF(I972="","",SUMIFS(E983:E999,I983:I999,I972)))</f>
        <v/>
      </c>
      <c r="N972" s="132" t="str">
        <f>IF(M972="","",IF(I972="","",SUMIFS(F983:F999,I983:I999,I972)))</f>
        <v/>
      </c>
      <c r="O972" s="132" t="str">
        <f>IF(M972="","",IF(COUNTBLANK(I972:I975)=1,IF(M972=2,1,IF(M972=0,3,IF(AND(M972=1,M973&lt;&gt;1),2,IF(COUNTIF(M972:M974,1)&gt;1,Z972)))),IF(COUNTBLANK(I972:I975)=0,IF(COUNTIF(M972:M975,M972)=1,IF(M972=3,1,IF(M972=2,2,IF(M972=1,3,IF(M972=0,4)))),IF(Group_players=3,Z972,IF(COUNTIF(M972:M975,M972)=2,AB972,IF(AND(M972=M973,M973=M974),AB976,IF(AND(M972=M974,M974=M975),AB979,IF(AND(M972=M973,M973=M975),AB982,"")))))),99)))</f>
        <v/>
      </c>
      <c r="P972" s="133" t="str">
        <f>IF(COUNT(U971:X982)=3,IF(ISNUMBER(U971),U971,IF(ISNUMBER(V971),V971,IF(ISNUMBER(W971),W971,IF(X971="","")))),IF(COUNT(U971:X982)=6,IF(ISNUMBER(U979),U979,IF(ISNUMBER(V979),V979,IF(ISNUMBER(W979),W979,IF(ISBLANK(X971),"")))),""))</f>
        <v/>
      </c>
      <c r="Q972" s="132" t="str">
        <f>IF(M972="","",SUMIF(I983:S999,I972,S983:S999))</f>
        <v/>
      </c>
      <c r="R972" s="134" t="str">
        <f>IF(M972="","",L972+Q972)</f>
        <v/>
      </c>
      <c r="S972" s="203"/>
      <c r="T972" s="208">
        <v>2</v>
      </c>
      <c r="U972" s="209" t="str">
        <f>IF(M973="","",IF(COUNTIF(M972:M974,M973)=3,IF(COUNTBLANK(I972:I975)=1,(Q987+Q989)/(Q986+Q990),IF(COUNTBLANK(I972:I975)=0,(Q993+Q995)/(Q992+Q996),"")),""))</f>
        <v/>
      </c>
      <c r="V972" s="135"/>
      <c r="W972" s="212" t="str">
        <f>IF(AND(COUNTBLANK(I972:I975)=0,M973=M972,M972=M975),(Q995+Q987)/(Q996+Q986),"")</f>
        <v/>
      </c>
      <c r="X972" s="213" t="str">
        <f>IF(AND(COUNTBLANK(I972:I975)=0,M973=M974,M974=M975),(Q993+Q987)/(Q992+Q986),"")</f>
        <v/>
      </c>
      <c r="Y972" s="214">
        <v>1</v>
      </c>
      <c r="Z972" s="215" t="str">
        <f>IF(U971="","",IF(OR(Group_players=3,AND(Group_players=4,COUNTBLANK(I972:I975)=1)),IF(COUNTIF(M972:M974,M972)=1,"",IF(AND(U971=U972,U972=U973),Z976,IF(AND(U971&lt;&gt;U972,U971&lt;&gt;U973,U972&lt;&gt;U973),(IF(SMALL(U971:U973,1)=U971,1,IF(SMALL(U971:U973,2)=U971,2,IF(SMALL(U971:U973,3)=U971,3)))),IF(AND(U971&lt;U972,U972=U973),1,IF(AND(U971&gt;U972,U972=U973),3,IF(AND(U971=U972,U971&lt;U973),(IF(Q989=3,1,2)),IF(AND(U971=U972,U971&gt;U973),(IF(Q989=3,2,3)),IF(AND(U971=U973,U971&lt;U972),(IF(Q983=3,1,2)),IF(AND(U971=U973,U971&gt;U972),(IF(Q983=3,2,3)),99))))))))),""))</f>
        <v/>
      </c>
      <c r="AA972" s="216">
        <v>1</v>
      </c>
      <c r="AB972" s="217" t="str">
        <f>IF(COUNTIF(M972:M975,M972)&lt;&gt;2,"",IF(COUNTIF(M972:M975,M972)=1,"",IF(AND(COUNTIF(M972:M975,M972)=2,M972=2),IF(M972=M973,IF(Q995=3,1,2),IF(M972=M974,IF(Q983=3,1,2),IF(M972=M975,IF(Q989=3,1,2)))),IF(AND(COUNTIF(M972:M975,M972)=2,M972=1),IF(M972=M973,IF(Q995=3,3,4),IF(M972=M974,IF(Q983=3,3,4),IF(M972=M975,IF(Q989=3,3,4)))),IF(COUNTIF(M972:M975,M972)=3,AB976)))))</f>
        <v/>
      </c>
      <c r="AC972" s="192"/>
      <c r="AD972" s="192"/>
      <c r="AE972" s="192"/>
      <c r="AF972" s="203"/>
      <c r="AG972" s="203"/>
      <c r="AH972" s="203"/>
      <c r="AI972" s="203"/>
      <c r="AJ972" s="203"/>
      <c r="AK972" s="203"/>
      <c r="AL972" s="203"/>
      <c r="AM972" s="203"/>
      <c r="AN972" s="192"/>
      <c r="AO972" s="192"/>
      <c r="AP972" s="192"/>
      <c r="AQ972" s="192"/>
      <c r="AR972" s="192"/>
      <c r="AS972" s="192"/>
      <c r="AT972" s="192"/>
      <c r="AU972" s="192"/>
      <c r="AV972" s="192"/>
      <c r="AW972" s="192"/>
      <c r="AX972" s="192"/>
    </row>
    <row r="973" spans="2:50" ht="15" customHeight="1" thickTop="1" thickBot="1" x14ac:dyDescent="0.35">
      <c r="B973" s="192"/>
      <c r="C973" s="192"/>
      <c r="D973" s="192"/>
      <c r="E973" s="192"/>
      <c r="F973" s="192" t="str">
        <f>IF(I973="","",VLOOKUP(I973,Siembra,2,FALSE))</f>
        <v/>
      </c>
      <c r="G973" s="192" t="str">
        <f>O973</f>
        <v/>
      </c>
      <c r="H973" s="192">
        <v>2</v>
      </c>
      <c r="I973" s="128" t="str">
        <f>IF(K973="","",IF(ISNUMBER(Sorteo!$A$17),VLOOKUP(K973,Draw,2,FALSE),""))</f>
        <v/>
      </c>
      <c r="J973" s="129" t="str">
        <f>O973</f>
        <v/>
      </c>
      <c r="K973" s="136" t="str">
        <f>IF($K$9="","",IF(Group_players=4,IF(Tablas!CH$4="","",Tablas!CH$4),IF(Group_players=3,IF(Tablas!CH$12="","",Tablas!CH$12),"")))</f>
        <v/>
      </c>
      <c r="L973" s="137" t="str">
        <f>IF(K973="","",VLOOKUP(I973,Siembra,3,FALSE))</f>
        <v/>
      </c>
      <c r="M973" s="132" t="str">
        <f>IF(AND(L983="",L984=""),"",IF(I973="","",SUMIFS(E983:E1000,I983:I1000,I973)))</f>
        <v/>
      </c>
      <c r="N973" s="138" t="str">
        <f>IF(M973="","",IF(I973="","",SUMIFS(F983:F999,I983:I999,I973)))</f>
        <v/>
      </c>
      <c r="O973" s="132" t="str">
        <f>IF(M973="","",IF(COUNTBLANK(I972:I975)=1,IF(M973=2,1,IF(M973=0,3,IF(AND(M973=1,M974&lt;&gt;1),2,IF(COUNTIF(M972:M975,1)&gt;1,Z973)))),IF(COUNTBLANK(I972:I975)=0,IF(COUNTIF(M972:M975,M973)=1,IF(M973=3,1,IF(M973=2,2,IF(M973=1,3,IF(M973=0,4)))),IF(Group_players=3,Z973,IF(COUNTIF(M972:M975,M973)=2,AB973,IF(AND(M973=M972,M972=M974),AB977,IF(AND(M973=M972,M972=M975),AB983,IF(AND(M973=M974,M974=M975),AB985,"")))))))))</f>
        <v/>
      </c>
      <c r="P973" s="133" t="str">
        <f>IF(COUNT(U971:X982)=3,IF(ISNUMBER(U972),U972,IF(ISNUMBER(W972),W972,IF(ISNUMBER(X972),X972,IF(X972="","")))),IF(COUNT(U971:X982)=6,IF(ISNUMBER(U980),U980,IF(ISNUMBER(W980),W980,IF(ISNUMBER(X980),X980,IF(ISBLANK(X979),"")))),""))</f>
        <v/>
      </c>
      <c r="Q973" s="138" t="str">
        <f>IF(M973="","",SUMIF(I983:S999,I973,S983:$S999))</f>
        <v/>
      </c>
      <c r="R973" s="139" t="str">
        <f>IF(M973="","",L973+Q973)</f>
        <v/>
      </c>
      <c r="S973" s="203"/>
      <c r="T973" s="208">
        <v>3</v>
      </c>
      <c r="U973" s="209" t="str">
        <f>IF(M974="","",IF(COUNTIF(M972:M974,M974)=3,IF(COUNTBLANK(I972:I975)=1,(Q983+Q986)/(Q984+Q987),IF(COUNTBLANK(I972:I975)=0,(Q983+Q992)/(Q984+Q993),"")),""))</f>
        <v/>
      </c>
      <c r="V973" s="125" t="str">
        <f>IF(AND(COUNTBLANK(I972:I975)=0,M974=M975,M975=M972),(Q983+Q999)/(Q984+Q998),"")</f>
        <v/>
      </c>
      <c r="W973" s="218"/>
      <c r="X973" s="213" t="str">
        <f>IF(AND(COUNTBLANK(I972:I975)=0,M974=M975,M975=M973),(Q992+Q999)/(Q993+Q998),"")</f>
        <v/>
      </c>
      <c r="Y973" s="219">
        <v>2</v>
      </c>
      <c r="Z973" s="220" t="str">
        <f>IF(U972="","",IF(OR(Group_players=3,AND(Group_players=4,COUNTBLANK(I972:I975)=1)),IF(COUNTIF(M972:M974,M973)=1,"",IF(AND(U972=U971,U972=U973),Z977,IF(AND(U972&lt;&gt;U971,U972&lt;&gt;U973,U971&lt;&gt;U973),(IF(SMALL(U971:U973,1)=U972,1,IF(SMALL(U971:U973,2)=U972,2,IF(SMALL(U971:U973,3)=U972,3)))),IF(AND(U972&lt;U971,U971=U973),1,IF(AND(U972&gt;U971,U971=U973),3,IF(AND(U972=U971,U972&lt;U973),(IF(Q990=3,1,2)),IF(AND(U972=U971,U972&gt;U973),(IF(Q990=3,2,3)),IF(AND(U972=U973,U972&lt;U971),(IF(Q986=3,1,2)),IF(AND(U972=U973,U972&gt;U971),(IF(Q986=3,2,3)),99))))))))),""))</f>
        <v/>
      </c>
      <c r="AA973" s="221">
        <v>2</v>
      </c>
      <c r="AB973" s="222" t="str">
        <f>IF(COUNTIF(M972:M975,M973)&lt;&gt;2,"",IF(COUNTIF(M972:M975,M973)=1,"",IF(AND(COUNTIF(M972:M975,M973)=2,M973=2),IF(M973=M972,IF(Q996=3,1,2),IF(M973=M974,IF(Q992=3,1,2),IF(M973=M975,IF(Q986=3,1,2)))),IF(AND(COUNTIF(M972:M975,M973)=2,M973=1),IF(M973=M972,IF(Q996=3,3,4),IF(M973=M974,IF(Q992=3,3,4),IF(M973=M975,IF(Q986=3,3,4)))),AB978))))</f>
        <v/>
      </c>
      <c r="AC973" s="192"/>
      <c r="AD973" s="192"/>
      <c r="AE973" s="192"/>
      <c r="AF973" s="203"/>
      <c r="AG973" s="203"/>
      <c r="AH973" s="203"/>
      <c r="AI973" s="203"/>
      <c r="AJ973" s="203"/>
      <c r="AK973" s="203"/>
      <c r="AL973" s="203"/>
      <c r="AM973" s="203"/>
      <c r="AN973" s="192"/>
      <c r="AO973" s="192"/>
      <c r="AP973" s="192"/>
      <c r="AQ973" s="192"/>
      <c r="AR973" s="192"/>
      <c r="AS973" s="192"/>
      <c r="AT973" s="192"/>
      <c r="AU973" s="192"/>
      <c r="AV973" s="192"/>
      <c r="AW973" s="192"/>
      <c r="AX973" s="192"/>
    </row>
    <row r="974" spans="2:50" ht="15" customHeight="1" thickBot="1" x14ac:dyDescent="0.35">
      <c r="B974" s="192"/>
      <c r="C974" s="192"/>
      <c r="D974" s="192"/>
      <c r="E974" s="192"/>
      <c r="F974" s="192" t="str">
        <f>IF(I974="","",VLOOKUP(I974,Siembra,2,FALSE))</f>
        <v/>
      </c>
      <c r="G974" s="192" t="str">
        <f>O974</f>
        <v/>
      </c>
      <c r="H974" s="192">
        <v>3</v>
      </c>
      <c r="I974" s="128" t="str">
        <f>IF(K974="","",IF(ISNUMBER(Sorteo!$A$17),VLOOKUP(K974,Draw,2,FALSE),""))</f>
        <v/>
      </c>
      <c r="J974" s="129" t="str">
        <f>O974</f>
        <v/>
      </c>
      <c r="K974" s="136" t="str">
        <f>IF($K$9="","",IF(Group_players=4,IF(Tablas!CH$5="","",Tablas!CH$5),IF(Group_players=3,IF(Tablas!CH$13="","",Tablas!CH$13),"")))</f>
        <v/>
      </c>
      <c r="L974" s="137" t="str">
        <f>IF(K974="","",VLOOKUP(I974,Siembra,3,FALSE))</f>
        <v/>
      </c>
      <c r="M974" s="132" t="str">
        <f>IF(AND(L984="",L983=""),"",IF(I974="","",SUMIFS(E983:E1001,I983:I1001,I974)))</f>
        <v/>
      </c>
      <c r="N974" s="138" t="str">
        <f>IF(M974="","",IF(I974="","",SUMIFS(F983:F999,I983:I999,I974)))</f>
        <v/>
      </c>
      <c r="O974" s="132" t="str">
        <f>IF(M974="","",IF(COUNTBLANK(I972:I975)=1,IF(M974=2,1,IF(M974=0,3,IF(AND(M974=1,M974&lt;&gt;M972),2,IF(COUNTIF(M972:M975,1)&gt;1,Z974)))),IF(COUNTBLANK(I972:I975)=0,IF(COUNTIF(M972:M975,M974)=1,IF(M974=3,1,IF(M974=2,2,IF(M974=1,3,IF(M974=0,4)))),IF(Group_players=3,Z974,IF(COUNTIF(M972:M975,M974)=2,AB974,IF(AND(M974=M972,M972=M973),AB978,IF(AND(M974=M972,M972=M975),AB980,IF(AND(M974=M973,M973=M975),AB986,"")))))))))</f>
        <v/>
      </c>
      <c r="P974" s="133" t="str">
        <f>IF(COUNT(U971:X982)=3,IF(ISNUMBER(U973),U973,IF(ISNUMBER(V973),V973,IF(ISNUMBER(X973),X973,IF(W973="","")))),IF(COUNT(U971:X982)=6,IF(ISNUMBER(U981),U981,IF(ISNUMBER(V981),V981,IF(ISNUMBER(X981),X981,""))),""))</f>
        <v/>
      </c>
      <c r="Q974" s="138" t="str">
        <f>IF(M974="","",SUMIF(I983:S999,I974,S983:S999))</f>
        <v/>
      </c>
      <c r="R974" s="139" t="str">
        <f>IF(M974="","",L974+Q974)</f>
        <v/>
      </c>
      <c r="S974" s="203"/>
      <c r="T974" s="208">
        <v>4</v>
      </c>
      <c r="U974" s="223"/>
      <c r="V974" s="140" t="str">
        <f>IF(AND(COUNTBLANK(I972:I975)=0,M975=M972,M972=M974),(Q989+Q998)/(Q990+Q999),"")</f>
        <v/>
      </c>
      <c r="W974" s="224" t="str">
        <f>IF(AND(COUNTBLANK(I972:I975)=0,M975=M972,M972=M973),(Q989+Q986)/(Q990+Q987),"")</f>
        <v/>
      </c>
      <c r="X974" s="225" t="str">
        <f>IF(AND(COUNTBLANK(I972:I975)=0,M975=M973,M973=M974),(Q986+Q998)/(Q987+Q999),"")</f>
        <v/>
      </c>
      <c r="Y974" s="226">
        <v>3</v>
      </c>
      <c r="Z974" s="227" t="str">
        <f>IF(U973="","",IF(OR(Group_players=3,AND(Group_players=4,COUNTBLANK(I972:I975)=1)),IF(COUNTIF(M972:M974,M974)=1,"",IF(AND(U973=U971,U973=U972),Z978,IF(AND(U973&lt;&gt;U972,U972&lt;&gt;U971,U973&lt;&gt;U971),(IF(SMALL(U971:U973,1)=U973,1,IF(SMALL(U971:U973,2)=U973,2,IF(SMALL(U971:U973,3)=U973,3)))),IF(AND(U973&lt;U972,U972=U971),1,IF(AND(U973&gt;U972,U972=U971),3,IF(AND(U973=U972,U973&lt;U971),(IF(Q987=3,1,2)),IF(AND(U973=U972,U973&gt;U971),(IF(Q987=3,2,3)),IF(AND(U973=U971,U973&lt;U972),(IF(Q984=3,1,2)),IF(AND(U973=U971,U973&gt;U972),(IF(Q984=3,2,3)),99))))))))),""))</f>
        <v/>
      </c>
      <c r="AA974" s="221">
        <v>3</v>
      </c>
      <c r="AB974" s="222" t="str">
        <f>IF(COUNTIF(M972:M975,M974)&lt;&gt;2,"",IF(COUNTIF(M972:M975,M974)=1,"",IF(AND(COUNTIF(M972:M975,M974)=2,M974=2),IF(M974=M972,IF(Q984=3,1,2),IF(M974=M973,IF(Q993=3,1,2),IF(M974=M975,IF(Q998=3,1,2)))),IF(AND(COUNTIF(M972:M975,M974)=2,M974=1),IF(M974=M972,IF(Q984=3,3,4),IF(M974=M973,IF(Q993=3,3,4),IF(M974=M975,IF(Q998=3,3,4)))),AB978))))</f>
        <v/>
      </c>
      <c r="AC974" s="192"/>
      <c r="AD974" s="192"/>
      <c r="AE974" s="192"/>
      <c r="AF974" s="203"/>
      <c r="AG974" s="203"/>
      <c r="AH974" s="203"/>
      <c r="AI974" s="203"/>
      <c r="AJ974" s="203"/>
      <c r="AK974" s="203"/>
      <c r="AL974" s="203"/>
      <c r="AM974" s="203"/>
      <c r="AN974" s="192"/>
      <c r="AO974" s="192"/>
      <c r="AP974" s="192"/>
      <c r="AQ974" s="192"/>
      <c r="AR974" s="192"/>
      <c r="AS974" s="192"/>
      <c r="AT974" s="192"/>
      <c r="AU974" s="192"/>
      <c r="AV974" s="192"/>
      <c r="AW974" s="192"/>
      <c r="AX974" s="192"/>
    </row>
    <row r="975" spans="2:50" ht="15" customHeight="1" thickTop="1" thickBot="1" x14ac:dyDescent="0.35">
      <c r="B975" s="192"/>
      <c r="C975" s="192"/>
      <c r="D975" s="192"/>
      <c r="E975" s="192"/>
      <c r="F975" s="192" t="str">
        <f>IF(I975="","",VLOOKUP(I975,Siembra,2,FALSE))</f>
        <v/>
      </c>
      <c r="G975" s="192" t="str">
        <f>O975</f>
        <v/>
      </c>
      <c r="H975" s="192">
        <v>4</v>
      </c>
      <c r="I975" s="141" t="str">
        <f>IF(K975="","",IF(ISNUMBER(Sorteo!$A$17),VLOOKUP(K975,Draw,2,FALSE),""))</f>
        <v/>
      </c>
      <c r="J975" s="142" t="str">
        <f>O975</f>
        <v/>
      </c>
      <c r="K975" s="143" t="str">
        <f>IF($K$9="","",IF(Group_players=4,IF(Tablas!CH6="","",Tablas!CH6),""))</f>
        <v/>
      </c>
      <c r="L975" s="144" t="str">
        <f>IF(K975="","",VLOOKUP(I975,Siembra,3,FALSE))</f>
        <v/>
      </c>
      <c r="M975" s="145" t="str">
        <f>IF(AND(Q986="",Q987=""),"",IF(I975="","",SUMIFS(E983:E1002,I983:I1002,I975)))</f>
        <v/>
      </c>
      <c r="N975" s="145" t="str">
        <f>IF(M975="","",IF(I975="","",SUMIFS(F983:F999,I983:I999,I975)))</f>
        <v/>
      </c>
      <c r="O975" s="145" t="str">
        <f>IF(M975="","",IF(COUNTIF(M972:M975,M975)=1,IF(M975=3,1,IF(M975=2,2,IF(M975=1,3,IF(M975=0,4)))),IF(COUNTIF(M972:M975,M975)=2,AB975,IF(AND(M975=M972,M972=M974),AB981,IF(AND(M975=M972,M972=M973),AB984,IF(AND(M975=M973,M973=M974),AB987,""))))))</f>
        <v/>
      </c>
      <c r="P975" s="146" t="str">
        <f>IF(COUNT(U971:X982)=3,IF(ISNUMBER(V974),V974,IF(ISNUMBER(W974),W974,IF(ISNUMBER(X974),X974,IF(X974="","")))),IF(COUNT(U971:X982)=6,IF(ISNUMBER(V982),V982,IF(ISNUMBER(W982),W982,IF(ISNUMBER(X982),X982,""))),""))</f>
        <v/>
      </c>
      <c r="Q975" s="145" t="str">
        <f>IF(M975="","",SUMIF(I983:S999,I975,S983:$S999))</f>
        <v/>
      </c>
      <c r="R975" s="147" t="str">
        <f>IF(M975="","",L975+Q975)</f>
        <v/>
      </c>
      <c r="S975" s="203"/>
      <c r="T975" s="192"/>
      <c r="U975" s="192"/>
      <c r="V975" s="192"/>
      <c r="W975" s="192"/>
      <c r="X975" s="192"/>
      <c r="Y975" s="230" t="s">
        <v>93</v>
      </c>
      <c r="Z975" s="231" t="s">
        <v>110</v>
      </c>
      <c r="AA975" s="232">
        <v>4</v>
      </c>
      <c r="AB975" s="233" t="str">
        <f>IF(COUNTIF(M972:M975,M975)&lt;&gt;2,"",IF(COUNTIF(M972:M975,M975)=1,"",IF(AND(COUNTIF(M972:M975,M975)=2,M975=2),IF(M975=M972,IF(Q990=3,1,2),IF(M975=M973,IF(Q987=3,1,2),IF(M975=M974,IF(Q999=3,1,2)))),IF(AND(COUNTIF(M972:M975,M975)=2,M975=1),IF(M975=M972,IF(Q990=3,3,4),IF(M975=M973,IF(Q987=3,3,4),IF(M975=M974,IF(Q999=3,3,4)))),AB981))))</f>
        <v/>
      </c>
      <c r="AC975" s="192"/>
      <c r="AD975" s="192"/>
      <c r="AE975" s="192"/>
      <c r="AF975" s="203"/>
      <c r="AG975" s="203"/>
      <c r="AH975" s="203"/>
      <c r="AI975" s="203"/>
      <c r="AJ975" s="203"/>
      <c r="AK975" s="203"/>
      <c r="AL975" s="203"/>
      <c r="AM975" s="203"/>
      <c r="AN975" s="192"/>
      <c r="AO975" s="192"/>
      <c r="AP975" s="192"/>
      <c r="AQ975" s="192"/>
      <c r="AR975" s="192"/>
      <c r="AS975" s="192"/>
      <c r="AT975" s="192"/>
      <c r="AU975" s="192"/>
      <c r="AV975" s="192"/>
      <c r="AW975" s="192"/>
      <c r="AX975" s="192"/>
    </row>
    <row r="976" spans="2:50" ht="15" customHeight="1" thickTop="1" x14ac:dyDescent="0.3">
      <c r="B976" s="192"/>
      <c r="C976" s="192"/>
      <c r="D976" s="192"/>
      <c r="E976" s="192"/>
      <c r="F976" s="192"/>
      <c r="G976" s="192"/>
      <c r="H976" s="192"/>
      <c r="I976" s="192"/>
      <c r="J976" s="192"/>
      <c r="K976" s="192"/>
      <c r="L976" s="192"/>
      <c r="M976" s="192"/>
      <c r="N976" s="192"/>
      <c r="O976" s="192"/>
      <c r="P976" s="192"/>
      <c r="Q976" s="192"/>
      <c r="R976" s="192"/>
      <c r="S976" s="192"/>
      <c r="T976" s="208"/>
      <c r="U976" s="192"/>
      <c r="V976" s="148"/>
      <c r="W976" s="148"/>
      <c r="X976" s="234"/>
      <c r="Y976" s="214">
        <v>1</v>
      </c>
      <c r="Z976" s="215" t="str">
        <f>IF(U979="","",IF(OR(Group_players=3,AND(Group_players=4,COUNTBLANK(I972:I975)=1)),IF(COUNTIF(M972:M974,M972)=1,"",IF(COUNTIF(U971:U973,U971)=3,IF(AND(U979=U980,U980=U981),"Tied",IF(AND(U979&lt;&gt;U980,U979&lt;&gt;U981,U980&lt;&gt;U981),(IF(SMALL(U979:U981,1)=U979,1,IF(SMALL(U979:U981,2)=U979,2,IF(SMALL(U979:U981,3)=U979,3)))),IF(AND(U979&lt;U980,U980=U981),1,IF(AND(U979&gt;U980,U980=U981),3,IF(AND(U979=U980,U979&lt;U981),(IF(Q989=3,1,2)),IF(AND(U979=U980,U979&gt;U981),(IF(Q989=3,2,3)),IF(AND(U979=U981,U979&lt;U980),(IF(Q983=3,1,2)),IF(AND(U979=U981,U979&gt;U980),(IF(Q983=3,2,3)),99)))))))),"")),""))</f>
        <v/>
      </c>
      <c r="AA976" s="208">
        <v>1</v>
      </c>
      <c r="AB976" s="222" t="str">
        <f>IF(AND(COUNTBLANK(I972:I975)=0,Group_players=4,M972=M973,M973=M974),IF(COUNTIF(U971:U974,U971)=3,AB989,IF(AND(COUNTIF(U971:U974,U971)=1,U972&lt;&gt;U973),IF(M972=2,IF(SMALL(U971:U974,1)=U971,1,IF(SMALL(U971:U974,2)=U971,2,IF(SMALL(U971:U974,3)=U971,3))),IF(M972=1,IF(SMALL(U971:U974,1)=U971,2,IF(SMALL(U971:U974,2)=U971,3,IF(SMALL(U971:U974,3)=U971,4))),"")),IF(COUNTIF(U971:U974,U971)=1,IF(U971&lt;U972,IF(M972=2,1,2),IF(M972=2,3,4)),IF(COUNTIF(U971:U974,U971)=2,IF(U971=U972,IF(U971&lt;U973,IF(M972=2,IF(Q995=3,1,2),IF(M972=1,IF(Q995=3,2,3))),IF(U971&gt;U973,IF(M972=2,IF(Q995=3,2,3),IF(M972=1,IF(Q995=3,3,4))))),IF(U971=U973,IF(U971&lt;U972,IF(M972=2,IF(Q983=3,1,2),IF(M972=1,IF(Q983=3,2,3))),IF(U971&gt;U972,IF(M972=2,IF(Q983=3,2,3),IF(M972=1,IF(Q983=3,3,4))))))),"")))),"")</f>
        <v/>
      </c>
      <c r="AC976" s="192"/>
      <c r="AD976" s="192"/>
      <c r="AE976" s="269"/>
      <c r="AF976" s="203"/>
      <c r="AG976" s="203"/>
      <c r="AH976" s="203"/>
      <c r="AI976" s="203"/>
      <c r="AJ976" s="203"/>
      <c r="AK976" s="203"/>
      <c r="AL976" s="203"/>
      <c r="AM976" s="203"/>
      <c r="AN976" s="192"/>
      <c r="AO976" s="192"/>
      <c r="AP976" s="192"/>
      <c r="AQ976" s="192"/>
      <c r="AR976" s="192"/>
      <c r="AS976" s="192"/>
      <c r="AT976" s="192"/>
      <c r="AU976" s="192"/>
      <c r="AV976" s="192"/>
      <c r="AW976" s="192"/>
      <c r="AX976" s="192"/>
    </row>
    <row r="977" spans="2:50" ht="15" customHeight="1" thickBot="1" x14ac:dyDescent="0.35">
      <c r="B977" s="192"/>
      <c r="C977" s="192"/>
      <c r="D977" s="192"/>
      <c r="E977" s="192"/>
      <c r="F977" s="192"/>
      <c r="G977" s="192"/>
      <c r="H977" s="192"/>
      <c r="I977" s="269"/>
      <c r="J977" s="269"/>
      <c r="K977" s="192"/>
      <c r="L977" s="192"/>
      <c r="M977" s="192"/>
      <c r="N977" s="192"/>
      <c r="O977" s="192"/>
      <c r="P977" s="192"/>
      <c r="Q977" s="192"/>
      <c r="R977" s="192"/>
      <c r="S977" s="192"/>
      <c r="T977" s="208"/>
      <c r="U977" s="368" t="s">
        <v>111</v>
      </c>
      <c r="V977" s="369"/>
      <c r="W977" s="369"/>
      <c r="X977" s="369"/>
      <c r="Y977" s="236">
        <v>2</v>
      </c>
      <c r="Z977" s="220" t="str">
        <f>IF(U972="","",IF(OR(Group_players=3,AND(Group_players=4,COUNTBLANK(I972:I975)=1)),IF(COUNTIF(M972:M974,M973)=1,"",IF(COUNTIF(U971:U973,U972)=3,IF(AND(U980=U979,U980=U981),"Tied",IF(AND(U980&lt;&gt;U979,U980&lt;&gt;U981,U979&lt;&gt;U981),(IF(SMALL(U979:U981,1)=U980,1,IF(SMALL(U979:U981,2)=U980,2,IF(SMALL(U979:U981,3)=U980,3)))),IF(AND(U980&lt;U979,U979=U981),1,IF(AND(U980&gt;U979,U979=U981),3,IF(AND(U980=U979,U980&lt;U981),(IF(Q990=3,1,2)),IF(AND(U980=U979,U980&gt;U981),(IF(Q990=3,2,3)),IF(AND(U980=U981,U980&lt;U979),(IF(Q986=3,1,2)),IF(AND(U980=U981,U980&gt;U979),(IF(Q986=3,2,3)),99)))))))),"")),""))</f>
        <v/>
      </c>
      <c r="AA977" s="208">
        <v>2</v>
      </c>
      <c r="AB977" s="222" t="str">
        <f>IF(AND(COUNTBLANK(I972:I975)=0,Group_players=4,M972=M973,M973=M974),IF(COUNTIF(U971:U974,U972)=3,AB990,IF(AND(COUNTIF(U971:U974,U972)=1,U971&lt;&gt;U973),IF(M973=2,IF(SMALL(U971:U974,1)=U972,1,IF(SMALL(U971:U974,2)=U972,2,IF(SMALL(U971:U974,3)=U972,3))),IF(M973=1,IF(SMALL(U971:U974,1)=U972,2,IF(SMALL(U971:U974,2)=U972,3,IF(SMALL(U971:U974,3)=U972,4))),"")),IF(COUNTIF(U971:U973,U972)=1,IF(U972&lt;U971,IF(M973=2,1,2),IF(M973=2,3,99)),IF(COUNTIF(U971:U974,U972)=2,IF(U972=U971,IF(U972&lt;U973,IF(M973=2,IF(Q996=3,1,2),IF(M973=1,IF(Q996=3,2,3))),IF(U972&gt;U973,IF(M973=2,IF(Q996=3,2,3),IF(M973=1,IF(Q996=3,3,4))))),IF(U972=U973,IF(U972&lt;U971,IF(M973=2,IF(Q992=3,1,2),IF(M973=1,IF(Q992=3,2,3))),IF(U972&gt;U971,IF(M973=2,IF(Q992=3,2,3),IF(M973=1,IF(Q992=3,3,4))))))),"")))),"")</f>
        <v/>
      </c>
      <c r="AC977" s="192"/>
      <c r="AD977" s="192"/>
      <c r="AE977" s="192"/>
      <c r="AF977" s="203"/>
      <c r="AG977" s="203"/>
      <c r="AH977" s="203"/>
      <c r="AI977" s="203"/>
      <c r="AJ977" s="203"/>
      <c r="AK977" s="203"/>
      <c r="AL977" s="203"/>
      <c r="AM977" s="203"/>
      <c r="AN977" s="192"/>
      <c r="AO977" s="192"/>
      <c r="AP977" s="192"/>
      <c r="AQ977" s="192"/>
      <c r="AR977" s="192"/>
      <c r="AS977" s="192"/>
      <c r="AT977" s="192"/>
      <c r="AU977" s="192"/>
      <c r="AV977" s="192"/>
      <c r="AW977" s="192"/>
      <c r="AX977" s="192"/>
    </row>
    <row r="978" spans="2:50" ht="15" customHeight="1" thickTop="1" thickBot="1" x14ac:dyDescent="0.35">
      <c r="B978" s="192"/>
      <c r="C978" s="192"/>
      <c r="D978" s="192"/>
      <c r="E978" s="192"/>
      <c r="F978" s="192"/>
      <c r="G978" s="192"/>
      <c r="H978" s="192"/>
      <c r="I978" s="192"/>
      <c r="J978" s="192"/>
      <c r="K978" s="192"/>
      <c r="L978" s="192"/>
      <c r="M978" s="192"/>
      <c r="N978" s="192"/>
      <c r="O978" s="192"/>
      <c r="P978" s="192"/>
      <c r="Q978" s="192"/>
      <c r="R978" s="192"/>
      <c r="S978" s="192"/>
      <c r="T978" s="120"/>
      <c r="U978" s="121" t="s">
        <v>101</v>
      </c>
      <c r="V978" s="122" t="s">
        <v>102</v>
      </c>
      <c r="W978" s="122" t="s">
        <v>103</v>
      </c>
      <c r="X978" s="123" t="s">
        <v>104</v>
      </c>
      <c r="Y978" s="238">
        <v>3</v>
      </c>
      <c r="Z978" s="239" t="str">
        <f>IF(U973="","",IF(OR(Group_players=3,AND(Group_players=4,COUNTBLANK(I972:I975)=1)),IF(COUNTIF(M972:M974,M974)=1,"",IF(COUNTIF(U971:U973,U973)=3,IF(AND(U981=U979,U981=U980),"Tied",IF(AND(U981&lt;&gt;U980,U980&lt;&gt;U979,U981&lt;&gt;U979),(IF(SMALL(U979:U981,1)=U981,1,IF(SMALL(U979:U981,2)=U981,2,IF(SMALL(U979:U981,3)=U981,3)))),IF(AND(U981&lt;U980,U980=U979),1,IF(AND(U981&gt;U980,U980=U979),3,IF(AND(U981=U980,U981&lt;U979),(IF(Q987=3,1,2)),IF(AND(U981=U980,U981&gt;U979),(IF(Q987=3,2,3)),IF(AND(U981=U979,U981&lt;U980),(IF(Q984=3,1,2)),IF(AND(U981=U979,U981&gt;U980),(IF(Q984=3,2,3)),99)))))))),"")),""))</f>
        <v/>
      </c>
      <c r="AA978" s="240">
        <v>3</v>
      </c>
      <c r="AB978" s="241" t="str">
        <f>IF(AND(COUNTBLANK(I972:I975)=0,Group_players=4,M972=M973,M973=M974),IF(COUNTIF(U971:U974,U973)=3,AB991,IF(AND(COUNTIF(U971:U974,U973)=1,U971&lt;&gt;U972),IF(M972=2,IF(SMALL(U971:U974,1)=U973,1,IF(SMALL(U971:U974,2)=U973,2,IF(SMALL(U971:U974,3)=U973,3))),IF(M974=1,IF(SMALL(U971:U974,1)=U973,2,IF(SMALL(U971:U974,2)=U973,3,IF(SMALL(U971:U974,3)=U973,4))),"")),IF(COUNTIF(U971:U974,U973)=1,IF(U973&lt;U972,IF(M974=2,1,2),IF(M974=2,3,4)),IF(COUNTIF(U971:U974,U973)=2,IF(U973=U972,IF(U973&lt;U971,IF(M974=2,IF(Q993=3,1,2),IF(M974=1,IF(Q993=3,2,3))),IF(U973&gt;U971,IF(M974=2,IF(Q993=3,2,3),IF(M974=1,IF(Q993=3,3,4))))),IF(U973=U971,IF(U973&lt;U972,IF(M974=2,IF(Q984=3,1,2),IF(M974=1,IF(Q984=3,2,3))),IF(U973&gt;U972,IF(M974=2,IF(Q984=3,2,3),IF(M974=1,IF(Q984=3,3,4))))))),"")))),"")</f>
        <v/>
      </c>
      <c r="AC978" s="192"/>
      <c r="AD978" s="192"/>
      <c r="AE978" s="192"/>
      <c r="AF978" s="203"/>
      <c r="AG978" s="203"/>
      <c r="AH978" s="203"/>
      <c r="AI978" s="203"/>
      <c r="AJ978" s="203"/>
      <c r="AK978" s="203"/>
      <c r="AL978" s="203"/>
      <c r="AM978" s="203"/>
      <c r="AN978" s="192"/>
      <c r="AO978" s="192"/>
      <c r="AP978" s="192"/>
      <c r="AQ978" s="192"/>
      <c r="AR978" s="192"/>
      <c r="AS978" s="192"/>
      <c r="AT978" s="192"/>
      <c r="AU978" s="192"/>
      <c r="AV978" s="192"/>
      <c r="AW978" s="192"/>
      <c r="AX978" s="192"/>
    </row>
    <row r="979" spans="2:50" ht="15" customHeight="1" thickTop="1" thickBot="1" x14ac:dyDescent="0.35">
      <c r="B979" s="192"/>
      <c r="C979" s="192"/>
      <c r="D979" s="192"/>
      <c r="E979" s="192"/>
      <c r="F979" s="192"/>
      <c r="G979" s="192"/>
      <c r="H979" s="192"/>
      <c r="I979" s="192"/>
      <c r="J979" s="192"/>
      <c r="K979" s="192"/>
      <c r="L979" s="192"/>
      <c r="M979" s="192"/>
      <c r="N979" s="192"/>
      <c r="O979" s="192"/>
      <c r="P979" s="192"/>
      <c r="Q979" s="192"/>
      <c r="R979" s="192"/>
      <c r="S979" s="192"/>
      <c r="T979" s="208">
        <v>1</v>
      </c>
      <c r="U979" s="209" t="str">
        <f>IF(U971="","",IF(OR(U971&lt;&gt;U972,U971&lt;&gt;U973),"",IF(COUNTIF(M972:M974,M972)=1,"",IF(COUNTBLANK(I972:I975)=1,(SUM(L984:P984)+SUM(L990:P990))/(SUM(L983:P983)+SUM(L989:P989)),IF(COUNTBLANK(I972:I975)=0,(SUM(L996:P996)+SUM(L984:P984))/(SUM(L995:P995)+SUM(L983:P983)),"")))))</f>
        <v/>
      </c>
      <c r="V979" s="125" t="str">
        <f>IF(V971="","",IF(OR(V971&lt;&gt;V973,V971&lt;&gt;V974),"",IF(AND(COUNTBLANK(I972:I975)=0,M972=M974,M974=M975),(SUM(L984:P984)+SUM(L990:P990))/(SUM(L983:P983)+SUM(L989:P989)),"")))</f>
        <v/>
      </c>
      <c r="W979" s="210" t="str">
        <f>IF(W971="","",IF(OR(W971&lt;&gt;W972,W971&lt;&gt;W974),"",IF(AND(COUNTBLANK(I972:I975)=0,M972=M973,M973=M975),(SUM(L996:P996)+SUM(L990:P990))/(SUM(L995:P995)+SUM(L989:P989)),"")))</f>
        <v/>
      </c>
      <c r="X979" s="211"/>
      <c r="Y979" s="242"/>
      <c r="Z979" s="242"/>
      <c r="AA979" s="243">
        <v>1</v>
      </c>
      <c r="AB979" s="244" t="str">
        <f>IF(AND(COUNTBLANK(I972:I975)=0,Group_players=4,M972=M974,M974=M975),IF(COUNTIF(V971:V974,V971)=3,AB992,IF(AND(COUNTIF(V971:V974,V971)=1,V973&lt;&gt;U982),IF(M972=2,IF(SMALL(V971:V974,1)=V971,1,IF(SMALL(V971:V974,2)=V971,2,IF(SMALL(V971:V974,3)=V971,3))),IF(M972=1,IF(SMALL(V971:V974,1)=V971,2,IF(SMALL(V971:V974,2)=V971,3,IF(SMALL(V971:V974,3)=V971,4))),"")),IF(COUNTIF(V971:V974,V971)=1,IF(V971&lt;V973,IF(M972=2,1,2),IF(M972=2,3,4)),IF(COUNTIF(V971:V974,V971)=2,IF(V971=V973,IF(V971&lt;V974,IF(M972=2,IF(Q983=3,1,2),IF(M972=1,IF(Q983=3,2,3))),IF(V971&gt;V974,IF(M972=2,IF(Q983=3,2,3),IF(M972=1,IF(Q983=3,3,4))))),IF(V971=V974,IF(V971&lt;V973,IF(M972=2,IF(Q989=3,1,2),IF(M972=1,IF(Q989=3,2,3))),IF(V971&gt;V972,IF(M972=2,IF(Q989=3,2,3),IF(M972=1,IF(Q989=3,3,4))))))),"")))),"")</f>
        <v/>
      </c>
      <c r="AC979" s="192"/>
      <c r="AD979" s="192"/>
      <c r="AE979" s="192"/>
      <c r="AF979" s="203"/>
      <c r="AG979" s="203"/>
      <c r="AH979" s="203"/>
      <c r="AI979" s="203"/>
      <c r="AJ979" s="203"/>
      <c r="AK979" s="203"/>
      <c r="AL979" s="203"/>
      <c r="AM979" s="203"/>
      <c r="AN979" s="192"/>
      <c r="AO979" s="192"/>
      <c r="AP979" s="192"/>
      <c r="AQ979" s="192"/>
      <c r="AR979" s="192"/>
      <c r="AS979" s="192"/>
      <c r="AT979" s="192"/>
      <c r="AU979" s="192"/>
      <c r="AV979" s="192"/>
      <c r="AW979" s="192"/>
      <c r="AX979" s="192"/>
    </row>
    <row r="980" spans="2:50" ht="15" customHeight="1" thickTop="1" thickBot="1" x14ac:dyDescent="0.35">
      <c r="B980" s="192"/>
      <c r="C980" s="192"/>
      <c r="D980" s="192"/>
      <c r="E980" s="117"/>
      <c r="F980" s="117"/>
      <c r="G980" s="117"/>
      <c r="H980" s="192"/>
      <c r="I980" s="192"/>
      <c r="J980" s="192"/>
      <c r="K980" s="192"/>
      <c r="L980" s="192"/>
      <c r="M980" s="192"/>
      <c r="N980" s="192"/>
      <c r="O980" s="192"/>
      <c r="P980" s="192"/>
      <c r="Q980" s="192"/>
      <c r="R980" s="192"/>
      <c r="S980" s="394" t="s">
        <v>112</v>
      </c>
      <c r="T980" s="208">
        <v>2</v>
      </c>
      <c r="U980" s="209" t="str">
        <f>IF(U971="","",IF(OR(U972&lt;&gt;U971,U972&lt;&gt;U973),"",IF(COUNTIF(M972:M974,M973)=1,"",IF(COUNTBLANK(I972:I975)=1,(SUM(L987:P987)+SUM(L989:P989))/(SUM(L986:P986)+SUM(L990:P990)),IF(COUNTBLANK(I972:I975)=0,(SUM(L995:P995)+SUM(L993:P993))/(SUM(L996:P996)+SUM(L992:P992)))))))</f>
        <v/>
      </c>
      <c r="V980" s="135"/>
      <c r="W980" s="212" t="str">
        <f>IF(W971="","",IF(OR(W972&lt;&gt;W971,W972&lt;&gt;W974),"",IF(AND(COUNTBLANK(I972:I975)=0,M972=M973,M973=M975),(SUM(L987:P987)+SUM(L995:P995))/(SUM(L996:P996)+SUM(L986:P986)),"")))</f>
        <v/>
      </c>
      <c r="X980" s="245" t="str">
        <f>IF(X972="","",IF(OR(X972&lt;&gt;X973,X972&lt;&gt;X974),"",IF(AND(COUNTBLANK(I972:I975)=0,M973=M974,M974=M975),(SUM(L993:P993)+SUM(L987:P987))/(SUM(L992:P992)+SUM(L986:P986)),"")))</f>
        <v/>
      </c>
      <c r="Y980" s="242"/>
      <c r="Z980" s="203"/>
      <c r="AA980" s="246">
        <v>3</v>
      </c>
      <c r="AB980" s="222" t="str">
        <f>IF(AND(COUNTBLANK(I972:I975)=0,Group_players=4,M972=M974,M974=M975),IF(COUNTIF(V971:V974,V973)=3,AB993,IF(AND(COUNTIF(V971:V974,V973)=1,V971&lt;&gt;V974),IF(M974=2,IF(SMALL(V971:V974,1)=V973,1,IF(SMALL(V971:V974,2)=V973,2,IF(SMALL(V971:V974,3)=V973,3))),IF(M974=1,IF(SMALL(V971:V974,1)=V973,2,IF(SMALL(V971:V974,2)=V973,3,IF(SMALL(V971:V974,3)=V973,4))),"")),IF(COUNTIF(V971:V974,V973)=1,IF(V973&lt;V971,IF(M974=2,1,2),IF(M974=2,3,4)),IF(COUNTIF(V971:V974,V973)=2,IF(V973=V971,IF(V973&lt;V974,IF(M974=2,IF(Q984=3,1,2),IF(M974=1,IF(Q984=3,2,3))),IF(V973&gt;V974,IF(M974=2,IF(Q984=3,2,3),IF(M974=1,IF(Q984=3,3,4))))),IF(V973=V974,IF(V973&lt;V971,IF(M974=2,IF(Q998=3,1,2),IF(M974=1,IF(Q998=3,2,3))),IF(V973&gt;V971,IF(M974=2,IF(Q998=3,2,3),IF(M974=1,IF(Q998=3,3,4))))))),"")))),"")</f>
        <v/>
      </c>
      <c r="AC980" s="192"/>
      <c r="AD980" s="192"/>
      <c r="AE980" s="192"/>
      <c r="AF980" s="203"/>
      <c r="AG980" s="203"/>
      <c r="AH980" s="203"/>
      <c r="AI980" s="203"/>
      <c r="AJ980" s="203"/>
      <c r="AK980" s="203"/>
      <c r="AL980" s="203"/>
      <c r="AM980" s="203"/>
      <c r="AN980" s="192"/>
      <c r="AO980" s="192"/>
      <c r="AP980" s="192"/>
      <c r="AQ980" s="192"/>
      <c r="AR980" s="192"/>
      <c r="AS980" s="192"/>
      <c r="AT980" s="192"/>
      <c r="AU980" s="192"/>
      <c r="AV980" s="192"/>
      <c r="AW980" s="192"/>
      <c r="AX980" s="192"/>
    </row>
    <row r="981" spans="2:50" ht="15" customHeight="1" thickTop="1" thickBot="1" x14ac:dyDescent="0.35">
      <c r="B981" s="192"/>
      <c r="C981" s="192"/>
      <c r="D981" s="192"/>
      <c r="E981" s="117"/>
      <c r="F981" s="117"/>
      <c r="G981" s="117"/>
      <c r="H981" s="192"/>
      <c r="I981" s="192"/>
      <c r="J981" s="192"/>
      <c r="K981" s="192"/>
      <c r="L981" s="192"/>
      <c r="M981" s="192"/>
      <c r="N981" s="192"/>
      <c r="O981" s="192"/>
      <c r="P981" s="192"/>
      <c r="Q981" s="192"/>
      <c r="R981" s="247"/>
      <c r="S981" s="395"/>
      <c r="T981" s="208">
        <v>3</v>
      </c>
      <c r="U981" s="209" t="str">
        <f>IF(U971="","",IF(OR(U973&lt;&gt;U971,U973&lt;&gt;U972),"",IF(COUNTIF(M972:M974,M974)=1,"",IF(COUNTBLANK(I972:I975)=1,(SUM(L983:P983)+SUM(L986:P986))/(SUM(L984:P984)+SUM(L987:P987)),IF(COUNTBLANK(I972:I975)=0,(SUM(L983:P983)+SUM(L992:P992))/(SUM(L984:P984)+SUM(L993:P993)))))))</f>
        <v/>
      </c>
      <c r="V981" s="125" t="str">
        <f>IF(V971="","",IF(OR(V973&lt;&gt;V971,V973&lt;&gt;V974),"",IF(AND(COUNTBLANK(I972:I975)=0,M972=M974,M974=M975),(SUM(L983:P983)+SUM(L999:P999))/(SUM(L984:P984)+SUM(L998:P998)),"")))</f>
        <v/>
      </c>
      <c r="W981" s="218"/>
      <c r="X981" s="245" t="str">
        <f>IF(X972="","",IF(OR(X973&lt;&gt;X972,X973&lt;&gt;X974),"",IF(AND(COUNTBLANK(I972:I975)=0,M973=M974,M974=M975),(SUM(L992:P992)+SUM(L999:P999))/(SUM(L993:P993)+SUM(L998:P998)),"")))</f>
        <v/>
      </c>
      <c r="Y981" s="208"/>
      <c r="Z981" s="203"/>
      <c r="AA981" s="240">
        <v>4</v>
      </c>
      <c r="AB981" s="222" t="str">
        <f>IF(AND(COUNTBLANK(I972:I975)=0,Group_players=4,M972=M974,M974=M975),IF(COUNTIF(V971:V974,V974)=3,AB994,IF(AND(COUNTIF(V971:V974,V974)=1,V973&lt;&gt;V971),IF(M975=2,IF(SMALL(V971:V974,1)=V974,1,IF(SMALL(V971:V974,2)=V974,2,IF(SMALL(V971:V974,3)=V974,3))),IF(M975=1,IF(SMALL(V971:V974,1)=V974,2,IF(SMALL(V971:V974,2)=V974,3,IF(SMALL(V971:V974,3)=V974,4))),"")),IF(COUNTIF(V971:V974,V974)=1,IF(V974&lt;V971,IF(M975=2,1,2),IF(M975=2,3,4)),IF(COUNTIF(V971:V974,V974)=2,IF(V974=V971,IF(V974&lt;V973,IF(M975=2,IF(Q990=3,1,2),IF(M975=1,IF(Q990=3,2,3))),IF(V974&gt;V973,IF(M975=2,IF(Q990=3,2,3),IF(M975=1,IF(Q990=3,3,4))))),IF(V974=V973,IF(V974&lt;V971,IF(M975=2,IF(Q999=3,1,2),IF(M975=1,IF(Q999=3,2,3))),IF(V974&gt;V971,IF(M975=2,IF(Q999=3,2,3),IF(M975=1,IF(Q999=3,3,4))))))),"")))),"")</f>
        <v/>
      </c>
      <c r="AC981" s="192"/>
      <c r="AD981" s="192"/>
      <c r="AE981" s="192"/>
      <c r="AF981" s="203"/>
      <c r="AG981" s="203"/>
      <c r="AH981" s="203"/>
      <c r="AI981" s="203"/>
      <c r="AJ981" s="203"/>
      <c r="AK981" s="203"/>
      <c r="AL981" s="203"/>
      <c r="AM981" s="203"/>
      <c r="AN981" s="192"/>
      <c r="AO981" s="192"/>
      <c r="AP981" s="192"/>
      <c r="AQ981" s="192"/>
      <c r="AR981" s="192"/>
      <c r="AS981" s="192"/>
      <c r="AT981" s="192"/>
      <c r="AU981" s="192"/>
      <c r="AV981" s="192"/>
      <c r="AW981" s="192"/>
      <c r="AX981" s="192"/>
    </row>
    <row r="982" spans="2:50" ht="15" customHeight="1" thickTop="1" thickBot="1" x14ac:dyDescent="0.35">
      <c r="B982" s="192"/>
      <c r="C982" s="192"/>
      <c r="D982" s="192"/>
      <c r="E982" s="168" t="s">
        <v>113</v>
      </c>
      <c r="F982" s="168" t="s">
        <v>114</v>
      </c>
      <c r="G982" s="117"/>
      <c r="H982" s="192"/>
      <c r="I982" s="249" t="s">
        <v>115</v>
      </c>
      <c r="J982" s="249"/>
      <c r="K982" s="249"/>
      <c r="L982" s="250" t="s">
        <v>115</v>
      </c>
      <c r="M982" s="250" t="s">
        <v>116</v>
      </c>
      <c r="N982" s="250" t="s">
        <v>117</v>
      </c>
      <c r="O982" s="250" t="s">
        <v>118</v>
      </c>
      <c r="P982" s="250" t="s">
        <v>119</v>
      </c>
      <c r="Q982" s="250" t="s">
        <v>120</v>
      </c>
      <c r="R982" s="250"/>
      <c r="S982" s="251"/>
      <c r="T982" s="208">
        <v>4</v>
      </c>
      <c r="U982" s="223"/>
      <c r="V982" s="140" t="str">
        <f>IF(V971="","",IF(OR(V974&lt;&gt;V971,V974&lt;&gt;V973),"",IF(AND(COUNTBLANK(I972:I975)=0,M972=M974,M974=M975),(SUM(L989:P989)+SUM(L998:P998))/(SUM(L990:P990)+SUM(L999:P999)),"")))</f>
        <v/>
      </c>
      <c r="W982" s="224" t="str">
        <f>IF(W971="","",IF(OR(W974&lt;&gt;W971,W974&lt;&gt;W972),"",IF(AND(COUNTBLANK(I972:I975)=0,M972=M973,M973=M975),(SUM(L989:P989)+SUM(L986:P986))/(SUM(L990:P990)+SUM(L987:P987)),"")))</f>
        <v/>
      </c>
      <c r="X982" s="252" t="str">
        <f>IF(X972="","",IF(OR(X974&lt;&gt;X972,X974&lt;&gt;X973),"",IF(AND(COUNTBLANK(I972:I975)=0,M973=M974,M974=M975),(SUM(L986:P986)+SUM(L998:P998))/(SUM(L987:P987)+SUM(L999:P999)),"")))</f>
        <v/>
      </c>
      <c r="Y982" s="192"/>
      <c r="Z982" s="203"/>
      <c r="AA982" s="243">
        <v>1</v>
      </c>
      <c r="AB982" s="151" t="str">
        <f>IF(AND(COUNTBLANK(I972:I975)=0,Group_players=4,M972=M973,M973=M975),IF(COUNTIF(W971:W974,W971)=3,AB995,IF(AND(COUNTIF(W971:W974,W971)=1,W972&lt;&gt;W974),IF(M972=2,IF(SMALL(W971:W974,1)=W971,1,IF(SMALL(W971:W974,2)=W971,2,IF(SMALL(W971:W974,3)=W971,3))),IF(M972=1,IF(SMALL(W971:W974,1)=W971,2,IF(SMALL(W971:W974,2)=W971,3,IF(SMALL(W971:W974,3)=W971,4))),"")),IF(COUNTIF(W971:W974,W971)=1,IF(W971&lt;W972,IF(M972=2,1,2),IF(M972=2,3,4)),IF(COUNTIF(W971:W974,W971)=2,IF(W971=W972,IF(W971&lt;W974,IF(M972=2,IF(Q995=3,1,2),IF(M972=1,IF(Q995=3,2,3))),IF(W971&gt;W974,IF(M972=2,IF(Q995=3,2,3),IF(M972=1,IF(Q995=3,3,4))))),IF(W971=W974,IF(W971&lt;W972,IF(M972=2,IF(Q989=3,1,2),IF(M972=1,IF(Q989=3,2,3))),IF(W971&gt;W972,IF(M972=2,IF(Q989=3,2,3),IF(M972=1,IF(Q989=3,3,4))))))),"")))),"")</f>
        <v/>
      </c>
      <c r="AC982" s="192"/>
      <c r="AD982" s="192"/>
      <c r="AE982" s="192"/>
      <c r="AF982" s="203"/>
      <c r="AG982" s="203"/>
      <c r="AH982" s="203"/>
      <c r="AI982" s="203"/>
      <c r="AJ982" s="203"/>
      <c r="AK982" s="203"/>
      <c r="AL982" s="203"/>
      <c r="AM982" s="203"/>
      <c r="AN982" s="192"/>
      <c r="AO982" s="192"/>
      <c r="AP982" s="192"/>
      <c r="AQ982" s="192"/>
      <c r="AR982" s="192"/>
      <c r="AS982" s="192"/>
      <c r="AT982" s="192"/>
      <c r="AU982" s="192"/>
      <c r="AV982" s="192"/>
      <c r="AW982" s="192"/>
      <c r="AX982" s="192"/>
    </row>
    <row r="983" spans="2:50" ht="15" customHeight="1" thickTop="1" x14ac:dyDescent="0.3">
      <c r="B983" s="192"/>
      <c r="C983" s="192"/>
      <c r="D983" s="192"/>
      <c r="E983" s="164" t="str">
        <f>IF(Q983="","",IF(Q983=3,1,0))</f>
        <v/>
      </c>
      <c r="F983" s="164" t="str">
        <f>IF(Q983="","",IF(Q983&lt;3,1,0))</f>
        <v/>
      </c>
      <c r="G983" s="192"/>
      <c r="H983" s="192" t="str">
        <f>IF(I972="","",1)</f>
        <v/>
      </c>
      <c r="I983" s="192" t="str">
        <f>IF(ISNUMBER(H983),VLOOKUP(H983,H972:I975,2,TRUE),"")</f>
        <v/>
      </c>
      <c r="J983" s="192"/>
      <c r="K983" s="192" t="str">
        <f>VLOOKUP(I983,I972:L975,3,FALSE)</f>
        <v/>
      </c>
      <c r="L983" s="253"/>
      <c r="M983" s="254"/>
      <c r="N983" s="254"/>
      <c r="O983" s="152"/>
      <c r="P983" s="153"/>
      <c r="Q983" s="255" t="str">
        <f>IF(L983="","",IF(AND(L983-L984&gt;1,L983&gt;10),1,0)+IF(AND(M983-M984&gt;1,M983&gt;10),1,0)+IF(AND(N983-N984&gt;1,N983&gt;10),1,0)+IF(AND(O983-O984&gt;1,O983&gt;10),1,0)+IF(AND(P983-P984&gt;1,P983&gt;10),1,0))</f>
        <v/>
      </c>
      <c r="R983" s="203" t="str">
        <f>IF(AND(I983="",I984=""),"",ABS(VLOOKUP(I983,I972:L975,4,FALSE)-VLOOKUP(I984,I972:L975,4,FALSE)))</f>
        <v/>
      </c>
      <c r="S983" s="256" t="str">
        <f>IF(R984="","",IF(Q983=3,+R984,-R984))</f>
        <v/>
      </c>
      <c r="T983" s="257"/>
      <c r="U983" s="258"/>
      <c r="V983" s="258"/>
      <c r="W983" s="258"/>
      <c r="X983" s="258"/>
      <c r="Y983" s="192"/>
      <c r="Z983" s="203"/>
      <c r="AA983" s="246">
        <v>2</v>
      </c>
      <c r="AB983" s="154" t="str">
        <f>IF(AND(COUNTBLANK(I972:I975)=0,Group_players=4,M972=M973,M973=M975),IF(COUNTIF(W971:W974,W972)=3,AB996,IF(AND(COUNTIF(W971:W974,W972)=1,W971&lt;&gt;W973),IF(M973=2,IF(SMALL(W971:W974,1)=W972,1,IF(SMALL(W971:W974,2)=W972,2,IF(SMALL(W971:W974,3)=W972,3))),IF(M973=1,IF(SMALL(W971:W974,1)=W972,2,IF(SMALL(W971:W974,2)=W972,3,IF(SMALL(W971:W974,3)=W972,4))),"")),IF(COUNTIF(W971:W974,W972)=1,IF(W972&lt;W971,IF(M973=2,1,2),IF(M973=2,3,4)),IF(COUNTIF(W971:W974,W972)=2,IF(W972=W971,IF(W972&lt;W974,IF(M973=2,IF(Q996=3,1,2),IF(M973=1,IF(Q996=3,2,3))),IF(W972&gt;W974,IF(M973=2,IF(Q996=3,2,3),IF(M973=1,IF(Q996=3,3,4))))),IF(W972=W974,IF(W972&lt;W971,IF(M973=2,IF(Q986=3,1,2),IF(M973=1,IF(Q986=3,2,3))),IF(W972&gt;W971,IF(M973=2,IF(Q986=3,2,3),IF(M973=1,IF(Q986=3,3,4))))))),"")))),"")</f>
        <v/>
      </c>
      <c r="AC983" s="192"/>
      <c r="AD983" s="192"/>
      <c r="AE983" s="192"/>
      <c r="AF983" s="203"/>
      <c r="AG983" s="203"/>
      <c r="AH983" s="203"/>
      <c r="AI983" s="203"/>
      <c r="AJ983" s="203"/>
      <c r="AK983" s="203"/>
      <c r="AL983" s="203"/>
      <c r="AM983" s="203"/>
      <c r="AN983" s="192"/>
      <c r="AO983" s="192"/>
      <c r="AP983" s="192"/>
      <c r="AQ983" s="192"/>
      <c r="AR983" s="192"/>
      <c r="AS983" s="192"/>
      <c r="AT983" s="192"/>
      <c r="AU983" s="192"/>
      <c r="AV983" s="192"/>
      <c r="AW983" s="192"/>
      <c r="AX983" s="192"/>
    </row>
    <row r="984" spans="2:50" ht="15" customHeight="1" thickBot="1" x14ac:dyDescent="0.35">
      <c r="B984" s="192"/>
      <c r="C984" s="192"/>
      <c r="D984" s="192"/>
      <c r="E984" s="164" t="str">
        <f>IF(Q984="","",IF(Q984=3,1,0))</f>
        <v/>
      </c>
      <c r="F984" s="164" t="str">
        <f>IF(Q984="","",IF(Q984&lt;3,1,0))</f>
        <v/>
      </c>
      <c r="G984" s="192"/>
      <c r="H984" s="192" t="str">
        <f>IF(I973="","",IF(I974="",2,3))</f>
        <v/>
      </c>
      <c r="I984" s="192" t="str">
        <f>IF(ISNUMBER(H984),VLOOKUP(H984,H972:I975,2,TRUE),"")</f>
        <v/>
      </c>
      <c r="J984" s="192"/>
      <c r="K984" s="192" t="str">
        <f>VLOOKUP(I984,I972:L975,3,FALSE)</f>
        <v/>
      </c>
      <c r="L984" s="155"/>
      <c r="M984" s="259"/>
      <c r="N984" s="259"/>
      <c r="O984" s="156"/>
      <c r="P984" s="157"/>
      <c r="Q984" s="260" t="str">
        <f>IF(L984="","",IF(AND(L984-L983&gt;1,L984&gt;10),1,0)+IF(AND(M984-M983&gt;1,M984&gt;10),1,0)+IF(AND(N984-N983&gt;1,N984&gt;10),1,0)+IF(AND(O984-O983&gt;1,O984&gt;10),1,0)+IF(AND(P984-P983&gt;1,P984&gt;10),1,0))</f>
        <v/>
      </c>
      <c r="R984" s="203" t="str">
        <f>IF(AND(Q983&lt;&gt;3,Q984&lt;&gt;3),"",IF(Q983=3,IF(VLOOKUP(I983,I972:L975,4,FALSE)&gt;VLOOKUP(I984,I972:L975,4,FALSE),VLOOKUP(R983,Point_dif,2,FALSE),VLOOKUP(R983,Point_dif,3,FALSE)),IF(Q984=3,IF(VLOOKUP(I984,I972:L975,4,FALSE)&gt;VLOOKUP(I983,I972:L975,4,FALSE),VLOOKUP(R983,Point_dif,2,FALSE),VLOOKUP(R983,Point_dif,3,FALSE)))))</f>
        <v/>
      </c>
      <c r="S984" s="256" t="str">
        <f>IF(R984="","",IF(Q984=3,+R984,-R984))</f>
        <v/>
      </c>
      <c r="T984" s="192"/>
      <c r="U984" s="235"/>
      <c r="V984" s="235"/>
      <c r="W984" s="235"/>
      <c r="X984" s="235"/>
      <c r="Y984" s="235"/>
      <c r="Z984" s="235"/>
      <c r="AA984" s="240">
        <v>4</v>
      </c>
      <c r="AB984" s="158" t="str">
        <f>IF(AND(COUNTBLANK(I972:I975)=0,Group_players=4,M972=M973,M973=M975),IF(COUNTIF(W971:W974,W974)=3,AB997,IF(AND(COUNTIF(W971:W974,W974)=1,W971&lt;&gt;W972),IF(M975=2,IF(SMALL(W971:W974,1)=W974,1,IF(SMALL(W971:W974,2)=W974,2,IF(SMALL(W971:W974,3)=W974,3))),IF(M975=1,IF(SMALL(W971:W974,1)=W974,2,IF(SMALL(W971:W974,2)=W974,3,IF(SMALL(W971:W974,3)=W974,4))),"")),IF(COUNTIF(W971:W974,W974)=1,IF(W974&lt;W971,IF(M975=2,1,2),IF(M975=2,3,4)),IF(COUNTIF(W971:W974,W974)=2,IF(W974=W971,IF(W974&lt;W972,IF(M975=2,IF(Q990=3,1,2),IF(M975=1,IF(Q990=3,2,3))),IF(W974&gt;W973,IF(M975=2,IF(Q990=3,2,3),IF(M975=1,IF(Q990=3,3,4))))),IF(W974=W972,IF(W974&lt;W971,IF(M975=2,IF(Q987=3,1,2),IF(M975=1,IF(Q987=3,2,3))),IF(W974&gt;W971,IF(M975=2,IF(Q987=3,2,3),IF(M975=1,IF(Q987=3,3,4))))))),"")))),"")</f>
        <v/>
      </c>
      <c r="AC984" s="192"/>
      <c r="AD984" s="192"/>
      <c r="AE984" s="192"/>
      <c r="AF984" s="203"/>
      <c r="AG984" s="203"/>
      <c r="AH984" s="203"/>
      <c r="AI984" s="203"/>
      <c r="AJ984" s="203"/>
      <c r="AK984" s="203"/>
      <c r="AL984" s="203"/>
      <c r="AM984" s="203"/>
      <c r="AN984" s="192"/>
      <c r="AO984" s="192"/>
      <c r="AP984" s="192"/>
      <c r="AQ984" s="192"/>
      <c r="AR984" s="192"/>
      <c r="AS984" s="192"/>
      <c r="AT984" s="192"/>
      <c r="AU984" s="192"/>
      <c r="AV984" s="192"/>
      <c r="AW984" s="192"/>
      <c r="AX984" s="192"/>
    </row>
    <row r="985" spans="2:50" ht="15" customHeight="1" thickTop="1" thickBot="1" x14ac:dyDescent="0.35">
      <c r="B985" s="192"/>
      <c r="C985" s="192"/>
      <c r="D985" s="192"/>
      <c r="E985" s="164"/>
      <c r="F985" s="164"/>
      <c r="G985" s="192"/>
      <c r="H985" s="192"/>
      <c r="I985" s="249" t="s">
        <v>116</v>
      </c>
      <c r="J985" s="249"/>
      <c r="K985" s="249"/>
      <c r="L985" s="250" t="s">
        <v>115</v>
      </c>
      <c r="M985" s="250" t="s">
        <v>116</v>
      </c>
      <c r="N985" s="250" t="s">
        <v>117</v>
      </c>
      <c r="O985" s="250" t="s">
        <v>118</v>
      </c>
      <c r="P985" s="250" t="s">
        <v>119</v>
      </c>
      <c r="Q985" s="250" t="s">
        <v>120</v>
      </c>
      <c r="R985" s="250"/>
      <c r="S985" s="251"/>
      <c r="T985" s="192"/>
      <c r="U985" s="235"/>
      <c r="V985" s="235"/>
      <c r="W985" s="235"/>
      <c r="X985" s="235"/>
      <c r="Y985" s="235"/>
      <c r="Z985" s="235"/>
      <c r="AA985" s="243">
        <v>2</v>
      </c>
      <c r="AB985" s="151" t="str">
        <f>IF(AND(COUNTBLANK(I972:I975)=0,Group_players=4,M973=M974,M974=M975),IF(COUNTIF(X971:X974,X972)=3,AB998,IF(AND(COUNTIF(X971:X974,X972)=1,X973&lt;&gt;X974),IF(M973=2,IF(SMALL(X971:X974,1)=X972,1,IF(SMALL(X971:X974,2)=X972,2,IF(SMALL(X971:X974,3)=X972,3))),IF(M973=1,IF(SMALL(X971:X974,1)=X972,2,IF(SMALL(X971:X974,2)=X972,3,IF(SMALL(X971:X974,3)=X972,4))),"")),IF(COUNTIF(X971:X974,X972)=1,IF(X972&lt;X974,IF(M973=2,1,2),IF(M973=1,3,3)),IF(COUNTIF(X971:X974,X972)=2,IF(X972=X973,IF(X972&lt;X974,IF(M973=2,IF(Q992=3,1,2),IF(M973=1,IF(Q992=3,2,3))),IF(X972&gt;X974,IF(M973=2,IF(Q992=3,2,3),IF(M973=1,IF(Q992=3,3,4))))),IF(X972=X974,IF(X972&lt;X973,IF(M973=2,IF(Q986=3,1,2),IF(M973=1,IF(Q986=3,2,3))),IF(X972&gt;X973,IF(M973=2,IF(Q986=3,2,3),IF(M973=1,IF(Q986=3,3,4))))))),"")))),"")</f>
        <v/>
      </c>
      <c r="AC985" s="192"/>
      <c r="AD985" s="192"/>
      <c r="AE985" s="192"/>
      <c r="AF985" s="203"/>
      <c r="AG985" s="203"/>
      <c r="AH985" s="203"/>
      <c r="AI985" s="203"/>
      <c r="AJ985" s="203"/>
      <c r="AK985" s="203"/>
      <c r="AL985" s="203"/>
      <c r="AM985" s="203"/>
      <c r="AN985" s="192"/>
      <c r="AO985" s="192"/>
      <c r="AP985" s="192"/>
      <c r="AQ985" s="192"/>
      <c r="AR985" s="192"/>
      <c r="AS985" s="192"/>
      <c r="AT985" s="192"/>
      <c r="AU985" s="192"/>
      <c r="AV985" s="192"/>
      <c r="AW985" s="192"/>
      <c r="AX985" s="192"/>
    </row>
    <row r="986" spans="2:50" ht="15" customHeight="1" thickTop="1" x14ac:dyDescent="0.3">
      <c r="B986" s="192"/>
      <c r="C986" s="192"/>
      <c r="D986" s="192"/>
      <c r="E986" s="164" t="str">
        <f>IF(Q986="","",IF(Q986=3,1,0))</f>
        <v/>
      </c>
      <c r="F986" s="164" t="str">
        <f>IF(Q986="","",IF(Q986&lt;3,1,0))</f>
        <v/>
      </c>
      <c r="G986" s="192"/>
      <c r="H986" s="192" t="str">
        <f>IF(I974="","",2)</f>
        <v/>
      </c>
      <c r="I986" s="192" t="str">
        <f>IF(ISNUMBER(H986),VLOOKUP(H986,H972:I975,2,TRUE),"")</f>
        <v/>
      </c>
      <c r="J986" s="192"/>
      <c r="K986" s="192" t="str">
        <f>VLOOKUP(I986,I972:L975,3,FALSE)</f>
        <v/>
      </c>
      <c r="L986" s="253"/>
      <c r="M986" s="254"/>
      <c r="N986" s="254"/>
      <c r="O986" s="152"/>
      <c r="P986" s="153"/>
      <c r="Q986" s="255" t="str">
        <f>IF(L986="","",IF(AND(L986-L987&gt;1,L986&gt;10),1,0)+IF(AND(M986-M987&gt;1,M986&gt;10),1,0)+IF(AND(N986-N987&gt;1,N986&gt;10),1,0)+IF(AND(O986-O987&gt;1,O986&gt;10),1,0)+IF(AND(P986-P987&gt;1,P986&gt;10),1,0))</f>
        <v/>
      </c>
      <c r="R986" s="203" t="str">
        <f>IF(AND(I986="",I987=""),"",ABS(VLOOKUP(I986,I972:L975,4,FALSE)-VLOOKUP(I987,I972:L975,4,FALSE)))</f>
        <v/>
      </c>
      <c r="S986" s="256" t="str">
        <f>IF(R987="","",IF(Q986=3,+R987,-R987))</f>
        <v/>
      </c>
      <c r="T986" s="192"/>
      <c r="U986" s="235"/>
      <c r="V986" s="235"/>
      <c r="W986" s="235"/>
      <c r="X986" s="235"/>
      <c r="Y986" s="235"/>
      <c r="Z986" s="235"/>
      <c r="AA986" s="246">
        <v>3</v>
      </c>
      <c r="AB986" s="154" t="str">
        <f>IF(AND(COUNTBLANK(I972:I975)=0,Group_players=4,M973=M974,M974=M975),IF(COUNTIF(X971:X974,X973)=3,AB999,IF(AND(COUNTIF(X971:X974,X973)=1,X972&lt;&gt;X974),IF(M974=2,IF(SMALL(X971:X974,1)=X973,1,IF(SMALL(X971:X974,2)=X973,2,IF(SMALL(X971:X974,3)=X973,3))),IF(M974=1,IF(SMALL(X971:X974,1)=X973,2,IF(SMALL(X971:X974,2)=X973,3,IF(SMALL(X971:X974,3)=X973,4))),"")),IF(COUNTIF(X971:X974,X973)=1,IF(X973&lt;X972,IF(M974=2,1,2),IF(M974=2,3,4)),IF(COUNTIF(X971:X974,X973)=2,IF(X973=X972,IF(X973&lt;X974,IF(M974=2,IF(Q993=3,1,2),IF(M974=1,IF(Q993=3,2,3))),IF(X973&gt;X974,IF(M974=2,IF(Q993=3,2,3),IF(M974=1,IF(Q993=3,3,4))))),IF(X973=X974,IF(X973&lt;X972,IF(M974=2,IF(Q998=3,1,2),IF(M974=1,IF(Q998=3,2,3))),IF(X973&gt;X972,IF(M974=2,IF(Q998=3,2,3),IF(M974=1,IF(Q998=3,3,4))))))),"")))),"")</f>
        <v/>
      </c>
      <c r="AC986" s="192"/>
      <c r="AD986" s="192"/>
      <c r="AE986" s="192"/>
      <c r="AF986" s="203"/>
      <c r="AG986" s="203"/>
      <c r="AH986" s="203"/>
      <c r="AI986" s="203"/>
      <c r="AJ986" s="203"/>
      <c r="AK986" s="203"/>
      <c r="AL986" s="203"/>
      <c r="AM986" s="203"/>
      <c r="AN986" s="192"/>
      <c r="AO986" s="192"/>
      <c r="AP986" s="192"/>
      <c r="AQ986" s="192"/>
      <c r="AR986" s="192"/>
      <c r="AS986" s="192"/>
      <c r="AT986" s="192"/>
      <c r="AU986" s="192"/>
      <c r="AV986" s="192"/>
      <c r="AW986" s="192"/>
      <c r="AX986" s="192"/>
    </row>
    <row r="987" spans="2:50" ht="15" customHeight="1" thickBot="1" x14ac:dyDescent="0.35">
      <c r="B987" s="192"/>
      <c r="C987" s="192"/>
      <c r="D987" s="192"/>
      <c r="E987" s="164" t="str">
        <f>IF(Q987="","",IF(Q987=3,1,0))</f>
        <v/>
      </c>
      <c r="F987" s="164" t="str">
        <f>IF(Q987="","",IF(Q987&lt;3,1,0))</f>
        <v/>
      </c>
      <c r="G987" s="192"/>
      <c r="H987" s="192" t="str">
        <f>IF(I974="","",IF(I975="",3,4))</f>
        <v/>
      </c>
      <c r="I987" s="192" t="str">
        <f>IF(ISNUMBER(H987),VLOOKUP(H987,H972:I975,2,TRUE),"")</f>
        <v/>
      </c>
      <c r="J987" s="192"/>
      <c r="K987" s="192" t="str">
        <f>VLOOKUP(I987,I972:L975,3,FALSE)</f>
        <v/>
      </c>
      <c r="L987" s="155"/>
      <c r="M987" s="259"/>
      <c r="N987" s="259"/>
      <c r="O987" s="156"/>
      <c r="P987" s="157"/>
      <c r="Q987" s="260" t="str">
        <f>IF(L987="","",IF(AND(L987-L986&gt;1,L987&gt;10),1,0)+IF(AND(M987-M986&gt;1,M987&gt;10),1,0)+IF(AND(N987-N986&gt;1,N987&gt;10),1,0)+IF(AND(O987-O986&gt;1,O987&gt;10),1,0)+IF(AND(P987-P986&gt;1,P987&gt;10),1,0))</f>
        <v/>
      </c>
      <c r="R987" s="203" t="str">
        <f>IF(AND(Q986&lt;&gt;3,Q987&lt;&gt;3),"",IF(Q986=3,IF(VLOOKUP(I986,I972:L975,4,FALSE)&gt;VLOOKUP(I987,I972:L975,4,FALSE),VLOOKUP(R986,Point_dif,2,FALSE),VLOOKUP(R986,Point_dif,3,FALSE)),IF(Q987=3,IF(VLOOKUP(I987,I972:L975,4,FALSE)&gt;VLOOKUP(I986,I972:L975,4,FALSE),VLOOKUP(R986,Point_dif,2,FALSE),VLOOKUP(R986,Point_dif,3,FALSE)))))</f>
        <v/>
      </c>
      <c r="S987" s="256" t="str">
        <f>IF(R987="","",IF(Q987=3,+R987,-R987))</f>
        <v/>
      </c>
      <c r="T987" s="192"/>
      <c r="U987" s="235"/>
      <c r="V987" s="235"/>
      <c r="W987" s="235"/>
      <c r="X987" s="235"/>
      <c r="Y987" s="235"/>
      <c r="Z987" s="235"/>
      <c r="AA987" s="261">
        <v>4</v>
      </c>
      <c r="AB987" s="158" t="str">
        <f>IF(AND(COUNTBLANK(I972:I975)=0,Group_players=4,M973=M974,M974=M975),IF(COUNTIF(X971:X974,X974)=3,AB1000,IF(AND(COUNTIF(X971:X974,X974)=1,X973&lt;&gt;X972),IF(M975=2,IF(SMALL(X971:X974,1)=X974,1,IF(SMALL(X971:X974,2)=X974,2,IF(SMALL(X971:X974,3)=X974,3))),IF(M975=1,IF(SMALL(X971:X974,1)=X974,2,IF(SMALL(X971:X974,2)=X974,3,IF(SMALL(X971:X974,3)=X974,4))),"")),IF(COUNTIF(X971:X974,X974)=1,IF(X974&lt;X972,IF(M975=2,1,2),IF(M975=2,3,4)),IF(COUNTIF(X971:X974,X974)=2,IF(X974=X972,IF(X974&lt;X973,IF(M975=2,IF(Q987=3,1,2),IF(M975=1,IF(Q987=3,2,3))),IF(X974&gt;X973,IF(M975=2,IF(Q987=3,2,3),IF(M975=1,IF(Q987=3,3,4))))),IF(X974=X973,IF(X974&lt;X972,IF(M975=2,IF(Q999=3,1,2),IF(M975=1,IF(Q999=3,2,3))),IF(X974&gt;X972,IF(M975=2,IF(Q999=3,2,3),IF(M975=1,IF(Q999=3,3,4))))))),"")))),"")</f>
        <v/>
      </c>
      <c r="AC987" s="192"/>
      <c r="AD987" s="192"/>
      <c r="AE987" s="192"/>
      <c r="AF987" s="203"/>
      <c r="AG987" s="203"/>
      <c r="AH987" s="203"/>
      <c r="AI987" s="203"/>
      <c r="AJ987" s="203"/>
      <c r="AK987" s="203"/>
      <c r="AL987" s="203"/>
      <c r="AM987" s="203"/>
      <c r="AN987" s="192"/>
      <c r="AO987" s="192"/>
      <c r="AP987" s="192"/>
      <c r="AQ987" s="192"/>
      <c r="AR987" s="192"/>
      <c r="AS987" s="192"/>
      <c r="AT987" s="192"/>
      <c r="AU987" s="192"/>
      <c r="AV987" s="192"/>
      <c r="AW987" s="192"/>
      <c r="AX987" s="192"/>
    </row>
    <row r="988" spans="2:50" ht="15" customHeight="1" thickTop="1" thickBot="1" x14ac:dyDescent="0.35">
      <c r="B988" s="192"/>
      <c r="C988" s="192"/>
      <c r="D988" s="192"/>
      <c r="E988" s="164"/>
      <c r="F988" s="164"/>
      <c r="G988" s="192"/>
      <c r="H988" s="192"/>
      <c r="I988" s="249" t="s">
        <v>117</v>
      </c>
      <c r="J988" s="249"/>
      <c r="K988" s="249"/>
      <c r="L988" s="250" t="s">
        <v>115</v>
      </c>
      <c r="M988" s="250" t="s">
        <v>116</v>
      </c>
      <c r="N988" s="250" t="s">
        <v>117</v>
      </c>
      <c r="O988" s="250" t="s">
        <v>118</v>
      </c>
      <c r="P988" s="250" t="s">
        <v>119</v>
      </c>
      <c r="Q988" s="250" t="s">
        <v>120</v>
      </c>
      <c r="R988" s="250"/>
      <c r="S988" s="251"/>
      <c r="T988" s="263"/>
      <c r="U988" s="264"/>
      <c r="V988" s="242"/>
      <c r="W988" s="242"/>
      <c r="X988" s="264"/>
      <c r="Y988" s="192"/>
      <c r="Z988" s="203"/>
      <c r="AA988" s="126" t="s">
        <v>93</v>
      </c>
      <c r="AB988" s="265" t="s">
        <v>110</v>
      </c>
      <c r="AC988" s="192"/>
      <c r="AD988" s="192"/>
      <c r="AE988" s="192"/>
      <c r="AF988" s="203"/>
      <c r="AG988" s="203"/>
      <c r="AH988" s="203"/>
      <c r="AI988" s="203"/>
      <c r="AJ988" s="203"/>
      <c r="AK988" s="203"/>
      <c r="AL988" s="203"/>
      <c r="AM988" s="203"/>
      <c r="AN988" s="192"/>
      <c r="AO988" s="192"/>
      <c r="AP988" s="192"/>
      <c r="AQ988" s="192"/>
      <c r="AR988" s="192"/>
      <c r="AS988" s="192"/>
      <c r="AT988" s="192"/>
      <c r="AU988" s="192"/>
      <c r="AV988" s="192"/>
      <c r="AW988" s="192"/>
      <c r="AX988" s="192"/>
    </row>
    <row r="989" spans="2:50" ht="15" customHeight="1" thickTop="1" x14ac:dyDescent="0.3">
      <c r="B989" s="192"/>
      <c r="C989" s="192"/>
      <c r="D989" s="192"/>
      <c r="E989" s="164" t="str">
        <f>IF(Q989="","",IF(Q989=3,1,0))</f>
        <v/>
      </c>
      <c r="F989" s="164" t="str">
        <f>IF(Q989="","",IF(Q989&lt;3,1,0))</f>
        <v/>
      </c>
      <c r="G989" s="192"/>
      <c r="H989" s="192" t="str">
        <f>IF(I974&lt;&gt;"",1,"")</f>
        <v/>
      </c>
      <c r="I989" s="192" t="str">
        <f>IF(ISNUMBER(H989),VLOOKUP(H989,H972:I975,2,TRUE),"")</f>
        <v/>
      </c>
      <c r="J989" s="192"/>
      <c r="K989" s="192" t="str">
        <f>VLOOKUP(I989,I972:L975,3,FALSE)</f>
        <v/>
      </c>
      <c r="L989" s="253"/>
      <c r="M989" s="254"/>
      <c r="N989" s="254"/>
      <c r="O989" s="152"/>
      <c r="P989" s="153"/>
      <c r="Q989" s="255" t="str">
        <f>IF(L989="","",IF(AND(L989-L990&gt;1,L989&gt;10),1,0)+IF(AND(M989-M990&gt;1,M989&gt;10),1,0)+IF(AND(N989-N990&gt;1,N989&gt;10),1,0)+IF(AND(O989-O990&gt;1,O989&gt;10),1,0)+IF(AND(P989-P990&gt;1,P989&gt;10),1,0))</f>
        <v/>
      </c>
      <c r="R989" s="203" t="str">
        <f>IF(AND(I989="",I990=""),"",ABS(VLOOKUP(I989,I972:L975,4,FALSE)-VLOOKUP(I990,I972:L975,4,FALSE)))</f>
        <v/>
      </c>
      <c r="S989" s="256" t="str">
        <f>IF(R990="","",IF(Q989=3,+R990,-R990))</f>
        <v/>
      </c>
      <c r="T989" s="192"/>
      <c r="U989" s="235"/>
      <c r="V989" s="235"/>
      <c r="W989" s="235"/>
      <c r="X989" s="235"/>
      <c r="Y989" s="235"/>
      <c r="Z989" s="235"/>
      <c r="AA989" s="243">
        <v>1</v>
      </c>
      <c r="AB989" s="222" t="str">
        <f>IF(AND(COUNTBLANK(I972:I975)=0,Group_players=4,M972=M973,M973=M974),IF(U979="","",IF(COUNTIF(U979:U982,U979)=3,"Tied",IF(AND(COUNTIF(U979:U982,U979)=1,U980&lt;&gt;U981),IF(M972=2,IF(SMALL(U979:U982,1)=U979,1,IF(SMALL(U979:U982,2)=U979,2,IF(SMALL(U979:U982,3)=U979,3))),IF(M972=1,IF(SMALL(U979:U982,1)=U979,2,IF(SMALL(U979:U982,2)=U979,3,IF(SMALL(U979:U982,3)=U979,4))),"")),IF(COUNTIF(U979:U982,U979)=1,IF(U979&lt;U980,IF(M972=2,1,2),IF(M972=2,3,4)),IF(COUNTIF(U979:U982,U979)=2,IF(U979=U980,IF(U979&lt;U981,IF(M972=2,IF(Q995=3,1,2),IF(M972=1,IF(Q995=3,2,3))),IF(U979&gt;U981,IF(M972=2,IF(Q995=3,2,3),IF(M972=1,IF(Q995=3,3,4))))),IF(U979=U981,IF(U979&lt;U980,IF(M972=2,IF(Q983=3,1,2),IF(M972=1,IF(Q983=3,2,3))),IF(U979&gt;U980,IF(M972=2,IF(Q983=3,2,3),IF(M972=1,IF(Q983=3,3,4)))))))))))),"")</f>
        <v/>
      </c>
      <c r="AC989" s="192"/>
      <c r="AD989" s="192"/>
      <c r="AE989" s="192"/>
      <c r="AF989" s="203"/>
      <c r="AG989" s="203"/>
      <c r="AH989" s="203"/>
      <c r="AI989" s="203"/>
      <c r="AJ989" s="203"/>
      <c r="AK989" s="203"/>
      <c r="AL989" s="203"/>
      <c r="AM989" s="203"/>
      <c r="AN989" s="192"/>
      <c r="AO989" s="192"/>
      <c r="AP989" s="192"/>
      <c r="AQ989" s="192"/>
      <c r="AR989" s="192"/>
      <c r="AS989" s="192"/>
      <c r="AT989" s="192"/>
      <c r="AU989" s="192"/>
      <c r="AV989" s="192"/>
      <c r="AW989" s="192"/>
      <c r="AX989" s="192"/>
    </row>
    <row r="990" spans="2:50" ht="15" customHeight="1" thickBot="1" x14ac:dyDescent="0.35">
      <c r="B990" s="192"/>
      <c r="C990" s="192"/>
      <c r="D990" s="192"/>
      <c r="E990" s="164" t="str">
        <f>IF(Q990="","",IF(Q990=3,1,0))</f>
        <v/>
      </c>
      <c r="F990" s="164" t="str">
        <f>IF(Q990="","",IF(Q990&lt;3,1,0))</f>
        <v/>
      </c>
      <c r="G990" s="192"/>
      <c r="H990" s="192" t="str">
        <f>IF(I974="","",IF(I975&lt;&gt;"",4,2))</f>
        <v/>
      </c>
      <c r="I990" s="192" t="str">
        <f>IF(ISNUMBER(H990),VLOOKUP(H990,H972:I975,2,TRUE),"")</f>
        <v/>
      </c>
      <c r="J990" s="192"/>
      <c r="K990" s="192" t="str">
        <f>VLOOKUP(I990,I972:L975,3,FALSE)</f>
        <v/>
      </c>
      <c r="L990" s="155"/>
      <c r="M990" s="259"/>
      <c r="N990" s="259"/>
      <c r="O990" s="156"/>
      <c r="P990" s="157"/>
      <c r="Q990" s="260" t="str">
        <f>IF(L990="","",IF(AND(L990-L989&gt;1,L990&gt;10),1,0)+IF(AND(M990-M989&gt;1,M990&gt;10),1,0)+IF(AND(N990-N989&gt;1,N990&gt;10),1,0)+IF(AND(O990-O989&gt;1,O990&gt;10),1,0)+IF(AND(P990-P989&gt;1,P990&gt;10),1,0))</f>
        <v/>
      </c>
      <c r="R990" s="203" t="str">
        <f>IF(AND(Q989&lt;&gt;3,Q990&lt;&gt;3),"",IF(Q989=3,IF(VLOOKUP(I989,I972:L975,4,FALSE)&gt;VLOOKUP(I990,I972:L975,4,FALSE),VLOOKUP(R989,Point_dif,2,FALSE),VLOOKUP(R989,Point_dif,3,FALSE)),IF(Q990=3,IF(VLOOKUP(I990,I972:L975,4,FALSE)&gt;VLOOKUP(I989,I972:L975,4,FALSE),VLOOKUP(R989,Point_dif,2,FALSE),VLOOKUP(R989,Point_dif,3,FALSE)))))</f>
        <v/>
      </c>
      <c r="S990" s="256" t="str">
        <f>IF(R990="","",IF(Q990=3,+R990,-R990))</f>
        <v/>
      </c>
      <c r="T990" s="192"/>
      <c r="U990" s="235"/>
      <c r="V990" s="235"/>
      <c r="W990" s="235"/>
      <c r="X990" s="235"/>
      <c r="Y990" s="235"/>
      <c r="Z990" s="235"/>
      <c r="AA990" s="246">
        <v>2</v>
      </c>
      <c r="AB990" s="222" t="str">
        <f>IF(AND(COUNTBLANK(I972:I975)=0,Group_players=4,M972=M973,M973=M974),IF(U980="","",IF(COUNTIF(U979:U982,U980)=3,"Tied",IF(AND(COUNTIF(U979:U982,U980)=1,U979&lt;&gt;U981),IF(M973=2,IF(SMALL(U979:U982,1)=U980,1,IF(SMALL(U979:U982,2)=U980,2,IF(SMALL(U979:U982,3)=U980,3))),IF(M973=1,IF(SMALL(U979:U982,1)=U980,2,IF(SMALL(U979:U982,2)=U980,3,IF(SMALL(U979:U982,3)=U980,4))),"")),IF(COUNTIF(U979:U982,U980)=1,IF(U980&lt;U979,IF(M973=2,1,2),IF(M973=2,3,4)),IF(COUNTIF(U979:U982,U980)=2,IF(U980=U979,IF(U980&lt;U981,IF(M973=2,IF(Q996=3,1,2),IF(M973=1,IF(Q996=3,2,3))),IF(U980&gt;U981,IF(M973=2,IF(Q996=3,2,3),IF(M973=1,IF(Q996=3,3,4))))),IF(U980=U981,IF(U980&lt;U979,IF(M973=2,IF(Q992=3,1,2),IF(M973=1,IF(Q992=3,2,3))),IF(U980&gt;U979,IF(M973=2,IF(Q992=3,2,3),IF(M973=1,IF(Q992=3,3,4)))))))))))),"")</f>
        <v/>
      </c>
      <c r="AC990" s="192"/>
      <c r="AD990" s="192"/>
      <c r="AE990" s="192"/>
      <c r="AF990" s="203"/>
      <c r="AG990" s="203"/>
      <c r="AH990" s="203"/>
      <c r="AI990" s="203"/>
      <c r="AJ990" s="203"/>
      <c r="AK990" s="203"/>
      <c r="AL990" s="203"/>
      <c r="AM990" s="203"/>
      <c r="AN990" s="192"/>
      <c r="AO990" s="192"/>
      <c r="AP990" s="192"/>
      <c r="AQ990" s="192"/>
      <c r="AR990" s="192"/>
      <c r="AS990" s="192"/>
      <c r="AT990" s="192"/>
      <c r="AU990" s="192"/>
      <c r="AV990" s="192"/>
      <c r="AW990" s="192"/>
      <c r="AX990" s="192"/>
    </row>
    <row r="991" spans="2:50" ht="15" customHeight="1" thickTop="1" thickBot="1" x14ac:dyDescent="0.35">
      <c r="B991" s="192"/>
      <c r="C991" s="192"/>
      <c r="D991" s="192"/>
      <c r="E991" s="164"/>
      <c r="F991" s="164"/>
      <c r="G991" s="192"/>
      <c r="H991" s="192"/>
      <c r="I991" s="249" t="s">
        <v>118</v>
      </c>
      <c r="J991" s="249"/>
      <c r="K991" s="249"/>
      <c r="L991" s="250" t="s">
        <v>115</v>
      </c>
      <c r="M991" s="250" t="s">
        <v>116</v>
      </c>
      <c r="N991" s="250" t="s">
        <v>117</v>
      </c>
      <c r="O991" s="250" t="s">
        <v>118</v>
      </c>
      <c r="P991" s="250" t="s">
        <v>119</v>
      </c>
      <c r="Q991" s="250" t="s">
        <v>120</v>
      </c>
      <c r="R991" s="250"/>
      <c r="S991" s="251"/>
      <c r="T991" s="192"/>
      <c r="U991" s="235"/>
      <c r="V991" s="235"/>
      <c r="W991" s="235"/>
      <c r="X991" s="235"/>
      <c r="Y991" s="235"/>
      <c r="Z991" s="235"/>
      <c r="AA991" s="240">
        <v>3</v>
      </c>
      <c r="AB991" s="241" t="str">
        <f>IF(AND(COUNTBLANK(I972:I975)=0,Group_players=4,M972=M973,M973=M974),IF(U981="","",IF(COUNTIF(U979:U982,U981)=3,"Tied",IF(AND(COUNTIF(U979:U982,U981)=1,U979&lt;&gt;U980),IF(M972=2,IF(SMALL(U979:U982,1)=U981,1,IF(SMALL(U979:U982,2)=U981,2,IF(SMALL(U979:U982,3)=U981,3))),IF(M974=1,IF(SMALL(U979:U982,1)=U981,2,IF(SMALL(U979:U982,2)=U981,3,IF(SMALL(U979:U982,3)=U981,4))),"")),IF(COUNTIF(U979:U982,U981)=1,IF(U981&lt;U980,IF(M974=2,1,2),IF(M974=2,3,4)),IF(COUNTIF(U979:U982,U981)=2,IF(U981=U980,IF(U981&lt;U979,IF(M974=2,IF(Q993=3,1,2),IF(M974=1,IF(Q993=3,2,3))),IF(U981&gt;U979,IF(M974=2,IF(Q993=3,2,3),IF(M974=1,IF(Q993=3,3,4))))),IF(U981=U979,IF(U981&lt;U980,IF(M974=2,IF(Q984=3,1,2),IF(M974=1,IF(Q984=3,2,3))),IF(U981&gt;U980,IF(M974=2,IF(Q984=3,2,3),IF(M974=1,IF(Q984=3,3,4)))))))))))),"")</f>
        <v/>
      </c>
      <c r="AC991" s="192"/>
      <c r="AD991" s="192"/>
      <c r="AE991" s="192"/>
      <c r="AF991" s="203"/>
      <c r="AG991" s="203"/>
      <c r="AH991" s="203"/>
      <c r="AI991" s="203"/>
      <c r="AJ991" s="203"/>
      <c r="AK991" s="203"/>
      <c r="AL991" s="203"/>
      <c r="AM991" s="203"/>
      <c r="AN991" s="192"/>
      <c r="AO991" s="192"/>
      <c r="AP991" s="192"/>
      <c r="AQ991" s="192"/>
      <c r="AR991" s="192"/>
      <c r="AS991" s="192"/>
      <c r="AT991" s="192"/>
      <c r="AU991" s="192"/>
      <c r="AV991" s="192"/>
      <c r="AW991" s="192"/>
      <c r="AX991" s="192"/>
    </row>
    <row r="992" spans="2:50" ht="15" customHeight="1" thickTop="1" x14ac:dyDescent="0.3">
      <c r="B992" s="192"/>
      <c r="C992" s="192"/>
      <c r="D992" s="192"/>
      <c r="E992" s="164" t="str">
        <f>IF(Q992="","",IF(Q992=3,1,0))</f>
        <v/>
      </c>
      <c r="F992" s="164" t="str">
        <f>IF(Q992="","",IF(Q992&lt;3,1,0))</f>
        <v/>
      </c>
      <c r="G992" s="192"/>
      <c r="H992" s="192" t="str">
        <f>IF(I975&lt;&gt;"",2,"")</f>
        <v/>
      </c>
      <c r="I992" s="192" t="str">
        <f>IF(ISNUMBER(H992),VLOOKUP(H992,H972:I975,2,TRUE),"")</f>
        <v/>
      </c>
      <c r="J992" s="192"/>
      <c r="K992" s="192" t="str">
        <f>VLOOKUP(I992,I972:L975,3,FALSE)</f>
        <v/>
      </c>
      <c r="L992" s="253"/>
      <c r="M992" s="254"/>
      <c r="N992" s="254"/>
      <c r="O992" s="152"/>
      <c r="P992" s="153"/>
      <c r="Q992" s="255" t="str">
        <f>IF(L992="","",IF(AND(L992-L993&gt;1,L992&gt;10),1,0)+IF(AND(M992-M993&gt;1,M992&gt;10),1,0)+IF(AND(N992-N993&gt;1,N992&gt;10),1,0)+IF(AND(O992-O993&gt;1,O992&gt;10),1,0)+IF(AND(P992-P993&gt;1,P992&gt;10),1,0))</f>
        <v/>
      </c>
      <c r="R992" s="203" t="str">
        <f>IF(AND(I992="",I993=""),"",ABS(VLOOKUP(I992,I972:L975,4,FALSE)-VLOOKUP(I993,I972:L975,4,FALSE)))</f>
        <v/>
      </c>
      <c r="S992" s="256" t="str">
        <f>IF(R993="","",IF(Q992=3,+R993,-R993))</f>
        <v/>
      </c>
      <c r="T992" s="192"/>
      <c r="U992" s="235"/>
      <c r="V992" s="235"/>
      <c r="W992" s="235"/>
      <c r="X992" s="235"/>
      <c r="Y992" s="235"/>
      <c r="Z992" s="235"/>
      <c r="AA992" s="243">
        <v>1</v>
      </c>
      <c r="AB992" s="222" t="str">
        <f>IF(AND(COUNTBLANK(I972:I975)=0,Group_players=4,M972=M974,M974=M975),IF(V979="","",IF(COUNTIF(V979:V982,V979)=3,"Tied",IF(AND(COUNTIF(V979:V982,V979)=1,V981&lt;&gt;U982),IF(M972=2,IF(SMALL(V979:V982,1)=V979,1,IF(SMALL(V979:V982,2)=V979,2,IF(SMALL(V979:V982,3)=V979,3))),IF(M972=1,IF(SMALL(V979:V982,1)=V979,2,IF(SMALL(V979:V982,2)=V979,3,IF(SMALL(V979:V982,3)=V979,4))),"")),IF(COUNTIF(V979:V982,V979)=1,IF(V979&lt;V981,IF(M972=2,1,2),IF(M972=2,3,4)),IF(COUNTIF(V979:V982,V979)=2,IF(V979=V981,IF(V979&lt;V982,IF(M972=2,IF(Q983=3,1,2),IF(M972=1,IF(Q983=3,2,3))),IF(V979&gt;V982,IF(M972=2,IF(Q983=3,2,3),IF(M972=1,IF(Q983=3,3,4))))),IF(V979=V982,IF(V979&lt;V981,IF(M972=2,IF(Q989=3,1,2),IF(M972=1,IF(Q989=3,2,3))),IF(V979&gt;V980,IF(M972=2,IF(Q989=3,2,3),IF(M972=1,IF(Q989=3,3,4)))))))))))),"")</f>
        <v/>
      </c>
      <c r="AC992" s="192"/>
      <c r="AD992" s="192"/>
      <c r="AE992" s="192"/>
      <c r="AF992" s="203"/>
      <c r="AG992" s="203"/>
      <c r="AH992" s="203"/>
      <c r="AI992" s="203"/>
      <c r="AJ992" s="203"/>
      <c r="AK992" s="203"/>
      <c r="AL992" s="203"/>
      <c r="AM992" s="203"/>
      <c r="AN992" s="192"/>
      <c r="AO992" s="192"/>
      <c r="AP992" s="192"/>
      <c r="AQ992" s="192"/>
      <c r="AR992" s="192"/>
      <c r="AS992" s="192"/>
      <c r="AT992" s="192"/>
      <c r="AU992" s="192"/>
      <c r="AV992" s="192"/>
      <c r="AW992" s="192"/>
      <c r="AX992" s="192"/>
    </row>
    <row r="993" spans="2:50" ht="15" customHeight="1" thickBot="1" x14ac:dyDescent="0.35">
      <c r="B993" s="192"/>
      <c r="C993" s="192"/>
      <c r="D993" s="192"/>
      <c r="E993" s="164" t="str">
        <f>IF(Q993="","",IF(Q993=3,1,0))</f>
        <v/>
      </c>
      <c r="F993" s="164" t="str">
        <f>IF(Q993="","",IF(Q993&lt;3,1,0))</f>
        <v/>
      </c>
      <c r="G993" s="192"/>
      <c r="H993" s="192" t="str">
        <f>IF(I975&lt;&gt;"",3,"")</f>
        <v/>
      </c>
      <c r="I993" s="192" t="str">
        <f>IF(ISNUMBER(H993),VLOOKUP(H993,H972:I975,2,TRUE),"")</f>
        <v/>
      </c>
      <c r="J993" s="192"/>
      <c r="K993" s="192" t="str">
        <f>VLOOKUP(I993,I972:L975,3,FALSE)</f>
        <v/>
      </c>
      <c r="L993" s="155"/>
      <c r="M993" s="259"/>
      <c r="N993" s="259"/>
      <c r="O993" s="156"/>
      <c r="P993" s="157"/>
      <c r="Q993" s="260" t="str">
        <f>IF(L993="","",IF(AND(L993-L992&gt;1,L993&gt;10),1,0)+IF(AND(M993-M992&gt;1,M993&gt;10),1,0)+IF(AND(N993-N992&gt;1,N993&gt;10),1,0)+IF(AND(O993-O992&gt;1,O993&gt;10),1,0)+IF(AND(P993-P992&gt;1,P993&gt;10),1,0))</f>
        <v/>
      </c>
      <c r="R993" s="203" t="str">
        <f>IF(AND(Q992&lt;&gt;3,Q993&lt;&gt;3),"",IF(Q992=3,IF(VLOOKUP(I992,I972:L975,4,FALSE)&gt;VLOOKUP(I993,I972:L975,4,FALSE),VLOOKUP(R992,Point_dif,2,FALSE),VLOOKUP(R992,Point_dif,3,FALSE)),IF(Q993=3,IF(VLOOKUP(I993,I972:L975,4,FALSE)&gt;VLOOKUP(I992,I972:L975,4,FALSE),VLOOKUP(R992,Point_dif,2,FALSE),VLOOKUP(R992,Point_dif,3,FALSE)))))</f>
        <v/>
      </c>
      <c r="S993" s="256" t="str">
        <f>IF(R993="","",IF(Q993=3,+R993,-R993))</f>
        <v/>
      </c>
      <c r="T993" s="192"/>
      <c r="U993" s="159"/>
      <c r="V993" s="266"/>
      <c r="W993" s="266"/>
      <c r="X993" s="266"/>
      <c r="Y993" s="192"/>
      <c r="Z993" s="203"/>
      <c r="AA993" s="246">
        <v>3</v>
      </c>
      <c r="AB993" s="222" t="str">
        <f>IF(AND(COUNTBLANK(I972:I975)=0,Group_players=4,M972=M974,M974=M975),IF(V981="","",IF(COUNTIF(V979:V982,V981)=3,"Tied",IF(AND(COUNTIF(V979:V982,V981)=1,V979&lt;&gt;V982),IF(M974=2,IF(SMALL(V979:V982,1)=V981,1,IF(SMALL(V979:V982,2)=V981,2,IF(SMALL(V979:V982,3)=V981,3))),IF(M974=1,IF(SMALL(V979:V982,1)=V981,2,IF(SMALL(V979:V982,2)=V981,3,IF(SMALL(V979:V982,3)=V981,4))),"")),IF(COUNTIF(V979:V982,V981)=1,IF(V981&lt;V979,IF(M974=2,1,2),IF(M974=2,3,4)),IF(COUNTIF(V979:V982,V981)=2,IF(V981=V979,IF(V981&lt;V982,IF(M974=2,IF(Q984=3,1,2),IF(M974=1,IF(Q984=3,2,3))),IF(V981&gt;V982,IF(M974=2,IF(Q984=3,2,3),IF(M974=1,IF(Q984=3,3,4))))),IF(V981=V982,IF(V981&lt;V979,IF(M974=2,IF(Q998=3,1,2),IF(M974=1,IF(Q998=3,2,3))),IF(V981&gt;V979,IF(M974=2,IF(Q998=3,2,3),IF(M974=1,IF(Q998=3,3,4)))))))))))),"")</f>
        <v/>
      </c>
      <c r="AC993" s="192"/>
      <c r="AD993" s="192"/>
      <c r="AE993" s="192"/>
      <c r="AF993" s="203"/>
      <c r="AG993" s="203"/>
      <c r="AH993" s="203"/>
      <c r="AI993" s="203"/>
      <c r="AJ993" s="203"/>
      <c r="AK993" s="203"/>
      <c r="AL993" s="203"/>
      <c r="AM993" s="203"/>
      <c r="AN993" s="192"/>
      <c r="AO993" s="192"/>
      <c r="AP993" s="192"/>
      <c r="AQ993" s="192"/>
      <c r="AR993" s="192"/>
      <c r="AS993" s="192"/>
      <c r="AT993" s="192"/>
      <c r="AU993" s="192"/>
      <c r="AV993" s="192"/>
      <c r="AW993" s="192"/>
      <c r="AX993" s="192"/>
    </row>
    <row r="994" spans="2:50" ht="15" customHeight="1" thickTop="1" thickBot="1" x14ac:dyDescent="0.35">
      <c r="B994" s="192"/>
      <c r="C994" s="192"/>
      <c r="D994" s="192"/>
      <c r="E994" s="164"/>
      <c r="F994" s="164"/>
      <c r="G994" s="192"/>
      <c r="H994" s="192"/>
      <c r="I994" s="249" t="s">
        <v>119</v>
      </c>
      <c r="J994" s="249"/>
      <c r="K994" s="249"/>
      <c r="L994" s="250" t="s">
        <v>115</v>
      </c>
      <c r="M994" s="250" t="s">
        <v>116</v>
      </c>
      <c r="N994" s="250" t="s">
        <v>117</v>
      </c>
      <c r="O994" s="250" t="s">
        <v>118</v>
      </c>
      <c r="P994" s="250" t="s">
        <v>119</v>
      </c>
      <c r="Q994" s="250" t="s">
        <v>120</v>
      </c>
      <c r="R994" s="250"/>
      <c r="S994" s="251"/>
      <c r="T994" s="247"/>
      <c r="U994" s="235"/>
      <c r="V994" s="235"/>
      <c r="W994" s="235"/>
      <c r="X994" s="235"/>
      <c r="Y994" s="235"/>
      <c r="Z994" s="235"/>
      <c r="AA994" s="240">
        <v>4</v>
      </c>
      <c r="AB994" s="241" t="str">
        <f>IF(AND(COUNTBLANK(I972:I975)=0,Group_players=4,M972=M974,M974=M975),IF(V982="","",IF(COUNTIF(V979:V982,V982)=3,"Tied",IF(AND(COUNTIF(V979:V982,V982)=1,V981&lt;&gt;V979),IF(M975=2,IF(SMALL(V979:V982,1)=V982,1,IF(SMALL(V979:V982,2)=V982,2,IF(SMALL(V979:V982,3)=V982,3))),IF(M975=1,IF(SMALL(V979:V982,1)=V982,2,IF(SMALL(V979:V982,2)=V982,3,IF(SMALL(V979:V982,3)=V982,4))),"")),IF(COUNTIF(V979:V982,V982)=1,IF(V982&lt;V979,IF(M975=2,1,2),IF(M975=2,3,4)),IF(COUNTIF(V979:V982,V982)=2,IF(V982=V979,IF(V982&lt;V981,IF(M975=2,IF(Q990=3,1,2),IF(M975=1,IF(Q990=3,2,3))),IF(V982&gt;V981,IF(M975=2,IF(Q990=3,2,3),IF(M975=1,IF(Q990=3,3,4))))),IF(V982=V981,IF(V982&lt;V979,IF(M975=2,IF(Q999=3,1,2),IF(M975=1,IF(Q999=3,2,3))),IF(V982&gt;V979,IF(M975=2,IF(Q999=3,2,3),IF(M975=1,IF(Q999=3,3,4)))))))))))),"")</f>
        <v/>
      </c>
      <c r="AC994" s="192"/>
      <c r="AD994" s="192"/>
      <c r="AE994" s="192"/>
      <c r="AF994" s="203"/>
      <c r="AG994" s="203"/>
      <c r="AH994" s="203"/>
      <c r="AI994" s="203"/>
      <c r="AJ994" s="203"/>
      <c r="AK994" s="203"/>
      <c r="AL994" s="203"/>
      <c r="AM994" s="203"/>
      <c r="AN994" s="192"/>
      <c r="AO994" s="192"/>
      <c r="AP994" s="192"/>
      <c r="AQ994" s="192"/>
      <c r="AR994" s="192"/>
      <c r="AS994" s="192"/>
      <c r="AT994" s="192"/>
      <c r="AU994" s="192"/>
      <c r="AV994" s="192"/>
      <c r="AW994" s="192"/>
      <c r="AX994" s="192"/>
    </row>
    <row r="995" spans="2:50" ht="15" customHeight="1" thickTop="1" x14ac:dyDescent="0.3">
      <c r="B995" s="192"/>
      <c r="C995" s="192"/>
      <c r="D995" s="192"/>
      <c r="E995" s="164" t="str">
        <f>IF(Q995="","",IF(Q995=3,1,0))</f>
        <v/>
      </c>
      <c r="F995" s="164" t="str">
        <f>IF(Q995="","",IF(Q995&lt;3,1,0))</f>
        <v/>
      </c>
      <c r="G995" s="192"/>
      <c r="H995" s="192" t="str">
        <f>IF(I975&lt;&gt;"",1,"")</f>
        <v/>
      </c>
      <c r="I995" s="192" t="str">
        <f>IF(ISNUMBER(H995),VLOOKUP(H995,H972:I975,2,TRUE),"")</f>
        <v/>
      </c>
      <c r="J995" s="192"/>
      <c r="K995" s="192" t="str">
        <f>VLOOKUP(I995,I972:L975,3,FALSE)</f>
        <v/>
      </c>
      <c r="L995" s="253"/>
      <c r="M995" s="254"/>
      <c r="N995" s="254"/>
      <c r="O995" s="152"/>
      <c r="P995" s="153"/>
      <c r="Q995" s="255" t="str">
        <f>IF(L995="","",IF(AND(L995-L996&gt;1,L995&gt;10),1,0)+IF(AND(M995-M996&gt;1,M995&gt;10),1,0)+IF(AND(N995-N996&gt;1,N995&gt;10),1,0)+IF(AND(O995-O996&gt;1,O995&gt;10),1,0)+IF(AND(P995-P996&gt;1,P995&gt;10),1,0))</f>
        <v/>
      </c>
      <c r="R995" s="203" t="str">
        <f>IF(AND(I995="",I996=""),"",ABS(VLOOKUP(I995,I972:L975,4,FALSE)-VLOOKUP(I996,I972:L975,4,FALSE)))</f>
        <v/>
      </c>
      <c r="S995" s="256" t="str">
        <f>IF(R996="","",IF(Q995=3,+R996,-R996))</f>
        <v/>
      </c>
      <c r="T995" s="247"/>
      <c r="U995" s="235"/>
      <c r="V995" s="235"/>
      <c r="W995" s="235"/>
      <c r="X995" s="235"/>
      <c r="Y995" s="235"/>
      <c r="Z995" s="235"/>
      <c r="AA995" s="243">
        <v>1</v>
      </c>
      <c r="AB995" s="222" t="str">
        <f>IF(AND(COUNTBLANK(I972:I975)=0,Group_players=4,M972=M973,M973=M975),IF(W979="","",IF(COUNTIF(W979:W982,W979)=3,"Tied",IF(AND(COUNTIF(W979:W982,W979)=1,W980&lt;&gt;W981),IF(M972=2,IF(SMALL(W979:W982,1)=W979,1,IF(SMALL(W979:W982,2)=W979,2,IF(SMALL(W979:W982,3)=W979,3))),IF(M972=1,IF(SMALL(W979:W982,1)=W979,2,IF(SMALL(W979:W982,2)=W979,3,IF(SMALL(W979:W982,3)=W979,4))),"")),IF(COUNTIF(W979:W982,W979)=1,IF(W979&lt;W980,IF(M972=2,1,2),IF(M972=2,3,4)),IF(COUNTIF(W979:W982,W979)=2,IF(W979=W980,IF(W979&lt;W982,IF(M972=2,IF(Q995=3,1,2),IF(M972=1,IF(Q995=3,2,3))),IF(W979&gt;W982,IF(M972=2,IF(Q995=3,2,3),IF(M972=1,IF(Q995=3,3,4))))),IF(W979=W982,IF(W979&lt;W980,IF(M972=2,IF(Q989=3,1,2),IF(M972=1,IF(Q989=3,2,3))),IF(W979&gt;W980,IF(M972=2,IF(Q989=3,2,3),IF(M972=1,IF(Q989=3,3,4)))))))))))),"")</f>
        <v/>
      </c>
      <c r="AC995" s="192"/>
      <c r="AD995" s="192"/>
      <c r="AE995" s="192"/>
      <c r="AF995" s="203"/>
      <c r="AG995" s="203"/>
      <c r="AH995" s="203"/>
      <c r="AI995" s="203"/>
      <c r="AJ995" s="203"/>
      <c r="AK995" s="203"/>
      <c r="AL995" s="203"/>
      <c r="AM995" s="203"/>
      <c r="AN995" s="192"/>
      <c r="AO995" s="192"/>
      <c r="AP995" s="192"/>
      <c r="AQ995" s="192"/>
      <c r="AR995" s="192"/>
      <c r="AS995" s="192"/>
      <c r="AT995" s="192"/>
      <c r="AU995" s="192"/>
      <c r="AV995" s="192"/>
      <c r="AW995" s="192"/>
      <c r="AX995" s="192"/>
    </row>
    <row r="996" spans="2:50" ht="15" customHeight="1" thickBot="1" x14ac:dyDescent="0.35">
      <c r="B996" s="192"/>
      <c r="C996" s="192"/>
      <c r="D996" s="192"/>
      <c r="E996" s="164" t="str">
        <f>IF(Q996="","",IF(Q996=3,1,0))</f>
        <v/>
      </c>
      <c r="F996" s="164" t="str">
        <f>IF(Q996="","",IF(Q996&lt;3,1,0))</f>
        <v/>
      </c>
      <c r="G996" s="192"/>
      <c r="H996" s="192" t="str">
        <f>IF(I975&lt;&gt;"",2,"")</f>
        <v/>
      </c>
      <c r="I996" s="192" t="str">
        <f>IF(ISNUMBER(H996),VLOOKUP(H996,H972:I975,2,TRUE),"")</f>
        <v/>
      </c>
      <c r="J996" s="192"/>
      <c r="K996" s="192" t="str">
        <f>VLOOKUP(I996,I972:L975,3,FALSE)</f>
        <v/>
      </c>
      <c r="L996" s="155"/>
      <c r="M996" s="259"/>
      <c r="N996" s="259"/>
      <c r="O996" s="156"/>
      <c r="P996" s="157"/>
      <c r="Q996" s="260" t="str">
        <f>IF(L996="","",IF(AND(L996-L995&gt;1,L996&gt;10),1,0)+IF(AND(M996-M995&gt;1,M996&gt;10),1,0)+IF(AND(N996-N995&gt;1,N996&gt;10),1,0)+IF(AND(O996-O995&gt;1,O996&gt;10),1,0)+IF(AND(P996-P995&gt;1,P996&gt;10),1,0))</f>
        <v/>
      </c>
      <c r="R996" s="203" t="str">
        <f>IF(AND(Q995&lt;&gt;3,Q996&lt;&gt;3),"",IF(Q995=3,IF(VLOOKUP(I995,I972:L975,4,FALSE)&gt;VLOOKUP(I996,I972:L975,4,FALSE),VLOOKUP(R995,Point_dif,2,FALSE),VLOOKUP(R995,Point_dif,3,FALSE)),IF(Q996=3,IF(VLOOKUP(I996,I972:L975,4,FALSE)&gt;VLOOKUP(I996,I972:L975,4,FALSE),VLOOKUP(R995,Point_dif,2,FALSE),VLOOKUP(R995,Point_dif,3,FALSE)))))</f>
        <v/>
      </c>
      <c r="S996" s="256" t="str">
        <f>IF(R996="","",IF(Q996=3,+R996,-R996))</f>
        <v/>
      </c>
      <c r="T996" s="247"/>
      <c r="U996" s="235"/>
      <c r="V996" s="235"/>
      <c r="W996" s="235"/>
      <c r="X996" s="235"/>
      <c r="Y996" s="235"/>
      <c r="Z996" s="235"/>
      <c r="AA996" s="246">
        <v>2</v>
      </c>
      <c r="AB996" s="222" t="str">
        <f>IF(AND(COUNTBLANK(I972:I975)=0,Group_players=4,M972=M973,M973=M975),IF(W980="","",IF(COUNTIF(W979:W982,W980)=3,"Tied",IF(AND(COUNTIF(W979:W982,W980)=1,W979&lt;&gt;W981),IF(M973=2,IF(SMALL(W979:W982,1)=W980,1,IF(SMALL(W979:W982,2)=W980,2,IF(SMALL(W979:W982,3)=W980,3))),IF(M973=1,IF(SMALL(W979:W982,1)=W980,2,IF(SMALL(W979:W982,2)=W980,3,IF(SMALL(W979:W982,3)=W980,4))),"")),IF(COUNTIF(W979:W982,W980)=1,IF(W980&lt;W979,IF(M973=2,1,2),IF(M973=2,3,4)),IF(COUNTIF(W979:W982,W980)=2,IF(W980=W979,IF(W980&lt;W982,IF(M973=2,IF(Q996=3,1,2),IF(M973=1,IF(Q996=3,2,3))),IF(W980&gt;W982,IF(M973=2,IF(Q996=3,2,3),IF(M973=1,IF(Q996=3,3,4))))),IF(W980=W982,IF(W980&lt;W979,IF(M973=2,IF(Q986=3,1,2),IF(M973=1,IF(Q986=3,2,3))),IF(W980&gt;W979,IF(M973=2,IF(Q986=3,2,3),IF(M973=1,IF(Q986=3,3,4)))))))))))),"")</f>
        <v/>
      </c>
      <c r="AC996" s="192"/>
      <c r="AD996" s="192"/>
      <c r="AE996" s="192"/>
      <c r="AF996" s="203"/>
      <c r="AG996" s="203"/>
      <c r="AH996" s="203"/>
      <c r="AI996" s="203"/>
      <c r="AJ996" s="203"/>
      <c r="AK996" s="203"/>
      <c r="AL996" s="203"/>
      <c r="AM996" s="203"/>
      <c r="AN996" s="192"/>
      <c r="AO996" s="192"/>
      <c r="AP996" s="192"/>
      <c r="AQ996" s="192"/>
      <c r="AR996" s="192"/>
      <c r="AS996" s="192"/>
      <c r="AT996" s="192"/>
      <c r="AU996" s="192"/>
      <c r="AV996" s="192"/>
      <c r="AW996" s="192"/>
      <c r="AX996" s="192"/>
    </row>
    <row r="997" spans="2:50" ht="15" customHeight="1" thickTop="1" thickBot="1" x14ac:dyDescent="0.35">
      <c r="B997" s="192"/>
      <c r="C997" s="192"/>
      <c r="D997" s="192"/>
      <c r="E997" s="164"/>
      <c r="F997" s="164"/>
      <c r="G997" s="192"/>
      <c r="H997" s="192"/>
      <c r="I997" s="249" t="s">
        <v>121</v>
      </c>
      <c r="J997" s="249"/>
      <c r="K997" s="249"/>
      <c r="L997" s="250" t="s">
        <v>115</v>
      </c>
      <c r="M997" s="250" t="s">
        <v>116</v>
      </c>
      <c r="N997" s="250" t="s">
        <v>117</v>
      </c>
      <c r="O997" s="250" t="s">
        <v>118</v>
      </c>
      <c r="P997" s="250" t="s">
        <v>119</v>
      </c>
      <c r="Q997" s="250" t="s">
        <v>120</v>
      </c>
      <c r="R997" s="250"/>
      <c r="S997" s="251"/>
      <c r="T997" s="247"/>
      <c r="U997" s="235"/>
      <c r="V997" s="235"/>
      <c r="W997" s="235"/>
      <c r="X997" s="235"/>
      <c r="Y997" s="235"/>
      <c r="Z997" s="235"/>
      <c r="AA997" s="240">
        <v>4</v>
      </c>
      <c r="AB997" s="241" t="str">
        <f>IF(AND(COUNTBLANK(I972:I975)=0,Group_players=4,M972=M973,M973=M975),IF(W982="","",IF(COUNTIF(W979:W982,W982)=3,"Tied",IF(AND(COUNTIF(W979:W982,W982)=1,W979&lt;&gt;W980),IF(M975=2,IF(SMALL(W979:W982,1)=W982,1,IF(SMALL(W979:W982,2)=W982,2,IF(SMALL(W979:W982,3)=W982,3))),IF(M975=1,IF(SMALL(W979:W982,1)=W982,2,IF(SMALL(W979:W982,2)=W982,3,IF(SMALL(W979:W982,3)=W982,4))),"")),IF(COUNTIF(W979:W982,W982)=1,IF(W982&lt;W979,IF(M975=2,1,2),IF(M975=2,3,4)),IF(COUNTIF(W979:W982,W982)=2,IF(W982=W979,IF(W982&lt;W980,IF(M975=2,IF(Q990=3,1,2),IF(M975=1,IF(Q990=3,2,3))),IF(W982&gt;W981,IF(M975=2,IF(Q990=3,2,3),IF(M975=1,IF(Q990=3,3,4))))),IF(W982=W980,IF(W982&lt;W979,IF(M975=2,IF(Q987=3,1,2),IF(M975=1,IF(Q987=3,2,3))),IF(W982&gt;W979,IF(M975=2,IF(Q987=3,2,3),IF(M975=1,IF(Q987=3,3,4)))))))))))),"")</f>
        <v/>
      </c>
      <c r="AC997" s="192"/>
      <c r="AD997" s="192"/>
      <c r="AE997" s="192"/>
      <c r="AF997" s="203"/>
      <c r="AG997" s="203"/>
      <c r="AH997" s="203"/>
      <c r="AI997" s="203"/>
      <c r="AJ997" s="203"/>
      <c r="AK997" s="203"/>
      <c r="AL997" s="203"/>
      <c r="AM997" s="203"/>
      <c r="AN997" s="192"/>
      <c r="AO997" s="192"/>
      <c r="AP997" s="192"/>
      <c r="AQ997" s="192"/>
      <c r="AR997" s="192"/>
      <c r="AS997" s="192"/>
      <c r="AT997" s="192"/>
      <c r="AU997" s="192"/>
      <c r="AV997" s="192"/>
      <c r="AW997" s="192"/>
      <c r="AX997" s="192"/>
    </row>
    <row r="998" spans="2:50" ht="15" customHeight="1" thickTop="1" x14ac:dyDescent="0.3">
      <c r="B998" s="192"/>
      <c r="C998" s="192"/>
      <c r="D998" s="192"/>
      <c r="E998" s="164" t="str">
        <f>IF(Q998="","",IF(Q998=3,1,0))</f>
        <v/>
      </c>
      <c r="F998" s="164" t="str">
        <f>IF(Q998="","",IF(Q998&lt;3,1,0))</f>
        <v/>
      </c>
      <c r="G998" s="192"/>
      <c r="H998" s="192" t="str">
        <f>IF(I975&lt;&gt;"",3,"")</f>
        <v/>
      </c>
      <c r="I998" s="192" t="str">
        <f>IF(ISNUMBER(H998),VLOOKUP(H998,H972:I975,2,TRUE),"")</f>
        <v/>
      </c>
      <c r="J998" s="192"/>
      <c r="K998" s="192" t="str">
        <f>VLOOKUP(I998,I972:L975,3,FALSE)</f>
        <v/>
      </c>
      <c r="L998" s="253"/>
      <c r="M998" s="254"/>
      <c r="N998" s="254"/>
      <c r="O998" s="152"/>
      <c r="P998" s="153"/>
      <c r="Q998" s="255" t="str">
        <f>IF(L998="","",IF(AND(L998-L999&gt;1,L998&gt;10),1,0)+IF(AND(M998-M999&gt;1,M998&gt;10),1,0)+IF(AND(N998-N999&gt;1,N998&gt;10),1,0)+IF(AND(O998-O999&gt;1,O998&gt;10),1,0)+IF(AND(P998-P999&gt;1,P998&gt;10),1,0))</f>
        <v/>
      </c>
      <c r="R998" s="203" t="str">
        <f>IF(AND(I998="",I999=""),"",ABS(VLOOKUP(I998,I972:L975,4,FALSE)-VLOOKUP(I999,I972:L975,4,FALSE)))</f>
        <v/>
      </c>
      <c r="S998" s="256" t="str">
        <f>IF(R999="","",IF(Q998=3,+R999,-R999))</f>
        <v/>
      </c>
      <c r="T998" s="247"/>
      <c r="U998" s="264"/>
      <c r="V998" s="242"/>
      <c r="W998" s="192"/>
      <c r="X998" s="264"/>
      <c r="Y998" s="192"/>
      <c r="Z998" s="192"/>
      <c r="AA998" s="243">
        <v>2</v>
      </c>
      <c r="AB998" s="222" t="str">
        <f>IF(AND(COUNTBLANK(I972:I975)=0,Group_players=4,M973=M974,M974=M975),IF(X980="","",IF(COUNTIF(X979:X982,X980)=3,"Tied",IF(AND(COUNTIF(X979:X982,X980)=1,X981&lt;&gt;X982),IF(M973=2,IF(SMALL(X979:X982,1)=X980,1,IF(SMALL(X979:X982,2)=X980,2,IF(SMALL(X979:X982,3)=X980,3))),IF(M973=1,IF(SMALL(X979:X982,1)=X980,2,IF(SMALL(X979:X982,2)=X980,3,IF(SMALL(X979:X982,3)=X980,4))),"")),IF(COUNTIF(X979:X982,X980)=1,IF(X980&lt;X982,IF(M973=2,1,2),IF(M973=1,4)),IF(COUNTIF(X979:X982,X980)=2,IF(X980=X981,IF(X980&lt;X982,IF(M973=2,IF(Q992=3,1,2),IF(M973=1,IF(Q992=3,2,3))),IF(X980&gt;X982,IF(M973=2,IF(Q992=3,2,3),IF(M973=1,IF(Q992=3,3,4))))),IF(X980=X982,IF(X980&lt;X981,IF(M973=2,IF(Q986=3,1,2),IF(M973=1,IF(Q986=3,2,3))),IF(X980&gt;X981,IF(M973=2,IF(Q986=3,2,3),IF(M973=1,IF(Q986=3,3,4)))))))))))),"")</f>
        <v/>
      </c>
      <c r="AC998" s="192"/>
      <c r="AD998" s="192"/>
      <c r="AE998" s="192"/>
      <c r="AF998" s="203"/>
      <c r="AG998" s="203"/>
      <c r="AH998" s="203"/>
      <c r="AI998" s="203"/>
      <c r="AJ998" s="203"/>
      <c r="AK998" s="203"/>
      <c r="AL998" s="203"/>
      <c r="AM998" s="203"/>
      <c r="AN998" s="192"/>
      <c r="AO998" s="192"/>
      <c r="AP998" s="192"/>
      <c r="AQ998" s="192"/>
      <c r="AR998" s="192"/>
      <c r="AS998" s="192"/>
      <c r="AT998" s="192"/>
      <c r="AU998" s="192"/>
      <c r="AV998" s="192"/>
      <c r="AW998" s="192"/>
      <c r="AX998" s="192"/>
    </row>
    <row r="999" spans="2:50" ht="15" customHeight="1" thickBot="1" x14ac:dyDescent="0.35">
      <c r="B999" s="192"/>
      <c r="C999" s="192"/>
      <c r="D999" s="192"/>
      <c r="E999" s="164" t="str">
        <f>IF(Q999="","",IF(Q999=3,1,0))</f>
        <v/>
      </c>
      <c r="F999" s="164" t="str">
        <f>IF(Q999="","",IF(Q999&lt;3,1,0))</f>
        <v/>
      </c>
      <c r="G999" s="192"/>
      <c r="H999" s="192" t="str">
        <f>IF(I975&lt;&gt;"",4,"")</f>
        <v/>
      </c>
      <c r="I999" s="192" t="str">
        <f>IF(ISNUMBER(H999),VLOOKUP(H999,H972:I975,2,TRUE),"")</f>
        <v/>
      </c>
      <c r="J999" s="192"/>
      <c r="K999" s="192" t="str">
        <f>VLOOKUP(I999,I972:L975,3,FALSE)</f>
        <v/>
      </c>
      <c r="L999" s="155"/>
      <c r="M999" s="259"/>
      <c r="N999" s="259"/>
      <c r="O999" s="156"/>
      <c r="P999" s="157"/>
      <c r="Q999" s="260" t="str">
        <f>IF(L999="","",IF(AND(L999-L998&gt;1,L999&gt;10),1,0)+IF(AND(M999-M998&gt;1,M999&gt;10),1,0)+IF(AND(N999-N998&gt;1,N999&gt;10),1,0)+IF(AND(O999-O998&gt;1,O999&gt;10),1,0)+IF(AND(P999-P998&gt;1,P999&gt;10),1,0))</f>
        <v/>
      </c>
      <c r="R999" s="203" t="str">
        <f>IF(AND(Q998&lt;&gt;3,Q999&lt;&gt;3),"",IF(Q998=3,IF(VLOOKUP(I998,I972:L975,4,FALSE)&gt;VLOOKUP(I999,I972:L975,4,FALSE),VLOOKUP(R998,Point_dif,2,FALSE),VLOOKUP(R998,Point_dif,3,FALSE)),IF(Q999=3,IF(VLOOKUP(I999,I972:L975,4,FALSE)&gt;VLOOKUP(I998,I972:L975,4,FALSE),VLOOKUP(R998,Point_dif,2,FALSE),VLOOKUP(R998,Point_dif,3,FALSE)))))</f>
        <v/>
      </c>
      <c r="S999" s="260" t="str">
        <f>IF(R999="","",IF(Q999=3,+R999,-R999))</f>
        <v/>
      </c>
      <c r="T999" s="247"/>
      <c r="U999" s="235"/>
      <c r="V999" s="235"/>
      <c r="W999" s="235"/>
      <c r="X999" s="235"/>
      <c r="Y999" s="235"/>
      <c r="Z999" s="235"/>
      <c r="AA999" s="246">
        <v>3</v>
      </c>
      <c r="AB999" s="222" t="str">
        <f>IF(AND(COUNTBLANK(I972:I975)=0,Group_players=4,Group_players=4,M973=M974,M974=M975),IF(X981="","",IF(COUNTIF(X979:X982,X981)=3,"Tied",IF(AND(COUNTIF(X979:X982,X981)=1,X980&lt;&gt;X982),IF(M974=2,IF(SMALL(X979:X982,1)=X981,1,IF(SMALL(X979:X982,2)=X981,2,IF(SMALL(X979:X982,3)=X981,3))),IF(M974=1,IF(SMALL(X979:X982,1)=X981,2,IF(SMALL(X979:X982,2)=X981,3,IF(SMALL(X979:X982,3)=X981,4))),"")),IF(COUNTIF(X979:X982,X981)=1,IF(X981&lt;X980,IF(M974=2,1,2),IF(M974=2,3,4)),IF(COUNTIF(X979:X982,X981)=2,IF(X981=X980,IF(X981&lt;X982,IF(M974=2,IF(Q993=3,1,2),IF(M974=1,IF(Q993=3,2,3))),IF(X981&gt;X982,IF(M974=2,IF(Q993=3,2,3),IF(M974=1,IF(Q993=3,3,4))))),IF(X981=X982,IF(X981&lt;X980,IF(M974=2,IF(Q998=3,1,2),IF(M974=1,IF(Q998=3,2,3))),IF(X981&gt;X980,IF(M974=2,IF(Q998=3,2,3),IF(M974=1,IF(Q998=3,3,4)))))))))))),"")</f>
        <v/>
      </c>
      <c r="AC999" s="192"/>
      <c r="AD999" s="192"/>
      <c r="AE999" s="192"/>
      <c r="AF999" s="203"/>
      <c r="AG999" s="203"/>
      <c r="AH999" s="203"/>
      <c r="AI999" s="203"/>
      <c r="AJ999" s="203"/>
      <c r="AK999" s="203"/>
      <c r="AL999" s="203"/>
      <c r="AM999" s="203"/>
      <c r="AN999" s="192"/>
      <c r="AO999" s="192"/>
      <c r="AP999" s="192"/>
      <c r="AQ999" s="192"/>
      <c r="AR999" s="192"/>
      <c r="AS999" s="192"/>
      <c r="AT999" s="192"/>
      <c r="AU999" s="192"/>
      <c r="AV999" s="192"/>
      <c r="AW999" s="192"/>
      <c r="AX999" s="192"/>
    </row>
    <row r="1000" spans="2:50" ht="15" customHeight="1" thickTop="1" thickBot="1" x14ac:dyDescent="0.35">
      <c r="B1000" s="192"/>
      <c r="C1000" s="192"/>
      <c r="D1000" s="192"/>
      <c r="E1000" s="192"/>
      <c r="F1000" s="192"/>
      <c r="G1000" s="192"/>
      <c r="H1000" s="192"/>
      <c r="I1000" s="192"/>
      <c r="J1000" s="192"/>
      <c r="K1000" s="192"/>
      <c r="L1000" s="192"/>
      <c r="M1000" s="192"/>
      <c r="N1000" s="192"/>
      <c r="O1000" s="268"/>
      <c r="P1000" s="192"/>
      <c r="Q1000" s="192"/>
      <c r="R1000" s="247"/>
      <c r="S1000" s="247"/>
      <c r="T1000" s="247"/>
      <c r="U1000" s="235"/>
      <c r="V1000" s="235"/>
      <c r="W1000" s="235"/>
      <c r="X1000" s="235"/>
      <c r="Y1000" s="235"/>
      <c r="Z1000" s="235"/>
      <c r="AA1000" s="261">
        <v>4</v>
      </c>
      <c r="AB1000" s="233" t="str">
        <f>IF(AND(COUNTBLANK(I972:I975)=0,Group_players=4,M973=M974,M974=M975),IF(X982="","",IF(COUNTIF(X979:X982,X982)=3,"Tied",IF(AND(COUNTIF(X979:X982,X982)=1,X981&lt;&gt;X980),IF(M975=2,IF(SMALL(X979:X982,1)=X982,1,IF(SMALL(X979:X982,2)=X982,2,IF(SMALL(X979:X982,3)=X982,3))),IF(M975=1,IF(SMALL(X979:X982,1)=X982,2,IF(SMALL(X979:X982,2)=X982,3,IF(SMALL(X979:X982,3)=X982,4))),"")),IF(COUNTIF(X979:X982,X982)=1,IF(X982&lt;X980,IF(M975=2,1,2),IF(M975=2,3,4)),IF(COUNTIF(X979:X982,X982)=2,IF(X982=X980,IF(X982&lt;X981,IF(M975=2,IF(Q987=3,1,2),IF(M975=1,IF(Q987=3,2,3))),IF(X982&gt;X981,IF(M975=2,IF(Q987=3,2,3),IF(M975=1,IF(Q987=3,3,4))))),IF(X982=X981,IF(X982&lt;X980,IF(M975=2,IF(Q999=3,1,2),IF(M975=1,IF(Q999=3,2,3))),IF(X982&gt;X980,IF(M975=2,IF(Q999=3,2,3),IF(M975=1,IF(Q999=3,3,4)))))))))))),"")</f>
        <v/>
      </c>
      <c r="AC1000" s="192"/>
      <c r="AD1000" s="192"/>
      <c r="AE1000" s="192"/>
      <c r="AF1000" s="203"/>
      <c r="AG1000" s="203"/>
      <c r="AH1000" s="203"/>
      <c r="AI1000" s="203"/>
      <c r="AJ1000" s="203"/>
      <c r="AK1000" s="203"/>
      <c r="AL1000" s="203"/>
      <c r="AM1000" s="203"/>
      <c r="AN1000" s="192"/>
      <c r="AO1000" s="192"/>
      <c r="AP1000" s="192"/>
      <c r="AQ1000" s="192"/>
      <c r="AR1000" s="192"/>
      <c r="AS1000" s="192"/>
      <c r="AT1000" s="192"/>
      <c r="AU1000" s="192"/>
      <c r="AV1000" s="192"/>
      <c r="AW1000" s="192"/>
      <c r="AX1000" s="192"/>
    </row>
    <row r="1001" spans="2:50" ht="15" customHeight="1" thickTop="1" x14ac:dyDescent="0.3">
      <c r="B1001" s="192"/>
      <c r="C1001" s="192"/>
      <c r="D1001" s="192"/>
      <c r="E1001" s="192"/>
      <c r="F1001" s="192"/>
      <c r="G1001" s="192"/>
      <c r="H1001" s="192"/>
      <c r="I1001" s="192"/>
      <c r="J1001" s="192"/>
      <c r="K1001" s="192"/>
      <c r="L1001" s="192"/>
      <c r="M1001" s="192"/>
      <c r="N1001" s="192"/>
      <c r="O1001" s="192"/>
      <c r="P1001" s="192"/>
      <c r="Q1001" s="192"/>
      <c r="R1001" s="192"/>
      <c r="S1001" s="192"/>
      <c r="T1001" s="203"/>
      <c r="U1001" s="192"/>
      <c r="V1001" s="192"/>
      <c r="W1001" s="192"/>
      <c r="X1001" s="192"/>
      <c r="Y1001" s="192"/>
      <c r="Z1001" s="192"/>
      <c r="AA1001" s="192"/>
      <c r="AB1001" s="192"/>
      <c r="AC1001" s="192"/>
      <c r="AD1001" s="192"/>
      <c r="AE1001" s="192"/>
      <c r="AF1001" s="203"/>
      <c r="AG1001" s="203"/>
      <c r="AH1001" s="203"/>
      <c r="AI1001" s="203"/>
      <c r="AJ1001" s="203"/>
      <c r="AK1001" s="203"/>
      <c r="AL1001" s="203"/>
      <c r="AM1001" s="203"/>
      <c r="AN1001" s="192"/>
      <c r="AO1001" s="192"/>
      <c r="AP1001" s="192"/>
      <c r="AQ1001" s="192"/>
      <c r="AR1001" s="192"/>
      <c r="AS1001" s="192"/>
      <c r="AT1001" s="192"/>
      <c r="AU1001" s="192"/>
      <c r="AV1001" s="192"/>
      <c r="AW1001" s="192"/>
      <c r="AX1001" s="192"/>
    </row>
    <row r="1002" spans="2:50" ht="15" customHeight="1" x14ac:dyDescent="0.3">
      <c r="B1002" s="192"/>
      <c r="C1002" s="192"/>
      <c r="D1002" s="192"/>
      <c r="E1002" s="192"/>
      <c r="F1002" s="192"/>
      <c r="G1002" s="192"/>
      <c r="H1002" s="192"/>
      <c r="I1002" s="192"/>
      <c r="J1002" s="192"/>
      <c r="K1002" s="192"/>
      <c r="L1002" s="192"/>
      <c r="M1002" s="192"/>
      <c r="N1002" s="192"/>
      <c r="O1002" s="192"/>
      <c r="P1002" s="192"/>
      <c r="Q1002" s="192"/>
      <c r="R1002" s="192"/>
      <c r="S1002" s="192"/>
      <c r="T1002" s="192"/>
      <c r="U1002" s="192"/>
      <c r="V1002" s="192"/>
      <c r="W1002" s="192"/>
      <c r="X1002" s="192"/>
      <c r="Y1002" s="192"/>
      <c r="Z1002" s="192"/>
      <c r="AA1002" s="192"/>
      <c r="AB1002" s="192"/>
      <c r="AC1002" s="192"/>
      <c r="AD1002" s="192"/>
      <c r="AE1002" s="192"/>
      <c r="AF1002" s="203"/>
      <c r="AG1002" s="203"/>
      <c r="AH1002" s="203"/>
      <c r="AI1002" s="203"/>
      <c r="AJ1002" s="203"/>
      <c r="AK1002" s="203"/>
      <c r="AL1002" s="203"/>
      <c r="AM1002" s="203"/>
      <c r="AN1002" s="192"/>
      <c r="AO1002" s="192"/>
      <c r="AP1002" s="192"/>
      <c r="AQ1002" s="192"/>
      <c r="AR1002" s="192"/>
      <c r="AS1002" s="192"/>
      <c r="AT1002" s="192"/>
      <c r="AU1002" s="192"/>
      <c r="AV1002" s="192"/>
      <c r="AW1002" s="192"/>
      <c r="AX1002" s="192"/>
    </row>
    <row r="1003" spans="2:50" ht="15" customHeight="1" x14ac:dyDescent="0.3">
      <c r="B1003" s="192"/>
      <c r="C1003" s="192"/>
      <c r="D1003" s="192"/>
      <c r="E1003" s="192"/>
      <c r="F1003" s="192"/>
      <c r="G1003" s="192"/>
      <c r="H1003" s="192"/>
      <c r="I1003" s="192"/>
      <c r="J1003" s="192"/>
      <c r="K1003" s="192"/>
      <c r="L1003" s="192"/>
      <c r="M1003" s="192"/>
      <c r="N1003" s="192"/>
      <c r="O1003" s="192"/>
      <c r="P1003" s="192"/>
      <c r="Q1003" s="192"/>
      <c r="R1003" s="192"/>
      <c r="S1003" s="192"/>
      <c r="T1003" s="192"/>
      <c r="U1003" s="192"/>
      <c r="V1003" s="192"/>
      <c r="W1003" s="192"/>
      <c r="X1003" s="192"/>
      <c r="Y1003" s="192"/>
      <c r="Z1003" s="269"/>
      <c r="AA1003" s="192"/>
      <c r="AB1003" s="192"/>
      <c r="AC1003" s="192"/>
      <c r="AD1003" s="192"/>
      <c r="AE1003" s="192"/>
      <c r="AF1003" s="203"/>
      <c r="AG1003" s="203"/>
      <c r="AH1003" s="203"/>
      <c r="AI1003" s="203"/>
      <c r="AJ1003" s="203"/>
      <c r="AK1003" s="203"/>
      <c r="AL1003" s="203"/>
      <c r="AM1003" s="203"/>
      <c r="AN1003" s="192"/>
      <c r="AO1003" s="192"/>
      <c r="AP1003" s="192"/>
      <c r="AQ1003" s="192"/>
      <c r="AR1003" s="192"/>
      <c r="AS1003" s="192"/>
      <c r="AT1003" s="192"/>
      <c r="AU1003" s="192"/>
      <c r="AV1003" s="192"/>
      <c r="AW1003" s="192"/>
      <c r="AX1003" s="192"/>
    </row>
    <row r="1004" spans="2:50" ht="15" customHeight="1" x14ac:dyDescent="0.3">
      <c r="B1004" s="192"/>
      <c r="C1004" s="192"/>
      <c r="D1004" s="192"/>
      <c r="E1004" s="192"/>
      <c r="F1004" s="192"/>
      <c r="G1004" s="192"/>
      <c r="H1004" s="192"/>
      <c r="I1004" s="192"/>
      <c r="J1004" s="192"/>
      <c r="K1004" s="192"/>
      <c r="L1004" s="192"/>
      <c r="M1004" s="192"/>
      <c r="N1004" s="192"/>
      <c r="O1004" s="192"/>
      <c r="P1004" s="192"/>
      <c r="Q1004" s="192"/>
      <c r="R1004" s="192"/>
      <c r="S1004" s="192"/>
      <c r="T1004" s="192"/>
      <c r="U1004" s="192"/>
      <c r="V1004" s="192"/>
      <c r="W1004" s="192"/>
      <c r="X1004" s="192"/>
      <c r="Y1004" s="192"/>
      <c r="Z1004" s="192"/>
      <c r="AA1004" s="192"/>
      <c r="AB1004" s="192"/>
      <c r="AC1004" s="192"/>
      <c r="AD1004" s="192"/>
      <c r="AE1004" s="192"/>
      <c r="AF1004" s="203"/>
      <c r="AG1004" s="203"/>
      <c r="AH1004" s="203"/>
      <c r="AI1004" s="203"/>
      <c r="AJ1004" s="203"/>
      <c r="AK1004" s="203"/>
      <c r="AL1004" s="203"/>
      <c r="AM1004" s="203"/>
      <c r="AN1004" s="192"/>
      <c r="AO1004" s="192"/>
      <c r="AP1004" s="192"/>
      <c r="AQ1004" s="192"/>
      <c r="AR1004" s="192"/>
      <c r="AS1004" s="192"/>
      <c r="AT1004" s="192"/>
      <c r="AU1004" s="192"/>
      <c r="AV1004" s="192"/>
      <c r="AW1004" s="192"/>
      <c r="AX1004" s="192"/>
    </row>
    <row r="1005" spans="2:50" ht="15" customHeight="1" x14ac:dyDescent="0.3">
      <c r="B1005" s="192"/>
      <c r="C1005" s="192"/>
      <c r="D1005" s="192"/>
      <c r="E1005" s="192"/>
      <c r="F1005" s="192"/>
      <c r="G1005" s="192"/>
      <c r="H1005" s="192"/>
      <c r="I1005" s="192"/>
      <c r="J1005" s="192"/>
      <c r="K1005" s="192"/>
      <c r="L1005" s="192"/>
      <c r="M1005" s="192"/>
      <c r="N1005" s="192"/>
      <c r="O1005" s="192"/>
      <c r="P1005" s="192"/>
      <c r="Q1005" s="192"/>
      <c r="R1005" s="192"/>
      <c r="S1005" s="192"/>
      <c r="T1005" s="192"/>
      <c r="U1005" s="192"/>
      <c r="V1005" s="192"/>
      <c r="W1005" s="192"/>
      <c r="X1005" s="192"/>
      <c r="Y1005" s="192"/>
      <c r="Z1005" s="192"/>
      <c r="AA1005" s="192"/>
      <c r="AB1005" s="192"/>
      <c r="AC1005" s="192"/>
      <c r="AD1005" s="192"/>
      <c r="AE1005" s="192"/>
      <c r="AF1005" s="203"/>
      <c r="AG1005" s="203"/>
      <c r="AH1005" s="203"/>
      <c r="AI1005" s="203"/>
      <c r="AJ1005" s="203"/>
      <c r="AK1005" s="203"/>
      <c r="AL1005" s="203"/>
      <c r="AM1005" s="203"/>
      <c r="AN1005" s="192"/>
      <c r="AO1005" s="192"/>
      <c r="AP1005" s="192"/>
      <c r="AQ1005" s="192"/>
      <c r="AR1005" s="192"/>
      <c r="AS1005" s="192"/>
      <c r="AT1005" s="192"/>
      <c r="AU1005" s="192"/>
      <c r="AV1005" s="192"/>
      <c r="AW1005" s="192"/>
      <c r="AX1005" s="192"/>
    </row>
    <row r="1006" spans="2:50" ht="15" customHeight="1" thickBot="1" x14ac:dyDescent="0.4">
      <c r="B1006" s="192"/>
      <c r="C1006" s="192"/>
      <c r="D1006" s="192"/>
      <c r="E1006" s="192"/>
      <c r="F1006" s="192"/>
      <c r="G1006" s="192"/>
      <c r="H1006" s="192"/>
      <c r="I1006" s="383" t="s">
        <v>150</v>
      </c>
      <c r="J1006" s="383"/>
      <c r="K1006" s="383"/>
      <c r="L1006" s="383"/>
      <c r="M1006" s="383"/>
      <c r="N1006" s="383"/>
      <c r="O1006" s="383"/>
      <c r="P1006" s="383"/>
      <c r="Q1006" s="383"/>
      <c r="R1006" s="383"/>
      <c r="S1006" s="192"/>
      <c r="T1006" s="192"/>
      <c r="U1006" s="370" t="s">
        <v>92</v>
      </c>
      <c r="V1006" s="371"/>
      <c r="W1006" s="371"/>
      <c r="X1006" s="372"/>
      <c r="Y1006" s="192"/>
      <c r="Z1006" s="192"/>
      <c r="AA1006" s="192"/>
      <c r="AB1006" s="192"/>
      <c r="AC1006" s="192"/>
      <c r="AD1006" s="192"/>
      <c r="AE1006" s="192"/>
      <c r="AF1006" s="203"/>
      <c r="AG1006" s="203"/>
      <c r="AH1006" s="203"/>
      <c r="AI1006" s="203"/>
      <c r="AJ1006" s="203"/>
      <c r="AK1006" s="203"/>
      <c r="AL1006" s="203"/>
      <c r="AM1006" s="203"/>
      <c r="AN1006" s="192"/>
      <c r="AO1006" s="192"/>
      <c r="AP1006" s="192"/>
      <c r="AQ1006" s="192"/>
      <c r="AR1006" s="192"/>
      <c r="AS1006" s="192"/>
      <c r="AT1006" s="192"/>
      <c r="AU1006" s="192"/>
      <c r="AV1006" s="192"/>
      <c r="AW1006" s="192"/>
      <c r="AX1006" s="192"/>
    </row>
    <row r="1007" spans="2:50" ht="15" customHeight="1" thickTop="1" thickBot="1" x14ac:dyDescent="0.35">
      <c r="B1007" s="192"/>
      <c r="C1007" s="192"/>
      <c r="D1007" s="192"/>
      <c r="E1007" s="192"/>
      <c r="F1007" s="192"/>
      <c r="G1007" s="192"/>
      <c r="H1007" s="192"/>
      <c r="I1007" s="400" t="s">
        <v>93</v>
      </c>
      <c r="J1007" s="160"/>
      <c r="K1007" s="396" t="s">
        <v>94</v>
      </c>
      <c r="L1007" s="398" t="s">
        <v>95</v>
      </c>
      <c r="M1007" s="390" t="s">
        <v>96</v>
      </c>
      <c r="N1007" s="390" t="s">
        <v>97</v>
      </c>
      <c r="O1007" s="373" t="s">
        <v>98</v>
      </c>
      <c r="P1007" s="373" t="str">
        <f>IF(COUNT(U1008:X1019)=3,"LM/WM Ratio",IF(COUNT(U1008:X1019)=6,"LP/WP Ratio",""))</f>
        <v/>
      </c>
      <c r="Q1007" s="390" t="s">
        <v>99</v>
      </c>
      <c r="R1007" s="392" t="s">
        <v>100</v>
      </c>
      <c r="S1007" s="192"/>
      <c r="T1007" s="120"/>
      <c r="U1007" s="121" t="s">
        <v>101</v>
      </c>
      <c r="V1007" s="122" t="s">
        <v>102</v>
      </c>
      <c r="W1007" s="122" t="s">
        <v>103</v>
      </c>
      <c r="X1007" s="123" t="s">
        <v>104</v>
      </c>
      <c r="Y1007" s="380" t="s">
        <v>105</v>
      </c>
      <c r="Z1007" s="379"/>
      <c r="AA1007" s="378" t="s">
        <v>106</v>
      </c>
      <c r="AB1007" s="379"/>
      <c r="AC1007" s="192"/>
      <c r="AD1007" s="192"/>
      <c r="AE1007" s="203"/>
      <c r="AF1007" s="203"/>
      <c r="AG1007" s="203"/>
      <c r="AH1007" s="203"/>
      <c r="AI1007" s="203"/>
      <c r="AJ1007" s="203"/>
      <c r="AK1007" s="203"/>
      <c r="AL1007" s="203"/>
      <c r="AM1007" s="203"/>
      <c r="AN1007" s="192"/>
      <c r="AO1007" s="192"/>
      <c r="AP1007" s="192"/>
      <c r="AQ1007" s="192"/>
      <c r="AR1007" s="192"/>
      <c r="AS1007" s="192"/>
      <c r="AT1007" s="192"/>
      <c r="AU1007" s="192"/>
      <c r="AV1007" s="192"/>
      <c r="AW1007" s="192"/>
      <c r="AX1007" s="192"/>
    </row>
    <row r="1008" spans="2:50" ht="15" customHeight="1" thickTop="1" thickBot="1" x14ac:dyDescent="0.35">
      <c r="B1008" s="192"/>
      <c r="C1008" s="192"/>
      <c r="D1008" s="192"/>
      <c r="E1008" s="192"/>
      <c r="F1008" s="192"/>
      <c r="G1008" s="192"/>
      <c r="H1008" s="192"/>
      <c r="I1008" s="401"/>
      <c r="J1008" s="161"/>
      <c r="K1008" s="397"/>
      <c r="L1008" s="399"/>
      <c r="M1008" s="391"/>
      <c r="N1008" s="391"/>
      <c r="O1008" s="374"/>
      <c r="P1008" s="374"/>
      <c r="Q1008" s="391"/>
      <c r="R1008" s="393"/>
      <c r="S1008" s="192"/>
      <c r="T1008" s="208">
        <v>1</v>
      </c>
      <c r="U1008" s="209" t="str">
        <f>IF(M1009="","",IF(COUNTIF(M1009:M1011,M1009)=3,IF(COUNTBLANK(I1009:I1012)=1,(Q1021+Q1027)/(Q1020+Q1026),IF(COUNTBLANK(I1009:I1012)=0,(Q1033+Q1021)/(Q1032+Q1020),"")),""))</f>
        <v/>
      </c>
      <c r="V1008" s="125" t="str">
        <f>IF(AND(COUNTBLANK(I1009:I1012)=0,M1009=M1011,M1011=M1012),(Q1021+Q1027)/(Q1020+Q1026),"")</f>
        <v/>
      </c>
      <c r="W1008" s="210" t="str">
        <f>IF(AND(COUNTBLANK(I1009:I1012)=0,M1009=M1010,M1010=M1012),(Q1033+Q1027)/(Q1032+Q1026),"")</f>
        <v/>
      </c>
      <c r="X1008" s="211"/>
      <c r="Y1008" s="169" t="s">
        <v>93</v>
      </c>
      <c r="Z1008" s="170" t="s">
        <v>107</v>
      </c>
      <c r="AA1008" s="169" t="s">
        <v>93</v>
      </c>
      <c r="AB1008" s="170" t="s">
        <v>107</v>
      </c>
      <c r="AC1008" s="192"/>
      <c r="AD1008" s="192"/>
      <c r="AE1008" s="192"/>
      <c r="AF1008" s="203"/>
      <c r="AG1008" s="203"/>
      <c r="AH1008" s="203"/>
      <c r="AI1008" s="203"/>
      <c r="AJ1008" s="203"/>
      <c r="AK1008" s="203"/>
      <c r="AL1008" s="203"/>
      <c r="AM1008" s="203"/>
      <c r="AN1008" s="192"/>
      <c r="AO1008" s="192"/>
      <c r="AP1008" s="192"/>
      <c r="AQ1008" s="192"/>
      <c r="AR1008" s="192"/>
      <c r="AS1008" s="192"/>
      <c r="AT1008" s="192"/>
      <c r="AU1008" s="192"/>
      <c r="AV1008" s="192"/>
      <c r="AW1008" s="192"/>
      <c r="AX1008" s="192"/>
    </row>
    <row r="1009" spans="2:50" ht="15" customHeight="1" thickTop="1" thickBot="1" x14ac:dyDescent="0.35">
      <c r="B1009" s="192"/>
      <c r="C1009" s="192"/>
      <c r="D1009" s="192"/>
      <c r="E1009" s="192"/>
      <c r="F1009" s="192" t="str">
        <f>IF(I1009="","",VLOOKUP(I1009,Siembra,2,FALSE))</f>
        <v/>
      </c>
      <c r="G1009" s="192" t="str">
        <f>O1009</f>
        <v/>
      </c>
      <c r="H1009" s="192">
        <v>1</v>
      </c>
      <c r="I1009" s="128" t="str">
        <f>IF(K1009="","",IF(ISNUMBER(Sorteo!$A$17),VLOOKUP(K1009,Draw,2,FALSE),""))</f>
        <v/>
      </c>
      <c r="J1009" s="129" t="str">
        <f>O1009</f>
        <v/>
      </c>
      <c r="K1009" s="130" t="str">
        <f>IF($K$9="","",IF(Group_players=4,IF(Tablas!CI$3="","",Tablas!CI$3),IF(Group_players=3,IF(Tablas!CI$11="","",Tablas!CI$11),"")))</f>
        <v/>
      </c>
      <c r="L1009" s="131" t="str">
        <f>IF(K1009="","",VLOOKUP(I1009,Siembra,3,FALSE))</f>
        <v/>
      </c>
      <c r="M1009" s="132" t="str">
        <f>IF(AND(Q1020="",Q1021=""),"",IF(I1009="","",SUMIFS(E1020:E1036,I1020:I1036,I1009)))</f>
        <v/>
      </c>
      <c r="N1009" s="132" t="str">
        <f>IF(M1009="","",IF(I1009="","",SUMIFS(F1020:F1036,I1020:I1036,I1009)))</f>
        <v/>
      </c>
      <c r="O1009" s="132" t="str">
        <f>IF(M1009="","",IF(COUNTBLANK(I1009:I1012)=1,IF(M1009=2,1,IF(M1009=0,3,IF(AND(M1009=1,M1010&lt;&gt;1),2,IF(COUNTIF(M1009:M1011,1)&gt;1,Z1009)))),IF(COUNTBLANK(I1009:I1012)=0,IF(COUNTIF(M1009:M1012,M1009)=1,IF(M1009=3,1,IF(M1009=2,2,IF(M1009=1,3,IF(M1009=0,4)))),IF(Group_players=3,Z1009,IF(COUNTIF(M1009:M1012,M1009)=2,AB1009,IF(AND(M1009=M1010,M1010=M1011),AB1013,IF(AND(M1009=M1011,M1011=M1012),AB1016,IF(AND(M1009=M1010,M1010=M1012),AB1019,"")))))),99)))</f>
        <v/>
      </c>
      <c r="P1009" s="133" t="str">
        <f>IF(COUNT(U1008:X1019)=3,IF(ISNUMBER(U1008),U1008,IF(ISNUMBER(V1008),V1008,IF(ISNUMBER(W1008),W1008,IF(X1008="","")))),IF(COUNT(U1008:X1019)=6,IF(ISNUMBER(U1016),U1016,IF(ISNUMBER(V1016),V1016,IF(ISNUMBER(W1016),W1016,IF(ISBLANK(X1008),"")))),""))</f>
        <v/>
      </c>
      <c r="Q1009" s="132" t="str">
        <f>IF(M1009="","",SUMIF(I1020:S1036,I1009,S1020:S1036))</f>
        <v/>
      </c>
      <c r="R1009" s="134" t="str">
        <f>IF(M1009="","",L1009+Q1009)</f>
        <v/>
      </c>
      <c r="S1009" s="203"/>
      <c r="T1009" s="208">
        <v>2</v>
      </c>
      <c r="U1009" s="209" t="str">
        <f>IF(M1010="","",IF(COUNTIF(M1009:M1011,M1010)=3,IF(COUNTBLANK(I1009:I1012)=1,(Q1024+Q1026)/(Q1023+Q1027),IF(COUNTBLANK(I1009:I1012)=0,(Q1030+Q1032)/(Q1029+Q1033),"")),""))</f>
        <v/>
      </c>
      <c r="V1009" s="135"/>
      <c r="W1009" s="212" t="str">
        <f>IF(AND(COUNTBLANK(I1009:I1012)=0,M1010=M1009,M1009=M1012),(Q1032+Q1024)/(Q1033+Q1023),"")</f>
        <v/>
      </c>
      <c r="X1009" s="213" t="str">
        <f>IF(AND(COUNTBLANK(I1009:I1012)=0,M1010=M1011,M1011=M1012),(Q1030+Q1024)/(Q1029+Q1023),"")</f>
        <v/>
      </c>
      <c r="Y1009" s="214">
        <v>1</v>
      </c>
      <c r="Z1009" s="215" t="str">
        <f>IF(U1008="","",IF(OR(Group_players=3,AND(Group_players=4,COUNTBLANK(I1009:I1012)=1)),IF(COUNTIF(M1009:M1011,M1009)=1,"",IF(AND(U1008=U1009,U1009=U1010),Z1013,IF(AND(U1008&lt;&gt;U1009,U1008&lt;&gt;U1010,U1009&lt;&gt;U1010),(IF(SMALL(U1008:U1010,1)=U1008,1,IF(SMALL(U1008:U1010,2)=U1008,2,IF(SMALL(U1008:U1010,3)=U1008,3)))),IF(AND(U1008&lt;U1009,U1009=U1010),1,IF(AND(U1008&gt;U1009,U1009=U1010),3,IF(AND(U1008=U1009,U1008&lt;U1010),(IF(Q1026=3,1,2)),IF(AND(U1008=U1009,U1008&gt;U1010),(IF(Q1026=3,2,3)),IF(AND(U1008=U1010,U1008&lt;U1009),(IF(Q1020=3,1,2)),IF(AND(U1008=U1010,U1008&gt;U1009),(IF(Q1020=3,2,3)),99))))))))),""))</f>
        <v/>
      </c>
      <c r="AA1009" s="216">
        <v>1</v>
      </c>
      <c r="AB1009" s="217" t="str">
        <f>IF(COUNTIF(M1009:M1012,M1009)&lt;&gt;2,"",IF(COUNTIF(M1009:M1012,M1009)=1,"",IF(AND(COUNTIF(M1009:M1012,M1009)=2,M1009=2),IF(M1009=M1010,IF(Q1032=3,1,2),IF(M1009=M1011,IF(Q1020=3,1,2),IF(M1009=M1012,IF(Q1026=3,1,2)))),IF(AND(COUNTIF(M1009:M1012,M1009)=2,M1009=1),IF(M1009=M1010,IF(Q1032=3,3,4),IF(M1009=M1011,IF(Q1020=3,3,4),IF(M1009=M1012,IF(Q1026=3,3,4)))),IF(COUNTIF(M1009:M1012,M1009)=3,AB1013)))))</f>
        <v/>
      </c>
      <c r="AC1009" s="192"/>
      <c r="AD1009" s="192"/>
      <c r="AE1009" s="192"/>
      <c r="AF1009" s="203"/>
      <c r="AG1009" s="203"/>
      <c r="AH1009" s="203"/>
      <c r="AI1009" s="203"/>
      <c r="AJ1009" s="203"/>
      <c r="AK1009" s="203"/>
      <c r="AL1009" s="203"/>
      <c r="AM1009" s="203"/>
      <c r="AN1009" s="192"/>
      <c r="AO1009" s="192"/>
      <c r="AP1009" s="192"/>
      <c r="AQ1009" s="192"/>
      <c r="AR1009" s="192"/>
      <c r="AS1009" s="192"/>
      <c r="AT1009" s="192"/>
      <c r="AU1009" s="192"/>
      <c r="AV1009" s="192"/>
      <c r="AW1009" s="192"/>
      <c r="AX1009" s="192"/>
    </row>
    <row r="1010" spans="2:50" ht="15" customHeight="1" thickTop="1" thickBot="1" x14ac:dyDescent="0.35">
      <c r="B1010" s="192"/>
      <c r="C1010" s="192"/>
      <c r="D1010" s="192"/>
      <c r="E1010" s="192"/>
      <c r="F1010" s="192" t="str">
        <f>IF(I1010="","",VLOOKUP(I1010,Siembra,2,FALSE))</f>
        <v/>
      </c>
      <c r="G1010" s="192" t="str">
        <f>O1010</f>
        <v/>
      </c>
      <c r="H1010" s="192">
        <v>2</v>
      </c>
      <c r="I1010" s="128" t="str">
        <f>IF(K1010="","",IF(ISNUMBER(Sorteo!$A$17),VLOOKUP(K1010,Draw,2,FALSE),""))</f>
        <v/>
      </c>
      <c r="J1010" s="129" t="str">
        <f>O1010</f>
        <v/>
      </c>
      <c r="K1010" s="136" t="str">
        <f>IF($K$9="","",IF(Group_players=4,IF(Tablas!CI$4="","",Tablas!CI$4),IF(Group_players=3,IF(Tablas!CI$12="","",Tablas!CI$12),"")))</f>
        <v/>
      </c>
      <c r="L1010" s="137" t="str">
        <f>IF(K1010="","",VLOOKUP(I1010,Siembra,3,FALSE))</f>
        <v/>
      </c>
      <c r="M1010" s="132" t="str">
        <f>IF(AND(L1020="",L1021=""),"",IF(I1010="","",SUMIFS(E1020:E1037,I1020:I1037,I1010)))</f>
        <v/>
      </c>
      <c r="N1010" s="138" t="str">
        <f>IF(M1010="","",IF(I1010="","",SUMIFS(F1020:F1036,I1020:I1036,I1010)))</f>
        <v/>
      </c>
      <c r="O1010" s="132" t="str">
        <f>IF(M1010="","",IF(COUNTBLANK(I1009:I1012)=1,IF(M1010=2,1,IF(M1010=0,3,IF(AND(M1010=1,M1011&lt;&gt;1),2,IF(COUNTIF(M1009:M1012,1)&gt;1,Z1010)))),IF(COUNTBLANK(I1009:I1012)=0,IF(COUNTIF(M1009:M1012,M1010)=1,IF(M1010=3,1,IF(M1010=2,2,IF(M1010=1,3,IF(M1010=0,4)))),IF(Group_players=3,Z1010,IF(COUNTIF(M1009:M1012,M1010)=2,AB1010,IF(AND(M1010=M1009,M1009=M1011),AB1014,IF(AND(M1010=M1009,M1009=M1012),AB1020,IF(AND(M1010=M1011,M1011=M1012),AB1022,"")))))))))</f>
        <v/>
      </c>
      <c r="P1010" s="133" t="str">
        <f>IF(COUNT(U1008:X1019)=3,IF(ISNUMBER(U1009),U1009,IF(ISNUMBER(W1009),W1009,IF(ISNUMBER(X1009),X1009,IF(X1009="","")))),IF(COUNT(U1008:X1019)=6,IF(ISNUMBER(U1017),U1017,IF(ISNUMBER(W1017),W1017,IF(ISNUMBER(X1017),X1017,IF(ISBLANK(X1016),"")))),""))</f>
        <v/>
      </c>
      <c r="Q1010" s="138" t="str">
        <f>IF(M1010="","",SUMIF(I1020:S1036,I1010,S1020:$S1036))</f>
        <v/>
      </c>
      <c r="R1010" s="139" t="str">
        <f>IF(M1010="","",L1010+Q1010)</f>
        <v/>
      </c>
      <c r="S1010" s="203"/>
      <c r="T1010" s="208">
        <v>3</v>
      </c>
      <c r="U1010" s="209" t="str">
        <f>IF(M1011="","",IF(COUNTIF(M1009:M1011,M1011)=3,IF(COUNTBLANK(I1009:I1012)=1,(Q1020+Q1023)/(Q1021+Q1024),IF(COUNTBLANK(I1009:I1012)=0,(Q1020+Q1029)/(Q1021+Q1030),"")),""))</f>
        <v/>
      </c>
      <c r="V1010" s="125" t="str">
        <f>IF(AND(COUNTBLANK(I1009:I1012)=0,M1011=M1012,M1012=M1009),(Q1020+Q1036)/(Q1021+Q1035),"")</f>
        <v/>
      </c>
      <c r="W1010" s="218"/>
      <c r="X1010" s="213" t="str">
        <f>IF(AND(COUNTBLANK(I1009:I1012)=0,M1011=M1012,M1012=M1010),(Q1029+Q1036)/(Q1030+Q1035),"")</f>
        <v/>
      </c>
      <c r="Y1010" s="219">
        <v>2</v>
      </c>
      <c r="Z1010" s="220" t="str">
        <f>IF(U1009="","",IF(OR(Group_players=3,AND(Group_players=4,COUNTBLANK(I1009:I1012)=1)),IF(COUNTIF(M1009:M1011,M1010)=1,"",IF(AND(U1009=U1008,U1009=U1010),Z1014,IF(AND(U1009&lt;&gt;U1008,U1009&lt;&gt;U1010,U1008&lt;&gt;U1010),(IF(SMALL(U1008:U1010,1)=U1009,1,IF(SMALL(U1008:U1010,2)=U1009,2,IF(SMALL(U1008:U1010,3)=U1009,3)))),IF(AND(U1009&lt;U1008,U1008=U1010),1,IF(AND(U1009&gt;U1008,U1008=U1010),3,IF(AND(U1009=U1008,U1009&lt;U1010),(IF(Q1027=3,1,2)),IF(AND(U1009=U1008,U1009&gt;U1010),(IF(Q1027=3,2,3)),IF(AND(U1009=U1010,U1009&lt;U1008),(IF(Q1023=3,1,2)),IF(AND(U1009=U1010,U1009&gt;U1008),(IF(Q1023=3,2,3)),99))))))))),""))</f>
        <v/>
      </c>
      <c r="AA1010" s="221">
        <v>2</v>
      </c>
      <c r="AB1010" s="222" t="str">
        <f>IF(COUNTIF(M1009:M1012,M1010)&lt;&gt;2,"",IF(COUNTIF(M1009:M1012,M1010)=1,"",IF(AND(COUNTIF(M1009:M1012,M1010)=2,M1010=2),IF(M1010=M1009,IF(Q1033=3,1,2),IF(M1010=M1011,IF(Q1029=3,1,2),IF(M1010=M1012,IF(Q1023=3,1,2)))),IF(AND(COUNTIF(M1009:M1012,M1010)=2,M1010=1),IF(M1010=M1009,IF(Q1033=3,3,4),IF(M1010=M1011,IF(Q1029=3,3,4),IF(M1010=M1012,IF(Q1023=3,3,4)))),AB1015))))</f>
        <v/>
      </c>
      <c r="AC1010" s="192"/>
      <c r="AD1010" s="192"/>
      <c r="AE1010" s="192"/>
      <c r="AF1010" s="203"/>
      <c r="AG1010" s="203"/>
      <c r="AH1010" s="203"/>
      <c r="AI1010" s="203"/>
      <c r="AJ1010" s="203"/>
      <c r="AK1010" s="203"/>
      <c r="AL1010" s="203"/>
      <c r="AM1010" s="203"/>
      <c r="AN1010" s="192"/>
      <c r="AO1010" s="192"/>
      <c r="AP1010" s="192"/>
      <c r="AQ1010" s="192"/>
      <c r="AR1010" s="192"/>
      <c r="AS1010" s="192"/>
      <c r="AT1010" s="192"/>
      <c r="AU1010" s="192"/>
      <c r="AV1010" s="192"/>
      <c r="AW1010" s="192"/>
      <c r="AX1010" s="192"/>
    </row>
    <row r="1011" spans="2:50" ht="15" customHeight="1" thickBot="1" x14ac:dyDescent="0.35">
      <c r="B1011" s="192"/>
      <c r="C1011" s="192"/>
      <c r="D1011" s="192"/>
      <c r="E1011" s="192"/>
      <c r="F1011" s="192" t="str">
        <f>IF(I1011="","",VLOOKUP(I1011,Siembra,2,FALSE))</f>
        <v/>
      </c>
      <c r="G1011" s="192" t="str">
        <f>O1011</f>
        <v/>
      </c>
      <c r="H1011" s="192">
        <v>3</v>
      </c>
      <c r="I1011" s="128" t="str">
        <f>IF(K1011="","",IF(ISNUMBER(Sorteo!$A$17),VLOOKUP(K1011,Draw,2,FALSE),""))</f>
        <v/>
      </c>
      <c r="J1011" s="129" t="str">
        <f>O1011</f>
        <v/>
      </c>
      <c r="K1011" s="136" t="str">
        <f>IF($K$9="","",IF(Group_players=4,IF(Tablas!CI$5="","",Tablas!CI$5),IF(Group_players=3,IF(Tablas!CI$13="","",Tablas!CI$13),"")))</f>
        <v/>
      </c>
      <c r="L1011" s="137" t="str">
        <f>IF(K1011="","",VLOOKUP(I1011,Siembra,3,FALSE))</f>
        <v/>
      </c>
      <c r="M1011" s="132" t="str">
        <f>IF(AND(L1021="",L1020=""),"",IF(I1011="","",SUMIFS(E1020:E1038,I1020:I1038,I1011)))</f>
        <v/>
      </c>
      <c r="N1011" s="138" t="str">
        <f>IF(M1011="","",IF(I1011="","",SUMIFS(F1020:F1036,I1020:I1036,I1011)))</f>
        <v/>
      </c>
      <c r="O1011" s="132" t="str">
        <f>IF(M1011="","",IF(COUNTBLANK(I1009:I1012)=1,IF(M1011=2,1,IF(M1011=0,3,IF(AND(M1011=1,M1011&lt;&gt;M1009),2,IF(COUNTIF(M1009:M1012,1)&gt;1,Z1011)))),IF(COUNTBLANK(I1009:I1012)=0,IF(COUNTIF(M1009:M1012,M1011)=1,IF(M1011=3,1,IF(M1011=2,2,IF(M1011=1,3,IF(M1011=0,4)))),IF(Group_players=3,Z1011,IF(COUNTIF(M1009:M1012,M1011)=2,AB1011,IF(AND(M1011=M1009,M1009=M1010),AB1015,IF(AND(M1011=M1009,M1009=M1012),AB1017,IF(AND(M1011=M1010,M1010=M1012),AB1023,"")))))))))</f>
        <v/>
      </c>
      <c r="P1011" s="133" t="str">
        <f>IF(COUNT(U1008:X1019)=3,IF(ISNUMBER(U1010),U1010,IF(ISNUMBER(V1010),V1010,IF(ISNUMBER(X1010),X1010,IF(W1010="","")))),IF(COUNT(U1008:X1019)=6,IF(ISNUMBER(U1018),U1018,IF(ISNUMBER(V1018),V1018,IF(ISNUMBER(X1018),X1018,""))),""))</f>
        <v/>
      </c>
      <c r="Q1011" s="138" t="str">
        <f>IF(M1011="","",SUMIF(I1020:S1036,I1011,S1020:S1036))</f>
        <v/>
      </c>
      <c r="R1011" s="139" t="str">
        <f>IF(M1011="","",L1011+Q1011)</f>
        <v/>
      </c>
      <c r="S1011" s="203"/>
      <c r="T1011" s="208">
        <v>4</v>
      </c>
      <c r="U1011" s="223"/>
      <c r="V1011" s="140" t="str">
        <f>IF(AND(COUNTBLANK(I1009:I1012)=0,M1012=M1009,M1009=M1011),(Q1026+Q1035)/(Q1027+Q1036),"")</f>
        <v/>
      </c>
      <c r="W1011" s="224" t="str">
        <f>IF(AND(COUNTBLANK(I1009:I1012)=0,M1012=M1009,M1009=M1010),(Q1026+Q1023)/(Q1027+Q1024),"")</f>
        <v/>
      </c>
      <c r="X1011" s="225" t="str">
        <f>IF(AND(COUNTBLANK(I1009:I1012)=0,M1012=M1010,M1010=M1011),(Q1023+Q1035)/(Q1024+Q1036),"")</f>
        <v/>
      </c>
      <c r="Y1011" s="226">
        <v>3</v>
      </c>
      <c r="Z1011" s="227" t="str">
        <f>IF(U1010="","",IF(OR(Group_players=3,AND(Group_players=4,COUNTBLANK(I1009:I1012)=1)),IF(COUNTIF(M1009:M1011,M1011)=1,"",IF(AND(U1010=U1008,U1010=U1009),Z1015,IF(AND(U1010&lt;&gt;U1009,U1009&lt;&gt;U1008,U1010&lt;&gt;U1008),(IF(SMALL(U1008:U1010,1)=U1010,1,IF(SMALL(U1008:U1010,2)=U1010,2,IF(SMALL(U1008:U1010,3)=U1010,3)))),IF(AND(U1010&lt;U1009,U1009=U1008),1,IF(AND(U1010&gt;U1009,U1009=U1008),3,IF(AND(U1010=U1009,U1010&lt;U1008),(IF(Q1024=3,1,2)),IF(AND(U1010=U1009,U1010&gt;U1008),(IF(Q1024=3,2,3)),IF(AND(U1010=U1008,U1010&lt;U1009),(IF(Q1021=3,1,2)),IF(AND(U1010=U1008,U1010&gt;U1009),(IF(Q1021=3,2,3)),99))))))))),""))</f>
        <v/>
      </c>
      <c r="AA1011" s="221">
        <v>3</v>
      </c>
      <c r="AB1011" s="222" t="str">
        <f>IF(COUNTIF(M1009:M1012,M1011)&lt;&gt;2,"",IF(COUNTIF(M1009:M1012,M1011)=1,"",IF(AND(COUNTIF(M1009:M1012,M1011)=2,M1011=2),IF(M1011=M1009,IF(Q1021=3,1,2),IF(M1011=M1010,IF(Q1030=3,1,2),IF(M1011=M1012,IF(Q1035=3,1,2)))),IF(AND(COUNTIF(M1009:M1012,M1011)=2,M1011=1),IF(M1011=M1009,IF(Q1021=3,3,4),IF(M1011=M1010,IF(Q1030=3,3,4),IF(M1011=M1012,IF(Q1035=3,3,4)))),AB1015))))</f>
        <v/>
      </c>
      <c r="AC1011" s="192"/>
      <c r="AD1011" s="192"/>
      <c r="AE1011" s="192"/>
      <c r="AF1011" s="203"/>
      <c r="AG1011" s="203"/>
      <c r="AH1011" s="203"/>
      <c r="AI1011" s="203"/>
      <c r="AJ1011" s="203"/>
      <c r="AK1011" s="203"/>
      <c r="AL1011" s="203"/>
      <c r="AM1011" s="203"/>
      <c r="AN1011" s="192"/>
      <c r="AO1011" s="192"/>
      <c r="AP1011" s="192"/>
      <c r="AQ1011" s="192"/>
      <c r="AR1011" s="192"/>
      <c r="AS1011" s="192"/>
      <c r="AT1011" s="192"/>
      <c r="AU1011" s="192"/>
      <c r="AV1011" s="192"/>
      <c r="AW1011" s="192"/>
      <c r="AX1011" s="192"/>
    </row>
    <row r="1012" spans="2:50" ht="15" customHeight="1" thickTop="1" thickBot="1" x14ac:dyDescent="0.35">
      <c r="B1012" s="192"/>
      <c r="C1012" s="192"/>
      <c r="D1012" s="192"/>
      <c r="E1012" s="192"/>
      <c r="F1012" s="192" t="str">
        <f>IF(I1012="","",VLOOKUP(I1012,Siembra,2,FALSE))</f>
        <v/>
      </c>
      <c r="G1012" s="192" t="str">
        <f>O1012</f>
        <v/>
      </c>
      <c r="H1012" s="192">
        <v>4</v>
      </c>
      <c r="I1012" s="141" t="str">
        <f>IF(K1012="","",IF(ISNUMBER(Sorteo!$A$17),VLOOKUP(K1012,Draw,2,FALSE),""))</f>
        <v/>
      </c>
      <c r="J1012" s="142" t="str">
        <f>O1012</f>
        <v/>
      </c>
      <c r="K1012" s="143" t="str">
        <f>IF($K$9="","",IF(Group_players=4,IF(Tablas!CI6="","",Tablas!CI6),""))</f>
        <v/>
      </c>
      <c r="L1012" s="144" t="str">
        <f>IF(K1012="","",VLOOKUP(I1012,Siembra,3,FALSE))</f>
        <v/>
      </c>
      <c r="M1012" s="145" t="str">
        <f>IF(AND(Q1023="",Q1024=""),"",IF(I1012="","",SUMIFS(E1020:E1039,I1020:I1039,I1012)))</f>
        <v/>
      </c>
      <c r="N1012" s="145" t="str">
        <f>IF(M1012="","",IF(I1012="","",SUMIFS(F1020:F1036,I1020:I1036,I1012)))</f>
        <v/>
      </c>
      <c r="O1012" s="145" t="str">
        <f>IF(M1012="","",IF(COUNTIF(M1009:M1012,M1012)=1,IF(M1012=3,1,IF(M1012=2,2,IF(M1012=1,3,IF(M1012=0,4)))),IF(COUNTIF(M1009:M1012,M1012)=2,AB1012,IF(AND(M1012=M1009,M1009=M1011),AB1018,IF(AND(M1012=M1009,M1009=M1010),AB1021,IF(AND(M1012=M1010,M1010=M1011),AB1024,""))))))</f>
        <v/>
      </c>
      <c r="P1012" s="146" t="str">
        <f>IF(COUNT(U1008:X1019)=3,IF(ISNUMBER(V1011),V1011,IF(ISNUMBER(W1011),W1011,IF(ISNUMBER(X1011),X1011,IF(X1011="","")))),IF(COUNT(U1008:X1019)=6,IF(ISNUMBER(V1019),V1019,IF(ISNUMBER(W1019),W1019,IF(ISNUMBER(X1019),X1019,""))),""))</f>
        <v/>
      </c>
      <c r="Q1012" s="145" t="str">
        <f>IF(M1012="","",SUMIF(I1020:S1036,I1012,S1020:$S1036))</f>
        <v/>
      </c>
      <c r="R1012" s="147" t="str">
        <f>IF(M1012="","",L1012+Q1012)</f>
        <v/>
      </c>
      <c r="S1012" s="203"/>
      <c r="T1012" s="192"/>
      <c r="U1012" s="192"/>
      <c r="V1012" s="192"/>
      <c r="W1012" s="192"/>
      <c r="X1012" s="192"/>
      <c r="Y1012" s="230" t="s">
        <v>93</v>
      </c>
      <c r="Z1012" s="231" t="s">
        <v>110</v>
      </c>
      <c r="AA1012" s="232">
        <v>4</v>
      </c>
      <c r="AB1012" s="233" t="str">
        <f>IF(COUNTIF(M1009:M1012,M1012)&lt;&gt;2,"",IF(COUNTIF(M1009:M1012,M1012)=1,"",IF(AND(COUNTIF(M1009:M1012,M1012)=2,M1012=2),IF(M1012=M1009,IF(Q1027=3,1,2),IF(M1012=M1010,IF(Q1024=3,1,2),IF(M1012=M1011,IF(Q1036=3,1,2)))),IF(AND(COUNTIF(M1009:M1012,M1012)=2,M1012=1),IF(M1012=M1009,IF(Q1027=3,3,4),IF(M1012=M1010,IF(Q1024=3,3,4),IF(M1012=M1011,IF(Q1036=3,3,4)))),AB1018))))</f>
        <v/>
      </c>
      <c r="AC1012" s="192"/>
      <c r="AD1012" s="192"/>
      <c r="AE1012" s="192"/>
      <c r="AF1012" s="203"/>
      <c r="AG1012" s="203"/>
      <c r="AH1012" s="203"/>
      <c r="AI1012" s="203"/>
      <c r="AJ1012" s="203"/>
      <c r="AK1012" s="203"/>
      <c r="AL1012" s="203"/>
      <c r="AM1012" s="203"/>
      <c r="AN1012" s="192"/>
      <c r="AO1012" s="192"/>
      <c r="AP1012" s="192"/>
      <c r="AQ1012" s="192"/>
      <c r="AR1012" s="192"/>
      <c r="AS1012" s="192"/>
      <c r="AT1012" s="192"/>
      <c r="AU1012" s="192"/>
      <c r="AV1012" s="192"/>
      <c r="AW1012" s="192"/>
      <c r="AX1012" s="192"/>
    </row>
    <row r="1013" spans="2:50" ht="15" customHeight="1" thickTop="1" x14ac:dyDescent="0.3">
      <c r="B1013" s="192"/>
      <c r="C1013" s="192"/>
      <c r="D1013" s="192"/>
      <c r="E1013" s="192"/>
      <c r="F1013" s="192"/>
      <c r="G1013" s="192"/>
      <c r="H1013" s="192"/>
      <c r="I1013" s="192"/>
      <c r="J1013" s="192"/>
      <c r="K1013" s="192"/>
      <c r="L1013" s="192"/>
      <c r="M1013" s="192"/>
      <c r="N1013" s="192"/>
      <c r="O1013" s="192"/>
      <c r="P1013" s="192"/>
      <c r="Q1013" s="192"/>
      <c r="R1013" s="192"/>
      <c r="S1013" s="192"/>
      <c r="T1013" s="208"/>
      <c r="U1013" s="192"/>
      <c r="V1013" s="148"/>
      <c r="W1013" s="148"/>
      <c r="X1013" s="234"/>
      <c r="Y1013" s="214">
        <v>1</v>
      </c>
      <c r="Z1013" s="215" t="str">
        <f>IF(U1016="","",IF(OR(Group_players=3,AND(Group_players=4,COUNTBLANK(I1009:I1012)=1)),IF(COUNTIF(M1009:M1011,M1009)=1,"",IF(COUNTIF(U1008:U1010,U1008)=3,IF(AND(U1016=U1017,U1017=U1018),"Tied",IF(AND(U1016&lt;&gt;U1017,U1016&lt;&gt;U1018,U1017&lt;&gt;U1018),(IF(SMALL(U1016:U1018,1)=U1016,1,IF(SMALL(U1016:U1018,2)=U1016,2,IF(SMALL(U1016:U1018,3)=U1016,3)))),IF(AND(U1016&lt;U1017,U1017=U1018),1,IF(AND(U1016&gt;U1017,U1017=U1018),3,IF(AND(U1016=U1017,U1016&lt;U1018),(IF(Q1026=3,1,2)),IF(AND(U1016=U1017,U1016&gt;U1018),(IF(Q1026=3,2,3)),IF(AND(U1016=U1018,U1016&lt;U1017),(IF(Q1020=3,1,2)),IF(AND(U1016=U1018,U1016&gt;U1017),(IF(Q1020=3,2,3)),99)))))))),"")),""))</f>
        <v/>
      </c>
      <c r="AA1013" s="208">
        <v>1</v>
      </c>
      <c r="AB1013" s="222" t="str">
        <f>IF(AND(COUNTBLANK(I1009:I1012)=0,Group_players=4,M1009=M1010,M1010=M1011),IF(COUNTIF(U1008:U1011,U1008)=3,AB1026,IF(AND(COUNTIF(U1008:U1011,U1008)=1,U1009&lt;&gt;U1010),IF(M1009=2,IF(SMALL(U1008:U1011,1)=U1008,1,IF(SMALL(U1008:U1011,2)=U1008,2,IF(SMALL(U1008:U1011,3)=U1008,3))),IF(M1009=1,IF(SMALL(U1008:U1011,1)=U1008,2,IF(SMALL(U1008:U1011,2)=U1008,3,IF(SMALL(U1008:U1011,3)=U1008,4))),"")),IF(COUNTIF(U1008:U1011,U1008)=1,IF(U1008&lt;U1009,IF(M1009=2,1,2),IF(M1009=2,3,4)),IF(COUNTIF(U1008:U1011,U1008)=2,IF(U1008=U1009,IF(U1008&lt;U1010,IF(M1009=2,IF(Q1032=3,1,2),IF(M1009=1,IF(Q1032=3,2,3))),IF(U1008&gt;U1010,IF(M1009=2,IF(Q1032=3,2,3),IF(M1009=1,IF(Q1032=3,3,4))))),IF(U1008=U1010,IF(U1008&lt;U1009,IF(M1009=2,IF(Q1020=3,1,2),IF(M1009=1,IF(Q1020=3,2,3))),IF(U1008&gt;U1009,IF(M1009=2,IF(Q1020=3,2,3),IF(M1009=1,IF(Q1020=3,3,4))))))),"")))),"")</f>
        <v/>
      </c>
      <c r="AC1013" s="192"/>
      <c r="AD1013" s="192"/>
      <c r="AE1013" s="269"/>
      <c r="AF1013" s="203"/>
      <c r="AG1013" s="203"/>
      <c r="AH1013" s="203"/>
      <c r="AI1013" s="203"/>
      <c r="AJ1013" s="203"/>
      <c r="AK1013" s="203"/>
      <c r="AL1013" s="203"/>
      <c r="AM1013" s="203"/>
      <c r="AN1013" s="192"/>
      <c r="AO1013" s="192"/>
      <c r="AP1013" s="192"/>
      <c r="AQ1013" s="192"/>
      <c r="AR1013" s="192"/>
      <c r="AS1013" s="192"/>
      <c r="AT1013" s="192"/>
      <c r="AU1013" s="192"/>
      <c r="AV1013" s="192"/>
      <c r="AW1013" s="192"/>
      <c r="AX1013" s="192"/>
    </row>
    <row r="1014" spans="2:50" ht="15" customHeight="1" thickBot="1" x14ac:dyDescent="0.35">
      <c r="B1014" s="192"/>
      <c r="C1014" s="192"/>
      <c r="D1014" s="192"/>
      <c r="E1014" s="192"/>
      <c r="F1014" s="192"/>
      <c r="G1014" s="192"/>
      <c r="H1014" s="192"/>
      <c r="I1014" s="269"/>
      <c r="J1014" s="269"/>
      <c r="K1014" s="192"/>
      <c r="L1014" s="192"/>
      <c r="M1014" s="192"/>
      <c r="N1014" s="192"/>
      <c r="O1014" s="192"/>
      <c r="P1014" s="192"/>
      <c r="Q1014" s="192"/>
      <c r="R1014" s="192"/>
      <c r="S1014" s="192"/>
      <c r="T1014" s="208"/>
      <c r="U1014" s="368" t="s">
        <v>111</v>
      </c>
      <c r="V1014" s="369"/>
      <c r="W1014" s="369"/>
      <c r="X1014" s="369"/>
      <c r="Y1014" s="236">
        <v>2</v>
      </c>
      <c r="Z1014" s="220" t="str">
        <f>IF(U1009="","",IF(OR(Group_players=3,AND(Group_players=4,COUNTBLANK(I1009:I1012)=1)),IF(COUNTIF(M1009:M1011,M1010)=1,"",IF(COUNTIF(U1008:U1010,U1009)=3,IF(AND(U1017=U1016,U1017=U1018),"Tied",IF(AND(U1017&lt;&gt;U1016,U1017&lt;&gt;U1018,U1016&lt;&gt;U1018),(IF(SMALL(U1016:U1018,1)=U1017,1,IF(SMALL(U1016:U1018,2)=U1017,2,IF(SMALL(U1016:U1018,3)=U1017,3)))),IF(AND(U1017&lt;U1016,U1016=U1018),1,IF(AND(U1017&gt;U1016,U1016=U1018),3,IF(AND(U1017=U1016,U1017&lt;U1018),(IF(Q1027=3,1,2)),IF(AND(U1017=U1016,U1017&gt;U1018),(IF(Q1027=3,2,3)),IF(AND(U1017=U1018,U1017&lt;U1016),(IF(Q1023=3,1,2)),IF(AND(U1017=U1018,U1017&gt;U1016),(IF(Q1023=3,2,3)),99)))))))),"")),""))</f>
        <v/>
      </c>
      <c r="AA1014" s="208">
        <v>2</v>
      </c>
      <c r="AB1014" s="222" t="str">
        <f>IF(AND(COUNTBLANK(I1009:I1012)=0,Group_players=4,M1009=M1010,M1010=M1011),IF(COUNTIF(U1008:U1011,U1009)=3,AB1027,IF(AND(COUNTIF(U1008:U1011,U1009)=1,U1008&lt;&gt;U1010),IF(M1010=2,IF(SMALL(U1008:U1011,1)=U1009,1,IF(SMALL(U1008:U1011,2)=U1009,2,IF(SMALL(U1008:U1011,3)=U1009,3))),IF(M1010=1,IF(SMALL(U1008:U1011,1)=U1009,2,IF(SMALL(U1008:U1011,2)=U1009,3,IF(SMALL(U1008:U1011,3)=U1009,4))),"")),IF(COUNTIF(U1008:U1010,U1009)=1,IF(U1009&lt;U1008,IF(M1010=2,1,2),IF(M1010=2,3,99)),IF(COUNTIF(U1008:U1011,U1009)=2,IF(U1009=U1008,IF(U1009&lt;U1010,IF(M1010=2,IF(Q1033=3,1,2),IF(M1010=1,IF(Q1033=3,2,3))),IF(U1009&gt;U1010,IF(M1010=2,IF(Q1033=3,2,3),IF(M1010=1,IF(Q1033=3,3,4))))),IF(U1009=U1010,IF(U1009&lt;U1008,IF(M1010=2,IF(Q1029=3,1,2),IF(M1010=1,IF(Q1029=3,2,3))),IF(U1009&gt;U1008,IF(M1010=2,IF(Q1029=3,2,3),IF(M1010=1,IF(Q1029=3,3,4))))))),"")))),"")</f>
        <v/>
      </c>
      <c r="AC1014" s="192"/>
      <c r="AD1014" s="192"/>
      <c r="AE1014" s="192"/>
      <c r="AF1014" s="203"/>
      <c r="AG1014" s="203"/>
      <c r="AH1014" s="203"/>
      <c r="AI1014" s="203"/>
      <c r="AJ1014" s="203"/>
      <c r="AK1014" s="203"/>
      <c r="AL1014" s="203"/>
      <c r="AM1014" s="203"/>
      <c r="AN1014" s="192"/>
      <c r="AO1014" s="192"/>
      <c r="AP1014" s="192"/>
      <c r="AQ1014" s="192"/>
      <c r="AR1014" s="192"/>
      <c r="AS1014" s="192"/>
      <c r="AT1014" s="192"/>
      <c r="AU1014" s="192"/>
      <c r="AV1014" s="192"/>
      <c r="AW1014" s="192"/>
      <c r="AX1014" s="192"/>
    </row>
    <row r="1015" spans="2:50" ht="15" customHeight="1" thickTop="1" thickBot="1" x14ac:dyDescent="0.35">
      <c r="B1015" s="192"/>
      <c r="C1015" s="192"/>
      <c r="D1015" s="192"/>
      <c r="E1015" s="192"/>
      <c r="F1015" s="192"/>
      <c r="G1015" s="192"/>
      <c r="H1015" s="192"/>
      <c r="I1015" s="192"/>
      <c r="J1015" s="192"/>
      <c r="K1015" s="192"/>
      <c r="L1015" s="192"/>
      <c r="M1015" s="192"/>
      <c r="N1015" s="192"/>
      <c r="O1015" s="192"/>
      <c r="P1015" s="192"/>
      <c r="Q1015" s="192"/>
      <c r="R1015" s="192"/>
      <c r="S1015" s="192"/>
      <c r="T1015" s="120"/>
      <c r="U1015" s="121" t="s">
        <v>101</v>
      </c>
      <c r="V1015" s="122" t="s">
        <v>102</v>
      </c>
      <c r="W1015" s="122" t="s">
        <v>103</v>
      </c>
      <c r="X1015" s="123" t="s">
        <v>104</v>
      </c>
      <c r="Y1015" s="238">
        <v>3</v>
      </c>
      <c r="Z1015" s="239" t="str">
        <f>IF(U1010="","",IF(OR(Group_players=3,AND(Group_players=4,COUNTBLANK(I1009:I1012)=1)),IF(COUNTIF(M1009:M1011,M1011)=1,"",IF(COUNTIF(U1008:U1010,U1010)=3,IF(AND(U1018=U1016,U1018=U1017),"Tied",IF(AND(U1018&lt;&gt;U1017,U1017&lt;&gt;U1016,U1018&lt;&gt;U1016),(IF(SMALL(U1016:U1018,1)=U1018,1,IF(SMALL(U1016:U1018,2)=U1018,2,IF(SMALL(U1016:U1018,3)=U1018,3)))),IF(AND(U1018&lt;U1017,U1017=U1016),1,IF(AND(U1018&gt;U1017,U1017=U1016),3,IF(AND(U1018=U1017,U1018&lt;U1016),(IF(Q1024=3,1,2)),IF(AND(U1018=U1017,U1018&gt;U1016),(IF(Q1024=3,2,3)),IF(AND(U1018=U1016,U1018&lt;U1017),(IF(Q1021=3,1,2)),IF(AND(U1018=U1016,U1018&gt;U1017),(IF(Q1021=3,2,3)),99)))))))),"")),""))</f>
        <v/>
      </c>
      <c r="AA1015" s="240">
        <v>3</v>
      </c>
      <c r="AB1015" s="241" t="str">
        <f>IF(AND(COUNTBLANK(I1009:I1012)=0,Group_players=4,M1009=M1010,M1010=M1011),IF(COUNTIF(U1008:U1011,U1010)=3,AB1028,IF(AND(COUNTIF(U1008:U1011,U1010)=1,U1008&lt;&gt;U1009),IF(M1009=2,IF(SMALL(U1008:U1011,1)=U1010,1,IF(SMALL(U1008:U1011,2)=U1010,2,IF(SMALL(U1008:U1011,3)=U1010,3))),IF(M1011=1,IF(SMALL(U1008:U1011,1)=U1010,2,IF(SMALL(U1008:U1011,2)=U1010,3,IF(SMALL(U1008:U1011,3)=U1010,4))),"")),IF(COUNTIF(U1008:U1011,U1010)=1,IF(U1010&lt;U1009,IF(M1011=2,1,2),IF(M1011=2,3,4)),IF(COUNTIF(U1008:U1011,U1010)=2,IF(U1010=U1009,IF(U1010&lt;U1008,IF(M1011=2,IF(Q1030=3,1,2),IF(M1011=1,IF(Q1030=3,2,3))),IF(U1010&gt;U1008,IF(M1011=2,IF(Q1030=3,2,3),IF(M1011=1,IF(Q1030=3,3,4))))),IF(U1010=U1008,IF(U1010&lt;U1009,IF(M1011=2,IF(Q1021=3,1,2),IF(M1011=1,IF(Q1021=3,2,3))),IF(U1010&gt;U1009,IF(M1011=2,IF(Q1021=3,2,3),IF(M1011=1,IF(Q1021=3,3,4))))))),"")))),"")</f>
        <v/>
      </c>
      <c r="AC1015" s="192"/>
      <c r="AD1015" s="192"/>
      <c r="AE1015" s="192"/>
      <c r="AF1015" s="203"/>
      <c r="AG1015" s="203"/>
      <c r="AH1015" s="203"/>
      <c r="AI1015" s="203"/>
      <c r="AJ1015" s="203"/>
      <c r="AK1015" s="203"/>
      <c r="AL1015" s="203"/>
      <c r="AM1015" s="203"/>
      <c r="AN1015" s="192"/>
      <c r="AO1015" s="192"/>
      <c r="AP1015" s="192"/>
      <c r="AQ1015" s="192"/>
      <c r="AR1015" s="192"/>
      <c r="AS1015" s="192"/>
      <c r="AT1015" s="192"/>
      <c r="AU1015" s="192"/>
      <c r="AV1015" s="192"/>
      <c r="AW1015" s="192"/>
      <c r="AX1015" s="192"/>
    </row>
    <row r="1016" spans="2:50" ht="15" customHeight="1" thickTop="1" thickBot="1" x14ac:dyDescent="0.35">
      <c r="B1016" s="192"/>
      <c r="C1016" s="192"/>
      <c r="D1016" s="192"/>
      <c r="E1016" s="192"/>
      <c r="F1016" s="192"/>
      <c r="G1016" s="192"/>
      <c r="H1016" s="192"/>
      <c r="I1016" s="192"/>
      <c r="J1016" s="192"/>
      <c r="K1016" s="192"/>
      <c r="L1016" s="192"/>
      <c r="M1016" s="192"/>
      <c r="N1016" s="192"/>
      <c r="O1016" s="192"/>
      <c r="P1016" s="192"/>
      <c r="Q1016" s="192"/>
      <c r="R1016" s="192"/>
      <c r="S1016" s="192"/>
      <c r="T1016" s="208">
        <v>1</v>
      </c>
      <c r="U1016" s="209" t="str">
        <f>IF(U1008="","",IF(OR(U1008&lt;&gt;U1009,U1008&lt;&gt;U1010),"",IF(COUNTIF(M1009:M1011,M1009)=1,"",IF(COUNTBLANK(I1009:I1012)=1,(SUM(L1021:P1021)+SUM(L1027:P1027))/(SUM(L1020:P1020)+SUM(L1026:P1026)),IF(COUNTBLANK(I1009:I1012)=0,(SUM(L1033:P1033)+SUM(L1021:P1021))/(SUM(L1032:P1032)+SUM(L1020:P1020)),"")))))</f>
        <v/>
      </c>
      <c r="V1016" s="125" t="str">
        <f>IF(V1008="","",IF(OR(V1008&lt;&gt;V1010,V1008&lt;&gt;V1011),"",IF(AND(COUNTBLANK(I1009:I1012)=0,M1009=M1011,M1011=M1012),(SUM(L1021:P1021)+SUM(L1027:P1027))/(SUM(L1020:P1020)+SUM(L1026:P1026)),"")))</f>
        <v/>
      </c>
      <c r="W1016" s="210" t="str">
        <f>IF(W1008="","",IF(OR(W1008&lt;&gt;W1009,W1008&lt;&gt;W1011),"",IF(AND(COUNTBLANK(I1009:I1012)=0,M1009=M1010,M1010=M1012),(SUM(L1033:P1033)+SUM(L1027:P1027))/(SUM(L1032:P1032)+SUM(L1026:P1026)),"")))</f>
        <v/>
      </c>
      <c r="X1016" s="211"/>
      <c r="Y1016" s="242"/>
      <c r="Z1016" s="242"/>
      <c r="AA1016" s="243">
        <v>1</v>
      </c>
      <c r="AB1016" s="244" t="str">
        <f>IF(AND(COUNTBLANK(I1009:I1012)=0,Group_players=4,M1009=M1011,M1011=M1012),IF(COUNTIF(V1008:V1011,V1008)=3,AB1029,IF(AND(COUNTIF(V1008:V1011,V1008)=1,V1010&lt;&gt;U1019),IF(M1009=2,IF(SMALL(V1008:V1011,1)=V1008,1,IF(SMALL(V1008:V1011,2)=V1008,2,IF(SMALL(V1008:V1011,3)=V1008,3))),IF(M1009=1,IF(SMALL(V1008:V1011,1)=V1008,2,IF(SMALL(V1008:V1011,2)=V1008,3,IF(SMALL(V1008:V1011,3)=V1008,4))),"")),IF(COUNTIF(V1008:V1011,V1008)=1,IF(V1008&lt;V1010,IF(M1009=2,1,2),IF(M1009=2,3,4)),IF(COUNTIF(V1008:V1011,V1008)=2,IF(V1008=V1010,IF(V1008&lt;V1011,IF(M1009=2,IF(Q1020=3,1,2),IF(M1009=1,IF(Q1020=3,2,3))),IF(V1008&gt;V1011,IF(M1009=2,IF(Q1020=3,2,3),IF(M1009=1,IF(Q1020=3,3,4))))),IF(V1008=V1011,IF(V1008&lt;V1010,IF(M1009=2,IF(Q1026=3,1,2),IF(M1009=1,IF(Q1026=3,2,3))),IF(V1008&gt;V1009,IF(M1009=2,IF(Q1026=3,2,3),IF(M1009=1,IF(Q1026=3,3,4))))))),"")))),"")</f>
        <v/>
      </c>
      <c r="AC1016" s="192"/>
      <c r="AD1016" s="192"/>
      <c r="AE1016" s="192"/>
      <c r="AF1016" s="203"/>
      <c r="AG1016" s="203"/>
      <c r="AH1016" s="203"/>
      <c r="AI1016" s="203"/>
      <c r="AJ1016" s="203"/>
      <c r="AK1016" s="203"/>
      <c r="AL1016" s="203"/>
      <c r="AM1016" s="203"/>
      <c r="AN1016" s="192"/>
      <c r="AO1016" s="192"/>
      <c r="AP1016" s="192"/>
      <c r="AQ1016" s="192"/>
      <c r="AR1016" s="192"/>
      <c r="AS1016" s="192"/>
      <c r="AT1016" s="192"/>
      <c r="AU1016" s="192"/>
      <c r="AV1016" s="192"/>
      <c r="AW1016" s="192"/>
      <c r="AX1016" s="192"/>
    </row>
    <row r="1017" spans="2:50" ht="15" customHeight="1" thickTop="1" thickBot="1" x14ac:dyDescent="0.35">
      <c r="B1017" s="192"/>
      <c r="C1017" s="192"/>
      <c r="D1017" s="192"/>
      <c r="E1017" s="117"/>
      <c r="F1017" s="117"/>
      <c r="G1017" s="117"/>
      <c r="H1017" s="192"/>
      <c r="I1017" s="192"/>
      <c r="J1017" s="192"/>
      <c r="K1017" s="192"/>
      <c r="L1017" s="192"/>
      <c r="M1017" s="192"/>
      <c r="N1017" s="192"/>
      <c r="O1017" s="192"/>
      <c r="P1017" s="192"/>
      <c r="Q1017" s="192"/>
      <c r="R1017" s="192"/>
      <c r="S1017" s="394" t="s">
        <v>112</v>
      </c>
      <c r="T1017" s="208">
        <v>2</v>
      </c>
      <c r="U1017" s="209" t="str">
        <f>IF(U1008="","",IF(OR(U1009&lt;&gt;U1008,U1009&lt;&gt;U1010),"",IF(COUNTIF(M1009:M1011,M1010)=1,"",IF(COUNTBLANK(I1009:I1012)=1,(SUM(L1024:P1024)+SUM(L1026:P1026))/(SUM(L1023:P1023)+SUM(L1027:P1027)),IF(COUNTBLANK(I1009:I1012)=0,(SUM(L1032:P1032)+SUM(L1030:P1030))/(SUM(L1033:P1033)+SUM(L1029:P1029)))))))</f>
        <v/>
      </c>
      <c r="V1017" s="135"/>
      <c r="W1017" s="212" t="str">
        <f>IF(W1008="","",IF(OR(W1009&lt;&gt;W1008,W1009&lt;&gt;W1011),"",IF(AND(COUNTBLANK(I1009:I1012)=0,M1009=M1010,M1010=M1012),(SUM(L1024:P1024)+SUM(L1032:P1032))/(SUM(L1033:P1033)+SUM(L1023:P1023)),"")))</f>
        <v/>
      </c>
      <c r="X1017" s="245" t="str">
        <f>IF(X1009="","",IF(OR(X1009&lt;&gt;X1010,X1009&lt;&gt;X1011),"",IF(AND(COUNTBLANK(I1009:I1012)=0,M1010=M1011,M1011=M1012),(SUM(L1030:P1030)+SUM(L1024:P1024))/(SUM(L1029:P1029)+SUM(L1023:P1023)),"")))</f>
        <v/>
      </c>
      <c r="Y1017" s="242"/>
      <c r="Z1017" s="203"/>
      <c r="AA1017" s="246">
        <v>3</v>
      </c>
      <c r="AB1017" s="222" t="str">
        <f>IF(AND(COUNTBLANK(I1009:I1012)=0,Group_players=4,M1009=M1011,M1011=M1012),IF(COUNTIF(V1008:V1011,V1010)=3,AB1030,IF(AND(COUNTIF(V1008:V1011,V1010)=1,V1008&lt;&gt;V1011),IF(M1011=2,IF(SMALL(V1008:V1011,1)=V1010,1,IF(SMALL(V1008:V1011,2)=V1010,2,IF(SMALL(V1008:V1011,3)=V1010,3))),IF(M1011=1,IF(SMALL(V1008:V1011,1)=V1010,2,IF(SMALL(V1008:V1011,2)=V1010,3,IF(SMALL(V1008:V1011,3)=V1010,4))),"")),IF(COUNTIF(V1008:V1011,V1010)=1,IF(V1010&lt;V1008,IF(M1011=2,1,2),IF(M1011=2,3,4)),IF(COUNTIF(V1008:V1011,V1010)=2,IF(V1010=V1008,IF(V1010&lt;V1011,IF(M1011=2,IF(Q1021=3,1,2),IF(M1011=1,IF(Q1021=3,2,3))),IF(V1010&gt;V1011,IF(M1011=2,IF(Q1021=3,2,3),IF(M1011=1,IF(Q1021=3,3,4))))),IF(V1010=V1011,IF(V1010&lt;V1008,IF(M1011=2,IF(Q1035=3,1,2),IF(M1011=1,IF(Q1035=3,2,3))),IF(V1010&gt;V1008,IF(M1011=2,IF(Q1035=3,2,3),IF(M1011=1,IF(Q1035=3,3,4))))))),"")))),"")</f>
        <v/>
      </c>
      <c r="AC1017" s="192"/>
      <c r="AD1017" s="192"/>
      <c r="AE1017" s="192"/>
      <c r="AF1017" s="203"/>
      <c r="AG1017" s="203"/>
      <c r="AH1017" s="203"/>
      <c r="AI1017" s="203"/>
      <c r="AJ1017" s="203"/>
      <c r="AK1017" s="203"/>
      <c r="AL1017" s="203"/>
      <c r="AM1017" s="203"/>
      <c r="AN1017" s="192"/>
      <c r="AO1017" s="192"/>
      <c r="AP1017" s="192"/>
      <c r="AQ1017" s="192"/>
      <c r="AR1017" s="192"/>
      <c r="AS1017" s="192"/>
      <c r="AT1017" s="192"/>
      <c r="AU1017" s="192"/>
      <c r="AV1017" s="192"/>
      <c r="AW1017" s="192"/>
      <c r="AX1017" s="192"/>
    </row>
    <row r="1018" spans="2:50" ht="15" customHeight="1" thickTop="1" thickBot="1" x14ac:dyDescent="0.35">
      <c r="B1018" s="192"/>
      <c r="C1018" s="192"/>
      <c r="D1018" s="192"/>
      <c r="E1018" s="117"/>
      <c r="F1018" s="117"/>
      <c r="G1018" s="117"/>
      <c r="H1018" s="192"/>
      <c r="I1018" s="192"/>
      <c r="J1018" s="192"/>
      <c r="K1018" s="192"/>
      <c r="L1018" s="192"/>
      <c r="M1018" s="192"/>
      <c r="N1018" s="192"/>
      <c r="O1018" s="192"/>
      <c r="P1018" s="192"/>
      <c r="Q1018" s="192"/>
      <c r="R1018" s="247"/>
      <c r="S1018" s="395"/>
      <c r="T1018" s="208">
        <v>3</v>
      </c>
      <c r="U1018" s="209" t="str">
        <f>IF(U1008="","",IF(OR(U1010&lt;&gt;U1008,U1010&lt;&gt;U1009),"",IF(COUNTIF(M1009:M1011,M1011)=1,"",IF(COUNTBLANK(I1009:I1012)=1,(SUM(L1020:P1020)+SUM(L1023:P1023))/(SUM(L1021:P1021)+SUM(L1024:P1024)),IF(COUNTBLANK(I1009:I1012)=0,(SUM(L1020:P1020)+SUM(L1029:P1029))/(SUM(L1021:P1021)+SUM(L1030:P1030)))))))</f>
        <v/>
      </c>
      <c r="V1018" s="125" t="str">
        <f>IF(V1008="","",IF(OR(V1010&lt;&gt;V1008,V1010&lt;&gt;V1011),"",IF(AND(COUNTBLANK(I1009:I1012)=0,M1009=M1011,M1011=M1012),(SUM(L1020:P1020)+SUM(L1036:P1036))/(SUM(L1021:P1021)+SUM(L1035:P1035)),"")))</f>
        <v/>
      </c>
      <c r="W1018" s="218"/>
      <c r="X1018" s="245" t="str">
        <f>IF(X1009="","",IF(OR(X1010&lt;&gt;X1009,X1010&lt;&gt;X1011),"",IF(AND(COUNTBLANK(I1009:I1012)=0,M1010=M1011,M1011=M1012),(SUM(L1029:P1029)+SUM(L1036:P1036))/(SUM(L1030:P1030)+SUM(L1035:P1035)),"")))</f>
        <v/>
      </c>
      <c r="Y1018" s="208"/>
      <c r="Z1018" s="203"/>
      <c r="AA1018" s="240">
        <v>4</v>
      </c>
      <c r="AB1018" s="222" t="str">
        <f>IF(AND(COUNTBLANK(I1009:I1012)=0,Group_players=4,M1009=M1011,M1011=M1012),IF(COUNTIF(V1008:V1011,V1011)=3,AB1031,IF(AND(COUNTIF(V1008:V1011,V1011)=1,V1010&lt;&gt;V1008),IF(M1012=2,IF(SMALL(V1008:V1011,1)=V1011,1,IF(SMALL(V1008:V1011,2)=V1011,2,IF(SMALL(V1008:V1011,3)=V1011,3))),IF(M1012=1,IF(SMALL(V1008:V1011,1)=V1011,2,IF(SMALL(V1008:V1011,2)=V1011,3,IF(SMALL(V1008:V1011,3)=V1011,4))),"")),IF(COUNTIF(V1008:V1011,V1011)=1,IF(V1011&lt;V1008,IF(M1012=2,1,2),IF(M1012=2,3,4)),IF(COUNTIF(V1008:V1011,V1011)=2,IF(V1011=V1008,IF(V1011&lt;V1010,IF(M1012=2,IF(Q1027=3,1,2),IF(M1012=1,IF(Q1027=3,2,3))),IF(V1011&gt;V1010,IF(M1012=2,IF(Q1027=3,2,3),IF(M1012=1,IF(Q1027=3,3,4))))),IF(V1011=V1010,IF(V1011&lt;V1008,IF(M1012=2,IF(Q1036=3,1,2),IF(M1012=1,IF(Q1036=3,2,3))),IF(V1011&gt;V1008,IF(M1012=2,IF(Q1036=3,2,3),IF(M1012=1,IF(Q1036=3,3,4))))))),"")))),"")</f>
        <v/>
      </c>
      <c r="AC1018" s="192"/>
      <c r="AD1018" s="192"/>
      <c r="AE1018" s="192"/>
      <c r="AF1018" s="203"/>
      <c r="AG1018" s="203"/>
      <c r="AH1018" s="203"/>
      <c r="AI1018" s="203"/>
      <c r="AJ1018" s="203"/>
      <c r="AK1018" s="203"/>
      <c r="AL1018" s="203"/>
      <c r="AM1018" s="203"/>
      <c r="AN1018" s="192"/>
      <c r="AO1018" s="192"/>
      <c r="AP1018" s="192"/>
      <c r="AQ1018" s="192"/>
      <c r="AR1018" s="192"/>
      <c r="AS1018" s="192"/>
      <c r="AT1018" s="192"/>
      <c r="AU1018" s="192"/>
      <c r="AV1018" s="192"/>
      <c r="AW1018" s="192"/>
      <c r="AX1018" s="192"/>
    </row>
    <row r="1019" spans="2:50" ht="15" customHeight="1" thickTop="1" thickBot="1" x14ac:dyDescent="0.35">
      <c r="B1019" s="192"/>
      <c r="C1019" s="192"/>
      <c r="D1019" s="192"/>
      <c r="E1019" s="168" t="s">
        <v>113</v>
      </c>
      <c r="F1019" s="168" t="s">
        <v>114</v>
      </c>
      <c r="G1019" s="117"/>
      <c r="H1019" s="192"/>
      <c r="I1019" s="249" t="s">
        <v>115</v>
      </c>
      <c r="J1019" s="249"/>
      <c r="K1019" s="249"/>
      <c r="L1019" s="250" t="s">
        <v>115</v>
      </c>
      <c r="M1019" s="250" t="s">
        <v>116</v>
      </c>
      <c r="N1019" s="250" t="s">
        <v>117</v>
      </c>
      <c r="O1019" s="250" t="s">
        <v>118</v>
      </c>
      <c r="P1019" s="250" t="s">
        <v>119</v>
      </c>
      <c r="Q1019" s="250" t="s">
        <v>120</v>
      </c>
      <c r="R1019" s="250"/>
      <c r="S1019" s="251"/>
      <c r="T1019" s="208">
        <v>4</v>
      </c>
      <c r="U1019" s="223"/>
      <c r="V1019" s="140" t="str">
        <f>IF(V1008="","",IF(OR(V1011&lt;&gt;V1008,V1011&lt;&gt;V1010),"",IF(AND(COUNTBLANK(I1009:I1012)=0,M1009=M1011,M1011=M1012),(SUM(L1026:P1026)+SUM(L1035:P1035))/(SUM(L1027:P1027)+SUM(L1036:P1036)),"")))</f>
        <v/>
      </c>
      <c r="W1019" s="224" t="str">
        <f>IF(W1008="","",IF(OR(W1011&lt;&gt;W1008,W1011&lt;&gt;W1009),"",IF(AND(COUNTBLANK(I1009:I1012)=0,M1009=M1010,M1010=M1012),(SUM(L1026:P1026)+SUM(L1023:P1023))/(SUM(L1027:P1027)+SUM(L1024:P1024)),"")))</f>
        <v/>
      </c>
      <c r="X1019" s="252" t="str">
        <f>IF(X1009="","",IF(OR(X1011&lt;&gt;X1009,X1011&lt;&gt;X1010),"",IF(AND(COUNTBLANK(I1009:I1012)=0,M1010=M1011,M1011=M1012),(SUM(L1023:P1023)+SUM(L1035:P1035))/(SUM(L1024:P1024)+SUM(L1036:P1036)),"")))</f>
        <v/>
      </c>
      <c r="Y1019" s="192"/>
      <c r="Z1019" s="203"/>
      <c r="AA1019" s="243">
        <v>1</v>
      </c>
      <c r="AB1019" s="151" t="str">
        <f>IF(AND(COUNTBLANK(I1009:I1012)=0,Group_players=4,M1009=M1010,M1010=M1012),IF(COUNTIF(W1008:W1011,W1008)=3,AB1032,IF(AND(COUNTIF(W1008:W1011,W1008)=1,W1009&lt;&gt;W1011),IF(M1009=2,IF(SMALL(W1008:W1011,1)=W1008,1,IF(SMALL(W1008:W1011,2)=W1008,2,IF(SMALL(W1008:W1011,3)=W1008,3))),IF(M1009=1,IF(SMALL(W1008:W1011,1)=W1008,2,IF(SMALL(W1008:W1011,2)=W1008,3,IF(SMALL(W1008:W1011,3)=W1008,4))),"")),IF(COUNTIF(W1008:W1011,W1008)=1,IF(W1008&lt;W1009,IF(M1009=2,1,2),IF(M1009=2,3,4)),IF(COUNTIF(W1008:W1011,W1008)=2,IF(W1008=W1009,IF(W1008&lt;W1011,IF(M1009=2,IF(Q1032=3,1,2),IF(M1009=1,IF(Q1032=3,2,3))),IF(W1008&gt;W1011,IF(M1009=2,IF(Q1032=3,2,3),IF(M1009=1,IF(Q1032=3,3,4))))),IF(W1008=W1011,IF(W1008&lt;W1009,IF(M1009=2,IF(Q1026=3,1,2),IF(M1009=1,IF(Q1026=3,2,3))),IF(W1008&gt;W1009,IF(M1009=2,IF(Q1026=3,2,3),IF(M1009=1,IF(Q1026=3,3,4))))))),"")))),"")</f>
        <v/>
      </c>
      <c r="AC1019" s="192"/>
      <c r="AD1019" s="192"/>
      <c r="AE1019" s="192"/>
      <c r="AF1019" s="203"/>
      <c r="AG1019" s="203"/>
      <c r="AH1019" s="203"/>
      <c r="AI1019" s="203"/>
      <c r="AJ1019" s="203"/>
      <c r="AK1019" s="203"/>
      <c r="AL1019" s="203"/>
      <c r="AM1019" s="203"/>
      <c r="AN1019" s="192"/>
      <c r="AO1019" s="192"/>
      <c r="AP1019" s="192"/>
      <c r="AQ1019" s="192"/>
      <c r="AR1019" s="192"/>
      <c r="AS1019" s="192"/>
      <c r="AT1019" s="192"/>
      <c r="AU1019" s="192"/>
      <c r="AV1019" s="192"/>
      <c r="AW1019" s="192"/>
      <c r="AX1019" s="192"/>
    </row>
    <row r="1020" spans="2:50" ht="15" customHeight="1" thickTop="1" x14ac:dyDescent="0.3">
      <c r="B1020" s="192"/>
      <c r="C1020" s="192"/>
      <c r="D1020" s="192"/>
      <c r="E1020" s="164" t="str">
        <f>IF(Q1020="","",IF(Q1020=3,1,0))</f>
        <v/>
      </c>
      <c r="F1020" s="164" t="str">
        <f>IF(Q1020="","",IF(Q1020&lt;3,1,0))</f>
        <v/>
      </c>
      <c r="G1020" s="192"/>
      <c r="H1020" s="192" t="str">
        <f>IF(I1009="","",1)</f>
        <v/>
      </c>
      <c r="I1020" s="192" t="str">
        <f>IF(ISNUMBER(H1020),VLOOKUP(H1020,H1009:I1012,2,TRUE),"")</f>
        <v/>
      </c>
      <c r="J1020" s="192"/>
      <c r="K1020" s="192" t="str">
        <f>VLOOKUP(I1020,I1009:L1012,3,FALSE)</f>
        <v/>
      </c>
      <c r="L1020" s="253"/>
      <c r="M1020" s="254"/>
      <c r="N1020" s="254"/>
      <c r="O1020" s="152"/>
      <c r="P1020" s="153"/>
      <c r="Q1020" s="255" t="str">
        <f>IF(L1020="","",IF(AND(L1020-L1021&gt;1,L1020&gt;10),1,0)+IF(AND(M1020-M1021&gt;1,M1020&gt;10),1,0)+IF(AND(N1020-N1021&gt;1,N1020&gt;10),1,0)+IF(AND(O1020-O1021&gt;1,O1020&gt;10),1,0)+IF(AND(P1020-P1021&gt;1,P1020&gt;10),1,0))</f>
        <v/>
      </c>
      <c r="R1020" s="203" t="str">
        <f>IF(AND(I1020="",I1021=""),"",ABS(VLOOKUP(I1020,I1009:L1012,4,FALSE)-VLOOKUP(I1021,I1009:L1012,4,FALSE)))</f>
        <v/>
      </c>
      <c r="S1020" s="256" t="str">
        <f>IF(R1021="","",IF(Q1020=3,+R1021,-R1021))</f>
        <v/>
      </c>
      <c r="T1020" s="257"/>
      <c r="U1020" s="258"/>
      <c r="V1020" s="258"/>
      <c r="W1020" s="258"/>
      <c r="X1020" s="258"/>
      <c r="Y1020" s="192"/>
      <c r="Z1020" s="203"/>
      <c r="AA1020" s="246">
        <v>2</v>
      </c>
      <c r="AB1020" s="154" t="str">
        <f>IF(AND(COUNTBLANK(I1009:I1012)=0,Group_players=4,M1009=M1010,M1010=M1012),IF(COUNTIF(W1008:W1011,W1009)=3,AB1033,IF(AND(COUNTIF(W1008:W1011,W1009)=1,W1008&lt;&gt;W1010),IF(M1010=2,IF(SMALL(W1008:W1011,1)=W1009,1,IF(SMALL(W1008:W1011,2)=W1009,2,IF(SMALL(W1008:W1011,3)=W1009,3))),IF(M1010=1,IF(SMALL(W1008:W1011,1)=W1009,2,IF(SMALL(W1008:W1011,2)=W1009,3,IF(SMALL(W1008:W1011,3)=W1009,4))),"")),IF(COUNTIF(W1008:W1011,W1009)=1,IF(W1009&lt;W1008,IF(M1010=2,1,2),IF(M1010=2,3,4)),IF(COUNTIF(W1008:W1011,W1009)=2,IF(W1009=W1008,IF(W1009&lt;W1011,IF(M1010=2,IF(Q1033=3,1,2),IF(M1010=1,IF(Q1033=3,2,3))),IF(W1009&gt;W1011,IF(M1010=2,IF(Q1033=3,2,3),IF(M1010=1,IF(Q1033=3,3,4))))),IF(W1009=W1011,IF(W1009&lt;W1008,IF(M1010=2,IF(Q1023=3,1,2),IF(M1010=1,IF(Q1023=3,2,3))),IF(W1009&gt;W1008,IF(M1010=2,IF(Q1023=3,2,3),IF(M1010=1,IF(Q1023=3,3,4))))))),"")))),"")</f>
        <v/>
      </c>
      <c r="AC1020" s="192"/>
      <c r="AD1020" s="192"/>
      <c r="AE1020" s="192"/>
      <c r="AF1020" s="203"/>
      <c r="AG1020" s="203"/>
      <c r="AH1020" s="203"/>
      <c r="AI1020" s="203"/>
      <c r="AJ1020" s="203"/>
      <c r="AK1020" s="203"/>
      <c r="AL1020" s="203"/>
      <c r="AM1020" s="203"/>
      <c r="AN1020" s="192"/>
      <c r="AO1020" s="192"/>
      <c r="AP1020" s="192"/>
      <c r="AQ1020" s="192"/>
      <c r="AR1020" s="192"/>
      <c r="AS1020" s="192"/>
      <c r="AT1020" s="192"/>
      <c r="AU1020" s="192"/>
      <c r="AV1020" s="192"/>
      <c r="AW1020" s="192"/>
      <c r="AX1020" s="192"/>
    </row>
    <row r="1021" spans="2:50" ht="15" customHeight="1" thickBot="1" x14ac:dyDescent="0.35">
      <c r="B1021" s="192"/>
      <c r="C1021" s="192"/>
      <c r="D1021" s="192"/>
      <c r="E1021" s="164" t="str">
        <f>IF(Q1021="","",IF(Q1021=3,1,0))</f>
        <v/>
      </c>
      <c r="F1021" s="164" t="str">
        <f>IF(Q1021="","",IF(Q1021&lt;3,1,0))</f>
        <v/>
      </c>
      <c r="G1021" s="192"/>
      <c r="H1021" s="192" t="str">
        <f>IF(I1010="","",IF(I1011="",2,3))</f>
        <v/>
      </c>
      <c r="I1021" s="192" t="str">
        <f>IF(ISNUMBER(H1021),VLOOKUP(H1021,H1009:I1012,2,TRUE),"")</f>
        <v/>
      </c>
      <c r="J1021" s="192"/>
      <c r="K1021" s="192" t="str">
        <f>VLOOKUP(I1021,I1009:L1012,3,FALSE)</f>
        <v/>
      </c>
      <c r="L1021" s="155"/>
      <c r="M1021" s="259"/>
      <c r="N1021" s="259"/>
      <c r="O1021" s="156"/>
      <c r="P1021" s="157"/>
      <c r="Q1021" s="260" t="str">
        <f>IF(L1021="","",IF(AND(L1021-L1020&gt;1,L1021&gt;10),1,0)+IF(AND(M1021-M1020&gt;1,M1021&gt;10),1,0)+IF(AND(N1021-N1020&gt;1,N1021&gt;10),1,0)+IF(AND(O1021-O1020&gt;1,O1021&gt;10),1,0)+IF(AND(P1021-P1020&gt;1,P1021&gt;10),1,0))</f>
        <v/>
      </c>
      <c r="R1021" s="203" t="str">
        <f>IF(AND(Q1020&lt;&gt;3,Q1021&lt;&gt;3),"",IF(Q1020=3,IF(VLOOKUP(I1020,I1009:L1012,4,FALSE)&gt;VLOOKUP(I1021,I1009:L1012,4,FALSE),VLOOKUP(R1020,Point_dif,2,FALSE),VLOOKUP(R1020,Point_dif,3,FALSE)),IF(Q1021=3,IF(VLOOKUP(I1021,I1009:L1012,4,FALSE)&gt;VLOOKUP(I1020,I1009:L1012,4,FALSE),VLOOKUP(R1020,Point_dif,2,FALSE),VLOOKUP(R1020,Point_dif,3,FALSE)))))</f>
        <v/>
      </c>
      <c r="S1021" s="256" t="str">
        <f>IF(R1021="","",IF(Q1021=3,+R1021,-R1021))</f>
        <v/>
      </c>
      <c r="T1021" s="192"/>
      <c r="U1021" s="235"/>
      <c r="V1021" s="235"/>
      <c r="W1021" s="235"/>
      <c r="X1021" s="235"/>
      <c r="Y1021" s="235"/>
      <c r="Z1021" s="235"/>
      <c r="AA1021" s="240">
        <v>4</v>
      </c>
      <c r="AB1021" s="158" t="str">
        <f>IF(AND(COUNTBLANK(I1009:I1012)=0,Group_players=4,M1009=M1010,M1010=M1012),IF(COUNTIF(W1008:W1011,W1011)=3,AB1034,IF(AND(COUNTIF(W1008:W1011,W1011)=1,W1008&lt;&gt;W1009),IF(M1012=2,IF(SMALL(W1008:W1011,1)=W1011,1,IF(SMALL(W1008:W1011,2)=W1011,2,IF(SMALL(W1008:W1011,3)=W1011,3))),IF(M1012=1,IF(SMALL(W1008:W1011,1)=W1011,2,IF(SMALL(W1008:W1011,2)=W1011,3,IF(SMALL(W1008:W1011,3)=W1011,4))),"")),IF(COUNTIF(W1008:W1011,W1011)=1,IF(W1011&lt;W1008,IF(M1012=2,1,2),IF(M1012=2,3,4)),IF(COUNTIF(W1008:W1011,W1011)=2,IF(W1011=W1008,IF(W1011&lt;W1009,IF(M1012=2,IF(Q1027=3,1,2),IF(M1012=1,IF(Q1027=3,2,3))),IF(W1011&gt;W1010,IF(M1012=2,IF(Q1027=3,2,3),IF(M1012=1,IF(Q1027=3,3,4))))),IF(W1011=W1009,IF(W1011&lt;W1008,IF(M1012=2,IF(Q1024=3,1,2),IF(M1012=1,IF(Q1024=3,2,3))),IF(W1011&gt;W1008,IF(M1012=2,IF(Q1024=3,2,3),IF(M1012=1,IF(Q1024=3,3,4))))))),"")))),"")</f>
        <v/>
      </c>
      <c r="AC1021" s="192"/>
      <c r="AD1021" s="192"/>
      <c r="AE1021" s="192"/>
      <c r="AF1021" s="203"/>
      <c r="AG1021" s="203"/>
      <c r="AH1021" s="203"/>
      <c r="AI1021" s="203"/>
      <c r="AJ1021" s="203"/>
      <c r="AK1021" s="203"/>
      <c r="AL1021" s="203"/>
      <c r="AM1021" s="203"/>
      <c r="AN1021" s="192"/>
      <c r="AO1021" s="192"/>
      <c r="AP1021" s="192"/>
      <c r="AQ1021" s="192"/>
      <c r="AR1021" s="192"/>
      <c r="AS1021" s="192"/>
      <c r="AT1021" s="192"/>
      <c r="AU1021" s="192"/>
      <c r="AV1021" s="192"/>
      <c r="AW1021" s="192"/>
      <c r="AX1021" s="192"/>
    </row>
    <row r="1022" spans="2:50" ht="15" customHeight="1" thickTop="1" thickBot="1" x14ac:dyDescent="0.35">
      <c r="B1022" s="192"/>
      <c r="C1022" s="192"/>
      <c r="D1022" s="192"/>
      <c r="E1022" s="164"/>
      <c r="F1022" s="164"/>
      <c r="G1022" s="192"/>
      <c r="H1022" s="192"/>
      <c r="I1022" s="249" t="s">
        <v>116</v>
      </c>
      <c r="J1022" s="249"/>
      <c r="K1022" s="249"/>
      <c r="L1022" s="250" t="s">
        <v>115</v>
      </c>
      <c r="M1022" s="250" t="s">
        <v>116</v>
      </c>
      <c r="N1022" s="250" t="s">
        <v>117</v>
      </c>
      <c r="O1022" s="250" t="s">
        <v>118</v>
      </c>
      <c r="P1022" s="250" t="s">
        <v>119</v>
      </c>
      <c r="Q1022" s="250" t="s">
        <v>120</v>
      </c>
      <c r="R1022" s="250"/>
      <c r="S1022" s="251"/>
      <c r="T1022" s="192"/>
      <c r="U1022" s="235"/>
      <c r="V1022" s="235"/>
      <c r="W1022" s="235"/>
      <c r="X1022" s="235"/>
      <c r="Y1022" s="235"/>
      <c r="Z1022" s="235"/>
      <c r="AA1022" s="243">
        <v>2</v>
      </c>
      <c r="AB1022" s="151" t="str">
        <f>IF(AND(COUNTBLANK(I1009:I1012)=0,Group_players=4,M1010=M1011,M1011=M1012),IF(COUNTIF(X1008:X1011,X1009)=3,AB1035,IF(AND(COUNTIF(X1008:X1011,X1009)=1,X1010&lt;&gt;X1011),IF(M1010=2,IF(SMALL(X1008:X1011,1)=X1009,1,IF(SMALL(X1008:X1011,2)=X1009,2,IF(SMALL(X1008:X1011,3)=X1009,3))),IF(M1010=1,IF(SMALL(X1008:X1011,1)=X1009,2,IF(SMALL(X1008:X1011,2)=X1009,3,IF(SMALL(X1008:X1011,3)=X1009,4))),"")),IF(COUNTIF(X1008:X1011,X1009)=1,IF(X1009&lt;X1011,IF(M1010=2,1,2),IF(M1010=1,3,3)),IF(COUNTIF(X1008:X1011,X1009)=2,IF(X1009=X1010,IF(X1009&lt;X1011,IF(M1010=2,IF(Q1029=3,1,2),IF(M1010=1,IF(Q1029=3,2,3))),IF(X1009&gt;X1011,IF(M1010=2,IF(Q1029=3,2,3),IF(M1010=1,IF(Q1029=3,3,4))))),IF(X1009=X1011,IF(X1009&lt;X1010,IF(M1010=2,IF(Q1023=3,1,2),IF(M1010=1,IF(Q1023=3,2,3))),IF(X1009&gt;X1010,IF(M1010=2,IF(Q1023=3,2,3),IF(M1010=1,IF(Q1023=3,3,4))))))),"")))),"")</f>
        <v/>
      </c>
      <c r="AC1022" s="192"/>
      <c r="AD1022" s="192"/>
      <c r="AE1022" s="192"/>
      <c r="AF1022" s="203"/>
      <c r="AG1022" s="203"/>
      <c r="AH1022" s="203"/>
      <c r="AI1022" s="203"/>
      <c r="AJ1022" s="203"/>
      <c r="AK1022" s="203"/>
      <c r="AL1022" s="203"/>
      <c r="AM1022" s="203"/>
      <c r="AN1022" s="192"/>
      <c r="AO1022" s="192"/>
      <c r="AP1022" s="192"/>
      <c r="AQ1022" s="192"/>
      <c r="AR1022" s="192"/>
      <c r="AS1022" s="192"/>
      <c r="AT1022" s="192"/>
      <c r="AU1022" s="192"/>
      <c r="AV1022" s="192"/>
      <c r="AW1022" s="192"/>
      <c r="AX1022" s="192"/>
    </row>
    <row r="1023" spans="2:50" ht="15" customHeight="1" thickTop="1" x14ac:dyDescent="0.3">
      <c r="B1023" s="192"/>
      <c r="C1023" s="192"/>
      <c r="D1023" s="192"/>
      <c r="E1023" s="164" t="str">
        <f>IF(Q1023="","",IF(Q1023=3,1,0))</f>
        <v/>
      </c>
      <c r="F1023" s="164" t="str">
        <f>IF(Q1023="","",IF(Q1023&lt;3,1,0))</f>
        <v/>
      </c>
      <c r="G1023" s="192"/>
      <c r="H1023" s="192" t="str">
        <f>IF(I1011="","",2)</f>
        <v/>
      </c>
      <c r="I1023" s="192" t="str">
        <f>IF(ISNUMBER(H1023),VLOOKUP(H1023,H1009:I1012,2,TRUE),"")</f>
        <v/>
      </c>
      <c r="J1023" s="192"/>
      <c r="K1023" s="192" t="str">
        <f>VLOOKUP(I1023,I1009:L1012,3,FALSE)</f>
        <v/>
      </c>
      <c r="L1023" s="253"/>
      <c r="M1023" s="254"/>
      <c r="N1023" s="254"/>
      <c r="O1023" s="152"/>
      <c r="P1023" s="153"/>
      <c r="Q1023" s="255" t="str">
        <f>IF(L1023="","",IF(AND(L1023-L1024&gt;1,L1023&gt;10),1,0)+IF(AND(M1023-M1024&gt;1,M1023&gt;10),1,0)+IF(AND(N1023-N1024&gt;1,N1023&gt;10),1,0)+IF(AND(O1023-O1024&gt;1,O1023&gt;10),1,0)+IF(AND(P1023-P1024&gt;1,P1023&gt;10),1,0))</f>
        <v/>
      </c>
      <c r="R1023" s="203" t="str">
        <f>IF(AND(I1023="",I1024=""),"",ABS(VLOOKUP(I1023,I1009:L1012,4,FALSE)-VLOOKUP(I1024,I1009:L1012,4,FALSE)))</f>
        <v/>
      </c>
      <c r="S1023" s="256" t="str">
        <f>IF(R1024="","",IF(Q1023=3,+R1024,-R1024))</f>
        <v/>
      </c>
      <c r="T1023" s="192"/>
      <c r="U1023" s="235"/>
      <c r="V1023" s="235"/>
      <c r="W1023" s="235"/>
      <c r="X1023" s="235"/>
      <c r="Y1023" s="235"/>
      <c r="Z1023" s="235"/>
      <c r="AA1023" s="246">
        <v>3</v>
      </c>
      <c r="AB1023" s="154" t="str">
        <f>IF(AND(COUNTBLANK(I1009:I1012)=0,Group_players=4,M1010=M1011,M1011=M1012),IF(COUNTIF(X1008:X1011,X1010)=3,AB1036,IF(AND(COUNTIF(X1008:X1011,X1010)=1,X1009&lt;&gt;X1011),IF(M1011=2,IF(SMALL(X1008:X1011,1)=X1010,1,IF(SMALL(X1008:X1011,2)=X1010,2,IF(SMALL(X1008:X1011,3)=X1010,3))),IF(M1011=1,IF(SMALL(X1008:X1011,1)=X1010,2,IF(SMALL(X1008:X1011,2)=X1010,3,IF(SMALL(X1008:X1011,3)=X1010,4))),"")),IF(COUNTIF(X1008:X1011,X1010)=1,IF(X1010&lt;X1009,IF(M1011=2,1,2),IF(M1011=2,3,4)),IF(COUNTIF(X1008:X1011,X1010)=2,IF(X1010=X1009,IF(X1010&lt;X1011,IF(M1011=2,IF(Q1030=3,1,2),IF(M1011=1,IF(Q1030=3,2,3))),IF(X1010&gt;X1011,IF(M1011=2,IF(Q1030=3,2,3),IF(M1011=1,IF(Q1030=3,3,4))))),IF(X1010=X1011,IF(X1010&lt;X1009,IF(M1011=2,IF(Q1035=3,1,2),IF(M1011=1,IF(Q1035=3,2,3))),IF(X1010&gt;X1009,IF(M1011=2,IF(Q1035=3,2,3),IF(M1011=1,IF(Q1035=3,3,4))))))),"")))),"")</f>
        <v/>
      </c>
      <c r="AC1023" s="192"/>
      <c r="AD1023" s="192"/>
      <c r="AE1023" s="192"/>
      <c r="AF1023" s="203"/>
      <c r="AG1023" s="203"/>
      <c r="AH1023" s="203"/>
      <c r="AI1023" s="203"/>
      <c r="AJ1023" s="203"/>
      <c r="AK1023" s="203"/>
      <c r="AL1023" s="203"/>
      <c r="AM1023" s="203"/>
      <c r="AN1023" s="192"/>
      <c r="AO1023" s="192"/>
      <c r="AP1023" s="192"/>
      <c r="AQ1023" s="192"/>
      <c r="AR1023" s="192"/>
      <c r="AS1023" s="192"/>
      <c r="AT1023" s="192"/>
      <c r="AU1023" s="192"/>
      <c r="AV1023" s="192"/>
      <c r="AW1023" s="192"/>
      <c r="AX1023" s="192"/>
    </row>
    <row r="1024" spans="2:50" ht="15" customHeight="1" thickBot="1" x14ac:dyDescent="0.35">
      <c r="B1024" s="192"/>
      <c r="C1024" s="192"/>
      <c r="D1024" s="192"/>
      <c r="E1024" s="164" t="str">
        <f>IF(Q1024="","",IF(Q1024=3,1,0))</f>
        <v/>
      </c>
      <c r="F1024" s="164" t="str">
        <f>IF(Q1024="","",IF(Q1024&lt;3,1,0))</f>
        <v/>
      </c>
      <c r="G1024" s="192"/>
      <c r="H1024" s="192" t="str">
        <f>IF(I1011="","",IF(I1012="",3,4))</f>
        <v/>
      </c>
      <c r="I1024" s="192" t="str">
        <f>IF(ISNUMBER(H1024),VLOOKUP(H1024,H1009:I1012,2,TRUE),"")</f>
        <v/>
      </c>
      <c r="J1024" s="192"/>
      <c r="K1024" s="192" t="str">
        <f>VLOOKUP(I1024,I1009:L1012,3,FALSE)</f>
        <v/>
      </c>
      <c r="L1024" s="155"/>
      <c r="M1024" s="259"/>
      <c r="N1024" s="259"/>
      <c r="O1024" s="156"/>
      <c r="P1024" s="157"/>
      <c r="Q1024" s="260" t="str">
        <f>IF(L1024="","",IF(AND(L1024-L1023&gt;1,L1024&gt;10),1,0)+IF(AND(M1024-M1023&gt;1,M1024&gt;10),1,0)+IF(AND(N1024-N1023&gt;1,N1024&gt;10),1,0)+IF(AND(O1024-O1023&gt;1,O1024&gt;10),1,0)+IF(AND(P1024-P1023&gt;1,P1024&gt;10),1,0))</f>
        <v/>
      </c>
      <c r="R1024" s="203" t="str">
        <f>IF(AND(Q1023&lt;&gt;3,Q1024&lt;&gt;3),"",IF(Q1023=3,IF(VLOOKUP(I1023,I1009:L1012,4,FALSE)&gt;VLOOKUP(I1024,I1009:L1012,4,FALSE),VLOOKUP(R1023,Point_dif,2,FALSE),VLOOKUP(R1023,Point_dif,3,FALSE)),IF(Q1024=3,IF(VLOOKUP(I1024,I1009:L1012,4,FALSE)&gt;VLOOKUP(I1023,I1009:L1012,4,FALSE),VLOOKUP(R1023,Point_dif,2,FALSE),VLOOKUP(R1023,Point_dif,3,FALSE)))))</f>
        <v/>
      </c>
      <c r="S1024" s="256" t="str">
        <f>IF(R1024="","",IF(Q1024=3,+R1024,-R1024))</f>
        <v/>
      </c>
      <c r="T1024" s="192"/>
      <c r="U1024" s="235"/>
      <c r="V1024" s="235"/>
      <c r="W1024" s="235"/>
      <c r="X1024" s="235"/>
      <c r="Y1024" s="235"/>
      <c r="Z1024" s="235"/>
      <c r="AA1024" s="261">
        <v>4</v>
      </c>
      <c r="AB1024" s="158" t="str">
        <f>IF(AND(COUNTBLANK(I1009:I1012)=0,Group_players=4,M1010=M1011,M1011=M1012),IF(COUNTIF(X1008:X1011,X1011)=3,AB1037,IF(AND(COUNTIF(X1008:X1011,X1011)=1,X1010&lt;&gt;X1009),IF(M1012=2,IF(SMALL(X1008:X1011,1)=X1011,1,IF(SMALL(X1008:X1011,2)=X1011,2,IF(SMALL(X1008:X1011,3)=X1011,3))),IF(M1012=1,IF(SMALL(X1008:X1011,1)=X1011,2,IF(SMALL(X1008:X1011,2)=X1011,3,IF(SMALL(X1008:X1011,3)=X1011,4))),"")),IF(COUNTIF(X1008:X1011,X1011)=1,IF(X1011&lt;X1009,IF(M1012=2,1,2),IF(M1012=2,3,4)),IF(COUNTIF(X1008:X1011,X1011)=2,IF(X1011=X1009,IF(X1011&lt;X1010,IF(M1012=2,IF(Q1024=3,1,2),IF(M1012=1,IF(Q1024=3,2,3))),IF(X1011&gt;X1010,IF(M1012=2,IF(Q1024=3,2,3),IF(M1012=1,IF(Q1024=3,3,4))))),IF(X1011=X1010,IF(X1011&lt;X1009,IF(M1012=2,IF(Q1036=3,1,2),IF(M1012=1,IF(Q1036=3,2,3))),IF(X1011&gt;X1009,IF(M1012=2,IF(Q1036=3,2,3),IF(M1012=1,IF(Q1036=3,3,4))))))),"")))),"")</f>
        <v/>
      </c>
      <c r="AC1024" s="192"/>
      <c r="AD1024" s="192"/>
      <c r="AE1024" s="192"/>
      <c r="AF1024" s="203"/>
      <c r="AG1024" s="203"/>
      <c r="AH1024" s="203"/>
      <c r="AI1024" s="203"/>
      <c r="AJ1024" s="203"/>
      <c r="AK1024" s="203"/>
      <c r="AL1024" s="203"/>
      <c r="AM1024" s="203"/>
      <c r="AN1024" s="192"/>
      <c r="AO1024" s="192"/>
      <c r="AP1024" s="192"/>
      <c r="AQ1024" s="192"/>
      <c r="AR1024" s="192"/>
      <c r="AS1024" s="192"/>
      <c r="AT1024" s="192"/>
      <c r="AU1024" s="192"/>
      <c r="AV1024" s="192"/>
      <c r="AW1024" s="192"/>
      <c r="AX1024" s="192"/>
    </row>
    <row r="1025" spans="2:50" ht="15" customHeight="1" thickTop="1" thickBot="1" x14ac:dyDescent="0.35">
      <c r="B1025" s="192"/>
      <c r="C1025" s="192"/>
      <c r="D1025" s="192"/>
      <c r="E1025" s="164"/>
      <c r="F1025" s="164"/>
      <c r="G1025" s="192"/>
      <c r="H1025" s="192"/>
      <c r="I1025" s="249" t="s">
        <v>117</v>
      </c>
      <c r="J1025" s="249"/>
      <c r="K1025" s="249"/>
      <c r="L1025" s="250" t="s">
        <v>115</v>
      </c>
      <c r="M1025" s="250" t="s">
        <v>116</v>
      </c>
      <c r="N1025" s="250" t="s">
        <v>117</v>
      </c>
      <c r="O1025" s="250" t="s">
        <v>118</v>
      </c>
      <c r="P1025" s="250" t="s">
        <v>119</v>
      </c>
      <c r="Q1025" s="250" t="s">
        <v>120</v>
      </c>
      <c r="R1025" s="250"/>
      <c r="S1025" s="251"/>
      <c r="T1025" s="263"/>
      <c r="U1025" s="264"/>
      <c r="V1025" s="242"/>
      <c r="W1025" s="242"/>
      <c r="X1025" s="264"/>
      <c r="Y1025" s="192"/>
      <c r="Z1025" s="203"/>
      <c r="AA1025" s="126" t="s">
        <v>93</v>
      </c>
      <c r="AB1025" s="265" t="s">
        <v>110</v>
      </c>
      <c r="AC1025" s="192"/>
      <c r="AD1025" s="192"/>
      <c r="AE1025" s="192"/>
      <c r="AF1025" s="203"/>
      <c r="AG1025" s="203"/>
      <c r="AH1025" s="203"/>
      <c r="AI1025" s="203"/>
      <c r="AJ1025" s="203"/>
      <c r="AK1025" s="203"/>
      <c r="AL1025" s="203"/>
      <c r="AM1025" s="203"/>
      <c r="AN1025" s="192"/>
      <c r="AO1025" s="192"/>
      <c r="AP1025" s="192"/>
      <c r="AQ1025" s="192"/>
      <c r="AR1025" s="192"/>
      <c r="AS1025" s="192"/>
      <c r="AT1025" s="192"/>
      <c r="AU1025" s="192"/>
      <c r="AV1025" s="192"/>
      <c r="AW1025" s="192"/>
      <c r="AX1025" s="192"/>
    </row>
    <row r="1026" spans="2:50" ht="15" customHeight="1" thickTop="1" x14ac:dyDescent="0.3">
      <c r="B1026" s="192"/>
      <c r="C1026" s="192"/>
      <c r="D1026" s="192"/>
      <c r="E1026" s="164" t="str">
        <f>IF(Q1026="","",IF(Q1026=3,1,0))</f>
        <v/>
      </c>
      <c r="F1026" s="164" t="str">
        <f>IF(Q1026="","",IF(Q1026&lt;3,1,0))</f>
        <v/>
      </c>
      <c r="G1026" s="192"/>
      <c r="H1026" s="192" t="str">
        <f>IF(I1011&lt;&gt;"",1,"")</f>
        <v/>
      </c>
      <c r="I1026" s="192" t="str">
        <f>IF(ISNUMBER(H1026),VLOOKUP(H1026,H1009:I1012,2,TRUE),"")</f>
        <v/>
      </c>
      <c r="J1026" s="192"/>
      <c r="K1026" s="192" t="str">
        <f>VLOOKUP(I1026,I1009:L1012,3,FALSE)</f>
        <v/>
      </c>
      <c r="L1026" s="253"/>
      <c r="M1026" s="254"/>
      <c r="N1026" s="254"/>
      <c r="O1026" s="152"/>
      <c r="P1026" s="153"/>
      <c r="Q1026" s="255" t="str">
        <f>IF(L1026="","",IF(AND(L1026-L1027&gt;1,L1026&gt;10),1,0)+IF(AND(M1026-M1027&gt;1,M1026&gt;10),1,0)+IF(AND(N1026-N1027&gt;1,N1026&gt;10),1,0)+IF(AND(O1026-O1027&gt;1,O1026&gt;10),1,0)+IF(AND(P1026-P1027&gt;1,P1026&gt;10),1,0))</f>
        <v/>
      </c>
      <c r="R1026" s="203" t="str">
        <f>IF(AND(I1026="",I1027=""),"",ABS(VLOOKUP(I1026,I1009:L1012,4,FALSE)-VLOOKUP(I1027,I1009:L1012,4,FALSE)))</f>
        <v/>
      </c>
      <c r="S1026" s="256" t="str">
        <f>IF(R1027="","",IF(Q1026=3,+R1027,-R1027))</f>
        <v/>
      </c>
      <c r="T1026" s="192"/>
      <c r="U1026" s="235"/>
      <c r="V1026" s="235"/>
      <c r="W1026" s="235"/>
      <c r="X1026" s="235"/>
      <c r="Y1026" s="235"/>
      <c r="Z1026" s="235"/>
      <c r="AA1026" s="243">
        <v>1</v>
      </c>
      <c r="AB1026" s="222" t="str">
        <f>IF(AND(COUNTBLANK(I1009:I1012)=0,Group_players=4,M1009=M1010,M1010=M1011),IF(U1016="","",IF(COUNTIF(U1016:U1019,U1016)=3,"Tied",IF(AND(COUNTIF(U1016:U1019,U1016)=1,U1017&lt;&gt;U1018),IF(M1009=2,IF(SMALL(U1016:U1019,1)=U1016,1,IF(SMALL(U1016:U1019,2)=U1016,2,IF(SMALL(U1016:U1019,3)=U1016,3))),IF(M1009=1,IF(SMALL(U1016:U1019,1)=U1016,2,IF(SMALL(U1016:U1019,2)=U1016,3,IF(SMALL(U1016:U1019,3)=U1016,4))),"")),IF(COUNTIF(U1016:U1019,U1016)=1,IF(U1016&lt;U1017,IF(M1009=2,1,2),IF(M1009=2,3,4)),IF(COUNTIF(U1016:U1019,U1016)=2,IF(U1016=U1017,IF(U1016&lt;U1018,IF(M1009=2,IF(Q1032=3,1,2),IF(M1009=1,IF(Q1032=3,2,3))),IF(U1016&gt;U1018,IF(M1009=2,IF(Q1032=3,2,3),IF(M1009=1,IF(Q1032=3,3,4))))),IF(U1016=U1018,IF(U1016&lt;U1017,IF(M1009=2,IF(Q1020=3,1,2),IF(M1009=1,IF(Q1020=3,2,3))),IF(U1016&gt;U1017,IF(M1009=2,IF(Q1020=3,2,3),IF(M1009=1,IF(Q1020=3,3,4)))))))))))),"")</f>
        <v/>
      </c>
      <c r="AC1026" s="192"/>
      <c r="AD1026" s="192"/>
      <c r="AE1026" s="192"/>
      <c r="AF1026" s="203"/>
      <c r="AG1026" s="203"/>
      <c r="AH1026" s="203"/>
      <c r="AI1026" s="203"/>
      <c r="AJ1026" s="203"/>
      <c r="AK1026" s="203"/>
      <c r="AL1026" s="203"/>
      <c r="AM1026" s="203"/>
      <c r="AN1026" s="192"/>
      <c r="AO1026" s="192"/>
      <c r="AP1026" s="192"/>
      <c r="AQ1026" s="192"/>
      <c r="AR1026" s="192"/>
      <c r="AS1026" s="192"/>
      <c r="AT1026" s="192"/>
      <c r="AU1026" s="192"/>
      <c r="AV1026" s="192"/>
      <c r="AW1026" s="192"/>
      <c r="AX1026" s="192"/>
    </row>
    <row r="1027" spans="2:50" ht="15" customHeight="1" thickBot="1" x14ac:dyDescent="0.35">
      <c r="B1027" s="192"/>
      <c r="C1027" s="192"/>
      <c r="D1027" s="192"/>
      <c r="E1027" s="164" t="str">
        <f>IF(Q1027="","",IF(Q1027=3,1,0))</f>
        <v/>
      </c>
      <c r="F1027" s="164" t="str">
        <f>IF(Q1027="","",IF(Q1027&lt;3,1,0))</f>
        <v/>
      </c>
      <c r="G1027" s="192"/>
      <c r="H1027" s="192" t="str">
        <f>IF(I1011="","",IF(I1012&lt;&gt;"",4,2))</f>
        <v/>
      </c>
      <c r="I1027" s="192" t="str">
        <f>IF(ISNUMBER(H1027),VLOOKUP(H1027,H1009:I1012,2,TRUE),"")</f>
        <v/>
      </c>
      <c r="J1027" s="192"/>
      <c r="K1027" s="192" t="str">
        <f>VLOOKUP(I1027,I1009:L1012,3,FALSE)</f>
        <v/>
      </c>
      <c r="L1027" s="155"/>
      <c r="M1027" s="259"/>
      <c r="N1027" s="259"/>
      <c r="O1027" s="156"/>
      <c r="P1027" s="157"/>
      <c r="Q1027" s="260" t="str">
        <f>IF(L1027="","",IF(AND(L1027-L1026&gt;1,L1027&gt;10),1,0)+IF(AND(M1027-M1026&gt;1,M1027&gt;10),1,0)+IF(AND(N1027-N1026&gt;1,N1027&gt;10),1,0)+IF(AND(O1027-O1026&gt;1,O1027&gt;10),1,0)+IF(AND(P1027-P1026&gt;1,P1027&gt;10),1,0))</f>
        <v/>
      </c>
      <c r="R1027" s="203" t="str">
        <f>IF(AND(Q1026&lt;&gt;3,Q1027&lt;&gt;3),"",IF(Q1026=3,IF(VLOOKUP(I1026,I1009:L1012,4,FALSE)&gt;VLOOKUP(I1027,I1009:L1012,4,FALSE),VLOOKUP(R1026,Point_dif,2,FALSE),VLOOKUP(R1026,Point_dif,3,FALSE)),IF(Q1027=3,IF(VLOOKUP(I1027,I1009:L1012,4,FALSE)&gt;VLOOKUP(I1026,I1009:L1012,4,FALSE),VLOOKUP(R1026,Point_dif,2,FALSE),VLOOKUP(R1026,Point_dif,3,FALSE)))))</f>
        <v/>
      </c>
      <c r="S1027" s="256" t="str">
        <f>IF(R1027="","",IF(Q1027=3,+R1027,-R1027))</f>
        <v/>
      </c>
      <c r="T1027" s="192"/>
      <c r="U1027" s="235"/>
      <c r="V1027" s="235"/>
      <c r="W1027" s="235"/>
      <c r="X1027" s="235"/>
      <c r="Y1027" s="235"/>
      <c r="Z1027" s="235"/>
      <c r="AA1027" s="246">
        <v>2</v>
      </c>
      <c r="AB1027" s="222" t="str">
        <f>IF(AND(COUNTBLANK(I1009:I1012)=0,Group_players=4,M1009=M1010,M1010=M1011),IF(U1017="","",IF(COUNTIF(U1016:U1019,U1017)=3,"Tied",IF(AND(COUNTIF(U1016:U1019,U1017)=1,U1016&lt;&gt;U1018),IF(M1010=2,IF(SMALL(U1016:U1019,1)=U1017,1,IF(SMALL(U1016:U1019,2)=U1017,2,IF(SMALL(U1016:U1019,3)=U1017,3))),IF(M1010=1,IF(SMALL(U1016:U1019,1)=U1017,2,IF(SMALL(U1016:U1019,2)=U1017,3,IF(SMALL(U1016:U1019,3)=U1017,4))),"")),IF(COUNTIF(U1016:U1019,U1017)=1,IF(U1017&lt;U1016,IF(M1010=2,1,2),IF(M1010=2,3,4)),IF(COUNTIF(U1016:U1019,U1017)=2,IF(U1017=U1016,IF(U1017&lt;U1018,IF(M1010=2,IF(Q1033=3,1,2),IF(M1010=1,IF(Q1033=3,2,3))),IF(U1017&gt;U1018,IF(M1010=2,IF(Q1033=3,2,3),IF(M1010=1,IF(Q1033=3,3,4))))),IF(U1017=U1018,IF(U1017&lt;U1016,IF(M1010=2,IF(Q1029=3,1,2),IF(M1010=1,IF(Q1029=3,2,3))),IF(U1017&gt;U1016,IF(M1010=2,IF(Q1029=3,2,3),IF(M1010=1,IF(Q1029=3,3,4)))))))))))),"")</f>
        <v/>
      </c>
      <c r="AC1027" s="192"/>
      <c r="AD1027" s="192"/>
      <c r="AE1027" s="192"/>
      <c r="AF1027" s="203"/>
      <c r="AG1027" s="203"/>
      <c r="AH1027" s="203"/>
      <c r="AI1027" s="203"/>
      <c r="AJ1027" s="203"/>
      <c r="AK1027" s="203"/>
      <c r="AL1027" s="203"/>
      <c r="AM1027" s="203"/>
      <c r="AN1027" s="192"/>
      <c r="AO1027" s="192"/>
      <c r="AP1027" s="192"/>
      <c r="AQ1027" s="192"/>
      <c r="AR1027" s="192"/>
      <c r="AS1027" s="192"/>
      <c r="AT1027" s="192"/>
      <c r="AU1027" s="192"/>
      <c r="AV1027" s="192"/>
      <c r="AW1027" s="192"/>
      <c r="AX1027" s="192"/>
    </row>
    <row r="1028" spans="2:50" ht="15" customHeight="1" thickTop="1" thickBot="1" x14ac:dyDescent="0.35">
      <c r="B1028" s="192"/>
      <c r="C1028" s="192"/>
      <c r="D1028" s="192"/>
      <c r="E1028" s="164"/>
      <c r="F1028" s="164"/>
      <c r="G1028" s="192"/>
      <c r="H1028" s="192"/>
      <c r="I1028" s="249" t="s">
        <v>118</v>
      </c>
      <c r="J1028" s="249"/>
      <c r="K1028" s="249"/>
      <c r="L1028" s="250" t="s">
        <v>115</v>
      </c>
      <c r="M1028" s="250" t="s">
        <v>116</v>
      </c>
      <c r="N1028" s="250" t="s">
        <v>117</v>
      </c>
      <c r="O1028" s="250" t="s">
        <v>118</v>
      </c>
      <c r="P1028" s="250" t="s">
        <v>119</v>
      </c>
      <c r="Q1028" s="250" t="s">
        <v>120</v>
      </c>
      <c r="R1028" s="250"/>
      <c r="S1028" s="251"/>
      <c r="T1028" s="192"/>
      <c r="U1028" s="235"/>
      <c r="V1028" s="235"/>
      <c r="W1028" s="235"/>
      <c r="X1028" s="235"/>
      <c r="Y1028" s="235"/>
      <c r="Z1028" s="235"/>
      <c r="AA1028" s="240">
        <v>3</v>
      </c>
      <c r="AB1028" s="241" t="str">
        <f>IF(AND(COUNTBLANK(I1009:I1012)=0,Group_players=4,M1009=M1010,M1010=M1011),IF(U1018="","",IF(COUNTIF(U1016:U1019,U1018)=3,"Tied",IF(AND(COUNTIF(U1016:U1019,U1018)=1,U1016&lt;&gt;U1017),IF(M1009=2,IF(SMALL(U1016:U1019,1)=U1018,1,IF(SMALL(U1016:U1019,2)=U1018,2,IF(SMALL(U1016:U1019,3)=U1018,3))),IF(M1011=1,IF(SMALL(U1016:U1019,1)=U1018,2,IF(SMALL(U1016:U1019,2)=U1018,3,IF(SMALL(U1016:U1019,3)=U1018,4))),"")),IF(COUNTIF(U1016:U1019,U1018)=1,IF(U1018&lt;U1017,IF(M1011=2,1,2),IF(M1011=2,3,4)),IF(COUNTIF(U1016:U1019,U1018)=2,IF(U1018=U1017,IF(U1018&lt;U1016,IF(M1011=2,IF(Q1030=3,1,2),IF(M1011=1,IF(Q1030=3,2,3))),IF(U1018&gt;U1016,IF(M1011=2,IF(Q1030=3,2,3),IF(M1011=1,IF(Q1030=3,3,4))))),IF(U1018=U1016,IF(U1018&lt;U1017,IF(M1011=2,IF(Q1021=3,1,2),IF(M1011=1,IF(Q1021=3,2,3))),IF(U1018&gt;U1017,IF(M1011=2,IF(Q1021=3,2,3),IF(M1011=1,IF(Q1021=3,3,4)))))))))))),"")</f>
        <v/>
      </c>
      <c r="AC1028" s="192"/>
      <c r="AD1028" s="192"/>
      <c r="AE1028" s="192"/>
      <c r="AF1028" s="203"/>
      <c r="AG1028" s="203"/>
      <c r="AH1028" s="203"/>
      <c r="AI1028" s="203"/>
      <c r="AJ1028" s="203"/>
      <c r="AK1028" s="203"/>
      <c r="AL1028" s="203"/>
      <c r="AM1028" s="203"/>
      <c r="AN1028" s="192"/>
      <c r="AO1028" s="192"/>
      <c r="AP1028" s="192"/>
      <c r="AQ1028" s="192"/>
      <c r="AR1028" s="192"/>
      <c r="AS1028" s="192"/>
      <c r="AT1028" s="192"/>
      <c r="AU1028" s="192"/>
      <c r="AV1028" s="192"/>
      <c r="AW1028" s="192"/>
      <c r="AX1028" s="192"/>
    </row>
    <row r="1029" spans="2:50" ht="15" customHeight="1" thickTop="1" x14ac:dyDescent="0.3">
      <c r="B1029" s="192"/>
      <c r="C1029" s="192"/>
      <c r="D1029" s="192"/>
      <c r="E1029" s="164" t="str">
        <f>IF(Q1029="","",IF(Q1029=3,1,0))</f>
        <v/>
      </c>
      <c r="F1029" s="164" t="str">
        <f>IF(Q1029="","",IF(Q1029&lt;3,1,0))</f>
        <v/>
      </c>
      <c r="G1029" s="192"/>
      <c r="H1029" s="192" t="str">
        <f>IF(I1012&lt;&gt;"",2,"")</f>
        <v/>
      </c>
      <c r="I1029" s="192" t="str">
        <f>IF(ISNUMBER(H1029),VLOOKUP(H1029,H1009:I1012,2,TRUE),"")</f>
        <v/>
      </c>
      <c r="J1029" s="192"/>
      <c r="K1029" s="192" t="str">
        <f>VLOOKUP(I1029,I1009:L1012,3,FALSE)</f>
        <v/>
      </c>
      <c r="L1029" s="253"/>
      <c r="M1029" s="254"/>
      <c r="N1029" s="254"/>
      <c r="O1029" s="152"/>
      <c r="P1029" s="153"/>
      <c r="Q1029" s="255" t="str">
        <f>IF(L1029="","",IF(AND(L1029-L1030&gt;1,L1029&gt;10),1,0)+IF(AND(M1029-M1030&gt;1,M1029&gt;10),1,0)+IF(AND(N1029-N1030&gt;1,N1029&gt;10),1,0)+IF(AND(O1029-O1030&gt;1,O1029&gt;10),1,0)+IF(AND(P1029-P1030&gt;1,P1029&gt;10),1,0))</f>
        <v/>
      </c>
      <c r="R1029" s="203" t="str">
        <f>IF(AND(I1029="",I1030=""),"",ABS(VLOOKUP(I1029,I1009:L1012,4,FALSE)-VLOOKUP(I1030,I1009:L1012,4,FALSE)))</f>
        <v/>
      </c>
      <c r="S1029" s="256" t="str">
        <f>IF(R1030="","",IF(Q1029=3,+R1030,-R1030))</f>
        <v/>
      </c>
      <c r="T1029" s="192"/>
      <c r="U1029" s="235"/>
      <c r="V1029" s="235"/>
      <c r="W1029" s="235"/>
      <c r="X1029" s="235"/>
      <c r="Y1029" s="235"/>
      <c r="Z1029" s="235"/>
      <c r="AA1029" s="243">
        <v>1</v>
      </c>
      <c r="AB1029" s="222" t="str">
        <f>IF(AND(COUNTBLANK(I1009:I1012)=0,Group_players=4,M1009=M1011,M1011=M1012),IF(V1016="","",IF(COUNTIF(V1016:V1019,V1016)=3,"Tied",IF(AND(COUNTIF(V1016:V1019,V1016)=1,V1018&lt;&gt;U1019),IF(M1009=2,IF(SMALL(V1016:V1019,1)=V1016,1,IF(SMALL(V1016:V1019,2)=V1016,2,IF(SMALL(V1016:V1019,3)=V1016,3))),IF(M1009=1,IF(SMALL(V1016:V1019,1)=V1016,2,IF(SMALL(V1016:V1019,2)=V1016,3,IF(SMALL(V1016:V1019,3)=V1016,4))),"")),IF(COUNTIF(V1016:V1019,V1016)=1,IF(V1016&lt;V1018,IF(M1009=2,1,2),IF(M1009=2,3,4)),IF(COUNTIF(V1016:V1019,V1016)=2,IF(V1016=V1018,IF(V1016&lt;V1019,IF(M1009=2,IF(Q1020=3,1,2),IF(M1009=1,IF(Q1020=3,2,3))),IF(V1016&gt;V1019,IF(M1009=2,IF(Q1020=3,2,3),IF(M1009=1,IF(Q1020=3,3,4))))),IF(V1016=V1019,IF(V1016&lt;V1018,IF(M1009=2,IF(Q1026=3,1,2),IF(M1009=1,IF(Q1026=3,2,3))),IF(V1016&gt;V1017,IF(M1009=2,IF(Q1026=3,2,3),IF(M1009=1,IF(Q1026=3,3,4)))))))))))),"")</f>
        <v/>
      </c>
      <c r="AC1029" s="192"/>
      <c r="AD1029" s="192"/>
      <c r="AE1029" s="192"/>
      <c r="AF1029" s="203"/>
      <c r="AG1029" s="203"/>
      <c r="AH1029" s="203"/>
      <c r="AI1029" s="203"/>
      <c r="AJ1029" s="203"/>
      <c r="AK1029" s="203"/>
      <c r="AL1029" s="203"/>
      <c r="AM1029" s="203"/>
      <c r="AN1029" s="192"/>
      <c r="AO1029" s="192"/>
      <c r="AP1029" s="192"/>
      <c r="AQ1029" s="192"/>
      <c r="AR1029" s="192"/>
      <c r="AS1029" s="192"/>
      <c r="AT1029" s="192"/>
      <c r="AU1029" s="192"/>
      <c r="AV1029" s="192"/>
      <c r="AW1029" s="192"/>
      <c r="AX1029" s="192"/>
    </row>
    <row r="1030" spans="2:50" ht="15" customHeight="1" thickBot="1" x14ac:dyDescent="0.35">
      <c r="B1030" s="192"/>
      <c r="C1030" s="192"/>
      <c r="D1030" s="192"/>
      <c r="E1030" s="164" t="str">
        <f>IF(Q1030="","",IF(Q1030=3,1,0))</f>
        <v/>
      </c>
      <c r="F1030" s="164" t="str">
        <f>IF(Q1030="","",IF(Q1030&lt;3,1,0))</f>
        <v/>
      </c>
      <c r="G1030" s="192"/>
      <c r="H1030" s="192" t="str">
        <f>IF(I1012&lt;&gt;"",3,"")</f>
        <v/>
      </c>
      <c r="I1030" s="192" t="str">
        <f>IF(ISNUMBER(H1030),VLOOKUP(H1030,H1009:I1012,2,TRUE),"")</f>
        <v/>
      </c>
      <c r="J1030" s="192"/>
      <c r="K1030" s="192" t="str">
        <f>VLOOKUP(I1030,I1009:L1012,3,FALSE)</f>
        <v/>
      </c>
      <c r="L1030" s="155"/>
      <c r="M1030" s="259"/>
      <c r="N1030" s="259"/>
      <c r="O1030" s="156"/>
      <c r="P1030" s="157"/>
      <c r="Q1030" s="260" t="str">
        <f>IF(L1030="","",IF(AND(L1030-L1029&gt;1,L1030&gt;10),1,0)+IF(AND(M1030-M1029&gt;1,M1030&gt;10),1,0)+IF(AND(N1030-N1029&gt;1,N1030&gt;10),1,0)+IF(AND(O1030-O1029&gt;1,O1030&gt;10),1,0)+IF(AND(P1030-P1029&gt;1,P1030&gt;10),1,0))</f>
        <v/>
      </c>
      <c r="R1030" s="203" t="str">
        <f>IF(AND(Q1029&lt;&gt;3,Q1030&lt;&gt;3),"",IF(Q1029=3,IF(VLOOKUP(I1029,I1009:L1012,4,FALSE)&gt;VLOOKUP(I1030,I1009:L1012,4,FALSE),VLOOKUP(R1029,Point_dif,2,FALSE),VLOOKUP(R1029,Point_dif,3,FALSE)),IF(Q1030=3,IF(VLOOKUP(I1030,I1009:L1012,4,FALSE)&gt;VLOOKUP(I1029,I1009:L1012,4,FALSE),VLOOKUP(R1029,Point_dif,2,FALSE),VLOOKUP(R1029,Point_dif,3,FALSE)))))</f>
        <v/>
      </c>
      <c r="S1030" s="256" t="str">
        <f>IF(R1030="","",IF(Q1030=3,+R1030,-R1030))</f>
        <v/>
      </c>
      <c r="T1030" s="192"/>
      <c r="U1030" s="159"/>
      <c r="V1030" s="266"/>
      <c r="W1030" s="266"/>
      <c r="X1030" s="266"/>
      <c r="Y1030" s="192"/>
      <c r="Z1030" s="203"/>
      <c r="AA1030" s="246">
        <v>3</v>
      </c>
      <c r="AB1030" s="222" t="str">
        <f>IF(AND(COUNTBLANK(I1009:I1012)=0,Group_players=4,M1009=M1011,M1011=M1012),IF(V1018="","",IF(COUNTIF(V1016:V1019,V1018)=3,"Tied",IF(AND(COUNTIF(V1016:V1019,V1018)=1,V1016&lt;&gt;V1019),IF(M1011=2,IF(SMALL(V1016:V1019,1)=V1018,1,IF(SMALL(V1016:V1019,2)=V1018,2,IF(SMALL(V1016:V1019,3)=V1018,3))),IF(M1011=1,IF(SMALL(V1016:V1019,1)=V1018,2,IF(SMALL(V1016:V1019,2)=V1018,3,IF(SMALL(V1016:V1019,3)=V1018,4))),"")),IF(COUNTIF(V1016:V1019,V1018)=1,IF(V1018&lt;V1016,IF(M1011=2,1,2),IF(M1011=2,3,4)),IF(COUNTIF(V1016:V1019,V1018)=2,IF(V1018=V1016,IF(V1018&lt;V1019,IF(M1011=2,IF(Q1021=3,1,2),IF(M1011=1,IF(Q1021=3,2,3))),IF(V1018&gt;V1019,IF(M1011=2,IF(Q1021=3,2,3),IF(M1011=1,IF(Q1021=3,3,4))))),IF(V1018=V1019,IF(V1018&lt;V1016,IF(M1011=2,IF(Q1035=3,1,2),IF(M1011=1,IF(Q1035=3,2,3))),IF(V1018&gt;V1016,IF(M1011=2,IF(Q1035=3,2,3),IF(M1011=1,IF(Q1035=3,3,4)))))))))))),"")</f>
        <v/>
      </c>
      <c r="AC1030" s="192"/>
      <c r="AD1030" s="192"/>
      <c r="AE1030" s="192"/>
      <c r="AF1030" s="203"/>
      <c r="AG1030" s="203"/>
      <c r="AH1030" s="203"/>
      <c r="AI1030" s="203"/>
      <c r="AJ1030" s="203"/>
      <c r="AK1030" s="203"/>
      <c r="AL1030" s="203"/>
      <c r="AM1030" s="203"/>
      <c r="AN1030" s="192"/>
      <c r="AO1030" s="192"/>
      <c r="AP1030" s="192"/>
      <c r="AQ1030" s="192"/>
      <c r="AR1030" s="192"/>
      <c r="AS1030" s="192"/>
      <c r="AT1030" s="192"/>
      <c r="AU1030" s="192"/>
      <c r="AV1030" s="192"/>
      <c r="AW1030" s="192"/>
      <c r="AX1030" s="192"/>
    </row>
    <row r="1031" spans="2:50" ht="15" customHeight="1" thickTop="1" thickBot="1" x14ac:dyDescent="0.35">
      <c r="B1031" s="192"/>
      <c r="C1031" s="192"/>
      <c r="D1031" s="192"/>
      <c r="E1031" s="164"/>
      <c r="F1031" s="164"/>
      <c r="G1031" s="192"/>
      <c r="H1031" s="192"/>
      <c r="I1031" s="249" t="s">
        <v>119</v>
      </c>
      <c r="J1031" s="249"/>
      <c r="K1031" s="249"/>
      <c r="L1031" s="250" t="s">
        <v>115</v>
      </c>
      <c r="M1031" s="250" t="s">
        <v>116</v>
      </c>
      <c r="N1031" s="250" t="s">
        <v>117</v>
      </c>
      <c r="O1031" s="250" t="s">
        <v>118</v>
      </c>
      <c r="P1031" s="250" t="s">
        <v>119</v>
      </c>
      <c r="Q1031" s="250" t="s">
        <v>120</v>
      </c>
      <c r="R1031" s="250"/>
      <c r="S1031" s="251"/>
      <c r="T1031" s="247"/>
      <c r="U1031" s="235"/>
      <c r="V1031" s="235"/>
      <c r="W1031" s="235"/>
      <c r="X1031" s="235"/>
      <c r="Y1031" s="235"/>
      <c r="Z1031" s="235"/>
      <c r="AA1031" s="240">
        <v>4</v>
      </c>
      <c r="AB1031" s="241" t="str">
        <f>IF(AND(COUNTBLANK(I1009:I1012)=0,Group_players=4,M1009=M1011,M1011=M1012),IF(V1019="","",IF(COUNTIF(V1016:V1019,V1019)=3,"Tied",IF(AND(COUNTIF(V1016:V1019,V1019)=1,V1018&lt;&gt;V1016),IF(M1012=2,IF(SMALL(V1016:V1019,1)=V1019,1,IF(SMALL(V1016:V1019,2)=V1019,2,IF(SMALL(V1016:V1019,3)=V1019,3))),IF(M1012=1,IF(SMALL(V1016:V1019,1)=V1019,2,IF(SMALL(V1016:V1019,2)=V1019,3,IF(SMALL(V1016:V1019,3)=V1019,4))),"")),IF(COUNTIF(V1016:V1019,V1019)=1,IF(V1019&lt;V1016,IF(M1012=2,1,2),IF(M1012=2,3,4)),IF(COUNTIF(V1016:V1019,V1019)=2,IF(V1019=V1016,IF(V1019&lt;V1018,IF(M1012=2,IF(Q1027=3,1,2),IF(M1012=1,IF(Q1027=3,2,3))),IF(V1019&gt;V1018,IF(M1012=2,IF(Q1027=3,2,3),IF(M1012=1,IF(Q1027=3,3,4))))),IF(V1019=V1018,IF(V1019&lt;V1016,IF(M1012=2,IF(Q1036=3,1,2),IF(M1012=1,IF(Q1036=3,2,3))),IF(V1019&gt;V1016,IF(M1012=2,IF(Q1036=3,2,3),IF(M1012=1,IF(Q1036=3,3,4)))))))))))),"")</f>
        <v/>
      </c>
      <c r="AC1031" s="192"/>
      <c r="AD1031" s="192"/>
      <c r="AE1031" s="192"/>
      <c r="AF1031" s="203"/>
      <c r="AG1031" s="203"/>
      <c r="AH1031" s="203"/>
      <c r="AI1031" s="203"/>
      <c r="AJ1031" s="203"/>
      <c r="AK1031" s="203"/>
      <c r="AL1031" s="203"/>
      <c r="AM1031" s="203"/>
      <c r="AN1031" s="192"/>
      <c r="AO1031" s="192"/>
      <c r="AP1031" s="192"/>
      <c r="AQ1031" s="192"/>
      <c r="AR1031" s="192"/>
      <c r="AS1031" s="192"/>
      <c r="AT1031" s="192"/>
      <c r="AU1031" s="192"/>
      <c r="AV1031" s="192"/>
      <c r="AW1031" s="192"/>
      <c r="AX1031" s="192"/>
    </row>
    <row r="1032" spans="2:50" ht="15" customHeight="1" thickTop="1" x14ac:dyDescent="0.3">
      <c r="B1032" s="192"/>
      <c r="C1032" s="192"/>
      <c r="D1032" s="192"/>
      <c r="E1032" s="164" t="str">
        <f>IF(Q1032="","",IF(Q1032=3,1,0))</f>
        <v/>
      </c>
      <c r="F1032" s="164" t="str">
        <f>IF(Q1032="","",IF(Q1032&lt;3,1,0))</f>
        <v/>
      </c>
      <c r="G1032" s="192"/>
      <c r="H1032" s="192" t="str">
        <f>IF(I1012&lt;&gt;"",1,"")</f>
        <v/>
      </c>
      <c r="I1032" s="192" t="str">
        <f>IF(ISNUMBER(H1032),VLOOKUP(H1032,H1009:I1012,2,TRUE),"")</f>
        <v/>
      </c>
      <c r="J1032" s="192"/>
      <c r="K1032" s="192" t="str">
        <f>VLOOKUP(I1032,I1009:L1012,3,FALSE)</f>
        <v/>
      </c>
      <c r="L1032" s="253"/>
      <c r="M1032" s="254"/>
      <c r="N1032" s="254"/>
      <c r="O1032" s="152"/>
      <c r="P1032" s="153"/>
      <c r="Q1032" s="255" t="str">
        <f>IF(L1032="","",IF(AND(L1032-L1033&gt;1,L1032&gt;10),1,0)+IF(AND(M1032-M1033&gt;1,M1032&gt;10),1,0)+IF(AND(N1032-N1033&gt;1,N1032&gt;10),1,0)+IF(AND(O1032-O1033&gt;1,O1032&gt;10),1,0)+IF(AND(P1032-P1033&gt;1,P1032&gt;10),1,0))</f>
        <v/>
      </c>
      <c r="R1032" s="203" t="str">
        <f>IF(AND(I1032="",I1033=""),"",ABS(VLOOKUP(I1032,I1009:L1012,4,FALSE)-VLOOKUP(I1033,I1009:L1012,4,FALSE)))</f>
        <v/>
      </c>
      <c r="S1032" s="256" t="str">
        <f>IF(R1033="","",IF(Q1032=3,+R1033,-R1033))</f>
        <v/>
      </c>
      <c r="T1032" s="247"/>
      <c r="U1032" s="235"/>
      <c r="V1032" s="235"/>
      <c r="W1032" s="235"/>
      <c r="X1032" s="235"/>
      <c r="Y1032" s="235"/>
      <c r="Z1032" s="235"/>
      <c r="AA1032" s="243">
        <v>1</v>
      </c>
      <c r="AB1032" s="222" t="str">
        <f>IF(AND(COUNTBLANK(I1009:I1012)=0,Group_players=4,M1009=M1010,M1010=M1012),IF(W1016="","",IF(COUNTIF(W1016:W1019,W1016)=3,"Tied",IF(AND(COUNTIF(W1016:W1019,W1016)=1,W1017&lt;&gt;W1018),IF(M1009=2,IF(SMALL(W1016:W1019,1)=W1016,1,IF(SMALL(W1016:W1019,2)=W1016,2,IF(SMALL(W1016:W1019,3)=W1016,3))),IF(M1009=1,IF(SMALL(W1016:W1019,1)=W1016,2,IF(SMALL(W1016:W1019,2)=W1016,3,IF(SMALL(W1016:W1019,3)=W1016,4))),"")),IF(COUNTIF(W1016:W1019,W1016)=1,IF(W1016&lt;W1017,IF(M1009=2,1,2),IF(M1009=2,3,4)),IF(COUNTIF(W1016:W1019,W1016)=2,IF(W1016=W1017,IF(W1016&lt;W1019,IF(M1009=2,IF(Q1032=3,1,2),IF(M1009=1,IF(Q1032=3,2,3))),IF(W1016&gt;W1019,IF(M1009=2,IF(Q1032=3,2,3),IF(M1009=1,IF(Q1032=3,3,4))))),IF(W1016=W1019,IF(W1016&lt;W1017,IF(M1009=2,IF(Q1026=3,1,2),IF(M1009=1,IF(Q1026=3,2,3))),IF(W1016&gt;W1017,IF(M1009=2,IF(Q1026=3,2,3),IF(M1009=1,IF(Q1026=3,3,4)))))))))))),"")</f>
        <v/>
      </c>
      <c r="AC1032" s="192"/>
      <c r="AD1032" s="192"/>
      <c r="AE1032" s="192"/>
      <c r="AF1032" s="203"/>
      <c r="AG1032" s="203"/>
      <c r="AH1032" s="203"/>
      <c r="AI1032" s="203"/>
      <c r="AJ1032" s="203"/>
      <c r="AK1032" s="203"/>
      <c r="AL1032" s="203"/>
      <c r="AM1032" s="203"/>
      <c r="AN1032" s="192"/>
      <c r="AO1032" s="192"/>
      <c r="AP1032" s="192"/>
      <c r="AQ1032" s="192"/>
      <c r="AR1032" s="192"/>
      <c r="AS1032" s="192"/>
      <c r="AT1032" s="192"/>
      <c r="AU1032" s="192"/>
      <c r="AV1032" s="192"/>
      <c r="AW1032" s="192"/>
      <c r="AX1032" s="192"/>
    </row>
    <row r="1033" spans="2:50" ht="15" customHeight="1" thickBot="1" x14ac:dyDescent="0.35">
      <c r="B1033" s="192"/>
      <c r="C1033" s="192"/>
      <c r="D1033" s="192"/>
      <c r="E1033" s="164" t="str">
        <f>IF(Q1033="","",IF(Q1033=3,1,0))</f>
        <v/>
      </c>
      <c r="F1033" s="164" t="str">
        <f>IF(Q1033="","",IF(Q1033&lt;3,1,0))</f>
        <v/>
      </c>
      <c r="G1033" s="192"/>
      <c r="H1033" s="192" t="str">
        <f>IF(I1012&lt;&gt;"",2,"")</f>
        <v/>
      </c>
      <c r="I1033" s="192" t="str">
        <f>IF(ISNUMBER(H1033),VLOOKUP(H1033,H1009:I1012,2,TRUE),"")</f>
        <v/>
      </c>
      <c r="J1033" s="192"/>
      <c r="K1033" s="192" t="str">
        <f>VLOOKUP(I1033,I1009:L1012,3,FALSE)</f>
        <v/>
      </c>
      <c r="L1033" s="155"/>
      <c r="M1033" s="259"/>
      <c r="N1033" s="259"/>
      <c r="O1033" s="156"/>
      <c r="P1033" s="157"/>
      <c r="Q1033" s="260" t="str">
        <f>IF(L1033="","",IF(AND(L1033-L1032&gt;1,L1033&gt;10),1,0)+IF(AND(M1033-M1032&gt;1,M1033&gt;10),1,0)+IF(AND(N1033-N1032&gt;1,N1033&gt;10),1,0)+IF(AND(O1033-O1032&gt;1,O1033&gt;10),1,0)+IF(AND(P1033-P1032&gt;1,P1033&gt;10),1,0))</f>
        <v/>
      </c>
      <c r="R1033" s="203" t="str">
        <f>IF(AND(Q1032&lt;&gt;3,Q1033&lt;&gt;3),"",IF(Q1032=3,IF(VLOOKUP(I1032,I1009:L1012,4,FALSE)&gt;VLOOKUP(I1033,I1009:L1012,4,FALSE),VLOOKUP(R1032,Point_dif,2,FALSE),VLOOKUP(R1032,Point_dif,3,FALSE)),IF(Q1033=3,IF(VLOOKUP(I1033,I1009:L1012,4,FALSE)&gt;VLOOKUP(I1033,I1009:L1012,4,FALSE),VLOOKUP(R1032,Point_dif,2,FALSE),VLOOKUP(R1032,Point_dif,3,FALSE)))))</f>
        <v/>
      </c>
      <c r="S1033" s="256" t="str">
        <f>IF(R1033="","",IF(Q1033=3,+R1033,-R1033))</f>
        <v/>
      </c>
      <c r="T1033" s="247"/>
      <c r="U1033" s="235"/>
      <c r="V1033" s="235"/>
      <c r="W1033" s="235"/>
      <c r="X1033" s="235"/>
      <c r="Y1033" s="235"/>
      <c r="Z1033" s="235"/>
      <c r="AA1033" s="246">
        <v>2</v>
      </c>
      <c r="AB1033" s="222" t="str">
        <f>IF(AND(COUNTBLANK(I1009:I1012)=0,Group_players=4,M1009=M1010,M1010=M1012),IF(W1017="","",IF(COUNTIF(W1016:W1019,W1017)=3,"Tied",IF(AND(COUNTIF(W1016:W1019,W1017)=1,W1016&lt;&gt;W1018),IF(M1010=2,IF(SMALL(W1016:W1019,1)=W1017,1,IF(SMALL(W1016:W1019,2)=W1017,2,IF(SMALL(W1016:W1019,3)=W1017,3))),IF(M1010=1,IF(SMALL(W1016:W1019,1)=W1017,2,IF(SMALL(W1016:W1019,2)=W1017,3,IF(SMALL(W1016:W1019,3)=W1017,4))),"")),IF(COUNTIF(W1016:W1019,W1017)=1,IF(W1017&lt;W1016,IF(M1010=2,1,2),IF(M1010=2,3,4)),IF(COUNTIF(W1016:W1019,W1017)=2,IF(W1017=W1016,IF(W1017&lt;W1019,IF(M1010=2,IF(Q1033=3,1,2),IF(M1010=1,IF(Q1033=3,2,3))),IF(W1017&gt;W1019,IF(M1010=2,IF(Q1033=3,2,3),IF(M1010=1,IF(Q1033=3,3,4))))),IF(W1017=W1019,IF(W1017&lt;W1016,IF(M1010=2,IF(Q1023=3,1,2),IF(M1010=1,IF(Q1023=3,2,3))),IF(W1017&gt;W1016,IF(M1010=2,IF(Q1023=3,2,3),IF(M1010=1,IF(Q1023=3,3,4)))))))))))),"")</f>
        <v/>
      </c>
      <c r="AC1033" s="192"/>
      <c r="AD1033" s="192"/>
      <c r="AE1033" s="192"/>
      <c r="AF1033" s="203"/>
      <c r="AG1033" s="203"/>
      <c r="AH1033" s="203"/>
      <c r="AI1033" s="203"/>
      <c r="AJ1033" s="203"/>
      <c r="AK1033" s="203"/>
      <c r="AL1033" s="203"/>
      <c r="AM1033" s="203"/>
      <c r="AN1033" s="192"/>
      <c r="AO1033" s="192"/>
      <c r="AP1033" s="192"/>
      <c r="AQ1033" s="192"/>
      <c r="AR1033" s="192"/>
      <c r="AS1033" s="192"/>
      <c r="AT1033" s="192"/>
      <c r="AU1033" s="192"/>
      <c r="AV1033" s="192"/>
      <c r="AW1033" s="192"/>
      <c r="AX1033" s="192"/>
    </row>
    <row r="1034" spans="2:50" ht="15" customHeight="1" thickTop="1" thickBot="1" x14ac:dyDescent="0.35">
      <c r="B1034" s="192"/>
      <c r="C1034" s="192"/>
      <c r="D1034" s="192"/>
      <c r="E1034" s="164"/>
      <c r="F1034" s="164"/>
      <c r="G1034" s="192"/>
      <c r="H1034" s="192"/>
      <c r="I1034" s="249" t="s">
        <v>121</v>
      </c>
      <c r="J1034" s="249"/>
      <c r="K1034" s="249"/>
      <c r="L1034" s="250" t="s">
        <v>115</v>
      </c>
      <c r="M1034" s="250" t="s">
        <v>116</v>
      </c>
      <c r="N1034" s="250" t="s">
        <v>117</v>
      </c>
      <c r="O1034" s="250" t="s">
        <v>118</v>
      </c>
      <c r="P1034" s="250" t="s">
        <v>119</v>
      </c>
      <c r="Q1034" s="250" t="s">
        <v>120</v>
      </c>
      <c r="R1034" s="250"/>
      <c r="S1034" s="251"/>
      <c r="T1034" s="247"/>
      <c r="U1034" s="235"/>
      <c r="V1034" s="235"/>
      <c r="W1034" s="235"/>
      <c r="X1034" s="235"/>
      <c r="Y1034" s="235"/>
      <c r="Z1034" s="235"/>
      <c r="AA1034" s="240">
        <v>4</v>
      </c>
      <c r="AB1034" s="241" t="str">
        <f>IF(AND(COUNTBLANK(I1009:I1012)=0,Group_players=4,M1009=M1010,M1010=M1012),IF(W1019="","",IF(COUNTIF(W1016:W1019,W1019)=3,"Tied",IF(AND(COUNTIF(W1016:W1019,W1019)=1,W1016&lt;&gt;W1017),IF(M1012=2,IF(SMALL(W1016:W1019,1)=W1019,1,IF(SMALL(W1016:W1019,2)=W1019,2,IF(SMALL(W1016:W1019,3)=W1019,3))),IF(M1012=1,IF(SMALL(W1016:W1019,1)=W1019,2,IF(SMALL(W1016:W1019,2)=W1019,3,IF(SMALL(W1016:W1019,3)=W1019,4))),"")),IF(COUNTIF(W1016:W1019,W1019)=1,IF(W1019&lt;W1016,IF(M1012=2,1,2),IF(M1012=2,3,4)),IF(COUNTIF(W1016:W1019,W1019)=2,IF(W1019=W1016,IF(W1019&lt;W1017,IF(M1012=2,IF(Q1027=3,1,2),IF(M1012=1,IF(Q1027=3,2,3))),IF(W1019&gt;W1018,IF(M1012=2,IF(Q1027=3,2,3),IF(M1012=1,IF(Q1027=3,3,4))))),IF(W1019=W1017,IF(W1019&lt;W1016,IF(M1012=2,IF(Q1024=3,1,2),IF(M1012=1,IF(Q1024=3,2,3))),IF(W1019&gt;W1016,IF(M1012=2,IF(Q1024=3,2,3),IF(M1012=1,IF(Q1024=3,3,4)))))))))))),"")</f>
        <v/>
      </c>
      <c r="AC1034" s="192"/>
      <c r="AD1034" s="192"/>
      <c r="AE1034" s="192"/>
      <c r="AF1034" s="203"/>
      <c r="AG1034" s="203"/>
      <c r="AH1034" s="203"/>
      <c r="AI1034" s="203"/>
      <c r="AJ1034" s="203"/>
      <c r="AK1034" s="203"/>
      <c r="AL1034" s="203"/>
      <c r="AM1034" s="203"/>
      <c r="AN1034" s="192"/>
      <c r="AO1034" s="192"/>
      <c r="AP1034" s="192"/>
      <c r="AQ1034" s="192"/>
      <c r="AR1034" s="192"/>
      <c r="AS1034" s="192"/>
      <c r="AT1034" s="192"/>
      <c r="AU1034" s="192"/>
      <c r="AV1034" s="192"/>
      <c r="AW1034" s="192"/>
      <c r="AX1034" s="192"/>
    </row>
    <row r="1035" spans="2:50" ht="15" customHeight="1" thickTop="1" x14ac:dyDescent="0.3">
      <c r="B1035" s="192"/>
      <c r="C1035" s="192"/>
      <c r="D1035" s="192"/>
      <c r="E1035" s="164" t="str">
        <f>IF(Q1035="","",IF(Q1035=3,1,0))</f>
        <v/>
      </c>
      <c r="F1035" s="164" t="str">
        <f>IF(Q1035="","",IF(Q1035&lt;3,1,0))</f>
        <v/>
      </c>
      <c r="G1035" s="192"/>
      <c r="H1035" s="192" t="str">
        <f>IF(I1012&lt;&gt;"",3,"")</f>
        <v/>
      </c>
      <c r="I1035" s="192" t="str">
        <f>IF(ISNUMBER(H1035),VLOOKUP(H1035,H1009:I1012,2,TRUE),"")</f>
        <v/>
      </c>
      <c r="J1035" s="192"/>
      <c r="K1035" s="192" t="str">
        <f>VLOOKUP(I1035,I1009:L1012,3,FALSE)</f>
        <v/>
      </c>
      <c r="L1035" s="253"/>
      <c r="M1035" s="254"/>
      <c r="N1035" s="254"/>
      <c r="O1035" s="152"/>
      <c r="P1035" s="153"/>
      <c r="Q1035" s="255" t="str">
        <f>IF(L1035="","",IF(AND(L1035-L1036&gt;1,L1035&gt;10),1,0)+IF(AND(M1035-M1036&gt;1,M1035&gt;10),1,0)+IF(AND(N1035-N1036&gt;1,N1035&gt;10),1,0)+IF(AND(O1035-O1036&gt;1,O1035&gt;10),1,0)+IF(AND(P1035-P1036&gt;1,P1035&gt;10),1,0))</f>
        <v/>
      </c>
      <c r="R1035" s="203" t="str">
        <f>IF(AND(I1035="",I1036=""),"",ABS(VLOOKUP(I1035,I1009:L1012,4,FALSE)-VLOOKUP(I1036,I1009:L1012,4,FALSE)))</f>
        <v/>
      </c>
      <c r="S1035" s="256" t="str">
        <f>IF(R1036="","",IF(Q1035=3,+R1036,-R1036))</f>
        <v/>
      </c>
      <c r="T1035" s="247"/>
      <c r="U1035" s="264"/>
      <c r="V1035" s="242"/>
      <c r="W1035" s="192"/>
      <c r="X1035" s="264"/>
      <c r="Y1035" s="192"/>
      <c r="Z1035" s="192"/>
      <c r="AA1035" s="243">
        <v>2</v>
      </c>
      <c r="AB1035" s="222" t="str">
        <f>IF(AND(COUNTBLANK(I1009:I1012)=0,Group_players=4,M1010=M1011,M1011=M1012),IF(X1017="","",IF(COUNTIF(X1016:X1019,X1017)=3,"Tied",IF(AND(COUNTIF(X1016:X1019,X1017)=1,X1018&lt;&gt;X1019),IF(M1010=2,IF(SMALL(X1016:X1019,1)=X1017,1,IF(SMALL(X1016:X1019,2)=X1017,2,IF(SMALL(X1016:X1019,3)=X1017,3))),IF(M1010=1,IF(SMALL(X1016:X1019,1)=X1017,2,IF(SMALL(X1016:X1019,2)=X1017,3,IF(SMALL(X1016:X1019,3)=X1017,4))),"")),IF(COUNTIF(X1016:X1019,X1017)=1,IF(X1017&lt;X1019,IF(M1010=2,1,2),IF(M1010=1,4)),IF(COUNTIF(X1016:X1019,X1017)=2,IF(X1017=X1018,IF(X1017&lt;X1019,IF(M1010=2,IF(Q1029=3,1,2),IF(M1010=1,IF(Q1029=3,2,3))),IF(X1017&gt;X1019,IF(M1010=2,IF(Q1029=3,2,3),IF(M1010=1,IF(Q1029=3,3,4))))),IF(X1017=X1019,IF(X1017&lt;X1018,IF(M1010=2,IF(Q1023=3,1,2),IF(M1010=1,IF(Q1023=3,2,3))),IF(X1017&gt;X1018,IF(M1010=2,IF(Q1023=3,2,3),IF(M1010=1,IF(Q1023=3,3,4)))))))))))),"")</f>
        <v/>
      </c>
      <c r="AC1035" s="192"/>
      <c r="AD1035" s="192"/>
      <c r="AE1035" s="192"/>
      <c r="AF1035" s="203"/>
      <c r="AG1035" s="203"/>
      <c r="AH1035" s="203"/>
      <c r="AI1035" s="203"/>
      <c r="AJ1035" s="203"/>
      <c r="AK1035" s="203"/>
      <c r="AL1035" s="203"/>
      <c r="AM1035" s="203"/>
      <c r="AN1035" s="192"/>
      <c r="AO1035" s="192"/>
      <c r="AP1035" s="192"/>
      <c r="AQ1035" s="192"/>
      <c r="AR1035" s="192"/>
      <c r="AS1035" s="192"/>
      <c r="AT1035" s="192"/>
      <c r="AU1035" s="192"/>
      <c r="AV1035" s="192"/>
      <c r="AW1035" s="192"/>
      <c r="AX1035" s="192"/>
    </row>
    <row r="1036" spans="2:50" ht="15" customHeight="1" thickBot="1" x14ac:dyDescent="0.35">
      <c r="B1036" s="192"/>
      <c r="C1036" s="192"/>
      <c r="D1036" s="192"/>
      <c r="E1036" s="164" t="str">
        <f>IF(Q1036="","",IF(Q1036=3,1,0))</f>
        <v/>
      </c>
      <c r="F1036" s="164" t="str">
        <f>IF(Q1036="","",IF(Q1036&lt;3,1,0))</f>
        <v/>
      </c>
      <c r="G1036" s="192"/>
      <c r="H1036" s="192" t="str">
        <f>IF(I1012&lt;&gt;"",4,"")</f>
        <v/>
      </c>
      <c r="I1036" s="192" t="str">
        <f>IF(ISNUMBER(H1036),VLOOKUP(H1036,H1009:I1012,2,TRUE),"")</f>
        <v/>
      </c>
      <c r="J1036" s="192"/>
      <c r="K1036" s="192" t="str">
        <f>VLOOKUP(I1036,I1009:L1012,3,FALSE)</f>
        <v/>
      </c>
      <c r="L1036" s="155"/>
      <c r="M1036" s="259"/>
      <c r="N1036" s="259"/>
      <c r="O1036" s="156"/>
      <c r="P1036" s="157"/>
      <c r="Q1036" s="260" t="str">
        <f>IF(L1036="","",IF(AND(L1036-L1035&gt;1,L1036&gt;10),1,0)+IF(AND(M1036-M1035&gt;1,M1036&gt;10),1,0)+IF(AND(N1036-N1035&gt;1,N1036&gt;10),1,0)+IF(AND(O1036-O1035&gt;1,O1036&gt;10),1,0)+IF(AND(P1036-P1035&gt;1,P1036&gt;10),1,0))</f>
        <v/>
      </c>
      <c r="R1036" s="203" t="str">
        <f>IF(AND(Q1035&lt;&gt;3,Q1036&lt;&gt;3),"",IF(Q1035=3,IF(VLOOKUP(I1035,I1009:L1012,4,FALSE)&gt;VLOOKUP(I1036,I1009:L1012,4,FALSE),VLOOKUP(R1035,Point_dif,2,FALSE),VLOOKUP(R1035,Point_dif,3,FALSE)),IF(Q1036=3,IF(VLOOKUP(I1036,I1009:L1012,4,FALSE)&gt;VLOOKUP(I1035,I1009:L1012,4,FALSE),VLOOKUP(R1035,Point_dif,2,FALSE),VLOOKUP(R1035,Point_dif,3,FALSE)))))</f>
        <v/>
      </c>
      <c r="S1036" s="260" t="str">
        <f>IF(R1036="","",IF(Q1036=3,+R1036,-R1036))</f>
        <v/>
      </c>
      <c r="T1036" s="247"/>
      <c r="U1036" s="235"/>
      <c r="V1036" s="235"/>
      <c r="W1036" s="235"/>
      <c r="X1036" s="235"/>
      <c r="Y1036" s="235"/>
      <c r="Z1036" s="235"/>
      <c r="AA1036" s="246">
        <v>3</v>
      </c>
      <c r="AB1036" s="222" t="str">
        <f>IF(AND(COUNTBLANK(I1009:I1012)=0,Group_players=4,Group_players=4,M1010=M1011,M1011=M1012),IF(X1018="","",IF(COUNTIF(X1016:X1019,X1018)=3,"Tied",IF(AND(COUNTIF(X1016:X1019,X1018)=1,X1017&lt;&gt;X1019),IF(M1011=2,IF(SMALL(X1016:X1019,1)=X1018,1,IF(SMALL(X1016:X1019,2)=X1018,2,IF(SMALL(X1016:X1019,3)=X1018,3))),IF(M1011=1,IF(SMALL(X1016:X1019,1)=X1018,2,IF(SMALL(X1016:X1019,2)=X1018,3,IF(SMALL(X1016:X1019,3)=X1018,4))),"")),IF(COUNTIF(X1016:X1019,X1018)=1,IF(X1018&lt;X1017,IF(M1011=2,1,2),IF(M1011=2,3,4)),IF(COUNTIF(X1016:X1019,X1018)=2,IF(X1018=X1017,IF(X1018&lt;X1019,IF(M1011=2,IF(Q1030=3,1,2),IF(M1011=1,IF(Q1030=3,2,3))),IF(X1018&gt;X1019,IF(M1011=2,IF(Q1030=3,2,3),IF(M1011=1,IF(Q1030=3,3,4))))),IF(X1018=X1019,IF(X1018&lt;X1017,IF(M1011=2,IF(Q1035=3,1,2),IF(M1011=1,IF(Q1035=3,2,3))),IF(X1018&gt;X1017,IF(M1011=2,IF(Q1035=3,2,3),IF(M1011=1,IF(Q1035=3,3,4)))))))))))),"")</f>
        <v/>
      </c>
      <c r="AC1036" s="192"/>
      <c r="AD1036" s="192"/>
      <c r="AE1036" s="192"/>
      <c r="AF1036" s="203"/>
      <c r="AG1036" s="203"/>
      <c r="AH1036" s="203"/>
      <c r="AI1036" s="203"/>
      <c r="AJ1036" s="203"/>
      <c r="AK1036" s="203"/>
      <c r="AL1036" s="203"/>
      <c r="AM1036" s="203"/>
      <c r="AN1036" s="192"/>
      <c r="AO1036" s="192"/>
      <c r="AP1036" s="192"/>
      <c r="AQ1036" s="192"/>
      <c r="AR1036" s="192"/>
      <c r="AS1036" s="192"/>
      <c r="AT1036" s="192"/>
      <c r="AU1036" s="192"/>
      <c r="AV1036" s="192"/>
      <c r="AW1036" s="192"/>
      <c r="AX1036" s="192"/>
    </row>
    <row r="1037" spans="2:50" ht="15" customHeight="1" thickTop="1" thickBot="1" x14ac:dyDescent="0.35">
      <c r="B1037" s="192"/>
      <c r="C1037" s="192"/>
      <c r="D1037" s="192"/>
      <c r="E1037" s="192"/>
      <c r="F1037" s="192"/>
      <c r="G1037" s="192"/>
      <c r="H1037" s="192"/>
      <c r="I1037" s="192"/>
      <c r="J1037" s="192"/>
      <c r="K1037" s="192"/>
      <c r="L1037" s="192"/>
      <c r="M1037" s="192"/>
      <c r="N1037" s="192"/>
      <c r="O1037" s="268"/>
      <c r="P1037" s="192"/>
      <c r="Q1037" s="192"/>
      <c r="R1037" s="247"/>
      <c r="S1037" s="247"/>
      <c r="T1037" s="247"/>
      <c r="U1037" s="235"/>
      <c r="V1037" s="235"/>
      <c r="W1037" s="235"/>
      <c r="X1037" s="235"/>
      <c r="Y1037" s="235"/>
      <c r="Z1037" s="235"/>
      <c r="AA1037" s="261">
        <v>4</v>
      </c>
      <c r="AB1037" s="233" t="str">
        <f>IF(AND(COUNTBLANK(I1009:I1012)=0,Group_players=4,M1010=M1011,M1011=M1012),IF(X1019="","",IF(COUNTIF(X1016:X1019,X1019)=3,"Tied",IF(AND(COUNTIF(X1016:X1019,X1019)=1,X1018&lt;&gt;X1017),IF(M1012=2,IF(SMALL(X1016:X1019,1)=X1019,1,IF(SMALL(X1016:X1019,2)=X1019,2,IF(SMALL(X1016:X1019,3)=X1019,3))),IF(M1012=1,IF(SMALL(X1016:X1019,1)=X1019,2,IF(SMALL(X1016:X1019,2)=X1019,3,IF(SMALL(X1016:X1019,3)=X1019,4))),"")),IF(COUNTIF(X1016:X1019,X1019)=1,IF(X1019&lt;X1017,IF(M1012=2,1,2),IF(M1012=2,3,4)),IF(COUNTIF(X1016:X1019,X1019)=2,IF(X1019=X1017,IF(X1019&lt;X1018,IF(M1012=2,IF(Q1024=3,1,2),IF(M1012=1,IF(Q1024=3,2,3))),IF(X1019&gt;X1018,IF(M1012=2,IF(Q1024=3,2,3),IF(M1012=1,IF(Q1024=3,3,4))))),IF(X1019=X1018,IF(X1019&lt;X1017,IF(M1012=2,IF(Q1036=3,1,2),IF(M1012=1,IF(Q1036=3,2,3))),IF(X1019&gt;X1017,IF(M1012=2,IF(Q1036=3,2,3),IF(M1012=1,IF(Q1036=3,3,4)))))))))))),"")</f>
        <v/>
      </c>
      <c r="AC1037" s="192"/>
      <c r="AD1037" s="192"/>
      <c r="AE1037" s="192"/>
      <c r="AF1037" s="203"/>
      <c r="AG1037" s="203"/>
      <c r="AH1037" s="203"/>
      <c r="AI1037" s="203"/>
      <c r="AJ1037" s="203"/>
      <c r="AK1037" s="203"/>
      <c r="AL1037" s="203"/>
      <c r="AM1037" s="203"/>
      <c r="AN1037" s="192"/>
      <c r="AO1037" s="192"/>
      <c r="AP1037" s="192"/>
      <c r="AQ1037" s="192"/>
      <c r="AR1037" s="192"/>
      <c r="AS1037" s="192"/>
      <c r="AT1037" s="192"/>
      <c r="AU1037" s="192"/>
      <c r="AV1037" s="192"/>
      <c r="AW1037" s="192"/>
      <c r="AX1037" s="192"/>
    </row>
    <row r="1038" spans="2:50" ht="15" customHeight="1" thickTop="1" x14ac:dyDescent="0.3">
      <c r="B1038" s="192"/>
      <c r="C1038" s="192"/>
      <c r="D1038" s="192"/>
      <c r="E1038" s="192"/>
      <c r="F1038" s="192"/>
      <c r="G1038" s="192"/>
      <c r="H1038" s="192"/>
      <c r="I1038" s="192"/>
      <c r="J1038" s="192"/>
      <c r="K1038" s="192"/>
      <c r="L1038" s="192"/>
      <c r="M1038" s="192"/>
      <c r="N1038" s="192"/>
      <c r="O1038" s="192"/>
      <c r="P1038" s="192"/>
      <c r="Q1038" s="192"/>
      <c r="R1038" s="192"/>
      <c r="S1038" s="192"/>
      <c r="T1038" s="203"/>
      <c r="U1038" s="192"/>
      <c r="V1038" s="192"/>
      <c r="W1038" s="192"/>
      <c r="X1038" s="192"/>
      <c r="Y1038" s="192"/>
      <c r="Z1038" s="192"/>
      <c r="AA1038" s="192"/>
      <c r="AB1038" s="192"/>
      <c r="AC1038" s="192"/>
      <c r="AD1038" s="192"/>
      <c r="AE1038" s="192"/>
      <c r="AF1038" s="203"/>
      <c r="AG1038" s="203"/>
      <c r="AH1038" s="203"/>
      <c r="AI1038" s="203"/>
      <c r="AJ1038" s="203"/>
      <c r="AK1038" s="203"/>
      <c r="AL1038" s="203"/>
      <c r="AM1038" s="203"/>
      <c r="AN1038" s="192"/>
      <c r="AO1038" s="192"/>
      <c r="AP1038" s="192"/>
      <c r="AQ1038" s="192"/>
      <c r="AR1038" s="192"/>
      <c r="AS1038" s="192"/>
      <c r="AT1038" s="192"/>
      <c r="AU1038" s="192"/>
      <c r="AV1038" s="192"/>
      <c r="AW1038" s="192"/>
      <c r="AX1038" s="192"/>
    </row>
    <row r="1039" spans="2:50" ht="15" customHeight="1" x14ac:dyDescent="0.3">
      <c r="B1039" s="192"/>
      <c r="C1039" s="192"/>
      <c r="D1039" s="192"/>
      <c r="E1039" s="192"/>
      <c r="F1039" s="192"/>
      <c r="G1039" s="192"/>
      <c r="H1039" s="192"/>
      <c r="I1039" s="192"/>
      <c r="J1039" s="192"/>
      <c r="K1039" s="192"/>
      <c r="L1039" s="192"/>
      <c r="M1039" s="192"/>
      <c r="N1039" s="192"/>
      <c r="O1039" s="192"/>
      <c r="P1039" s="192"/>
      <c r="Q1039" s="192"/>
      <c r="R1039" s="192"/>
      <c r="S1039" s="192"/>
      <c r="T1039" s="192"/>
      <c r="U1039" s="192"/>
      <c r="V1039" s="192"/>
      <c r="W1039" s="192"/>
      <c r="X1039" s="192"/>
      <c r="Y1039" s="192"/>
      <c r="Z1039" s="192"/>
      <c r="AA1039" s="192"/>
      <c r="AB1039" s="192"/>
      <c r="AC1039" s="192"/>
      <c r="AD1039" s="192"/>
      <c r="AE1039" s="192"/>
      <c r="AF1039" s="203"/>
      <c r="AG1039" s="203"/>
      <c r="AH1039" s="203"/>
      <c r="AI1039" s="203"/>
      <c r="AJ1039" s="203"/>
      <c r="AK1039" s="203"/>
      <c r="AL1039" s="203"/>
      <c r="AM1039" s="203"/>
      <c r="AN1039" s="192"/>
      <c r="AO1039" s="192"/>
      <c r="AP1039" s="192"/>
      <c r="AQ1039" s="192"/>
      <c r="AR1039" s="192"/>
      <c r="AS1039" s="192"/>
      <c r="AT1039" s="192"/>
      <c r="AU1039" s="192"/>
      <c r="AV1039" s="192"/>
      <c r="AW1039" s="192"/>
      <c r="AX1039" s="192"/>
    </row>
    <row r="1040" spans="2:50" ht="15" customHeight="1" x14ac:dyDescent="0.3">
      <c r="B1040" s="192"/>
      <c r="C1040" s="192"/>
      <c r="D1040" s="192"/>
      <c r="E1040" s="192"/>
      <c r="F1040" s="192"/>
      <c r="G1040" s="192"/>
      <c r="H1040" s="192"/>
      <c r="I1040" s="192"/>
      <c r="J1040" s="192"/>
      <c r="K1040" s="192"/>
      <c r="L1040" s="192"/>
      <c r="M1040" s="192"/>
      <c r="N1040" s="192"/>
      <c r="O1040" s="192"/>
      <c r="P1040" s="192"/>
      <c r="Q1040" s="192"/>
      <c r="R1040" s="192"/>
      <c r="S1040" s="192"/>
      <c r="T1040" s="192"/>
      <c r="U1040" s="192"/>
      <c r="V1040" s="192"/>
      <c r="W1040" s="192"/>
      <c r="X1040" s="192"/>
      <c r="Y1040" s="192"/>
      <c r="Z1040" s="269"/>
      <c r="AA1040" s="192"/>
      <c r="AB1040" s="192"/>
      <c r="AC1040" s="192"/>
      <c r="AD1040" s="192"/>
      <c r="AE1040" s="192"/>
      <c r="AF1040" s="203"/>
      <c r="AG1040" s="203"/>
      <c r="AH1040" s="203"/>
      <c r="AI1040" s="203"/>
      <c r="AJ1040" s="203"/>
      <c r="AK1040" s="203"/>
      <c r="AL1040" s="203"/>
      <c r="AM1040" s="203"/>
      <c r="AN1040" s="192"/>
      <c r="AO1040" s="192"/>
      <c r="AP1040" s="192"/>
      <c r="AQ1040" s="192"/>
      <c r="AR1040" s="192"/>
      <c r="AS1040" s="192"/>
      <c r="AT1040" s="192"/>
      <c r="AU1040" s="192"/>
      <c r="AV1040" s="192"/>
      <c r="AW1040" s="192"/>
      <c r="AX1040" s="192"/>
    </row>
    <row r="1041" spans="2:50" ht="15" customHeight="1" x14ac:dyDescent="0.3">
      <c r="B1041" s="192"/>
      <c r="C1041" s="192"/>
      <c r="D1041" s="192"/>
      <c r="E1041" s="192"/>
      <c r="F1041" s="192"/>
      <c r="G1041" s="192"/>
      <c r="H1041" s="192"/>
      <c r="I1041" s="192"/>
      <c r="J1041" s="192"/>
      <c r="K1041" s="192"/>
      <c r="L1041" s="192"/>
      <c r="M1041" s="192"/>
      <c r="N1041" s="192"/>
      <c r="O1041" s="192"/>
      <c r="P1041" s="192"/>
      <c r="Q1041" s="192"/>
      <c r="R1041" s="192"/>
      <c r="S1041" s="192"/>
      <c r="T1041" s="192"/>
      <c r="U1041" s="192"/>
      <c r="V1041" s="192"/>
      <c r="W1041" s="192"/>
      <c r="X1041" s="192"/>
      <c r="Y1041" s="192"/>
      <c r="Z1041" s="192"/>
      <c r="AA1041" s="192"/>
      <c r="AB1041" s="192"/>
      <c r="AC1041" s="192"/>
      <c r="AD1041" s="192"/>
      <c r="AE1041" s="192"/>
      <c r="AF1041" s="203"/>
      <c r="AG1041" s="203"/>
      <c r="AH1041" s="203"/>
      <c r="AI1041" s="203"/>
      <c r="AJ1041" s="203"/>
      <c r="AK1041" s="203"/>
      <c r="AL1041" s="203"/>
      <c r="AM1041" s="203"/>
      <c r="AN1041" s="192"/>
      <c r="AO1041" s="192"/>
      <c r="AP1041" s="192"/>
      <c r="AQ1041" s="192"/>
      <c r="AR1041" s="192"/>
      <c r="AS1041" s="192"/>
      <c r="AT1041" s="192"/>
      <c r="AU1041" s="192"/>
      <c r="AV1041" s="192"/>
      <c r="AW1041" s="192"/>
      <c r="AX1041" s="192"/>
    </row>
    <row r="1042" spans="2:50" ht="15" customHeight="1" x14ac:dyDescent="0.3">
      <c r="B1042" s="192"/>
      <c r="C1042" s="192"/>
      <c r="D1042" s="192"/>
      <c r="E1042" s="192"/>
      <c r="F1042" s="192"/>
      <c r="G1042" s="192"/>
      <c r="H1042" s="192"/>
      <c r="I1042" s="192"/>
      <c r="J1042" s="192"/>
      <c r="K1042" s="192"/>
      <c r="L1042" s="192"/>
      <c r="M1042" s="192"/>
      <c r="N1042" s="192"/>
      <c r="O1042" s="192"/>
      <c r="P1042" s="192"/>
      <c r="Q1042" s="192"/>
      <c r="R1042" s="192"/>
      <c r="S1042" s="192"/>
      <c r="T1042" s="192"/>
      <c r="U1042" s="192"/>
      <c r="V1042" s="192"/>
      <c r="W1042" s="192"/>
      <c r="X1042" s="192"/>
      <c r="Y1042" s="192"/>
      <c r="Z1042" s="192"/>
      <c r="AA1042" s="192"/>
      <c r="AB1042" s="192"/>
      <c r="AC1042" s="192"/>
      <c r="AD1042" s="192"/>
      <c r="AE1042" s="192"/>
      <c r="AF1042" s="203"/>
      <c r="AG1042" s="203"/>
      <c r="AH1042" s="203"/>
      <c r="AI1042" s="203"/>
      <c r="AJ1042" s="203"/>
      <c r="AK1042" s="203"/>
      <c r="AL1042" s="203"/>
      <c r="AM1042" s="203"/>
      <c r="AN1042" s="192"/>
      <c r="AO1042" s="192"/>
      <c r="AP1042" s="192"/>
      <c r="AQ1042" s="192"/>
      <c r="AR1042" s="192"/>
      <c r="AS1042" s="192"/>
      <c r="AT1042" s="192"/>
      <c r="AU1042" s="192"/>
      <c r="AV1042" s="192"/>
      <c r="AW1042" s="192"/>
      <c r="AX1042" s="192"/>
    </row>
    <row r="1043" spans="2:50" ht="15" customHeight="1" thickBot="1" x14ac:dyDescent="0.4">
      <c r="B1043" s="192"/>
      <c r="C1043" s="192"/>
      <c r="D1043" s="192"/>
      <c r="E1043" s="192"/>
      <c r="F1043" s="192"/>
      <c r="G1043" s="192"/>
      <c r="H1043" s="192"/>
      <c r="I1043" s="383" t="s">
        <v>151</v>
      </c>
      <c r="J1043" s="383"/>
      <c r="K1043" s="383"/>
      <c r="L1043" s="383"/>
      <c r="M1043" s="383"/>
      <c r="N1043" s="383"/>
      <c r="O1043" s="383"/>
      <c r="P1043" s="383"/>
      <c r="Q1043" s="383"/>
      <c r="R1043" s="383"/>
      <c r="S1043" s="192"/>
      <c r="T1043" s="192"/>
      <c r="U1043" s="370" t="s">
        <v>92</v>
      </c>
      <c r="V1043" s="371"/>
      <c r="W1043" s="371"/>
      <c r="X1043" s="372"/>
      <c r="Y1043" s="192"/>
      <c r="Z1043" s="192"/>
      <c r="AA1043" s="192"/>
      <c r="AB1043" s="192"/>
      <c r="AC1043" s="192"/>
      <c r="AD1043" s="192"/>
      <c r="AE1043" s="192"/>
      <c r="AF1043" s="203"/>
      <c r="AG1043" s="203"/>
      <c r="AH1043" s="203"/>
      <c r="AI1043" s="203"/>
      <c r="AJ1043" s="203"/>
      <c r="AK1043" s="203"/>
      <c r="AL1043" s="203"/>
      <c r="AM1043" s="203"/>
      <c r="AN1043" s="192"/>
      <c r="AO1043" s="192"/>
      <c r="AP1043" s="192"/>
      <c r="AQ1043" s="192"/>
      <c r="AR1043" s="192"/>
      <c r="AS1043" s="192"/>
      <c r="AT1043" s="192"/>
      <c r="AU1043" s="192"/>
      <c r="AV1043" s="192"/>
      <c r="AW1043" s="192"/>
      <c r="AX1043" s="192"/>
    </row>
    <row r="1044" spans="2:50" ht="15" customHeight="1" thickTop="1" thickBot="1" x14ac:dyDescent="0.35">
      <c r="B1044" s="192"/>
      <c r="C1044" s="192"/>
      <c r="D1044" s="192"/>
      <c r="E1044" s="192"/>
      <c r="F1044" s="192"/>
      <c r="G1044" s="192"/>
      <c r="H1044" s="192"/>
      <c r="I1044" s="400" t="s">
        <v>93</v>
      </c>
      <c r="J1044" s="160"/>
      <c r="K1044" s="396" t="s">
        <v>94</v>
      </c>
      <c r="L1044" s="398" t="s">
        <v>95</v>
      </c>
      <c r="M1044" s="390" t="s">
        <v>96</v>
      </c>
      <c r="N1044" s="390" t="s">
        <v>97</v>
      </c>
      <c r="O1044" s="373" t="s">
        <v>98</v>
      </c>
      <c r="P1044" s="373" t="str">
        <f>IF(COUNT(U1045:X1056)=3,"LM/WM Ratio",IF(COUNT(U1045:X1056)=6,"LP/WP Ratio",""))</f>
        <v/>
      </c>
      <c r="Q1044" s="390" t="s">
        <v>99</v>
      </c>
      <c r="R1044" s="392" t="s">
        <v>100</v>
      </c>
      <c r="S1044" s="192"/>
      <c r="T1044" s="120"/>
      <c r="U1044" s="121" t="s">
        <v>101</v>
      </c>
      <c r="V1044" s="122" t="s">
        <v>102</v>
      </c>
      <c r="W1044" s="122" t="s">
        <v>103</v>
      </c>
      <c r="X1044" s="123" t="s">
        <v>104</v>
      </c>
      <c r="Y1044" s="380" t="s">
        <v>105</v>
      </c>
      <c r="Z1044" s="379"/>
      <c r="AA1044" s="378" t="s">
        <v>106</v>
      </c>
      <c r="AB1044" s="379"/>
      <c r="AC1044" s="192"/>
      <c r="AD1044" s="192"/>
      <c r="AE1044" s="203"/>
      <c r="AF1044" s="203"/>
      <c r="AG1044" s="203"/>
      <c r="AH1044" s="203"/>
      <c r="AI1044" s="203"/>
      <c r="AJ1044" s="203"/>
      <c r="AK1044" s="203"/>
      <c r="AL1044" s="203"/>
      <c r="AM1044" s="203"/>
      <c r="AN1044" s="192"/>
      <c r="AO1044" s="192"/>
      <c r="AP1044" s="192"/>
      <c r="AQ1044" s="192"/>
      <c r="AR1044" s="192"/>
      <c r="AS1044" s="192"/>
      <c r="AT1044" s="192"/>
      <c r="AU1044" s="192"/>
      <c r="AV1044" s="192"/>
      <c r="AW1044" s="192"/>
      <c r="AX1044" s="192"/>
    </row>
    <row r="1045" spans="2:50" ht="15" customHeight="1" thickTop="1" thickBot="1" x14ac:dyDescent="0.35">
      <c r="B1045" s="192"/>
      <c r="C1045" s="192"/>
      <c r="D1045" s="192"/>
      <c r="E1045" s="192"/>
      <c r="F1045" s="192"/>
      <c r="G1045" s="192"/>
      <c r="H1045" s="192"/>
      <c r="I1045" s="401"/>
      <c r="J1045" s="161"/>
      <c r="K1045" s="397"/>
      <c r="L1045" s="399"/>
      <c r="M1045" s="391"/>
      <c r="N1045" s="391"/>
      <c r="O1045" s="374"/>
      <c r="P1045" s="374"/>
      <c r="Q1045" s="391"/>
      <c r="R1045" s="393"/>
      <c r="S1045" s="192"/>
      <c r="T1045" s="208">
        <v>1</v>
      </c>
      <c r="U1045" s="209" t="str">
        <f>IF(M1046="","",IF(COUNTIF(M1046:M1048,M1046)=3,IF(COUNTBLANK(I1046:I1049)=1,(Q1058+Q1064)/(Q1057+Q1063),IF(COUNTBLANK(I1046:I1049)=0,(Q1070+Q1058)/(Q1069+Q1057),"")),""))</f>
        <v/>
      </c>
      <c r="V1045" s="125" t="str">
        <f>IF(AND(COUNTBLANK(I1046:I1049)=0,M1046=M1048,M1048=M1049),(Q1058+Q1064)/(Q1057+Q1063),"")</f>
        <v/>
      </c>
      <c r="W1045" s="210" t="str">
        <f>IF(AND(COUNTBLANK(I1046:I1049)=0,M1046=M1047,M1047=M1049),(Q1070+Q1064)/(Q1069+Q1063),"")</f>
        <v/>
      </c>
      <c r="X1045" s="211"/>
      <c r="Y1045" s="169" t="s">
        <v>93</v>
      </c>
      <c r="Z1045" s="170" t="s">
        <v>107</v>
      </c>
      <c r="AA1045" s="169" t="s">
        <v>93</v>
      </c>
      <c r="AB1045" s="170" t="s">
        <v>107</v>
      </c>
      <c r="AC1045" s="192"/>
      <c r="AD1045" s="192"/>
      <c r="AE1045" s="192"/>
      <c r="AF1045" s="203"/>
      <c r="AG1045" s="203"/>
      <c r="AH1045" s="203"/>
      <c r="AI1045" s="203"/>
      <c r="AJ1045" s="203"/>
      <c r="AK1045" s="203"/>
      <c r="AL1045" s="203"/>
      <c r="AM1045" s="203"/>
      <c r="AN1045" s="192"/>
      <c r="AO1045" s="192"/>
      <c r="AP1045" s="192"/>
      <c r="AQ1045" s="192"/>
      <c r="AR1045" s="192"/>
      <c r="AS1045" s="192"/>
      <c r="AT1045" s="192"/>
      <c r="AU1045" s="192"/>
      <c r="AV1045" s="192"/>
      <c r="AW1045" s="192"/>
      <c r="AX1045" s="192"/>
    </row>
    <row r="1046" spans="2:50" ht="15" customHeight="1" thickTop="1" thickBot="1" x14ac:dyDescent="0.35">
      <c r="B1046" s="192"/>
      <c r="C1046" s="192"/>
      <c r="D1046" s="192"/>
      <c r="E1046" s="192"/>
      <c r="F1046" s="192" t="str">
        <f>IF(I1046="","",VLOOKUP(I1046,Siembra,2,FALSE))</f>
        <v/>
      </c>
      <c r="G1046" s="192" t="str">
        <f>O1046</f>
        <v/>
      </c>
      <c r="H1046" s="192">
        <v>1</v>
      </c>
      <c r="I1046" s="128" t="str">
        <f>IF(K1046="","",IF(ISNUMBER(Sorteo!$A$17),VLOOKUP(K1046,Draw,2,FALSE),""))</f>
        <v/>
      </c>
      <c r="J1046" s="129" t="str">
        <f>O1046</f>
        <v/>
      </c>
      <c r="K1046" s="130" t="str">
        <f>IF($K$9="","",IF(Group_players=4,IF(Tablas!CJ$3="","",Tablas!CJ$3),IF(Group_players=3,IF(Tablas!CJ$11="","",Tablas!CJ$11),"")))</f>
        <v/>
      </c>
      <c r="L1046" s="131" t="str">
        <f>IF(K1046="","",VLOOKUP(I1046,Siembra,3,FALSE))</f>
        <v/>
      </c>
      <c r="M1046" s="132" t="str">
        <f>IF(AND(Q1057="",Q1058=""),"",IF(I1046="","",SUMIFS(E1057:E1073,I1057:I1073,I1046)))</f>
        <v/>
      </c>
      <c r="N1046" s="132" t="str">
        <f>IF(M1046="","",IF(I1046="","",SUMIFS(F1057:F1073,I1057:I1073,I1046)))</f>
        <v/>
      </c>
      <c r="O1046" s="132" t="str">
        <f>IF(M1046="","",IF(COUNTBLANK(I1046:I1049)=1,IF(M1046=2,1,IF(M1046=0,3,IF(AND(M1046=1,M1047&lt;&gt;1),2,IF(COUNTIF(M1046:M1048,1)&gt;1,Z1046)))),IF(COUNTBLANK(I1046:I1049)=0,IF(COUNTIF(M1046:M1049,M1046)=1,IF(M1046=3,1,IF(M1046=2,2,IF(M1046=1,3,IF(M1046=0,4)))),IF(Group_players=3,Z1046,IF(COUNTIF(M1046:M1049,M1046)=2,AB1046,IF(AND(M1046=M1047,M1047=M1048),AB1050,IF(AND(M1046=M1048,M1048=M1049),AB1053,IF(AND(M1046=M1047,M1047=M1049),AB1056,"")))))),99)))</f>
        <v/>
      </c>
      <c r="P1046" s="133" t="str">
        <f>IF(COUNT(U1045:X1056)=3,IF(ISNUMBER(U1045),U1045,IF(ISNUMBER(V1045),V1045,IF(ISNUMBER(W1045),W1045,IF(X1045="","")))),IF(COUNT(U1045:X1056)=6,IF(ISNUMBER(U1053),U1053,IF(ISNUMBER(V1053),V1053,IF(ISNUMBER(W1053),W1053,IF(ISBLANK(X1045),"")))),""))</f>
        <v/>
      </c>
      <c r="Q1046" s="132" t="str">
        <f>IF(M1046="","",SUMIF(I1057:S1073,I1046,S1057:S1073))</f>
        <v/>
      </c>
      <c r="R1046" s="134" t="str">
        <f>IF(M1046="","",L1046+Q1046)</f>
        <v/>
      </c>
      <c r="S1046" s="203"/>
      <c r="T1046" s="208">
        <v>2</v>
      </c>
      <c r="U1046" s="209" t="str">
        <f>IF(M1047="","",IF(COUNTIF(M1046:M1048,M1047)=3,IF(COUNTBLANK(I1046:I1049)=1,(Q1061+Q1063)/(Q1060+Q1064),IF(COUNTBLANK(I1046:I1049)=0,(Q1067+Q1069)/(Q1066+Q1070),"")),""))</f>
        <v/>
      </c>
      <c r="V1046" s="135"/>
      <c r="W1046" s="212" t="str">
        <f>IF(AND(COUNTBLANK(I1046:I1049)=0,M1047=M1046,M1046=M1049),(Q1069+Q1061)/(Q1070+Q1060),"")</f>
        <v/>
      </c>
      <c r="X1046" s="213" t="str">
        <f>IF(AND(COUNTBLANK(I1046:I1049)=0,M1047=M1048,M1048=M1049),(Q1067+Q1061)/(Q1066+Q1060),"")</f>
        <v/>
      </c>
      <c r="Y1046" s="214">
        <v>1</v>
      </c>
      <c r="Z1046" s="215" t="str">
        <f>IF(U1045="","",IF(OR(Group_players=3,AND(Group_players=4,COUNTBLANK(I1046:I1049)=1)),IF(COUNTIF(M1046:M1048,M1046)=1,"",IF(AND(U1045=U1046,U1046=U1047),Z1050,IF(AND(U1045&lt;&gt;U1046,U1045&lt;&gt;U1047,U1046&lt;&gt;U1047),(IF(SMALL(U1045:U1047,1)=U1045,1,IF(SMALL(U1045:U1047,2)=U1045,2,IF(SMALL(U1045:U1047,3)=U1045,3)))),IF(AND(U1045&lt;U1046,U1046=U1047),1,IF(AND(U1045&gt;U1046,U1046=U1047),3,IF(AND(U1045=U1046,U1045&lt;U1047),(IF(Q1063=3,1,2)),IF(AND(U1045=U1046,U1045&gt;U1047),(IF(Q1063=3,2,3)),IF(AND(U1045=U1047,U1045&lt;U1046),(IF(Q1057=3,1,2)),IF(AND(U1045=U1047,U1045&gt;U1046),(IF(Q1057=3,2,3)),99))))))))),""))</f>
        <v/>
      </c>
      <c r="AA1046" s="216">
        <v>1</v>
      </c>
      <c r="AB1046" s="217" t="str">
        <f>IF(COUNTIF(M1046:M1049,M1046)&lt;&gt;2,"",IF(COUNTIF(M1046:M1049,M1046)=1,"",IF(AND(COUNTIF(M1046:M1049,M1046)=2,M1046=2),IF(M1046=M1047,IF(Q1069=3,1,2),IF(M1046=M1048,IF(Q1057=3,1,2),IF(M1046=M1049,IF(Q1063=3,1,2)))),IF(AND(COUNTIF(M1046:M1049,M1046)=2,M1046=1),IF(M1046=M1047,IF(Q1069=3,3,4),IF(M1046=M1048,IF(Q1057=3,3,4),IF(M1046=M1049,IF(Q1063=3,3,4)))),IF(COUNTIF(M1046:M1049,M1046)=3,AB1050)))))</f>
        <v/>
      </c>
      <c r="AC1046" s="192"/>
      <c r="AD1046" s="192"/>
      <c r="AE1046" s="192"/>
      <c r="AF1046" s="203"/>
      <c r="AG1046" s="203"/>
      <c r="AH1046" s="203"/>
      <c r="AI1046" s="203"/>
      <c r="AJ1046" s="203"/>
      <c r="AK1046" s="203"/>
      <c r="AL1046" s="203"/>
      <c r="AM1046" s="203"/>
      <c r="AN1046" s="192"/>
      <c r="AO1046" s="192"/>
      <c r="AP1046" s="192"/>
      <c r="AQ1046" s="192"/>
      <c r="AR1046" s="192"/>
      <c r="AS1046" s="192"/>
      <c r="AT1046" s="192"/>
      <c r="AU1046" s="192"/>
      <c r="AV1046" s="192"/>
      <c r="AW1046" s="192"/>
      <c r="AX1046" s="192"/>
    </row>
    <row r="1047" spans="2:50" ht="15" customHeight="1" thickTop="1" thickBot="1" x14ac:dyDescent="0.35">
      <c r="B1047" s="192"/>
      <c r="C1047" s="192"/>
      <c r="D1047" s="192"/>
      <c r="E1047" s="192"/>
      <c r="F1047" s="192" t="str">
        <f>IF(I1047="","",VLOOKUP(I1047,Siembra,2,FALSE))</f>
        <v/>
      </c>
      <c r="G1047" s="192" t="str">
        <f>O1047</f>
        <v/>
      </c>
      <c r="H1047" s="192">
        <v>2</v>
      </c>
      <c r="I1047" s="128" t="str">
        <f>IF(K1047="","",IF(ISNUMBER(Sorteo!$A$17),VLOOKUP(K1047,Draw,2,FALSE),""))</f>
        <v/>
      </c>
      <c r="J1047" s="129" t="str">
        <f>O1047</f>
        <v/>
      </c>
      <c r="K1047" s="136" t="str">
        <f>IF($K$9="","",IF(Group_players=4,IF(Tablas!CJ$4="","",Tablas!CJ$4),IF(Group_players=3,IF(Tablas!CJ$12="","",Tablas!CJ$12),"")))</f>
        <v/>
      </c>
      <c r="L1047" s="137" t="str">
        <f>IF(K1047="","",VLOOKUP(I1047,Siembra,3,FALSE))</f>
        <v/>
      </c>
      <c r="M1047" s="132" t="str">
        <f>IF(AND(L1057="",L1058=""),"",IF(I1047="","",SUMIFS(E1057:E1074,I1057:I1074,I1047)))</f>
        <v/>
      </c>
      <c r="N1047" s="138" t="str">
        <f>IF(M1047="","",IF(I1047="","",SUMIFS(F1057:F1073,I1057:I1073,I1047)))</f>
        <v/>
      </c>
      <c r="O1047" s="132" t="str">
        <f>IF(M1047="","",IF(COUNTBLANK(I1046:I1049)=1,IF(M1047=2,1,IF(M1047=0,3,IF(AND(M1047=1,M1048&lt;&gt;1),2,IF(COUNTIF(M1046:M1049,1)&gt;1,Z1047)))),IF(COUNTBLANK(I1046:I1049)=0,IF(COUNTIF(M1046:M1049,M1047)=1,IF(M1047=3,1,IF(M1047=2,2,IF(M1047=1,3,IF(M1047=0,4)))),IF(Group_players=3,Z1047,IF(COUNTIF(M1046:M1049,M1047)=2,AB1047,IF(AND(M1047=M1046,M1046=M1048),AB1051,IF(AND(M1047=M1046,M1046=M1049),AB1057,IF(AND(M1047=M1048,M1048=M1049),AB1059,"")))))))))</f>
        <v/>
      </c>
      <c r="P1047" s="133" t="str">
        <f>IF(COUNT(U1045:X1056)=3,IF(ISNUMBER(U1046),U1046,IF(ISNUMBER(W1046),W1046,IF(ISNUMBER(X1046),X1046,IF(X1046="","")))),IF(COUNT(U1045:X1056)=6,IF(ISNUMBER(U1054),U1054,IF(ISNUMBER(W1054),W1054,IF(ISNUMBER(X1054),X1054,IF(ISBLANK(X1053),"")))),""))</f>
        <v/>
      </c>
      <c r="Q1047" s="138" t="str">
        <f>IF(M1047="","",SUMIF(I1057:S1073,I1047,S1057:$S1073))</f>
        <v/>
      </c>
      <c r="R1047" s="139" t="str">
        <f>IF(M1047="","",L1047+Q1047)</f>
        <v/>
      </c>
      <c r="S1047" s="203"/>
      <c r="T1047" s="208">
        <v>3</v>
      </c>
      <c r="U1047" s="209" t="str">
        <f>IF(M1048="","",IF(COUNTIF(M1046:M1048,M1048)=3,IF(COUNTBLANK(I1046:I1049)=1,(Q1057+Q1060)/(Q1058+Q1061),IF(COUNTBLANK(I1046:I1049)=0,(Q1057+Q1066)/(Q1058+Q1067),"")),""))</f>
        <v/>
      </c>
      <c r="V1047" s="125" t="str">
        <f>IF(AND(COUNTBLANK(I1046:I1049)=0,M1048=M1049,M1049=M1046),(Q1057+Q1073)/(Q1058+Q1072),"")</f>
        <v/>
      </c>
      <c r="W1047" s="218"/>
      <c r="X1047" s="213" t="str">
        <f>IF(AND(COUNTBLANK(I1046:I1049)=0,M1048=M1049,M1049=M1047),(Q1066+Q1073)/(Q1067+Q1072),"")</f>
        <v/>
      </c>
      <c r="Y1047" s="219">
        <v>2</v>
      </c>
      <c r="Z1047" s="220" t="str">
        <f>IF(U1046="","",IF(OR(Group_players=3,AND(Group_players=4,COUNTBLANK(I1046:I1049)=1)),IF(COUNTIF(M1046:M1048,M1047)=1,"",IF(AND(U1046=U1045,U1046=U1047),Z1051,IF(AND(U1046&lt;&gt;U1045,U1046&lt;&gt;U1047,U1045&lt;&gt;U1047),(IF(SMALL(U1045:U1047,1)=U1046,1,IF(SMALL(U1045:U1047,2)=U1046,2,IF(SMALL(U1045:U1047,3)=U1046,3)))),IF(AND(U1046&lt;U1045,U1045=U1047),1,IF(AND(U1046&gt;U1045,U1045=U1047),3,IF(AND(U1046=U1045,U1046&lt;U1047),(IF(Q1064=3,1,2)),IF(AND(U1046=U1045,U1046&gt;U1047),(IF(Q1064=3,2,3)),IF(AND(U1046=U1047,U1046&lt;U1045),(IF(Q1060=3,1,2)),IF(AND(U1046=U1047,U1046&gt;U1045),(IF(Q1060=3,2,3)),99))))))))),""))</f>
        <v/>
      </c>
      <c r="AA1047" s="221">
        <v>2</v>
      </c>
      <c r="AB1047" s="222" t="str">
        <f>IF(COUNTIF(M1046:M1049,M1047)&lt;&gt;2,"",IF(COUNTIF(M1046:M1049,M1047)=1,"",IF(AND(COUNTIF(M1046:M1049,M1047)=2,M1047=2),IF(M1047=M1046,IF(Q1070=3,1,2),IF(M1047=M1048,IF(Q1066=3,1,2),IF(M1047=M1049,IF(Q1060=3,1,2)))),IF(AND(COUNTIF(M1046:M1049,M1047)=2,M1047=1),IF(M1047=M1046,IF(Q1070=3,3,4),IF(M1047=M1048,IF(Q1066=3,3,4),IF(M1047=M1049,IF(Q1060=3,3,4)))),AB1052))))</f>
        <v/>
      </c>
      <c r="AC1047" s="192"/>
      <c r="AD1047" s="192"/>
      <c r="AE1047" s="192"/>
      <c r="AF1047" s="203"/>
      <c r="AG1047" s="203"/>
      <c r="AH1047" s="203"/>
      <c r="AI1047" s="203"/>
      <c r="AJ1047" s="203"/>
      <c r="AK1047" s="203"/>
      <c r="AL1047" s="203"/>
      <c r="AM1047" s="203"/>
      <c r="AN1047" s="192"/>
      <c r="AO1047" s="192"/>
      <c r="AP1047" s="192"/>
      <c r="AQ1047" s="192"/>
      <c r="AR1047" s="192"/>
      <c r="AS1047" s="192"/>
      <c r="AT1047" s="192"/>
      <c r="AU1047" s="192"/>
      <c r="AV1047" s="192"/>
      <c r="AW1047" s="192"/>
      <c r="AX1047" s="192"/>
    </row>
    <row r="1048" spans="2:50" ht="15" customHeight="1" thickBot="1" x14ac:dyDescent="0.35">
      <c r="B1048" s="192"/>
      <c r="C1048" s="192"/>
      <c r="D1048" s="192"/>
      <c r="E1048" s="192"/>
      <c r="F1048" s="192" t="str">
        <f>IF(I1048="","",VLOOKUP(I1048,Siembra,2,FALSE))</f>
        <v/>
      </c>
      <c r="G1048" s="192" t="str">
        <f>O1048</f>
        <v/>
      </c>
      <c r="H1048" s="192">
        <v>3</v>
      </c>
      <c r="I1048" s="128" t="str">
        <f>IF(K1048="","",IF(ISNUMBER(Sorteo!$A$17),VLOOKUP(K1048,Draw,2,FALSE),""))</f>
        <v/>
      </c>
      <c r="J1048" s="129" t="str">
        <f>O1048</f>
        <v/>
      </c>
      <c r="K1048" s="136" t="str">
        <f>IF($K$9="","",IF(Group_players=4,IF(Tablas!CJ$5="","",Tablas!CJ$5),IF(Group_players=3,IF(Tablas!CJ$13="","",Tablas!CJ$13),"")))</f>
        <v/>
      </c>
      <c r="L1048" s="137" t="str">
        <f>IF(K1048="","",VLOOKUP(I1048,Siembra,3,FALSE))</f>
        <v/>
      </c>
      <c r="M1048" s="132" t="str">
        <f>IF(AND(L1058="",L1057=""),"",IF(I1048="","",SUMIFS(E1057:E1075,I1057:I1075,I1048)))</f>
        <v/>
      </c>
      <c r="N1048" s="138" t="str">
        <f>IF(M1048="","",IF(I1048="","",SUMIFS(F1057:F1073,I1057:I1073,I1048)))</f>
        <v/>
      </c>
      <c r="O1048" s="132" t="str">
        <f>IF(M1048="","",IF(COUNTBLANK(I1046:I1049)=1,IF(M1048=2,1,IF(M1048=0,3,IF(AND(M1048=1,M1048&lt;&gt;M1046),2,IF(COUNTIF(M1046:M1049,1)&gt;1,Z1048)))),IF(COUNTBLANK(I1046:I1049)=0,IF(COUNTIF(M1046:M1049,M1048)=1,IF(M1048=3,1,IF(M1048=2,2,IF(M1048=1,3,IF(M1048=0,4)))),IF(Group_players=3,Z1048,IF(COUNTIF(M1046:M1049,M1048)=2,AB1048,IF(AND(M1048=M1046,M1046=M1047),AB1052,IF(AND(M1048=M1046,M1046=M1049),AB1054,IF(AND(M1048=M1047,M1047=M1049),AB1060,"")))))))))</f>
        <v/>
      </c>
      <c r="P1048" s="133" t="str">
        <f>IF(COUNT(U1045:X1056)=3,IF(ISNUMBER(U1047),U1047,IF(ISNUMBER(V1047),V1047,IF(ISNUMBER(X1047),X1047,IF(W1047="","")))),IF(COUNT(U1045:X1056)=6,IF(ISNUMBER(U1055),U1055,IF(ISNUMBER(V1055),V1055,IF(ISNUMBER(X1055),X1055,""))),""))</f>
        <v/>
      </c>
      <c r="Q1048" s="138" t="str">
        <f>IF(M1048="","",SUMIF(I1057:S1073,I1048,S1057:S1073))</f>
        <v/>
      </c>
      <c r="R1048" s="139" t="str">
        <f>IF(M1048="","",L1048+Q1048)</f>
        <v/>
      </c>
      <c r="S1048" s="203"/>
      <c r="T1048" s="208">
        <v>4</v>
      </c>
      <c r="U1048" s="223"/>
      <c r="V1048" s="140" t="str">
        <f>IF(AND(COUNTBLANK(I1046:I1049)=0,M1049=M1046,M1046=M1048),(Q1063+Q1072)/(Q1064+Q1073),"")</f>
        <v/>
      </c>
      <c r="W1048" s="224" t="str">
        <f>IF(AND(COUNTBLANK(I1046:I1049)=0,M1049=M1046,M1046=M1047),(Q1063+Q1060)/(Q1064+Q1061),"")</f>
        <v/>
      </c>
      <c r="X1048" s="225" t="str">
        <f>IF(AND(COUNTBLANK(I1046:I1049)=0,M1049=M1047,M1047=M1048),(Q1060+Q1072)/(Q1061+Q1073),"")</f>
        <v/>
      </c>
      <c r="Y1048" s="226">
        <v>3</v>
      </c>
      <c r="Z1048" s="227" t="str">
        <f>IF(U1047="","",IF(OR(Group_players=3,AND(Group_players=4,COUNTBLANK(I1046:I1049)=1)),IF(COUNTIF(M1046:M1048,M1048)=1,"",IF(AND(U1047=U1045,U1047=U1046),Z1052,IF(AND(U1047&lt;&gt;U1046,U1046&lt;&gt;U1045,U1047&lt;&gt;U1045),(IF(SMALL(U1045:U1047,1)=U1047,1,IF(SMALL(U1045:U1047,2)=U1047,2,IF(SMALL(U1045:U1047,3)=U1047,3)))),IF(AND(U1047&lt;U1046,U1046=U1045),1,IF(AND(U1047&gt;U1046,U1046=U1045),3,IF(AND(U1047=U1046,U1047&lt;U1045),(IF(Q1061=3,1,2)),IF(AND(U1047=U1046,U1047&gt;U1045),(IF(Q1061=3,2,3)),IF(AND(U1047=U1045,U1047&lt;U1046),(IF(Q1058=3,1,2)),IF(AND(U1047=U1045,U1047&gt;U1046),(IF(Q1058=3,2,3)),99))))))))),""))</f>
        <v/>
      </c>
      <c r="AA1048" s="221">
        <v>3</v>
      </c>
      <c r="AB1048" s="222" t="str">
        <f>IF(COUNTIF(M1046:M1049,M1048)&lt;&gt;2,"",IF(COUNTIF(M1046:M1049,M1048)=1,"",IF(AND(COUNTIF(M1046:M1049,M1048)=2,M1048=2),IF(M1048=M1046,IF(Q1058=3,1,2),IF(M1048=M1047,IF(Q1067=3,1,2),IF(M1048=M1049,IF(Q1072=3,1,2)))),IF(AND(COUNTIF(M1046:M1049,M1048)=2,M1048=1),IF(M1048=M1046,IF(Q1058=3,3,4),IF(M1048=M1047,IF(Q1067=3,3,4),IF(M1048=M1049,IF(Q1072=3,3,4)))),AB1052))))</f>
        <v/>
      </c>
      <c r="AC1048" s="192"/>
      <c r="AD1048" s="192"/>
      <c r="AE1048" s="192"/>
      <c r="AF1048" s="203"/>
      <c r="AG1048" s="203"/>
      <c r="AH1048" s="203"/>
      <c r="AI1048" s="203"/>
      <c r="AJ1048" s="203"/>
      <c r="AK1048" s="203"/>
      <c r="AL1048" s="203"/>
      <c r="AM1048" s="203"/>
      <c r="AN1048" s="192"/>
      <c r="AO1048" s="192"/>
      <c r="AP1048" s="192"/>
      <c r="AQ1048" s="192"/>
      <c r="AR1048" s="192"/>
      <c r="AS1048" s="192"/>
      <c r="AT1048" s="192"/>
      <c r="AU1048" s="192"/>
      <c r="AV1048" s="192"/>
      <c r="AW1048" s="192"/>
      <c r="AX1048" s="192"/>
    </row>
    <row r="1049" spans="2:50" ht="15" customHeight="1" thickTop="1" thickBot="1" x14ac:dyDescent="0.35">
      <c r="B1049" s="192"/>
      <c r="C1049" s="192"/>
      <c r="D1049" s="192"/>
      <c r="E1049" s="192"/>
      <c r="F1049" s="192" t="str">
        <f>IF(I1049="","",VLOOKUP(I1049,Siembra,2,FALSE))</f>
        <v/>
      </c>
      <c r="G1049" s="192" t="str">
        <f>O1049</f>
        <v/>
      </c>
      <c r="H1049" s="192">
        <v>4</v>
      </c>
      <c r="I1049" s="141" t="str">
        <f>IF(K1049="","",IF(ISNUMBER(Sorteo!$A$17),VLOOKUP(K1049,Draw,2,FALSE),""))</f>
        <v/>
      </c>
      <c r="J1049" s="142" t="str">
        <f>O1049</f>
        <v/>
      </c>
      <c r="K1049" s="143" t="str">
        <f>IF($K$9="","",IF(Group_players=4,IF(Tablas!CJ6="","",Tablas!CJ6),""))</f>
        <v/>
      </c>
      <c r="L1049" s="144" t="str">
        <f>IF(K1049="","",VLOOKUP(I1049,Siembra,3,FALSE))</f>
        <v/>
      </c>
      <c r="M1049" s="145" t="str">
        <f>IF(AND(Q1060="",Q1061=""),"",IF(I1049="","",SUMIFS(E1057:E1076,I1057:I1076,I1049)))</f>
        <v/>
      </c>
      <c r="N1049" s="145" t="str">
        <f>IF(M1049="","",IF(I1049="","",SUMIFS(F1057:F1073,I1057:I1073,I1049)))</f>
        <v/>
      </c>
      <c r="O1049" s="145" t="str">
        <f>IF(M1049="","",IF(COUNTIF(M1046:M1049,M1049)=1,IF(M1049=3,1,IF(M1049=2,2,IF(M1049=1,3,IF(M1049=0,4)))),IF(COUNTIF(M1046:M1049,M1049)=2,AB1049,IF(AND(M1049=M1046,M1046=M1048),AB1055,IF(AND(M1049=M1046,M1046=M1047),AB1058,IF(AND(M1049=M1047,M1047=M1048),AB1061,""))))))</f>
        <v/>
      </c>
      <c r="P1049" s="146" t="str">
        <f>IF(COUNT(U1045:X1056)=3,IF(ISNUMBER(V1048),V1048,IF(ISNUMBER(W1048),W1048,IF(ISNUMBER(X1048),X1048,IF(X1048="","")))),IF(COUNT(U1045:X1056)=6,IF(ISNUMBER(V1056),V1056,IF(ISNUMBER(W1056),W1056,IF(ISNUMBER(X1056),X1056,""))),""))</f>
        <v/>
      </c>
      <c r="Q1049" s="145" t="str">
        <f>IF(M1049="","",SUMIF(I1057:S1073,I1049,S1057:$S1073))</f>
        <v/>
      </c>
      <c r="R1049" s="147" t="str">
        <f>IF(M1049="","",L1049+Q1049)</f>
        <v/>
      </c>
      <c r="S1049" s="203"/>
      <c r="T1049" s="192"/>
      <c r="U1049" s="192"/>
      <c r="V1049" s="192"/>
      <c r="W1049" s="192"/>
      <c r="X1049" s="192"/>
      <c r="Y1049" s="230" t="s">
        <v>93</v>
      </c>
      <c r="Z1049" s="231" t="s">
        <v>110</v>
      </c>
      <c r="AA1049" s="232">
        <v>4</v>
      </c>
      <c r="AB1049" s="233" t="str">
        <f>IF(COUNTIF(M1046:M1049,M1049)&lt;&gt;2,"",IF(COUNTIF(M1046:M1049,M1049)=1,"",IF(AND(COUNTIF(M1046:M1049,M1049)=2,M1049=2),IF(M1049=M1046,IF(Q1064=3,1,2),IF(M1049=M1047,IF(Q1061=3,1,2),IF(M1049=M1048,IF(Q1073=3,1,2)))),IF(AND(COUNTIF(M1046:M1049,M1049)=2,M1049=1),IF(M1049=M1046,IF(Q1064=3,3,4),IF(M1049=M1047,IF(Q1061=3,3,4),IF(M1049=M1048,IF(Q1073=3,3,4)))),AB1055))))</f>
        <v/>
      </c>
      <c r="AC1049" s="192"/>
      <c r="AD1049" s="192"/>
      <c r="AE1049" s="192"/>
      <c r="AF1049" s="203"/>
      <c r="AG1049" s="203"/>
      <c r="AH1049" s="203"/>
      <c r="AI1049" s="203"/>
      <c r="AJ1049" s="203"/>
      <c r="AK1049" s="203"/>
      <c r="AL1049" s="203"/>
      <c r="AM1049" s="203"/>
      <c r="AN1049" s="192"/>
      <c r="AO1049" s="192"/>
      <c r="AP1049" s="192"/>
      <c r="AQ1049" s="192"/>
      <c r="AR1049" s="192"/>
      <c r="AS1049" s="192"/>
      <c r="AT1049" s="192"/>
      <c r="AU1049" s="192"/>
      <c r="AV1049" s="192"/>
      <c r="AW1049" s="192"/>
      <c r="AX1049" s="192"/>
    </row>
    <row r="1050" spans="2:50" ht="15" customHeight="1" thickTop="1" x14ac:dyDescent="0.3">
      <c r="B1050" s="192"/>
      <c r="C1050" s="192"/>
      <c r="D1050" s="192"/>
      <c r="E1050" s="192"/>
      <c r="F1050" s="192"/>
      <c r="G1050" s="192"/>
      <c r="H1050" s="192"/>
      <c r="I1050" s="192"/>
      <c r="J1050" s="192"/>
      <c r="K1050" s="192"/>
      <c r="L1050" s="192"/>
      <c r="M1050" s="192"/>
      <c r="N1050" s="192"/>
      <c r="O1050" s="192"/>
      <c r="P1050" s="192"/>
      <c r="Q1050" s="192"/>
      <c r="R1050" s="192"/>
      <c r="S1050" s="192"/>
      <c r="T1050" s="208"/>
      <c r="U1050" s="192"/>
      <c r="V1050" s="148"/>
      <c r="W1050" s="148"/>
      <c r="X1050" s="234"/>
      <c r="Y1050" s="214">
        <v>1</v>
      </c>
      <c r="Z1050" s="215" t="str">
        <f>IF(U1053="","",IF(OR(Group_players=3,AND(Group_players=4,COUNTBLANK(I1046:I1049)=1)),IF(COUNTIF(M1046:M1048,M1046)=1,"",IF(COUNTIF(U1045:U1047,U1045)=3,IF(AND(U1053=U1054,U1054=U1055),"Tied",IF(AND(U1053&lt;&gt;U1054,U1053&lt;&gt;U1055,U1054&lt;&gt;U1055),(IF(SMALL(U1053:U1055,1)=U1053,1,IF(SMALL(U1053:U1055,2)=U1053,2,IF(SMALL(U1053:U1055,3)=U1053,3)))),IF(AND(U1053&lt;U1054,U1054=U1055),1,IF(AND(U1053&gt;U1054,U1054=U1055),3,IF(AND(U1053=U1054,U1053&lt;U1055),(IF(Q1063=3,1,2)),IF(AND(U1053=U1054,U1053&gt;U1055),(IF(Q1063=3,2,3)),IF(AND(U1053=U1055,U1053&lt;U1054),(IF(Q1057=3,1,2)),IF(AND(U1053=U1055,U1053&gt;U1054),(IF(Q1057=3,2,3)),99)))))))),"")),""))</f>
        <v/>
      </c>
      <c r="AA1050" s="208">
        <v>1</v>
      </c>
      <c r="AB1050" s="222" t="str">
        <f>IF(AND(COUNTBLANK(I1046:I1049)=0,Group_players=4,M1046=M1047,M1047=M1048),IF(COUNTIF(U1045:U1048,U1045)=3,AB1063,IF(AND(COUNTIF(U1045:U1048,U1045)=1,U1046&lt;&gt;U1047),IF(M1046=2,IF(SMALL(U1045:U1048,1)=U1045,1,IF(SMALL(U1045:U1048,2)=U1045,2,IF(SMALL(U1045:U1048,3)=U1045,3))),IF(M1046=1,IF(SMALL(U1045:U1048,1)=U1045,2,IF(SMALL(U1045:U1048,2)=U1045,3,IF(SMALL(U1045:U1048,3)=U1045,4))),"")),IF(COUNTIF(U1045:U1048,U1045)=1,IF(U1045&lt;U1046,IF(M1046=2,1,2),IF(M1046=2,3,4)),IF(COUNTIF(U1045:U1048,U1045)=2,IF(U1045=U1046,IF(U1045&lt;U1047,IF(M1046=2,IF(Q1069=3,1,2),IF(M1046=1,IF(Q1069=3,2,3))),IF(U1045&gt;U1047,IF(M1046=2,IF(Q1069=3,2,3),IF(M1046=1,IF(Q1069=3,3,4))))),IF(U1045=U1047,IF(U1045&lt;U1046,IF(M1046=2,IF(Q1057=3,1,2),IF(M1046=1,IF(Q1057=3,2,3))),IF(U1045&gt;U1046,IF(M1046=2,IF(Q1057=3,2,3),IF(M1046=1,IF(Q1057=3,3,4))))))),"")))),"")</f>
        <v/>
      </c>
      <c r="AC1050" s="192"/>
      <c r="AD1050" s="192"/>
      <c r="AE1050" s="269"/>
      <c r="AF1050" s="203"/>
      <c r="AG1050" s="203"/>
      <c r="AH1050" s="203"/>
      <c r="AI1050" s="203"/>
      <c r="AJ1050" s="203"/>
      <c r="AK1050" s="203"/>
      <c r="AL1050" s="203"/>
      <c r="AM1050" s="203"/>
      <c r="AN1050" s="192"/>
      <c r="AO1050" s="192"/>
      <c r="AP1050" s="192"/>
      <c r="AQ1050" s="192"/>
      <c r="AR1050" s="192"/>
      <c r="AS1050" s="192"/>
      <c r="AT1050" s="192"/>
      <c r="AU1050" s="192"/>
      <c r="AV1050" s="192"/>
      <c r="AW1050" s="192"/>
      <c r="AX1050" s="192"/>
    </row>
    <row r="1051" spans="2:50" ht="15" customHeight="1" thickBot="1" x14ac:dyDescent="0.35">
      <c r="B1051" s="192"/>
      <c r="C1051" s="192"/>
      <c r="D1051" s="192"/>
      <c r="E1051" s="192"/>
      <c r="F1051" s="192"/>
      <c r="G1051" s="192"/>
      <c r="H1051" s="192"/>
      <c r="I1051" s="269"/>
      <c r="J1051" s="269"/>
      <c r="K1051" s="192"/>
      <c r="L1051" s="192"/>
      <c r="M1051" s="192"/>
      <c r="N1051" s="192"/>
      <c r="O1051" s="192"/>
      <c r="P1051" s="192"/>
      <c r="Q1051" s="192"/>
      <c r="R1051" s="192"/>
      <c r="S1051" s="192"/>
      <c r="T1051" s="208"/>
      <c r="U1051" s="368" t="s">
        <v>111</v>
      </c>
      <c r="V1051" s="369"/>
      <c r="W1051" s="369"/>
      <c r="X1051" s="369"/>
      <c r="Y1051" s="236">
        <v>2</v>
      </c>
      <c r="Z1051" s="220" t="str">
        <f>IF(U1046="","",IF(OR(Group_players=3,AND(Group_players=4,COUNTBLANK(I1046:I1049)=1)),IF(COUNTIF(M1046:M1048,M1047)=1,"",IF(COUNTIF(U1045:U1047,U1046)=3,IF(AND(U1054=U1053,U1054=U1055),"Tied",IF(AND(U1054&lt;&gt;U1053,U1054&lt;&gt;U1055,U1053&lt;&gt;U1055),(IF(SMALL(U1053:U1055,1)=U1054,1,IF(SMALL(U1053:U1055,2)=U1054,2,IF(SMALL(U1053:U1055,3)=U1054,3)))),IF(AND(U1054&lt;U1053,U1053=U1055),1,IF(AND(U1054&gt;U1053,U1053=U1055),3,IF(AND(U1054=U1053,U1054&lt;U1055),(IF(Q1064=3,1,2)),IF(AND(U1054=U1053,U1054&gt;U1055),(IF(Q1064=3,2,3)),IF(AND(U1054=U1055,U1054&lt;U1053),(IF(Q1060=3,1,2)),IF(AND(U1054=U1055,U1054&gt;U1053),(IF(Q1060=3,2,3)),99)))))))),"")),""))</f>
        <v/>
      </c>
      <c r="AA1051" s="208">
        <v>2</v>
      </c>
      <c r="AB1051" s="222" t="str">
        <f>IF(AND(COUNTBLANK(I1046:I1049)=0,Group_players=4,M1046=M1047,M1047=M1048),IF(COUNTIF(U1045:U1048,U1046)=3,AB1064,IF(AND(COUNTIF(U1045:U1048,U1046)=1,U1045&lt;&gt;U1047),IF(M1047=2,IF(SMALL(U1045:U1048,1)=U1046,1,IF(SMALL(U1045:U1048,2)=U1046,2,IF(SMALL(U1045:U1048,3)=U1046,3))),IF(M1047=1,IF(SMALL(U1045:U1048,1)=U1046,2,IF(SMALL(U1045:U1048,2)=U1046,3,IF(SMALL(U1045:U1048,3)=U1046,4))),"")),IF(COUNTIF(U1045:U1047,U1046)=1,IF(U1046&lt;U1045,IF(M1047=2,1,2),IF(M1047=2,3,99)),IF(COUNTIF(U1045:U1048,U1046)=2,IF(U1046=U1045,IF(U1046&lt;U1047,IF(M1047=2,IF(Q1070=3,1,2),IF(M1047=1,IF(Q1070=3,2,3))),IF(U1046&gt;U1047,IF(M1047=2,IF(Q1070=3,2,3),IF(M1047=1,IF(Q1070=3,3,4))))),IF(U1046=U1047,IF(U1046&lt;U1045,IF(M1047=2,IF(Q1066=3,1,2),IF(M1047=1,IF(Q1066=3,2,3))),IF(U1046&gt;U1045,IF(M1047=2,IF(Q1066=3,2,3),IF(M1047=1,IF(Q1066=3,3,4))))))),"")))),"")</f>
        <v/>
      </c>
      <c r="AC1051" s="192"/>
      <c r="AD1051" s="192"/>
      <c r="AE1051" s="192"/>
      <c r="AF1051" s="203"/>
      <c r="AG1051" s="203"/>
      <c r="AH1051" s="203"/>
      <c r="AI1051" s="203"/>
      <c r="AJ1051" s="203"/>
      <c r="AK1051" s="203"/>
      <c r="AL1051" s="203"/>
      <c r="AM1051" s="203"/>
      <c r="AN1051" s="192"/>
      <c r="AO1051" s="192"/>
      <c r="AP1051" s="192"/>
      <c r="AQ1051" s="192"/>
      <c r="AR1051" s="192"/>
      <c r="AS1051" s="192"/>
      <c r="AT1051" s="192"/>
      <c r="AU1051" s="192"/>
      <c r="AV1051" s="192"/>
      <c r="AW1051" s="192"/>
      <c r="AX1051" s="192"/>
    </row>
    <row r="1052" spans="2:50" ht="15" customHeight="1" thickTop="1" thickBot="1" x14ac:dyDescent="0.35">
      <c r="B1052" s="192"/>
      <c r="C1052" s="192"/>
      <c r="D1052" s="192"/>
      <c r="E1052" s="192"/>
      <c r="F1052" s="192"/>
      <c r="G1052" s="192"/>
      <c r="H1052" s="192"/>
      <c r="I1052" s="192"/>
      <c r="J1052" s="192"/>
      <c r="K1052" s="192"/>
      <c r="L1052" s="192"/>
      <c r="M1052" s="192"/>
      <c r="N1052" s="192"/>
      <c r="O1052" s="192"/>
      <c r="P1052" s="192"/>
      <c r="Q1052" s="192"/>
      <c r="R1052" s="192"/>
      <c r="S1052" s="192"/>
      <c r="T1052" s="120"/>
      <c r="U1052" s="121" t="s">
        <v>101</v>
      </c>
      <c r="V1052" s="122" t="s">
        <v>102</v>
      </c>
      <c r="W1052" s="122" t="s">
        <v>103</v>
      </c>
      <c r="X1052" s="123" t="s">
        <v>104</v>
      </c>
      <c r="Y1052" s="238">
        <v>3</v>
      </c>
      <c r="Z1052" s="239" t="str">
        <f>IF(U1047="","",IF(OR(Group_players=3,AND(Group_players=4,COUNTBLANK(I1046:I1049)=1)),IF(COUNTIF(M1046:M1048,M1048)=1,"",IF(COUNTIF(U1045:U1047,U1047)=3,IF(AND(U1055=U1053,U1055=U1054),"Tied",IF(AND(U1055&lt;&gt;U1054,U1054&lt;&gt;U1053,U1055&lt;&gt;U1053),(IF(SMALL(U1053:U1055,1)=U1055,1,IF(SMALL(U1053:U1055,2)=U1055,2,IF(SMALL(U1053:U1055,3)=U1055,3)))),IF(AND(U1055&lt;U1054,U1054=U1053),1,IF(AND(U1055&gt;U1054,U1054=U1053),3,IF(AND(U1055=U1054,U1055&lt;U1053),(IF(Q1061=3,1,2)),IF(AND(U1055=U1054,U1055&gt;U1053),(IF(Q1061=3,2,3)),IF(AND(U1055=U1053,U1055&lt;U1054),(IF(Q1058=3,1,2)),IF(AND(U1055=U1053,U1055&gt;U1054),(IF(Q1058=3,2,3)),99)))))))),"")),""))</f>
        <v/>
      </c>
      <c r="AA1052" s="240">
        <v>3</v>
      </c>
      <c r="AB1052" s="241" t="str">
        <f>IF(AND(COUNTBLANK(I1046:I1049)=0,Group_players=4,M1046=M1047,M1047=M1048),IF(COUNTIF(U1045:U1048,U1047)=3,AB1065,IF(AND(COUNTIF(U1045:U1048,U1047)=1,U1045&lt;&gt;U1046),IF(M1046=2,IF(SMALL(U1045:U1048,1)=U1047,1,IF(SMALL(U1045:U1048,2)=U1047,2,IF(SMALL(U1045:U1048,3)=U1047,3))),IF(M1048=1,IF(SMALL(U1045:U1048,1)=U1047,2,IF(SMALL(U1045:U1048,2)=U1047,3,IF(SMALL(U1045:U1048,3)=U1047,4))),"")),IF(COUNTIF(U1045:U1048,U1047)=1,IF(U1047&lt;U1046,IF(M1048=2,1,2),IF(M1048=2,3,4)),IF(COUNTIF(U1045:U1048,U1047)=2,IF(U1047=U1046,IF(U1047&lt;U1045,IF(M1048=2,IF(Q1067=3,1,2),IF(M1048=1,IF(Q1067=3,2,3))),IF(U1047&gt;U1045,IF(M1048=2,IF(Q1067=3,2,3),IF(M1048=1,IF(Q1067=3,3,4))))),IF(U1047=U1045,IF(U1047&lt;U1046,IF(M1048=2,IF(Q1058=3,1,2),IF(M1048=1,IF(Q1058=3,2,3))),IF(U1047&gt;U1046,IF(M1048=2,IF(Q1058=3,2,3),IF(M1048=1,IF(Q1058=3,3,4))))))),"")))),"")</f>
        <v/>
      </c>
      <c r="AC1052" s="192"/>
      <c r="AD1052" s="192"/>
      <c r="AE1052" s="192"/>
      <c r="AF1052" s="203"/>
      <c r="AG1052" s="203"/>
      <c r="AH1052" s="203"/>
      <c r="AI1052" s="203"/>
      <c r="AJ1052" s="203"/>
      <c r="AK1052" s="203"/>
      <c r="AL1052" s="203"/>
      <c r="AM1052" s="203"/>
      <c r="AN1052" s="192"/>
      <c r="AO1052" s="192"/>
      <c r="AP1052" s="192"/>
      <c r="AQ1052" s="192"/>
      <c r="AR1052" s="192"/>
      <c r="AS1052" s="192"/>
      <c r="AT1052" s="192"/>
      <c r="AU1052" s="192"/>
      <c r="AV1052" s="192"/>
      <c r="AW1052" s="192"/>
      <c r="AX1052" s="192"/>
    </row>
    <row r="1053" spans="2:50" ht="15" customHeight="1" thickTop="1" thickBot="1" x14ac:dyDescent="0.35">
      <c r="B1053" s="192"/>
      <c r="C1053" s="192"/>
      <c r="D1053" s="192"/>
      <c r="E1053" s="192"/>
      <c r="F1053" s="192"/>
      <c r="G1053" s="192"/>
      <c r="H1053" s="192"/>
      <c r="I1053" s="192"/>
      <c r="J1053" s="192"/>
      <c r="K1053" s="192"/>
      <c r="L1053" s="192"/>
      <c r="M1053" s="192"/>
      <c r="N1053" s="192"/>
      <c r="O1053" s="192"/>
      <c r="P1053" s="192"/>
      <c r="Q1053" s="192"/>
      <c r="R1053" s="192"/>
      <c r="S1053" s="192"/>
      <c r="T1053" s="208">
        <v>1</v>
      </c>
      <c r="U1053" s="209" t="str">
        <f>IF(U1045="","",IF(OR(U1045&lt;&gt;U1046,U1045&lt;&gt;U1047),"",IF(COUNTIF(M1046:M1048,M1046)=1,"",IF(COUNTBLANK(I1046:I1049)=1,(SUM(L1058:P1058)+SUM(L1064:P1064))/(SUM(L1057:P1057)+SUM(L1063:P1063)),IF(COUNTBLANK(I1046:I1049)=0,(SUM(L1070:P1070)+SUM(L1058:P1058))/(SUM(L1069:P1069)+SUM(L1057:P1057)),"")))))</f>
        <v/>
      </c>
      <c r="V1053" s="125" t="str">
        <f>IF(V1045="","",IF(OR(V1045&lt;&gt;V1047,V1045&lt;&gt;V1048),"",IF(AND(COUNTBLANK(I1046:I1049)=0,M1046=M1048,M1048=M1049),(SUM(L1058:P1058)+SUM(L1064:P1064))/(SUM(L1057:P1057)+SUM(L1063:P1063)),"")))</f>
        <v/>
      </c>
      <c r="W1053" s="210" t="str">
        <f>IF(W1045="","",IF(OR(W1045&lt;&gt;W1046,W1045&lt;&gt;W1048),"",IF(AND(COUNTBLANK(I1046:I1049)=0,M1046=M1047,M1047=M1049),(SUM(L1070:P1070)+SUM(L1064:P1064))/(SUM(L1069:P1069)+SUM(L1063:P1063)),"")))</f>
        <v/>
      </c>
      <c r="X1053" s="211"/>
      <c r="Y1053" s="242"/>
      <c r="Z1053" s="242"/>
      <c r="AA1053" s="243">
        <v>1</v>
      </c>
      <c r="AB1053" s="244" t="str">
        <f>IF(AND(COUNTBLANK(I1046:I1049)=0,Group_players=4,M1046=M1048,M1048=M1049),IF(COUNTIF(V1045:V1048,V1045)=3,AB1066,IF(AND(COUNTIF(V1045:V1048,V1045)=1,V1047&lt;&gt;U1056),IF(M1046=2,IF(SMALL(V1045:V1048,1)=V1045,1,IF(SMALL(V1045:V1048,2)=V1045,2,IF(SMALL(V1045:V1048,3)=V1045,3))),IF(M1046=1,IF(SMALL(V1045:V1048,1)=V1045,2,IF(SMALL(V1045:V1048,2)=V1045,3,IF(SMALL(V1045:V1048,3)=V1045,4))),"")),IF(COUNTIF(V1045:V1048,V1045)=1,IF(V1045&lt;V1047,IF(M1046=2,1,2),IF(M1046=2,3,4)),IF(COUNTIF(V1045:V1048,V1045)=2,IF(V1045=V1047,IF(V1045&lt;V1048,IF(M1046=2,IF(Q1057=3,1,2),IF(M1046=1,IF(Q1057=3,2,3))),IF(V1045&gt;V1048,IF(M1046=2,IF(Q1057=3,2,3),IF(M1046=1,IF(Q1057=3,3,4))))),IF(V1045=V1048,IF(V1045&lt;V1047,IF(M1046=2,IF(Q1063=3,1,2),IF(M1046=1,IF(Q1063=3,2,3))),IF(V1045&gt;V1046,IF(M1046=2,IF(Q1063=3,2,3),IF(M1046=1,IF(Q1063=3,3,4))))))),"")))),"")</f>
        <v/>
      </c>
      <c r="AC1053" s="192"/>
      <c r="AD1053" s="192"/>
      <c r="AE1053" s="192"/>
      <c r="AF1053" s="203"/>
      <c r="AG1053" s="203"/>
      <c r="AH1053" s="203"/>
      <c r="AI1053" s="203"/>
      <c r="AJ1053" s="203"/>
      <c r="AK1053" s="203"/>
      <c r="AL1053" s="203"/>
      <c r="AM1053" s="203"/>
      <c r="AN1053" s="192"/>
      <c r="AO1053" s="192"/>
      <c r="AP1053" s="192"/>
      <c r="AQ1053" s="192"/>
      <c r="AR1053" s="192"/>
      <c r="AS1053" s="192"/>
      <c r="AT1053" s="192"/>
      <c r="AU1053" s="192"/>
      <c r="AV1053" s="192"/>
      <c r="AW1053" s="192"/>
      <c r="AX1053" s="192"/>
    </row>
    <row r="1054" spans="2:50" ht="15" customHeight="1" thickTop="1" thickBot="1" x14ac:dyDescent="0.35">
      <c r="B1054" s="192"/>
      <c r="C1054" s="192"/>
      <c r="D1054" s="192"/>
      <c r="E1054" s="117"/>
      <c r="F1054" s="117"/>
      <c r="G1054" s="117"/>
      <c r="H1054" s="192"/>
      <c r="I1054" s="192"/>
      <c r="J1054" s="192"/>
      <c r="K1054" s="192"/>
      <c r="L1054" s="192"/>
      <c r="M1054" s="192"/>
      <c r="N1054" s="192"/>
      <c r="O1054" s="192"/>
      <c r="P1054" s="192"/>
      <c r="Q1054" s="192"/>
      <c r="R1054" s="192"/>
      <c r="S1054" s="394" t="s">
        <v>112</v>
      </c>
      <c r="T1054" s="208">
        <v>2</v>
      </c>
      <c r="U1054" s="209" t="str">
        <f>IF(U1045="","",IF(OR(U1046&lt;&gt;U1045,U1046&lt;&gt;U1047),"",IF(COUNTIF(M1046:M1048,M1047)=1,"",IF(COUNTBLANK(I1046:I1049)=1,(SUM(L1061:P1061)+SUM(L1063:P1063))/(SUM(L1060:P1060)+SUM(L1064:P1064)),IF(COUNTBLANK(I1046:I1049)=0,(SUM(L1069:P1069)+SUM(L1067:P1067))/(SUM(L1070:P1070)+SUM(L1066:P1066)))))))</f>
        <v/>
      </c>
      <c r="V1054" s="135"/>
      <c r="W1054" s="212" t="str">
        <f>IF(W1045="","",IF(OR(W1046&lt;&gt;W1045,W1046&lt;&gt;W1048),"",IF(AND(COUNTBLANK(I1046:I1049)=0,M1046=M1047,M1047=M1049),(SUM(L1061:P1061)+SUM(L1069:P1069))/(SUM(L1070:P1070)+SUM(L1060:P1060)),"")))</f>
        <v/>
      </c>
      <c r="X1054" s="245" t="str">
        <f>IF(X1046="","",IF(OR(X1046&lt;&gt;X1047,X1046&lt;&gt;X1048),"",IF(AND(COUNTBLANK(I1046:I1049)=0,M1047=M1048,M1048=M1049),(SUM(L1067:P1067)+SUM(L1061:P1061))/(SUM(L1066:P1066)+SUM(L1060:P1060)),"")))</f>
        <v/>
      </c>
      <c r="Y1054" s="242"/>
      <c r="Z1054" s="203"/>
      <c r="AA1054" s="246">
        <v>3</v>
      </c>
      <c r="AB1054" s="222" t="str">
        <f>IF(AND(COUNTBLANK(I1046:I1049)=0,Group_players=4,M1046=M1048,M1048=M1049),IF(COUNTIF(V1045:V1048,V1047)=3,AB1067,IF(AND(COUNTIF(V1045:V1048,V1047)=1,V1045&lt;&gt;V1048),IF(M1048=2,IF(SMALL(V1045:V1048,1)=V1047,1,IF(SMALL(V1045:V1048,2)=V1047,2,IF(SMALL(V1045:V1048,3)=V1047,3))),IF(M1048=1,IF(SMALL(V1045:V1048,1)=V1047,2,IF(SMALL(V1045:V1048,2)=V1047,3,IF(SMALL(V1045:V1048,3)=V1047,4))),"")),IF(COUNTIF(V1045:V1048,V1047)=1,IF(V1047&lt;V1045,IF(M1048=2,1,2),IF(M1048=2,3,4)),IF(COUNTIF(V1045:V1048,V1047)=2,IF(V1047=V1045,IF(V1047&lt;V1048,IF(M1048=2,IF(Q1058=3,1,2),IF(M1048=1,IF(Q1058=3,2,3))),IF(V1047&gt;V1048,IF(M1048=2,IF(Q1058=3,2,3),IF(M1048=1,IF(Q1058=3,3,4))))),IF(V1047=V1048,IF(V1047&lt;V1045,IF(M1048=2,IF(Q1072=3,1,2),IF(M1048=1,IF(Q1072=3,2,3))),IF(V1047&gt;V1045,IF(M1048=2,IF(Q1072=3,2,3),IF(M1048=1,IF(Q1072=3,3,4))))))),"")))),"")</f>
        <v/>
      </c>
      <c r="AC1054" s="192"/>
      <c r="AD1054" s="192"/>
      <c r="AE1054" s="192"/>
      <c r="AF1054" s="203"/>
      <c r="AG1054" s="203"/>
      <c r="AH1054" s="203"/>
      <c r="AI1054" s="203"/>
      <c r="AJ1054" s="203"/>
      <c r="AK1054" s="203"/>
      <c r="AL1054" s="203"/>
      <c r="AM1054" s="203"/>
      <c r="AN1054" s="192"/>
      <c r="AO1054" s="192"/>
      <c r="AP1054" s="192"/>
      <c r="AQ1054" s="192"/>
      <c r="AR1054" s="192"/>
      <c r="AS1054" s="192"/>
      <c r="AT1054" s="192"/>
      <c r="AU1054" s="192"/>
      <c r="AV1054" s="192"/>
      <c r="AW1054" s="192"/>
      <c r="AX1054" s="192"/>
    </row>
    <row r="1055" spans="2:50" ht="15" customHeight="1" thickTop="1" thickBot="1" x14ac:dyDescent="0.35">
      <c r="B1055" s="192"/>
      <c r="C1055" s="192"/>
      <c r="D1055" s="192"/>
      <c r="E1055" s="117"/>
      <c r="F1055" s="117"/>
      <c r="G1055" s="117"/>
      <c r="H1055" s="192"/>
      <c r="I1055" s="192"/>
      <c r="J1055" s="192"/>
      <c r="K1055" s="192"/>
      <c r="L1055" s="192"/>
      <c r="M1055" s="192"/>
      <c r="N1055" s="192"/>
      <c r="O1055" s="192"/>
      <c r="P1055" s="192"/>
      <c r="Q1055" s="192"/>
      <c r="R1055" s="247"/>
      <c r="S1055" s="395"/>
      <c r="T1055" s="208">
        <v>3</v>
      </c>
      <c r="U1055" s="209" t="str">
        <f>IF(U1045="","",IF(OR(U1047&lt;&gt;U1045,U1047&lt;&gt;U1046),"",IF(COUNTIF(M1046:M1048,M1048)=1,"",IF(COUNTBLANK(I1046:I1049)=1,(SUM(L1057:P1057)+SUM(L1060:P1060))/(SUM(L1058:P1058)+SUM(L1061:P1061)),IF(COUNTBLANK(I1046:I1049)=0,(SUM(L1057:P1057)+SUM(L1066:P1066))/(SUM(L1058:P1058)+SUM(L1067:P1067)))))))</f>
        <v/>
      </c>
      <c r="V1055" s="125" t="str">
        <f>IF(V1045="","",IF(OR(V1047&lt;&gt;V1045,V1047&lt;&gt;V1048),"",IF(AND(COUNTBLANK(I1046:I1049)=0,M1046=M1048,M1048=M1049),(SUM(L1057:P1057)+SUM(L1073:P1073))/(SUM(L1058:P1058)+SUM(L1072:P1072)),"")))</f>
        <v/>
      </c>
      <c r="W1055" s="218"/>
      <c r="X1055" s="245" t="str">
        <f>IF(X1046="","",IF(OR(X1047&lt;&gt;X1046,X1047&lt;&gt;X1048),"",IF(AND(COUNTBLANK(I1046:I1049)=0,M1047=M1048,M1048=M1049),(SUM(L1066:P1066)+SUM(L1073:P1073))/(SUM(L1067:P1067)+SUM(L1072:P1072)),"")))</f>
        <v/>
      </c>
      <c r="Y1055" s="208"/>
      <c r="Z1055" s="203"/>
      <c r="AA1055" s="240">
        <v>4</v>
      </c>
      <c r="AB1055" s="222" t="str">
        <f>IF(AND(COUNTBLANK(I1046:I1049)=0,Group_players=4,M1046=M1048,M1048=M1049),IF(COUNTIF(V1045:V1048,V1048)=3,AB1068,IF(AND(COUNTIF(V1045:V1048,V1048)=1,V1047&lt;&gt;V1045),IF(M1049=2,IF(SMALL(V1045:V1048,1)=V1048,1,IF(SMALL(V1045:V1048,2)=V1048,2,IF(SMALL(V1045:V1048,3)=V1048,3))),IF(M1049=1,IF(SMALL(V1045:V1048,1)=V1048,2,IF(SMALL(V1045:V1048,2)=V1048,3,IF(SMALL(V1045:V1048,3)=V1048,4))),"")),IF(COUNTIF(V1045:V1048,V1048)=1,IF(V1048&lt;V1045,IF(M1049=2,1,2),IF(M1049=2,3,4)),IF(COUNTIF(V1045:V1048,V1048)=2,IF(V1048=V1045,IF(V1048&lt;V1047,IF(M1049=2,IF(Q1064=3,1,2),IF(M1049=1,IF(Q1064=3,2,3))),IF(V1048&gt;V1047,IF(M1049=2,IF(Q1064=3,2,3),IF(M1049=1,IF(Q1064=3,3,4))))),IF(V1048=V1047,IF(V1048&lt;V1045,IF(M1049=2,IF(Q1073=3,1,2),IF(M1049=1,IF(Q1073=3,2,3))),IF(V1048&gt;V1045,IF(M1049=2,IF(Q1073=3,2,3),IF(M1049=1,IF(Q1073=3,3,4))))))),"")))),"")</f>
        <v/>
      </c>
      <c r="AC1055" s="192"/>
      <c r="AD1055" s="192"/>
      <c r="AE1055" s="192"/>
      <c r="AF1055" s="203"/>
      <c r="AG1055" s="203"/>
      <c r="AH1055" s="203"/>
      <c r="AI1055" s="203"/>
      <c r="AJ1055" s="203"/>
      <c r="AK1055" s="203"/>
      <c r="AL1055" s="203"/>
      <c r="AM1055" s="203"/>
      <c r="AN1055" s="192"/>
      <c r="AO1055" s="192"/>
      <c r="AP1055" s="192"/>
      <c r="AQ1055" s="192"/>
      <c r="AR1055" s="192"/>
      <c r="AS1055" s="192"/>
      <c r="AT1055" s="192"/>
      <c r="AU1055" s="192"/>
      <c r="AV1055" s="192"/>
      <c r="AW1055" s="192"/>
      <c r="AX1055" s="192"/>
    </row>
    <row r="1056" spans="2:50" ht="15" customHeight="1" thickTop="1" thickBot="1" x14ac:dyDescent="0.35">
      <c r="B1056" s="192"/>
      <c r="C1056" s="192"/>
      <c r="D1056" s="192"/>
      <c r="E1056" s="168" t="s">
        <v>113</v>
      </c>
      <c r="F1056" s="168" t="s">
        <v>114</v>
      </c>
      <c r="G1056" s="117"/>
      <c r="H1056" s="192"/>
      <c r="I1056" s="249" t="s">
        <v>115</v>
      </c>
      <c r="J1056" s="249"/>
      <c r="K1056" s="249"/>
      <c r="L1056" s="250" t="s">
        <v>115</v>
      </c>
      <c r="M1056" s="250" t="s">
        <v>116</v>
      </c>
      <c r="N1056" s="250" t="s">
        <v>117</v>
      </c>
      <c r="O1056" s="250" t="s">
        <v>118</v>
      </c>
      <c r="P1056" s="250" t="s">
        <v>119</v>
      </c>
      <c r="Q1056" s="250" t="s">
        <v>120</v>
      </c>
      <c r="R1056" s="250"/>
      <c r="S1056" s="251"/>
      <c r="T1056" s="208">
        <v>4</v>
      </c>
      <c r="U1056" s="223"/>
      <c r="V1056" s="140" t="str">
        <f>IF(V1045="","",IF(OR(V1048&lt;&gt;V1045,V1048&lt;&gt;V1047),"",IF(AND(COUNTBLANK(I1046:I1049)=0,M1046=M1048,M1048=M1049),(SUM(L1063:P1063)+SUM(L1072:P1072))/(SUM(L1064:P1064)+SUM(L1073:P1073)),"")))</f>
        <v/>
      </c>
      <c r="W1056" s="224" t="str">
        <f>IF(W1045="","",IF(OR(W1048&lt;&gt;W1045,W1048&lt;&gt;W1046),"",IF(AND(COUNTBLANK(I1046:I1049)=0,M1046=M1047,M1047=M1049),(SUM(L1063:P1063)+SUM(L1060:P1060))/(SUM(L1064:P1064)+SUM(L1061:P1061)),"")))</f>
        <v/>
      </c>
      <c r="X1056" s="252" t="str">
        <f>IF(X1046="","",IF(OR(X1048&lt;&gt;X1046,X1048&lt;&gt;X1047),"",IF(AND(COUNTBLANK(I1046:I1049)=0,M1047=M1048,M1048=M1049),(SUM(L1060:P1060)+SUM(L1072:P1072))/(SUM(L1061:P1061)+SUM(L1073:P1073)),"")))</f>
        <v/>
      </c>
      <c r="Y1056" s="192"/>
      <c r="Z1056" s="203"/>
      <c r="AA1056" s="243">
        <v>1</v>
      </c>
      <c r="AB1056" s="151" t="str">
        <f>IF(AND(COUNTBLANK(I1046:I1049)=0,Group_players=4,M1046=M1047,M1047=M1049),IF(COUNTIF(W1045:W1048,W1045)=3,AB1069,IF(AND(COUNTIF(W1045:W1048,W1045)=1,W1046&lt;&gt;W1048),IF(M1046=2,IF(SMALL(W1045:W1048,1)=W1045,1,IF(SMALL(W1045:W1048,2)=W1045,2,IF(SMALL(W1045:W1048,3)=W1045,3))),IF(M1046=1,IF(SMALL(W1045:W1048,1)=W1045,2,IF(SMALL(W1045:W1048,2)=W1045,3,IF(SMALL(W1045:W1048,3)=W1045,4))),"")),IF(COUNTIF(W1045:W1048,W1045)=1,IF(W1045&lt;W1046,IF(M1046=2,1,2),IF(M1046=2,3,4)),IF(COUNTIF(W1045:W1048,W1045)=2,IF(W1045=W1046,IF(W1045&lt;W1048,IF(M1046=2,IF(Q1069=3,1,2),IF(M1046=1,IF(Q1069=3,2,3))),IF(W1045&gt;W1048,IF(M1046=2,IF(Q1069=3,2,3),IF(M1046=1,IF(Q1069=3,3,4))))),IF(W1045=W1048,IF(W1045&lt;W1046,IF(M1046=2,IF(Q1063=3,1,2),IF(M1046=1,IF(Q1063=3,2,3))),IF(W1045&gt;W1046,IF(M1046=2,IF(Q1063=3,2,3),IF(M1046=1,IF(Q1063=3,3,4))))))),"")))),"")</f>
        <v/>
      </c>
      <c r="AC1056" s="192"/>
      <c r="AD1056" s="192"/>
      <c r="AE1056" s="192"/>
      <c r="AF1056" s="203"/>
      <c r="AG1056" s="203"/>
      <c r="AH1056" s="203"/>
      <c r="AI1056" s="203"/>
      <c r="AJ1056" s="203"/>
      <c r="AK1056" s="203"/>
      <c r="AL1056" s="203"/>
      <c r="AM1056" s="203"/>
      <c r="AN1056" s="192"/>
      <c r="AO1056" s="192"/>
      <c r="AP1056" s="192"/>
      <c r="AQ1056" s="192"/>
      <c r="AR1056" s="192"/>
      <c r="AS1056" s="192"/>
      <c r="AT1056" s="192"/>
      <c r="AU1056" s="192"/>
      <c r="AV1056" s="192"/>
      <c r="AW1056" s="192"/>
      <c r="AX1056" s="192"/>
    </row>
    <row r="1057" spans="2:50" ht="15" customHeight="1" thickTop="1" x14ac:dyDescent="0.3">
      <c r="B1057" s="192"/>
      <c r="C1057" s="192"/>
      <c r="D1057" s="192"/>
      <c r="E1057" s="164" t="str">
        <f>IF(Q1057="","",IF(Q1057=3,1,0))</f>
        <v/>
      </c>
      <c r="F1057" s="164" t="str">
        <f>IF(Q1057="","",IF(Q1057&lt;3,1,0))</f>
        <v/>
      </c>
      <c r="G1057" s="192"/>
      <c r="H1057" s="192" t="str">
        <f>IF(I1046="","",1)</f>
        <v/>
      </c>
      <c r="I1057" s="192" t="str">
        <f>IF(ISNUMBER(H1057),VLOOKUP(H1057,H1046:I1049,2,TRUE),"")</f>
        <v/>
      </c>
      <c r="J1057" s="192"/>
      <c r="K1057" s="192" t="str">
        <f>VLOOKUP(I1057,I1046:L1049,3,FALSE)</f>
        <v/>
      </c>
      <c r="L1057" s="253"/>
      <c r="M1057" s="254"/>
      <c r="N1057" s="254"/>
      <c r="O1057" s="152"/>
      <c r="P1057" s="153"/>
      <c r="Q1057" s="255" t="str">
        <f>IF(L1057="","",IF(AND(L1057-L1058&gt;1,L1057&gt;10),1,0)+IF(AND(M1057-M1058&gt;1,M1057&gt;10),1,0)+IF(AND(N1057-N1058&gt;1,N1057&gt;10),1,0)+IF(AND(O1057-O1058&gt;1,O1057&gt;10),1,0)+IF(AND(P1057-P1058&gt;1,P1057&gt;10),1,0))</f>
        <v/>
      </c>
      <c r="R1057" s="203" t="str">
        <f>IF(AND(I1057="",I1058=""),"",ABS(VLOOKUP(I1057,I1046:L1049,4,FALSE)-VLOOKUP(I1058,I1046:L1049,4,FALSE)))</f>
        <v/>
      </c>
      <c r="S1057" s="256" t="str">
        <f>IF(R1058="","",IF(Q1057=3,+R1058,-R1058))</f>
        <v/>
      </c>
      <c r="T1057" s="257"/>
      <c r="U1057" s="258"/>
      <c r="V1057" s="258"/>
      <c r="W1057" s="258"/>
      <c r="X1057" s="258"/>
      <c r="Y1057" s="192"/>
      <c r="Z1057" s="203"/>
      <c r="AA1057" s="246">
        <v>2</v>
      </c>
      <c r="AB1057" s="154" t="str">
        <f>IF(AND(COUNTBLANK(I1046:I1049)=0,Group_players=4,M1046=M1047,M1047=M1049),IF(COUNTIF(W1045:W1048,W1046)=3,AB1070,IF(AND(COUNTIF(W1045:W1048,W1046)=1,W1045&lt;&gt;W1047),IF(M1047=2,IF(SMALL(W1045:W1048,1)=W1046,1,IF(SMALL(W1045:W1048,2)=W1046,2,IF(SMALL(W1045:W1048,3)=W1046,3))),IF(M1047=1,IF(SMALL(W1045:W1048,1)=W1046,2,IF(SMALL(W1045:W1048,2)=W1046,3,IF(SMALL(W1045:W1048,3)=W1046,4))),"")),IF(COUNTIF(W1045:W1048,W1046)=1,IF(W1046&lt;W1045,IF(M1047=2,1,2),IF(M1047=2,3,4)),IF(COUNTIF(W1045:W1048,W1046)=2,IF(W1046=W1045,IF(W1046&lt;W1048,IF(M1047=2,IF(Q1070=3,1,2),IF(M1047=1,IF(Q1070=3,2,3))),IF(W1046&gt;W1048,IF(M1047=2,IF(Q1070=3,2,3),IF(M1047=1,IF(Q1070=3,3,4))))),IF(W1046=W1048,IF(W1046&lt;W1045,IF(M1047=2,IF(Q1060=3,1,2),IF(M1047=1,IF(Q1060=3,2,3))),IF(W1046&gt;W1045,IF(M1047=2,IF(Q1060=3,2,3),IF(M1047=1,IF(Q1060=3,3,4))))))),"")))),"")</f>
        <v/>
      </c>
      <c r="AC1057" s="192"/>
      <c r="AD1057" s="192"/>
      <c r="AE1057" s="192"/>
      <c r="AF1057" s="203"/>
      <c r="AG1057" s="203"/>
      <c r="AH1057" s="203"/>
      <c r="AI1057" s="203"/>
      <c r="AJ1057" s="203"/>
      <c r="AK1057" s="203"/>
      <c r="AL1057" s="203"/>
      <c r="AM1057" s="203"/>
      <c r="AN1057" s="192"/>
      <c r="AO1057" s="192"/>
      <c r="AP1057" s="192"/>
      <c r="AQ1057" s="192"/>
      <c r="AR1057" s="192"/>
      <c r="AS1057" s="192"/>
      <c r="AT1057" s="192"/>
      <c r="AU1057" s="192"/>
      <c r="AV1057" s="192"/>
      <c r="AW1057" s="192"/>
      <c r="AX1057" s="192"/>
    </row>
    <row r="1058" spans="2:50" ht="15" customHeight="1" thickBot="1" x14ac:dyDescent="0.35">
      <c r="B1058" s="192"/>
      <c r="C1058" s="192"/>
      <c r="D1058" s="192"/>
      <c r="E1058" s="164" t="str">
        <f>IF(Q1058="","",IF(Q1058=3,1,0))</f>
        <v/>
      </c>
      <c r="F1058" s="164" t="str">
        <f>IF(Q1058="","",IF(Q1058&lt;3,1,0))</f>
        <v/>
      </c>
      <c r="G1058" s="192"/>
      <c r="H1058" s="192" t="str">
        <f>IF(I1047="","",IF(I1048="",2,3))</f>
        <v/>
      </c>
      <c r="I1058" s="192" t="str">
        <f>IF(ISNUMBER(H1058),VLOOKUP(H1058,H1046:I1049,2,TRUE),"")</f>
        <v/>
      </c>
      <c r="J1058" s="192"/>
      <c r="K1058" s="192" t="str">
        <f>VLOOKUP(I1058,I1046:L1049,3,FALSE)</f>
        <v/>
      </c>
      <c r="L1058" s="155"/>
      <c r="M1058" s="259"/>
      <c r="N1058" s="259"/>
      <c r="O1058" s="156"/>
      <c r="P1058" s="157"/>
      <c r="Q1058" s="260" t="str">
        <f>IF(L1058="","",IF(AND(L1058-L1057&gt;1,L1058&gt;10),1,0)+IF(AND(M1058-M1057&gt;1,M1058&gt;10),1,0)+IF(AND(N1058-N1057&gt;1,N1058&gt;10),1,0)+IF(AND(O1058-O1057&gt;1,O1058&gt;10),1,0)+IF(AND(P1058-P1057&gt;1,P1058&gt;10),1,0))</f>
        <v/>
      </c>
      <c r="R1058" s="203" t="str">
        <f>IF(AND(Q1057&lt;&gt;3,Q1058&lt;&gt;3),"",IF(Q1057=3,IF(VLOOKUP(I1057,I1046:L1049,4,FALSE)&gt;VLOOKUP(I1058,I1046:L1049,4,FALSE),VLOOKUP(R1057,Point_dif,2,FALSE),VLOOKUP(R1057,Point_dif,3,FALSE)),IF(Q1058=3,IF(VLOOKUP(I1058,I1046:L1049,4,FALSE)&gt;VLOOKUP(I1057,I1046:L1049,4,FALSE),VLOOKUP(R1057,Point_dif,2,FALSE),VLOOKUP(R1057,Point_dif,3,FALSE)))))</f>
        <v/>
      </c>
      <c r="S1058" s="256" t="str">
        <f>IF(R1058="","",IF(Q1058=3,+R1058,-R1058))</f>
        <v/>
      </c>
      <c r="T1058" s="192"/>
      <c r="U1058" s="235"/>
      <c r="V1058" s="235"/>
      <c r="W1058" s="235"/>
      <c r="X1058" s="235"/>
      <c r="Y1058" s="235"/>
      <c r="Z1058" s="235"/>
      <c r="AA1058" s="240">
        <v>4</v>
      </c>
      <c r="AB1058" s="158" t="str">
        <f>IF(AND(COUNTBLANK(I1046:I1049)=0,Group_players=4,M1046=M1047,M1047=M1049),IF(COUNTIF(W1045:W1048,W1048)=3,AB1071,IF(AND(COUNTIF(W1045:W1048,W1048)=1,W1045&lt;&gt;W1046),IF(M1049=2,IF(SMALL(W1045:W1048,1)=W1048,1,IF(SMALL(W1045:W1048,2)=W1048,2,IF(SMALL(W1045:W1048,3)=W1048,3))),IF(M1049=1,IF(SMALL(W1045:W1048,1)=W1048,2,IF(SMALL(W1045:W1048,2)=W1048,3,IF(SMALL(W1045:W1048,3)=W1048,4))),"")),IF(COUNTIF(W1045:W1048,W1048)=1,IF(W1048&lt;W1045,IF(M1049=2,1,2),IF(M1049=2,3,4)),IF(COUNTIF(W1045:W1048,W1048)=2,IF(W1048=W1045,IF(W1048&lt;W1046,IF(M1049=2,IF(Q1064=3,1,2),IF(M1049=1,IF(Q1064=3,2,3))),IF(W1048&gt;W1047,IF(M1049=2,IF(Q1064=3,2,3),IF(M1049=1,IF(Q1064=3,3,4))))),IF(W1048=W1046,IF(W1048&lt;W1045,IF(M1049=2,IF(Q1061=3,1,2),IF(M1049=1,IF(Q1061=3,2,3))),IF(W1048&gt;W1045,IF(M1049=2,IF(Q1061=3,2,3),IF(M1049=1,IF(Q1061=3,3,4))))))),"")))),"")</f>
        <v/>
      </c>
      <c r="AC1058" s="192"/>
      <c r="AD1058" s="192"/>
      <c r="AE1058" s="192"/>
      <c r="AF1058" s="203"/>
      <c r="AG1058" s="203"/>
      <c r="AH1058" s="203"/>
      <c r="AI1058" s="203"/>
      <c r="AJ1058" s="203"/>
      <c r="AK1058" s="203"/>
      <c r="AL1058" s="203"/>
      <c r="AM1058" s="203"/>
      <c r="AN1058" s="192"/>
      <c r="AO1058" s="192"/>
      <c r="AP1058" s="192"/>
      <c r="AQ1058" s="192"/>
      <c r="AR1058" s="192"/>
      <c r="AS1058" s="192"/>
      <c r="AT1058" s="192"/>
      <c r="AU1058" s="192"/>
      <c r="AV1058" s="192"/>
      <c r="AW1058" s="192"/>
      <c r="AX1058" s="192"/>
    </row>
    <row r="1059" spans="2:50" ht="15" customHeight="1" thickTop="1" thickBot="1" x14ac:dyDescent="0.35">
      <c r="B1059" s="192"/>
      <c r="C1059" s="192"/>
      <c r="D1059" s="192"/>
      <c r="E1059" s="164"/>
      <c r="F1059" s="164"/>
      <c r="G1059" s="192"/>
      <c r="H1059" s="192"/>
      <c r="I1059" s="249" t="s">
        <v>116</v>
      </c>
      <c r="J1059" s="249"/>
      <c r="K1059" s="249"/>
      <c r="L1059" s="250" t="s">
        <v>115</v>
      </c>
      <c r="M1059" s="250" t="s">
        <v>116</v>
      </c>
      <c r="N1059" s="250" t="s">
        <v>117</v>
      </c>
      <c r="O1059" s="250" t="s">
        <v>118</v>
      </c>
      <c r="P1059" s="250" t="s">
        <v>119</v>
      </c>
      <c r="Q1059" s="250" t="s">
        <v>120</v>
      </c>
      <c r="R1059" s="250"/>
      <c r="S1059" s="251"/>
      <c r="T1059" s="192"/>
      <c r="U1059" s="235"/>
      <c r="V1059" s="235"/>
      <c r="W1059" s="235"/>
      <c r="X1059" s="235"/>
      <c r="Y1059" s="235"/>
      <c r="Z1059" s="235"/>
      <c r="AA1059" s="243">
        <v>2</v>
      </c>
      <c r="AB1059" s="151" t="str">
        <f>IF(AND(COUNTBLANK(I1046:I1049)=0,Group_players=4,M1047=M1048,M1048=M1049),IF(COUNTIF(X1045:X1048,X1046)=3,AB1072,IF(AND(COUNTIF(X1045:X1048,X1046)=1,X1047&lt;&gt;X1048),IF(M1047=2,IF(SMALL(X1045:X1048,1)=X1046,1,IF(SMALL(X1045:X1048,2)=X1046,2,IF(SMALL(X1045:X1048,3)=X1046,3))),IF(M1047=1,IF(SMALL(X1045:X1048,1)=X1046,2,IF(SMALL(X1045:X1048,2)=X1046,3,IF(SMALL(X1045:X1048,3)=X1046,4))),"")),IF(COUNTIF(X1045:X1048,X1046)=1,IF(X1046&lt;X1048,IF(M1047=2,1,2),IF(M1047=1,3,3)),IF(COUNTIF(X1045:X1048,X1046)=2,IF(X1046=X1047,IF(X1046&lt;X1048,IF(M1047=2,IF(Q1066=3,1,2),IF(M1047=1,IF(Q1066=3,2,3))),IF(X1046&gt;X1048,IF(M1047=2,IF(Q1066=3,2,3),IF(M1047=1,IF(Q1066=3,3,4))))),IF(X1046=X1048,IF(X1046&lt;X1047,IF(M1047=2,IF(Q1060=3,1,2),IF(M1047=1,IF(Q1060=3,2,3))),IF(X1046&gt;X1047,IF(M1047=2,IF(Q1060=3,2,3),IF(M1047=1,IF(Q1060=3,3,4))))))),"")))),"")</f>
        <v/>
      </c>
      <c r="AC1059" s="192"/>
      <c r="AD1059" s="192"/>
      <c r="AE1059" s="192"/>
      <c r="AF1059" s="203"/>
      <c r="AG1059" s="203"/>
      <c r="AH1059" s="203"/>
      <c r="AI1059" s="203"/>
      <c r="AJ1059" s="203"/>
      <c r="AK1059" s="203"/>
      <c r="AL1059" s="203"/>
      <c r="AM1059" s="203"/>
      <c r="AN1059" s="192"/>
      <c r="AO1059" s="192"/>
      <c r="AP1059" s="192"/>
      <c r="AQ1059" s="192"/>
      <c r="AR1059" s="192"/>
      <c r="AS1059" s="192"/>
      <c r="AT1059" s="192"/>
      <c r="AU1059" s="192"/>
      <c r="AV1059" s="192"/>
      <c r="AW1059" s="192"/>
      <c r="AX1059" s="192"/>
    </row>
    <row r="1060" spans="2:50" ht="15" customHeight="1" thickTop="1" x14ac:dyDescent="0.3">
      <c r="B1060" s="192"/>
      <c r="C1060" s="192"/>
      <c r="D1060" s="192"/>
      <c r="E1060" s="164" t="str">
        <f>IF(Q1060="","",IF(Q1060=3,1,0))</f>
        <v/>
      </c>
      <c r="F1060" s="164" t="str">
        <f>IF(Q1060="","",IF(Q1060&lt;3,1,0))</f>
        <v/>
      </c>
      <c r="G1060" s="192"/>
      <c r="H1060" s="192" t="str">
        <f>IF(I1048="","",2)</f>
        <v/>
      </c>
      <c r="I1060" s="192" t="str">
        <f>IF(ISNUMBER(H1060),VLOOKUP(H1060,H1046:I1049,2,TRUE),"")</f>
        <v/>
      </c>
      <c r="J1060" s="192"/>
      <c r="K1060" s="192" t="str">
        <f>VLOOKUP(I1060,I1046:L1049,3,FALSE)</f>
        <v/>
      </c>
      <c r="L1060" s="253"/>
      <c r="M1060" s="254"/>
      <c r="N1060" s="254"/>
      <c r="O1060" s="152"/>
      <c r="P1060" s="153"/>
      <c r="Q1060" s="255" t="str">
        <f>IF(L1060="","",IF(AND(L1060-L1061&gt;1,L1060&gt;10),1,0)+IF(AND(M1060-M1061&gt;1,M1060&gt;10),1,0)+IF(AND(N1060-N1061&gt;1,N1060&gt;10),1,0)+IF(AND(O1060-O1061&gt;1,O1060&gt;10),1,0)+IF(AND(P1060-P1061&gt;1,P1060&gt;10),1,0))</f>
        <v/>
      </c>
      <c r="R1060" s="203" t="str">
        <f>IF(AND(I1060="",I1061=""),"",ABS(VLOOKUP(I1060,I1046:L1049,4,FALSE)-VLOOKUP(I1061,I1046:L1049,4,FALSE)))</f>
        <v/>
      </c>
      <c r="S1060" s="256" t="str">
        <f>IF(R1061="","",IF(Q1060=3,+R1061,-R1061))</f>
        <v/>
      </c>
      <c r="T1060" s="192"/>
      <c r="U1060" s="235"/>
      <c r="V1060" s="235"/>
      <c r="W1060" s="235"/>
      <c r="X1060" s="235"/>
      <c r="Y1060" s="235"/>
      <c r="Z1060" s="235"/>
      <c r="AA1060" s="246">
        <v>3</v>
      </c>
      <c r="AB1060" s="154" t="str">
        <f>IF(AND(COUNTBLANK(I1046:I1049)=0,Group_players=4,M1047=M1048,M1048=M1049),IF(COUNTIF(X1045:X1048,X1047)=3,AB1073,IF(AND(COUNTIF(X1045:X1048,X1047)=1,X1046&lt;&gt;X1048),IF(M1048=2,IF(SMALL(X1045:X1048,1)=X1047,1,IF(SMALL(X1045:X1048,2)=X1047,2,IF(SMALL(X1045:X1048,3)=X1047,3))),IF(M1048=1,IF(SMALL(X1045:X1048,1)=X1047,2,IF(SMALL(X1045:X1048,2)=X1047,3,IF(SMALL(X1045:X1048,3)=X1047,4))),"")),IF(COUNTIF(X1045:X1048,X1047)=1,IF(X1047&lt;X1046,IF(M1048=2,1,2),IF(M1048=2,3,4)),IF(COUNTIF(X1045:X1048,X1047)=2,IF(X1047=X1046,IF(X1047&lt;X1048,IF(M1048=2,IF(Q1067=3,1,2),IF(M1048=1,IF(Q1067=3,2,3))),IF(X1047&gt;X1048,IF(M1048=2,IF(Q1067=3,2,3),IF(M1048=1,IF(Q1067=3,3,4))))),IF(X1047=X1048,IF(X1047&lt;X1046,IF(M1048=2,IF(Q1072=3,1,2),IF(M1048=1,IF(Q1072=3,2,3))),IF(X1047&gt;X1046,IF(M1048=2,IF(Q1072=3,2,3),IF(M1048=1,IF(Q1072=3,3,4))))))),"")))),"")</f>
        <v/>
      </c>
      <c r="AC1060" s="192"/>
      <c r="AD1060" s="192"/>
      <c r="AE1060" s="192"/>
      <c r="AF1060" s="203"/>
      <c r="AG1060" s="203"/>
      <c r="AH1060" s="203"/>
      <c r="AI1060" s="203"/>
      <c r="AJ1060" s="203"/>
      <c r="AK1060" s="203"/>
      <c r="AL1060" s="203"/>
      <c r="AM1060" s="203"/>
      <c r="AN1060" s="192"/>
      <c r="AO1060" s="192"/>
      <c r="AP1060" s="192"/>
      <c r="AQ1060" s="192"/>
      <c r="AR1060" s="192"/>
      <c r="AS1060" s="192"/>
      <c r="AT1060" s="192"/>
      <c r="AU1060" s="192"/>
      <c r="AV1060" s="192"/>
      <c r="AW1060" s="192"/>
      <c r="AX1060" s="192"/>
    </row>
    <row r="1061" spans="2:50" ht="15" customHeight="1" thickBot="1" x14ac:dyDescent="0.35">
      <c r="B1061" s="192"/>
      <c r="C1061" s="192"/>
      <c r="D1061" s="192"/>
      <c r="E1061" s="164" t="str">
        <f>IF(Q1061="","",IF(Q1061=3,1,0))</f>
        <v/>
      </c>
      <c r="F1061" s="164" t="str">
        <f>IF(Q1061="","",IF(Q1061&lt;3,1,0))</f>
        <v/>
      </c>
      <c r="G1061" s="192"/>
      <c r="H1061" s="192" t="str">
        <f>IF(I1048="","",IF(I1049="",3,4))</f>
        <v/>
      </c>
      <c r="I1061" s="192" t="str">
        <f>IF(ISNUMBER(H1061),VLOOKUP(H1061,H1046:I1049,2,TRUE),"")</f>
        <v/>
      </c>
      <c r="J1061" s="192"/>
      <c r="K1061" s="192" t="str">
        <f>VLOOKUP(I1061,I1046:L1049,3,FALSE)</f>
        <v/>
      </c>
      <c r="L1061" s="155"/>
      <c r="M1061" s="259"/>
      <c r="N1061" s="259"/>
      <c r="O1061" s="156"/>
      <c r="P1061" s="157"/>
      <c r="Q1061" s="260" t="str">
        <f>IF(L1061="","",IF(AND(L1061-L1060&gt;1,L1061&gt;10),1,0)+IF(AND(M1061-M1060&gt;1,M1061&gt;10),1,0)+IF(AND(N1061-N1060&gt;1,N1061&gt;10),1,0)+IF(AND(O1061-O1060&gt;1,O1061&gt;10),1,0)+IF(AND(P1061-P1060&gt;1,P1061&gt;10),1,0))</f>
        <v/>
      </c>
      <c r="R1061" s="203" t="str">
        <f>IF(AND(Q1060&lt;&gt;3,Q1061&lt;&gt;3),"",IF(Q1060=3,IF(VLOOKUP(I1060,I1046:L1049,4,FALSE)&gt;VLOOKUP(I1061,I1046:L1049,4,FALSE),VLOOKUP(R1060,Point_dif,2,FALSE),VLOOKUP(R1060,Point_dif,3,FALSE)),IF(Q1061=3,IF(VLOOKUP(I1061,I1046:L1049,4,FALSE)&gt;VLOOKUP(I1060,I1046:L1049,4,FALSE),VLOOKUP(R1060,Point_dif,2,FALSE),VLOOKUP(R1060,Point_dif,3,FALSE)))))</f>
        <v/>
      </c>
      <c r="S1061" s="256" t="str">
        <f>IF(R1061="","",IF(Q1061=3,+R1061,-R1061))</f>
        <v/>
      </c>
      <c r="T1061" s="192"/>
      <c r="U1061" s="235"/>
      <c r="V1061" s="235"/>
      <c r="W1061" s="235"/>
      <c r="X1061" s="235"/>
      <c r="Y1061" s="235"/>
      <c r="Z1061" s="235"/>
      <c r="AA1061" s="261">
        <v>4</v>
      </c>
      <c r="AB1061" s="158" t="str">
        <f>IF(AND(COUNTBLANK(I1046:I1049)=0,Group_players=4,M1047=M1048,M1048=M1049),IF(COUNTIF(X1045:X1048,X1048)=3,AB1074,IF(AND(COUNTIF(X1045:X1048,X1048)=1,X1047&lt;&gt;X1046),IF(M1049=2,IF(SMALL(X1045:X1048,1)=X1048,1,IF(SMALL(X1045:X1048,2)=X1048,2,IF(SMALL(X1045:X1048,3)=X1048,3))),IF(M1049=1,IF(SMALL(X1045:X1048,1)=X1048,2,IF(SMALL(X1045:X1048,2)=X1048,3,IF(SMALL(X1045:X1048,3)=X1048,4))),"")),IF(COUNTIF(X1045:X1048,X1048)=1,IF(X1048&lt;X1046,IF(M1049=2,1,2),IF(M1049=2,3,4)),IF(COUNTIF(X1045:X1048,X1048)=2,IF(X1048=X1046,IF(X1048&lt;X1047,IF(M1049=2,IF(Q1061=3,1,2),IF(M1049=1,IF(Q1061=3,2,3))),IF(X1048&gt;X1047,IF(M1049=2,IF(Q1061=3,2,3),IF(M1049=1,IF(Q1061=3,3,4))))),IF(X1048=X1047,IF(X1048&lt;X1046,IF(M1049=2,IF(Q1073=3,1,2),IF(M1049=1,IF(Q1073=3,2,3))),IF(X1048&gt;X1046,IF(M1049=2,IF(Q1073=3,2,3),IF(M1049=1,IF(Q1073=3,3,4))))))),"")))),"")</f>
        <v/>
      </c>
      <c r="AC1061" s="192"/>
      <c r="AD1061" s="192"/>
      <c r="AE1061" s="192"/>
      <c r="AF1061" s="203"/>
      <c r="AG1061" s="203"/>
      <c r="AH1061" s="203"/>
      <c r="AI1061" s="203"/>
      <c r="AJ1061" s="203"/>
      <c r="AK1061" s="203"/>
      <c r="AL1061" s="203"/>
      <c r="AM1061" s="203"/>
      <c r="AN1061" s="192"/>
      <c r="AO1061" s="192"/>
      <c r="AP1061" s="192"/>
      <c r="AQ1061" s="192"/>
      <c r="AR1061" s="192"/>
      <c r="AS1061" s="192"/>
      <c r="AT1061" s="192"/>
      <c r="AU1061" s="192"/>
      <c r="AV1061" s="192"/>
      <c r="AW1061" s="192"/>
      <c r="AX1061" s="192"/>
    </row>
    <row r="1062" spans="2:50" ht="15" customHeight="1" thickTop="1" thickBot="1" x14ac:dyDescent="0.35">
      <c r="B1062" s="192"/>
      <c r="C1062" s="192"/>
      <c r="D1062" s="192"/>
      <c r="E1062" s="164"/>
      <c r="F1062" s="164"/>
      <c r="G1062" s="192"/>
      <c r="H1062" s="192"/>
      <c r="I1062" s="249" t="s">
        <v>117</v>
      </c>
      <c r="J1062" s="249"/>
      <c r="K1062" s="249"/>
      <c r="L1062" s="250" t="s">
        <v>115</v>
      </c>
      <c r="M1062" s="250" t="s">
        <v>116</v>
      </c>
      <c r="N1062" s="250" t="s">
        <v>117</v>
      </c>
      <c r="O1062" s="250" t="s">
        <v>118</v>
      </c>
      <c r="P1062" s="250" t="s">
        <v>119</v>
      </c>
      <c r="Q1062" s="250" t="s">
        <v>120</v>
      </c>
      <c r="R1062" s="250"/>
      <c r="S1062" s="251"/>
      <c r="T1062" s="263"/>
      <c r="U1062" s="264"/>
      <c r="V1062" s="242"/>
      <c r="W1062" s="242"/>
      <c r="X1062" s="264"/>
      <c r="Y1062" s="192"/>
      <c r="Z1062" s="203"/>
      <c r="AA1062" s="126" t="s">
        <v>93</v>
      </c>
      <c r="AB1062" s="265" t="s">
        <v>110</v>
      </c>
      <c r="AC1062" s="192"/>
      <c r="AD1062" s="192"/>
      <c r="AE1062" s="192"/>
      <c r="AF1062" s="203"/>
      <c r="AG1062" s="203"/>
      <c r="AH1062" s="203"/>
      <c r="AI1062" s="203"/>
      <c r="AJ1062" s="203"/>
      <c r="AK1062" s="203"/>
      <c r="AL1062" s="203"/>
      <c r="AM1062" s="203"/>
      <c r="AN1062" s="192"/>
      <c r="AO1062" s="192"/>
      <c r="AP1062" s="192"/>
      <c r="AQ1062" s="192"/>
      <c r="AR1062" s="192"/>
      <c r="AS1062" s="192"/>
      <c r="AT1062" s="192"/>
      <c r="AU1062" s="192"/>
      <c r="AV1062" s="192"/>
      <c r="AW1062" s="192"/>
      <c r="AX1062" s="192"/>
    </row>
    <row r="1063" spans="2:50" ht="15" customHeight="1" thickTop="1" x14ac:dyDescent="0.3">
      <c r="B1063" s="192"/>
      <c r="C1063" s="192"/>
      <c r="D1063" s="192"/>
      <c r="E1063" s="164" t="str">
        <f>IF(Q1063="","",IF(Q1063=3,1,0))</f>
        <v/>
      </c>
      <c r="F1063" s="164" t="str">
        <f>IF(Q1063="","",IF(Q1063&lt;3,1,0))</f>
        <v/>
      </c>
      <c r="G1063" s="192"/>
      <c r="H1063" s="192" t="str">
        <f>IF(I1048&lt;&gt;"",1,"")</f>
        <v/>
      </c>
      <c r="I1063" s="192" t="str">
        <f>IF(ISNUMBER(H1063),VLOOKUP(H1063,H1046:I1049,2,TRUE),"")</f>
        <v/>
      </c>
      <c r="J1063" s="192"/>
      <c r="K1063" s="192" t="str">
        <f>VLOOKUP(I1063,I1046:L1049,3,FALSE)</f>
        <v/>
      </c>
      <c r="L1063" s="253"/>
      <c r="M1063" s="254"/>
      <c r="N1063" s="254"/>
      <c r="O1063" s="152"/>
      <c r="P1063" s="153"/>
      <c r="Q1063" s="255" t="str">
        <f>IF(L1063="","",IF(AND(L1063-L1064&gt;1,L1063&gt;10),1,0)+IF(AND(M1063-M1064&gt;1,M1063&gt;10),1,0)+IF(AND(N1063-N1064&gt;1,N1063&gt;10),1,0)+IF(AND(O1063-O1064&gt;1,O1063&gt;10),1,0)+IF(AND(P1063-P1064&gt;1,P1063&gt;10),1,0))</f>
        <v/>
      </c>
      <c r="R1063" s="203" t="str">
        <f>IF(AND(I1063="",I1064=""),"",ABS(VLOOKUP(I1063,I1046:L1049,4,FALSE)-VLOOKUP(I1064,I1046:L1049,4,FALSE)))</f>
        <v/>
      </c>
      <c r="S1063" s="256" t="str">
        <f>IF(R1064="","",IF(Q1063=3,+R1064,-R1064))</f>
        <v/>
      </c>
      <c r="T1063" s="192"/>
      <c r="U1063" s="235"/>
      <c r="V1063" s="235"/>
      <c r="W1063" s="235"/>
      <c r="X1063" s="235"/>
      <c r="Y1063" s="235"/>
      <c r="Z1063" s="235"/>
      <c r="AA1063" s="243">
        <v>1</v>
      </c>
      <c r="AB1063" s="222" t="str">
        <f>IF(AND(COUNTBLANK(I1046:I1049)=0,Group_players=4,M1046=M1047,M1047=M1048),IF(U1053="","",IF(COUNTIF(U1053:U1056,U1053)=3,"Tied",IF(AND(COUNTIF(U1053:U1056,U1053)=1,U1054&lt;&gt;U1055),IF(M1046=2,IF(SMALL(U1053:U1056,1)=U1053,1,IF(SMALL(U1053:U1056,2)=U1053,2,IF(SMALL(U1053:U1056,3)=U1053,3))),IF(M1046=1,IF(SMALL(U1053:U1056,1)=U1053,2,IF(SMALL(U1053:U1056,2)=U1053,3,IF(SMALL(U1053:U1056,3)=U1053,4))),"")),IF(COUNTIF(U1053:U1056,U1053)=1,IF(U1053&lt;U1054,IF(M1046=2,1,2),IF(M1046=2,3,4)),IF(COUNTIF(U1053:U1056,U1053)=2,IF(U1053=U1054,IF(U1053&lt;U1055,IF(M1046=2,IF(Q1069=3,1,2),IF(M1046=1,IF(Q1069=3,2,3))),IF(U1053&gt;U1055,IF(M1046=2,IF(Q1069=3,2,3),IF(M1046=1,IF(Q1069=3,3,4))))),IF(U1053=U1055,IF(U1053&lt;U1054,IF(M1046=2,IF(Q1057=3,1,2),IF(M1046=1,IF(Q1057=3,2,3))),IF(U1053&gt;U1054,IF(M1046=2,IF(Q1057=3,2,3),IF(M1046=1,IF(Q1057=3,3,4)))))))))))),"")</f>
        <v/>
      </c>
      <c r="AC1063" s="192"/>
      <c r="AD1063" s="192"/>
      <c r="AE1063" s="192"/>
      <c r="AF1063" s="203"/>
      <c r="AG1063" s="203"/>
      <c r="AH1063" s="203"/>
      <c r="AI1063" s="203"/>
      <c r="AJ1063" s="203"/>
      <c r="AK1063" s="203"/>
      <c r="AL1063" s="203"/>
      <c r="AM1063" s="203"/>
      <c r="AN1063" s="192"/>
      <c r="AO1063" s="192"/>
      <c r="AP1063" s="192"/>
      <c r="AQ1063" s="192"/>
      <c r="AR1063" s="192"/>
      <c r="AS1063" s="192"/>
      <c r="AT1063" s="192"/>
      <c r="AU1063" s="192"/>
      <c r="AV1063" s="192"/>
      <c r="AW1063" s="192"/>
      <c r="AX1063" s="192"/>
    </row>
    <row r="1064" spans="2:50" ht="15" customHeight="1" thickBot="1" x14ac:dyDescent="0.35">
      <c r="B1064" s="192"/>
      <c r="C1064" s="192"/>
      <c r="D1064" s="192"/>
      <c r="E1064" s="164" t="str">
        <f>IF(Q1064="","",IF(Q1064=3,1,0))</f>
        <v/>
      </c>
      <c r="F1064" s="164" t="str">
        <f>IF(Q1064="","",IF(Q1064&lt;3,1,0))</f>
        <v/>
      </c>
      <c r="G1064" s="192"/>
      <c r="H1064" s="192" t="str">
        <f>IF(I1048="","",IF(I1049&lt;&gt;"",4,2))</f>
        <v/>
      </c>
      <c r="I1064" s="192" t="str">
        <f>IF(ISNUMBER(H1064),VLOOKUP(H1064,H1046:I1049,2,TRUE),"")</f>
        <v/>
      </c>
      <c r="J1064" s="192"/>
      <c r="K1064" s="192" t="str">
        <f>VLOOKUP(I1064,I1046:L1049,3,FALSE)</f>
        <v/>
      </c>
      <c r="L1064" s="155"/>
      <c r="M1064" s="259"/>
      <c r="N1064" s="259"/>
      <c r="O1064" s="156"/>
      <c r="P1064" s="157"/>
      <c r="Q1064" s="260" t="str">
        <f>IF(L1064="","",IF(AND(L1064-L1063&gt;1,L1064&gt;10),1,0)+IF(AND(M1064-M1063&gt;1,M1064&gt;10),1,0)+IF(AND(N1064-N1063&gt;1,N1064&gt;10),1,0)+IF(AND(O1064-O1063&gt;1,O1064&gt;10),1,0)+IF(AND(P1064-P1063&gt;1,P1064&gt;10),1,0))</f>
        <v/>
      </c>
      <c r="R1064" s="203" t="str">
        <f>IF(AND(Q1063&lt;&gt;3,Q1064&lt;&gt;3),"",IF(Q1063=3,IF(VLOOKUP(I1063,I1046:L1049,4,FALSE)&gt;VLOOKUP(I1064,I1046:L1049,4,FALSE),VLOOKUP(R1063,Point_dif,2,FALSE),VLOOKUP(R1063,Point_dif,3,FALSE)),IF(Q1064=3,IF(VLOOKUP(I1064,I1046:L1049,4,FALSE)&gt;VLOOKUP(I1063,I1046:L1049,4,FALSE),VLOOKUP(R1063,Point_dif,2,FALSE),VLOOKUP(R1063,Point_dif,3,FALSE)))))</f>
        <v/>
      </c>
      <c r="S1064" s="256" t="str">
        <f>IF(R1064="","",IF(Q1064=3,+R1064,-R1064))</f>
        <v/>
      </c>
      <c r="T1064" s="192"/>
      <c r="U1064" s="235"/>
      <c r="V1064" s="235"/>
      <c r="W1064" s="235"/>
      <c r="X1064" s="235"/>
      <c r="Y1064" s="235"/>
      <c r="Z1064" s="235"/>
      <c r="AA1064" s="246">
        <v>2</v>
      </c>
      <c r="AB1064" s="222" t="str">
        <f>IF(AND(COUNTBLANK(I1046:I1049)=0,Group_players=4,M1046=M1047,M1047=M1048),IF(U1054="","",IF(COUNTIF(U1053:U1056,U1054)=3,"Tied",IF(AND(COUNTIF(U1053:U1056,U1054)=1,U1053&lt;&gt;U1055),IF(M1047=2,IF(SMALL(U1053:U1056,1)=U1054,1,IF(SMALL(U1053:U1056,2)=U1054,2,IF(SMALL(U1053:U1056,3)=U1054,3))),IF(M1047=1,IF(SMALL(U1053:U1056,1)=U1054,2,IF(SMALL(U1053:U1056,2)=U1054,3,IF(SMALL(U1053:U1056,3)=U1054,4))),"")),IF(COUNTIF(U1053:U1056,U1054)=1,IF(U1054&lt;U1053,IF(M1047=2,1,2),IF(M1047=2,3,4)),IF(COUNTIF(U1053:U1056,U1054)=2,IF(U1054=U1053,IF(U1054&lt;U1055,IF(M1047=2,IF(Q1070=3,1,2),IF(M1047=1,IF(Q1070=3,2,3))),IF(U1054&gt;U1055,IF(M1047=2,IF(Q1070=3,2,3),IF(M1047=1,IF(Q1070=3,3,4))))),IF(U1054=U1055,IF(U1054&lt;U1053,IF(M1047=2,IF(Q1066=3,1,2),IF(M1047=1,IF(Q1066=3,2,3))),IF(U1054&gt;U1053,IF(M1047=2,IF(Q1066=3,2,3),IF(M1047=1,IF(Q1066=3,3,4)))))))))))),"")</f>
        <v/>
      </c>
      <c r="AC1064" s="192"/>
      <c r="AD1064" s="192"/>
      <c r="AE1064" s="192"/>
      <c r="AF1064" s="203"/>
      <c r="AG1064" s="203"/>
      <c r="AH1064" s="203"/>
      <c r="AI1064" s="203"/>
      <c r="AJ1064" s="203"/>
      <c r="AK1064" s="203"/>
      <c r="AL1064" s="203"/>
      <c r="AM1064" s="203"/>
      <c r="AN1064" s="192"/>
      <c r="AO1064" s="192"/>
      <c r="AP1064" s="192"/>
      <c r="AQ1064" s="192"/>
      <c r="AR1064" s="192"/>
      <c r="AS1064" s="192"/>
      <c r="AT1064" s="192"/>
      <c r="AU1064" s="192"/>
      <c r="AV1064" s="192"/>
      <c r="AW1064" s="192"/>
      <c r="AX1064" s="192"/>
    </row>
    <row r="1065" spans="2:50" ht="15" customHeight="1" thickTop="1" thickBot="1" x14ac:dyDescent="0.35">
      <c r="B1065" s="192"/>
      <c r="C1065" s="192"/>
      <c r="D1065" s="192"/>
      <c r="E1065" s="164"/>
      <c r="F1065" s="164"/>
      <c r="G1065" s="192"/>
      <c r="H1065" s="192"/>
      <c r="I1065" s="249" t="s">
        <v>118</v>
      </c>
      <c r="J1065" s="249"/>
      <c r="K1065" s="249"/>
      <c r="L1065" s="250" t="s">
        <v>115</v>
      </c>
      <c r="M1065" s="250" t="s">
        <v>116</v>
      </c>
      <c r="N1065" s="250" t="s">
        <v>117</v>
      </c>
      <c r="O1065" s="250" t="s">
        <v>118</v>
      </c>
      <c r="P1065" s="250" t="s">
        <v>119</v>
      </c>
      <c r="Q1065" s="250" t="s">
        <v>120</v>
      </c>
      <c r="R1065" s="250"/>
      <c r="S1065" s="251"/>
      <c r="T1065" s="192"/>
      <c r="U1065" s="235"/>
      <c r="V1065" s="235"/>
      <c r="W1065" s="235"/>
      <c r="X1065" s="235"/>
      <c r="Y1065" s="235"/>
      <c r="Z1065" s="235"/>
      <c r="AA1065" s="240">
        <v>3</v>
      </c>
      <c r="AB1065" s="241" t="str">
        <f>IF(AND(COUNTBLANK(I1046:I1049)=0,Group_players=4,M1046=M1047,M1047=M1048),IF(U1055="","",IF(COUNTIF(U1053:U1056,U1055)=3,"Tied",IF(AND(COUNTIF(U1053:U1056,U1055)=1,U1053&lt;&gt;U1054),IF(M1046=2,IF(SMALL(U1053:U1056,1)=U1055,1,IF(SMALL(U1053:U1056,2)=U1055,2,IF(SMALL(U1053:U1056,3)=U1055,3))),IF(M1048=1,IF(SMALL(U1053:U1056,1)=U1055,2,IF(SMALL(U1053:U1056,2)=U1055,3,IF(SMALL(U1053:U1056,3)=U1055,4))),"")),IF(COUNTIF(U1053:U1056,U1055)=1,IF(U1055&lt;U1054,IF(M1048=2,1,2),IF(M1048=2,3,4)),IF(COUNTIF(U1053:U1056,U1055)=2,IF(U1055=U1054,IF(U1055&lt;U1053,IF(M1048=2,IF(Q1067=3,1,2),IF(M1048=1,IF(Q1067=3,2,3))),IF(U1055&gt;U1053,IF(M1048=2,IF(Q1067=3,2,3),IF(M1048=1,IF(Q1067=3,3,4))))),IF(U1055=U1053,IF(U1055&lt;U1054,IF(M1048=2,IF(Q1058=3,1,2),IF(M1048=1,IF(Q1058=3,2,3))),IF(U1055&gt;U1054,IF(M1048=2,IF(Q1058=3,2,3),IF(M1048=1,IF(Q1058=3,3,4)))))))))))),"")</f>
        <v/>
      </c>
      <c r="AC1065" s="192"/>
      <c r="AD1065" s="192"/>
      <c r="AE1065" s="192"/>
      <c r="AF1065" s="203"/>
      <c r="AG1065" s="203"/>
      <c r="AH1065" s="203"/>
      <c r="AI1065" s="203"/>
      <c r="AJ1065" s="203"/>
      <c r="AK1065" s="203"/>
      <c r="AL1065" s="203"/>
      <c r="AM1065" s="203"/>
      <c r="AN1065" s="192"/>
      <c r="AO1065" s="192"/>
      <c r="AP1065" s="192"/>
      <c r="AQ1065" s="192"/>
      <c r="AR1065" s="192"/>
      <c r="AS1065" s="192"/>
      <c r="AT1065" s="192"/>
      <c r="AU1065" s="192"/>
      <c r="AV1065" s="192"/>
      <c r="AW1065" s="192"/>
      <c r="AX1065" s="192"/>
    </row>
    <row r="1066" spans="2:50" ht="15" customHeight="1" thickTop="1" x14ac:dyDescent="0.3">
      <c r="B1066" s="192"/>
      <c r="C1066" s="192"/>
      <c r="D1066" s="192"/>
      <c r="E1066" s="164" t="str">
        <f>IF(Q1066="","",IF(Q1066=3,1,0))</f>
        <v/>
      </c>
      <c r="F1066" s="164" t="str">
        <f>IF(Q1066="","",IF(Q1066&lt;3,1,0))</f>
        <v/>
      </c>
      <c r="G1066" s="192"/>
      <c r="H1066" s="192" t="str">
        <f>IF(I1049&lt;&gt;"",2,"")</f>
        <v/>
      </c>
      <c r="I1066" s="192" t="str">
        <f>IF(ISNUMBER(H1066),VLOOKUP(H1066,H1046:I1049,2,TRUE),"")</f>
        <v/>
      </c>
      <c r="J1066" s="192"/>
      <c r="K1066" s="192" t="str">
        <f>VLOOKUP(I1066,I1046:L1049,3,FALSE)</f>
        <v/>
      </c>
      <c r="L1066" s="253"/>
      <c r="M1066" s="254"/>
      <c r="N1066" s="254"/>
      <c r="O1066" s="152"/>
      <c r="P1066" s="153"/>
      <c r="Q1066" s="255" t="str">
        <f>IF(L1066="","",IF(AND(L1066-L1067&gt;1,L1066&gt;10),1,0)+IF(AND(M1066-M1067&gt;1,M1066&gt;10),1,0)+IF(AND(N1066-N1067&gt;1,N1066&gt;10),1,0)+IF(AND(O1066-O1067&gt;1,O1066&gt;10),1,0)+IF(AND(P1066-P1067&gt;1,P1066&gt;10),1,0))</f>
        <v/>
      </c>
      <c r="R1066" s="203" t="str">
        <f>IF(AND(I1066="",I1067=""),"",ABS(VLOOKUP(I1066,I1046:L1049,4,FALSE)-VLOOKUP(I1067,I1046:L1049,4,FALSE)))</f>
        <v/>
      </c>
      <c r="S1066" s="256" t="str">
        <f>IF(R1067="","",IF(Q1066=3,+R1067,-R1067))</f>
        <v/>
      </c>
      <c r="T1066" s="192"/>
      <c r="U1066" s="235"/>
      <c r="V1066" s="235"/>
      <c r="W1066" s="235"/>
      <c r="X1066" s="235"/>
      <c r="Y1066" s="235"/>
      <c r="Z1066" s="235"/>
      <c r="AA1066" s="243">
        <v>1</v>
      </c>
      <c r="AB1066" s="222" t="str">
        <f>IF(AND(COUNTBLANK(I1046:I1049)=0,Group_players=4,M1046=M1048,M1048=M1049),IF(V1053="","",IF(COUNTIF(V1053:V1056,V1053)=3,"Tied",IF(AND(COUNTIF(V1053:V1056,V1053)=1,V1055&lt;&gt;U1056),IF(M1046=2,IF(SMALL(V1053:V1056,1)=V1053,1,IF(SMALL(V1053:V1056,2)=V1053,2,IF(SMALL(V1053:V1056,3)=V1053,3))),IF(M1046=1,IF(SMALL(V1053:V1056,1)=V1053,2,IF(SMALL(V1053:V1056,2)=V1053,3,IF(SMALL(V1053:V1056,3)=V1053,4))),"")),IF(COUNTIF(V1053:V1056,V1053)=1,IF(V1053&lt;V1055,IF(M1046=2,1,2),IF(M1046=2,3,4)),IF(COUNTIF(V1053:V1056,V1053)=2,IF(V1053=V1055,IF(V1053&lt;V1056,IF(M1046=2,IF(Q1057=3,1,2),IF(M1046=1,IF(Q1057=3,2,3))),IF(V1053&gt;V1056,IF(M1046=2,IF(Q1057=3,2,3),IF(M1046=1,IF(Q1057=3,3,4))))),IF(V1053=V1056,IF(V1053&lt;V1055,IF(M1046=2,IF(Q1063=3,1,2),IF(M1046=1,IF(Q1063=3,2,3))),IF(V1053&gt;V1054,IF(M1046=2,IF(Q1063=3,2,3),IF(M1046=1,IF(Q1063=3,3,4)))))))))))),"")</f>
        <v/>
      </c>
      <c r="AC1066" s="192"/>
      <c r="AD1066" s="192"/>
      <c r="AE1066" s="192"/>
      <c r="AF1066" s="203"/>
      <c r="AG1066" s="203"/>
      <c r="AH1066" s="203"/>
      <c r="AI1066" s="203"/>
      <c r="AJ1066" s="203"/>
      <c r="AK1066" s="203"/>
      <c r="AL1066" s="203"/>
      <c r="AM1066" s="203"/>
      <c r="AN1066" s="192"/>
      <c r="AO1066" s="192"/>
      <c r="AP1066" s="192"/>
      <c r="AQ1066" s="192"/>
      <c r="AR1066" s="192"/>
      <c r="AS1066" s="192"/>
      <c r="AT1066" s="192"/>
      <c r="AU1066" s="192"/>
      <c r="AV1066" s="192"/>
      <c r="AW1066" s="192"/>
      <c r="AX1066" s="192"/>
    </row>
    <row r="1067" spans="2:50" ht="15" customHeight="1" thickBot="1" x14ac:dyDescent="0.35">
      <c r="B1067" s="192"/>
      <c r="C1067" s="192"/>
      <c r="D1067" s="192"/>
      <c r="E1067" s="164" t="str">
        <f>IF(Q1067="","",IF(Q1067=3,1,0))</f>
        <v/>
      </c>
      <c r="F1067" s="164" t="str">
        <f>IF(Q1067="","",IF(Q1067&lt;3,1,0))</f>
        <v/>
      </c>
      <c r="G1067" s="192"/>
      <c r="H1067" s="192" t="str">
        <f>IF(I1049&lt;&gt;"",3,"")</f>
        <v/>
      </c>
      <c r="I1067" s="192" t="str">
        <f>IF(ISNUMBER(H1067),VLOOKUP(H1067,H1046:I1049,2,TRUE),"")</f>
        <v/>
      </c>
      <c r="J1067" s="192"/>
      <c r="K1067" s="192" t="str">
        <f>VLOOKUP(I1067,I1046:L1049,3,FALSE)</f>
        <v/>
      </c>
      <c r="L1067" s="155"/>
      <c r="M1067" s="259"/>
      <c r="N1067" s="259"/>
      <c r="O1067" s="156"/>
      <c r="P1067" s="157"/>
      <c r="Q1067" s="260" t="str">
        <f>IF(L1067="","",IF(AND(L1067-L1066&gt;1,L1067&gt;10),1,0)+IF(AND(M1067-M1066&gt;1,M1067&gt;10),1,0)+IF(AND(N1067-N1066&gt;1,N1067&gt;10),1,0)+IF(AND(O1067-O1066&gt;1,O1067&gt;10),1,0)+IF(AND(P1067-P1066&gt;1,P1067&gt;10),1,0))</f>
        <v/>
      </c>
      <c r="R1067" s="203" t="str">
        <f>IF(AND(Q1066&lt;&gt;3,Q1067&lt;&gt;3),"",IF(Q1066=3,IF(VLOOKUP(I1066,I1046:L1049,4,FALSE)&gt;VLOOKUP(I1067,I1046:L1049,4,FALSE),VLOOKUP(R1066,Point_dif,2,FALSE),VLOOKUP(R1066,Point_dif,3,FALSE)),IF(Q1067=3,IF(VLOOKUP(I1067,I1046:L1049,4,FALSE)&gt;VLOOKUP(I1066,I1046:L1049,4,FALSE),VLOOKUP(R1066,Point_dif,2,FALSE),VLOOKUP(R1066,Point_dif,3,FALSE)))))</f>
        <v/>
      </c>
      <c r="S1067" s="256" t="str">
        <f>IF(R1067="","",IF(Q1067=3,+R1067,-R1067))</f>
        <v/>
      </c>
      <c r="T1067" s="192"/>
      <c r="U1067" s="159"/>
      <c r="V1067" s="266"/>
      <c r="W1067" s="266"/>
      <c r="X1067" s="266"/>
      <c r="Y1067" s="192"/>
      <c r="Z1067" s="203"/>
      <c r="AA1067" s="246">
        <v>3</v>
      </c>
      <c r="AB1067" s="222" t="str">
        <f>IF(AND(COUNTBLANK(I1046:I1049)=0,Group_players=4,M1046=M1048,M1048=M1049),IF(V1055="","",IF(COUNTIF(V1053:V1056,V1055)=3,"Tied",IF(AND(COUNTIF(V1053:V1056,V1055)=1,V1053&lt;&gt;V1056),IF(M1048=2,IF(SMALL(V1053:V1056,1)=V1055,1,IF(SMALL(V1053:V1056,2)=V1055,2,IF(SMALL(V1053:V1056,3)=V1055,3))),IF(M1048=1,IF(SMALL(V1053:V1056,1)=V1055,2,IF(SMALL(V1053:V1056,2)=V1055,3,IF(SMALL(V1053:V1056,3)=V1055,4))),"")),IF(COUNTIF(V1053:V1056,V1055)=1,IF(V1055&lt;V1053,IF(M1048=2,1,2),IF(M1048=2,3,4)),IF(COUNTIF(V1053:V1056,V1055)=2,IF(V1055=V1053,IF(V1055&lt;V1056,IF(M1048=2,IF(Q1058=3,1,2),IF(M1048=1,IF(Q1058=3,2,3))),IF(V1055&gt;V1056,IF(M1048=2,IF(Q1058=3,2,3),IF(M1048=1,IF(Q1058=3,3,4))))),IF(V1055=V1056,IF(V1055&lt;V1053,IF(M1048=2,IF(Q1072=3,1,2),IF(M1048=1,IF(Q1072=3,2,3))),IF(V1055&gt;V1053,IF(M1048=2,IF(Q1072=3,2,3),IF(M1048=1,IF(Q1072=3,3,4)))))))))))),"")</f>
        <v/>
      </c>
      <c r="AC1067" s="192"/>
      <c r="AD1067" s="192"/>
      <c r="AE1067" s="192"/>
      <c r="AF1067" s="203"/>
      <c r="AG1067" s="203"/>
      <c r="AH1067" s="203"/>
      <c r="AI1067" s="203"/>
      <c r="AJ1067" s="203"/>
      <c r="AK1067" s="203"/>
      <c r="AL1067" s="203"/>
      <c r="AM1067" s="203"/>
      <c r="AN1067" s="192"/>
      <c r="AO1067" s="192"/>
      <c r="AP1067" s="192"/>
      <c r="AQ1067" s="192"/>
      <c r="AR1067" s="192"/>
      <c r="AS1067" s="192"/>
      <c r="AT1067" s="192"/>
      <c r="AU1067" s="192"/>
      <c r="AV1067" s="192"/>
      <c r="AW1067" s="192"/>
      <c r="AX1067" s="192"/>
    </row>
    <row r="1068" spans="2:50" ht="15" customHeight="1" thickTop="1" thickBot="1" x14ac:dyDescent="0.35">
      <c r="B1068" s="192"/>
      <c r="C1068" s="192"/>
      <c r="D1068" s="192"/>
      <c r="E1068" s="164"/>
      <c r="F1068" s="164"/>
      <c r="G1068" s="192"/>
      <c r="H1068" s="192"/>
      <c r="I1068" s="249" t="s">
        <v>119</v>
      </c>
      <c r="J1068" s="249"/>
      <c r="K1068" s="249"/>
      <c r="L1068" s="250" t="s">
        <v>115</v>
      </c>
      <c r="M1068" s="250" t="s">
        <v>116</v>
      </c>
      <c r="N1068" s="250" t="s">
        <v>117</v>
      </c>
      <c r="O1068" s="250" t="s">
        <v>118</v>
      </c>
      <c r="P1068" s="250" t="s">
        <v>119</v>
      </c>
      <c r="Q1068" s="250" t="s">
        <v>120</v>
      </c>
      <c r="R1068" s="250"/>
      <c r="S1068" s="251"/>
      <c r="T1068" s="247"/>
      <c r="U1068" s="235"/>
      <c r="V1068" s="235"/>
      <c r="W1068" s="235"/>
      <c r="X1068" s="235"/>
      <c r="Y1068" s="235"/>
      <c r="Z1068" s="235"/>
      <c r="AA1068" s="240">
        <v>4</v>
      </c>
      <c r="AB1068" s="241" t="str">
        <f>IF(AND(COUNTBLANK(I1046:I1049)=0,Group_players=4,M1046=M1048,M1048=M1049),IF(V1056="","",IF(COUNTIF(V1053:V1056,V1056)=3,"Tied",IF(AND(COUNTIF(V1053:V1056,V1056)=1,V1055&lt;&gt;V1053),IF(M1049=2,IF(SMALL(V1053:V1056,1)=V1056,1,IF(SMALL(V1053:V1056,2)=V1056,2,IF(SMALL(V1053:V1056,3)=V1056,3))),IF(M1049=1,IF(SMALL(V1053:V1056,1)=V1056,2,IF(SMALL(V1053:V1056,2)=V1056,3,IF(SMALL(V1053:V1056,3)=V1056,4))),"")),IF(COUNTIF(V1053:V1056,V1056)=1,IF(V1056&lt;V1053,IF(M1049=2,1,2),IF(M1049=2,3,4)),IF(COUNTIF(V1053:V1056,V1056)=2,IF(V1056=V1053,IF(V1056&lt;V1055,IF(M1049=2,IF(Q1064=3,1,2),IF(M1049=1,IF(Q1064=3,2,3))),IF(V1056&gt;V1055,IF(M1049=2,IF(Q1064=3,2,3),IF(M1049=1,IF(Q1064=3,3,4))))),IF(V1056=V1055,IF(V1056&lt;V1053,IF(M1049=2,IF(Q1073=3,1,2),IF(M1049=1,IF(Q1073=3,2,3))),IF(V1056&gt;V1053,IF(M1049=2,IF(Q1073=3,2,3),IF(M1049=1,IF(Q1073=3,3,4)))))))))))),"")</f>
        <v/>
      </c>
      <c r="AC1068" s="192"/>
      <c r="AD1068" s="192"/>
      <c r="AE1068" s="192"/>
      <c r="AF1068" s="203"/>
      <c r="AG1068" s="203"/>
      <c r="AH1068" s="203"/>
      <c r="AI1068" s="203"/>
      <c r="AJ1068" s="203"/>
      <c r="AK1068" s="203"/>
      <c r="AL1068" s="203"/>
      <c r="AM1068" s="203"/>
      <c r="AN1068" s="192"/>
      <c r="AO1068" s="192"/>
      <c r="AP1068" s="192"/>
      <c r="AQ1068" s="192"/>
      <c r="AR1068" s="192"/>
      <c r="AS1068" s="192"/>
      <c r="AT1068" s="192"/>
      <c r="AU1068" s="192"/>
      <c r="AV1068" s="192"/>
      <c r="AW1068" s="192"/>
      <c r="AX1068" s="192"/>
    </row>
    <row r="1069" spans="2:50" ht="15" customHeight="1" thickTop="1" x14ac:dyDescent="0.3">
      <c r="B1069" s="192"/>
      <c r="C1069" s="192"/>
      <c r="D1069" s="192"/>
      <c r="E1069" s="164" t="str">
        <f>IF(Q1069="","",IF(Q1069=3,1,0))</f>
        <v/>
      </c>
      <c r="F1069" s="164" t="str">
        <f>IF(Q1069="","",IF(Q1069&lt;3,1,0))</f>
        <v/>
      </c>
      <c r="G1069" s="192"/>
      <c r="H1069" s="192" t="str">
        <f>IF(I1049&lt;&gt;"",1,"")</f>
        <v/>
      </c>
      <c r="I1069" s="192" t="str">
        <f>IF(ISNUMBER(H1069),VLOOKUP(H1069,H1046:I1049,2,TRUE),"")</f>
        <v/>
      </c>
      <c r="J1069" s="192"/>
      <c r="K1069" s="192" t="str">
        <f>VLOOKUP(I1069,I1046:L1049,3,FALSE)</f>
        <v/>
      </c>
      <c r="L1069" s="253"/>
      <c r="M1069" s="254"/>
      <c r="N1069" s="254"/>
      <c r="O1069" s="152"/>
      <c r="P1069" s="153"/>
      <c r="Q1069" s="255" t="str">
        <f>IF(L1069="","",IF(AND(L1069-L1070&gt;1,L1069&gt;10),1,0)+IF(AND(M1069-M1070&gt;1,M1069&gt;10),1,0)+IF(AND(N1069-N1070&gt;1,N1069&gt;10),1,0)+IF(AND(O1069-O1070&gt;1,O1069&gt;10),1,0)+IF(AND(P1069-P1070&gt;1,P1069&gt;10),1,0))</f>
        <v/>
      </c>
      <c r="R1069" s="203" t="str">
        <f>IF(AND(I1069="",I1070=""),"",ABS(VLOOKUP(I1069,I1046:L1049,4,FALSE)-VLOOKUP(I1070,I1046:L1049,4,FALSE)))</f>
        <v/>
      </c>
      <c r="S1069" s="256" t="str">
        <f>IF(R1070="","",IF(Q1069=3,+R1070,-R1070))</f>
        <v/>
      </c>
      <c r="T1069" s="247"/>
      <c r="U1069" s="235"/>
      <c r="V1069" s="235"/>
      <c r="W1069" s="235"/>
      <c r="X1069" s="235"/>
      <c r="Y1069" s="235"/>
      <c r="Z1069" s="235"/>
      <c r="AA1069" s="243">
        <v>1</v>
      </c>
      <c r="AB1069" s="222" t="str">
        <f>IF(AND(COUNTBLANK(I1046:I1049)=0,Group_players=4,M1046=M1047,M1047=M1049),IF(W1053="","",IF(COUNTIF(W1053:W1056,W1053)=3,"Tied",IF(AND(COUNTIF(W1053:W1056,W1053)=1,W1054&lt;&gt;W1055),IF(M1046=2,IF(SMALL(W1053:W1056,1)=W1053,1,IF(SMALL(W1053:W1056,2)=W1053,2,IF(SMALL(W1053:W1056,3)=W1053,3))),IF(M1046=1,IF(SMALL(W1053:W1056,1)=W1053,2,IF(SMALL(W1053:W1056,2)=W1053,3,IF(SMALL(W1053:W1056,3)=W1053,4))),"")),IF(COUNTIF(W1053:W1056,W1053)=1,IF(W1053&lt;W1054,IF(M1046=2,1,2),IF(M1046=2,3,4)),IF(COUNTIF(W1053:W1056,W1053)=2,IF(W1053=W1054,IF(W1053&lt;W1056,IF(M1046=2,IF(Q1069=3,1,2),IF(M1046=1,IF(Q1069=3,2,3))),IF(W1053&gt;W1056,IF(M1046=2,IF(Q1069=3,2,3),IF(M1046=1,IF(Q1069=3,3,4))))),IF(W1053=W1056,IF(W1053&lt;W1054,IF(M1046=2,IF(Q1063=3,1,2),IF(M1046=1,IF(Q1063=3,2,3))),IF(W1053&gt;W1054,IF(M1046=2,IF(Q1063=3,2,3),IF(M1046=1,IF(Q1063=3,3,4)))))))))))),"")</f>
        <v/>
      </c>
      <c r="AC1069" s="192"/>
      <c r="AD1069" s="192"/>
      <c r="AE1069" s="192"/>
      <c r="AF1069" s="203"/>
      <c r="AG1069" s="203"/>
      <c r="AH1069" s="203"/>
      <c r="AI1069" s="203"/>
      <c r="AJ1069" s="203"/>
      <c r="AK1069" s="203"/>
      <c r="AL1069" s="203"/>
      <c r="AM1069" s="203"/>
      <c r="AN1069" s="192"/>
      <c r="AO1069" s="192"/>
      <c r="AP1069" s="192"/>
      <c r="AQ1069" s="192"/>
      <c r="AR1069" s="192"/>
      <c r="AS1069" s="192"/>
      <c r="AT1069" s="192"/>
      <c r="AU1069" s="192"/>
      <c r="AV1069" s="192"/>
      <c r="AW1069" s="192"/>
      <c r="AX1069" s="192"/>
    </row>
    <row r="1070" spans="2:50" ht="15" customHeight="1" thickBot="1" x14ac:dyDescent="0.35">
      <c r="B1070" s="192"/>
      <c r="C1070" s="192"/>
      <c r="D1070" s="192"/>
      <c r="E1070" s="164" t="str">
        <f>IF(Q1070="","",IF(Q1070=3,1,0))</f>
        <v/>
      </c>
      <c r="F1070" s="164" t="str">
        <f>IF(Q1070="","",IF(Q1070&lt;3,1,0))</f>
        <v/>
      </c>
      <c r="G1070" s="192"/>
      <c r="H1070" s="192" t="str">
        <f>IF(I1049&lt;&gt;"",2,"")</f>
        <v/>
      </c>
      <c r="I1070" s="192" t="str">
        <f>IF(ISNUMBER(H1070),VLOOKUP(H1070,H1046:I1049,2,TRUE),"")</f>
        <v/>
      </c>
      <c r="J1070" s="192"/>
      <c r="K1070" s="192" t="str">
        <f>VLOOKUP(I1070,I1046:L1049,3,FALSE)</f>
        <v/>
      </c>
      <c r="L1070" s="155"/>
      <c r="M1070" s="259"/>
      <c r="N1070" s="259"/>
      <c r="O1070" s="156"/>
      <c r="P1070" s="157"/>
      <c r="Q1070" s="260" t="str">
        <f>IF(L1070="","",IF(AND(L1070-L1069&gt;1,L1070&gt;10),1,0)+IF(AND(M1070-M1069&gt;1,M1070&gt;10),1,0)+IF(AND(N1070-N1069&gt;1,N1070&gt;10),1,0)+IF(AND(O1070-O1069&gt;1,O1070&gt;10),1,0)+IF(AND(P1070-P1069&gt;1,P1070&gt;10),1,0))</f>
        <v/>
      </c>
      <c r="R1070" s="203" t="str">
        <f>IF(AND(Q1069&lt;&gt;3,Q1070&lt;&gt;3),"",IF(Q1069=3,IF(VLOOKUP(I1069,I1046:L1049,4,FALSE)&gt;VLOOKUP(I1070,I1046:L1049,4,FALSE),VLOOKUP(R1069,Point_dif,2,FALSE),VLOOKUP(R1069,Point_dif,3,FALSE)),IF(Q1070=3,IF(VLOOKUP(I1070,I1046:L1049,4,FALSE)&gt;VLOOKUP(I1070,I1046:L1049,4,FALSE),VLOOKUP(R1069,Point_dif,2,FALSE),VLOOKUP(R1069,Point_dif,3,FALSE)))))</f>
        <v/>
      </c>
      <c r="S1070" s="256" t="str">
        <f>IF(R1070="","",IF(Q1070=3,+R1070,-R1070))</f>
        <v/>
      </c>
      <c r="T1070" s="247"/>
      <c r="U1070" s="235"/>
      <c r="V1070" s="235"/>
      <c r="W1070" s="235"/>
      <c r="X1070" s="235"/>
      <c r="Y1070" s="235"/>
      <c r="Z1070" s="235"/>
      <c r="AA1070" s="246">
        <v>2</v>
      </c>
      <c r="AB1070" s="222" t="str">
        <f>IF(AND(COUNTBLANK(I1046:I1049)=0,Group_players=4,M1046=M1047,M1047=M1049),IF(W1054="","",IF(COUNTIF(W1053:W1056,W1054)=3,"Tied",IF(AND(COUNTIF(W1053:W1056,W1054)=1,W1053&lt;&gt;W1055),IF(M1047=2,IF(SMALL(W1053:W1056,1)=W1054,1,IF(SMALL(W1053:W1056,2)=W1054,2,IF(SMALL(W1053:W1056,3)=W1054,3))),IF(M1047=1,IF(SMALL(W1053:W1056,1)=W1054,2,IF(SMALL(W1053:W1056,2)=W1054,3,IF(SMALL(W1053:W1056,3)=W1054,4))),"")),IF(COUNTIF(W1053:W1056,W1054)=1,IF(W1054&lt;W1053,IF(M1047=2,1,2),IF(M1047=2,3,4)),IF(COUNTIF(W1053:W1056,W1054)=2,IF(W1054=W1053,IF(W1054&lt;W1056,IF(M1047=2,IF(Q1070=3,1,2),IF(M1047=1,IF(Q1070=3,2,3))),IF(W1054&gt;W1056,IF(M1047=2,IF(Q1070=3,2,3),IF(M1047=1,IF(Q1070=3,3,4))))),IF(W1054=W1056,IF(W1054&lt;W1053,IF(M1047=2,IF(Q1060=3,1,2),IF(M1047=1,IF(Q1060=3,2,3))),IF(W1054&gt;W1053,IF(M1047=2,IF(Q1060=3,2,3),IF(M1047=1,IF(Q1060=3,3,4)))))))))))),"")</f>
        <v/>
      </c>
      <c r="AC1070" s="192"/>
      <c r="AD1070" s="192"/>
      <c r="AE1070" s="192"/>
      <c r="AF1070" s="203"/>
      <c r="AG1070" s="203"/>
      <c r="AH1070" s="203"/>
      <c r="AI1070" s="203"/>
      <c r="AJ1070" s="203"/>
      <c r="AK1070" s="203"/>
      <c r="AL1070" s="203"/>
      <c r="AM1070" s="203"/>
      <c r="AN1070" s="192"/>
      <c r="AO1070" s="192"/>
      <c r="AP1070" s="192"/>
      <c r="AQ1070" s="192"/>
      <c r="AR1070" s="192"/>
      <c r="AS1070" s="192"/>
      <c r="AT1070" s="192"/>
      <c r="AU1070" s="192"/>
      <c r="AV1070" s="192"/>
      <c r="AW1070" s="192"/>
      <c r="AX1070" s="192"/>
    </row>
    <row r="1071" spans="2:50" ht="15" customHeight="1" thickTop="1" thickBot="1" x14ac:dyDescent="0.35">
      <c r="B1071" s="192"/>
      <c r="C1071" s="192"/>
      <c r="D1071" s="192"/>
      <c r="E1071" s="164"/>
      <c r="F1071" s="164"/>
      <c r="G1071" s="192"/>
      <c r="H1071" s="192"/>
      <c r="I1071" s="249" t="s">
        <v>121</v>
      </c>
      <c r="J1071" s="249"/>
      <c r="K1071" s="249"/>
      <c r="L1071" s="250" t="s">
        <v>115</v>
      </c>
      <c r="M1071" s="250" t="s">
        <v>116</v>
      </c>
      <c r="N1071" s="250" t="s">
        <v>117</v>
      </c>
      <c r="O1071" s="250" t="s">
        <v>118</v>
      </c>
      <c r="P1071" s="250" t="s">
        <v>119</v>
      </c>
      <c r="Q1071" s="250" t="s">
        <v>120</v>
      </c>
      <c r="R1071" s="250"/>
      <c r="S1071" s="251"/>
      <c r="T1071" s="247"/>
      <c r="U1071" s="235"/>
      <c r="V1071" s="235"/>
      <c r="W1071" s="235"/>
      <c r="X1071" s="235"/>
      <c r="Y1071" s="235"/>
      <c r="Z1071" s="235"/>
      <c r="AA1071" s="240">
        <v>4</v>
      </c>
      <c r="AB1071" s="241" t="str">
        <f>IF(AND(COUNTBLANK(I1046:I1049)=0,Group_players=4,M1046=M1047,M1047=M1049),IF(W1056="","",IF(COUNTIF(W1053:W1056,W1056)=3,"Tied",IF(AND(COUNTIF(W1053:W1056,W1056)=1,W1053&lt;&gt;W1054),IF(M1049=2,IF(SMALL(W1053:W1056,1)=W1056,1,IF(SMALL(W1053:W1056,2)=W1056,2,IF(SMALL(W1053:W1056,3)=W1056,3))),IF(M1049=1,IF(SMALL(W1053:W1056,1)=W1056,2,IF(SMALL(W1053:W1056,2)=W1056,3,IF(SMALL(W1053:W1056,3)=W1056,4))),"")),IF(COUNTIF(W1053:W1056,W1056)=1,IF(W1056&lt;W1053,IF(M1049=2,1,2),IF(M1049=2,3,4)),IF(COUNTIF(W1053:W1056,W1056)=2,IF(W1056=W1053,IF(W1056&lt;W1054,IF(M1049=2,IF(Q1064=3,1,2),IF(M1049=1,IF(Q1064=3,2,3))),IF(W1056&gt;W1055,IF(M1049=2,IF(Q1064=3,2,3),IF(M1049=1,IF(Q1064=3,3,4))))),IF(W1056=W1054,IF(W1056&lt;W1053,IF(M1049=2,IF(Q1061=3,1,2),IF(M1049=1,IF(Q1061=3,2,3))),IF(W1056&gt;W1053,IF(M1049=2,IF(Q1061=3,2,3),IF(M1049=1,IF(Q1061=3,3,4)))))))))))),"")</f>
        <v/>
      </c>
      <c r="AC1071" s="192"/>
      <c r="AD1071" s="192"/>
      <c r="AE1071" s="192"/>
      <c r="AF1071" s="203"/>
      <c r="AG1071" s="203"/>
      <c r="AH1071" s="203"/>
      <c r="AI1071" s="203"/>
      <c r="AJ1071" s="203"/>
      <c r="AK1071" s="203"/>
      <c r="AL1071" s="203"/>
      <c r="AM1071" s="203"/>
      <c r="AN1071" s="192"/>
      <c r="AO1071" s="192"/>
      <c r="AP1071" s="192"/>
      <c r="AQ1071" s="192"/>
      <c r="AR1071" s="192"/>
      <c r="AS1071" s="192"/>
      <c r="AT1071" s="192"/>
      <c r="AU1071" s="192"/>
      <c r="AV1071" s="192"/>
      <c r="AW1071" s="192"/>
      <c r="AX1071" s="192"/>
    </row>
    <row r="1072" spans="2:50" ht="15" customHeight="1" thickTop="1" x14ac:dyDescent="0.3">
      <c r="B1072" s="192"/>
      <c r="C1072" s="192"/>
      <c r="D1072" s="192"/>
      <c r="E1072" s="164" t="str">
        <f>IF(Q1072="","",IF(Q1072=3,1,0))</f>
        <v/>
      </c>
      <c r="F1072" s="164" t="str">
        <f>IF(Q1072="","",IF(Q1072&lt;3,1,0))</f>
        <v/>
      </c>
      <c r="G1072" s="192"/>
      <c r="H1072" s="192" t="str">
        <f>IF(I1049&lt;&gt;"",3,"")</f>
        <v/>
      </c>
      <c r="I1072" s="192" t="str">
        <f>IF(ISNUMBER(H1072),VLOOKUP(H1072,H1046:I1049,2,TRUE),"")</f>
        <v/>
      </c>
      <c r="J1072" s="192"/>
      <c r="K1072" s="192" t="str">
        <f>VLOOKUP(I1072,I1046:L1049,3,FALSE)</f>
        <v/>
      </c>
      <c r="L1072" s="253"/>
      <c r="M1072" s="254"/>
      <c r="N1072" s="254"/>
      <c r="O1072" s="152"/>
      <c r="P1072" s="153"/>
      <c r="Q1072" s="255" t="str">
        <f>IF(L1072="","",IF(AND(L1072-L1073&gt;1,L1072&gt;10),1,0)+IF(AND(M1072-M1073&gt;1,M1072&gt;10),1,0)+IF(AND(N1072-N1073&gt;1,N1072&gt;10),1,0)+IF(AND(O1072-O1073&gt;1,O1072&gt;10),1,0)+IF(AND(P1072-P1073&gt;1,P1072&gt;10),1,0))</f>
        <v/>
      </c>
      <c r="R1072" s="203" t="str">
        <f>IF(AND(I1072="",I1073=""),"",ABS(VLOOKUP(I1072,I1046:L1049,4,FALSE)-VLOOKUP(I1073,I1046:L1049,4,FALSE)))</f>
        <v/>
      </c>
      <c r="S1072" s="256" t="str">
        <f>IF(R1073="","",IF(Q1072=3,+R1073,-R1073))</f>
        <v/>
      </c>
      <c r="T1072" s="247"/>
      <c r="U1072" s="264"/>
      <c r="V1072" s="242"/>
      <c r="W1072" s="192"/>
      <c r="X1072" s="264"/>
      <c r="Y1072" s="192"/>
      <c r="Z1072" s="192"/>
      <c r="AA1072" s="243">
        <v>2</v>
      </c>
      <c r="AB1072" s="222" t="str">
        <f>IF(AND(COUNTBLANK(I1046:I1049)=0,Group_players=4,M1047=M1048,M1048=M1049),IF(X1054="","",IF(COUNTIF(X1053:X1056,X1054)=3,"Tied",IF(AND(COUNTIF(X1053:X1056,X1054)=1,X1055&lt;&gt;X1056),IF(M1047=2,IF(SMALL(X1053:X1056,1)=X1054,1,IF(SMALL(X1053:X1056,2)=X1054,2,IF(SMALL(X1053:X1056,3)=X1054,3))),IF(M1047=1,IF(SMALL(X1053:X1056,1)=X1054,2,IF(SMALL(X1053:X1056,2)=X1054,3,IF(SMALL(X1053:X1056,3)=X1054,4))),"")),IF(COUNTIF(X1053:X1056,X1054)=1,IF(X1054&lt;X1056,IF(M1047=2,1,2),IF(M1047=1,4)),IF(COUNTIF(X1053:X1056,X1054)=2,IF(X1054=X1055,IF(X1054&lt;X1056,IF(M1047=2,IF(Q1066=3,1,2),IF(M1047=1,IF(Q1066=3,2,3))),IF(X1054&gt;X1056,IF(M1047=2,IF(Q1066=3,2,3),IF(M1047=1,IF(Q1066=3,3,4))))),IF(X1054=X1056,IF(X1054&lt;X1055,IF(M1047=2,IF(Q1060=3,1,2),IF(M1047=1,IF(Q1060=3,2,3))),IF(X1054&gt;X1055,IF(M1047=2,IF(Q1060=3,2,3),IF(M1047=1,IF(Q1060=3,3,4)))))))))))),"")</f>
        <v/>
      </c>
      <c r="AC1072" s="192"/>
      <c r="AD1072" s="192"/>
      <c r="AE1072" s="192"/>
      <c r="AF1072" s="203"/>
      <c r="AG1072" s="203"/>
      <c r="AH1072" s="203"/>
      <c r="AI1072" s="203"/>
      <c r="AJ1072" s="203"/>
      <c r="AK1072" s="203"/>
      <c r="AL1072" s="203"/>
      <c r="AM1072" s="203"/>
      <c r="AN1072" s="192"/>
      <c r="AO1072" s="192"/>
      <c r="AP1072" s="192"/>
      <c r="AQ1072" s="192"/>
      <c r="AR1072" s="192"/>
      <c r="AS1072" s="192"/>
      <c r="AT1072" s="192"/>
      <c r="AU1072" s="192"/>
      <c r="AV1072" s="192"/>
      <c r="AW1072" s="192"/>
      <c r="AX1072" s="192"/>
    </row>
    <row r="1073" spans="2:50" ht="15" customHeight="1" thickBot="1" x14ac:dyDescent="0.35">
      <c r="B1073" s="192"/>
      <c r="C1073" s="192"/>
      <c r="D1073" s="192"/>
      <c r="E1073" s="164" t="str">
        <f>IF(Q1073="","",IF(Q1073=3,1,0))</f>
        <v/>
      </c>
      <c r="F1073" s="164" t="str">
        <f>IF(Q1073="","",IF(Q1073&lt;3,1,0))</f>
        <v/>
      </c>
      <c r="G1073" s="192"/>
      <c r="H1073" s="192" t="str">
        <f>IF(I1049&lt;&gt;"",4,"")</f>
        <v/>
      </c>
      <c r="I1073" s="192" t="str">
        <f>IF(ISNUMBER(H1073),VLOOKUP(H1073,H1046:I1049,2,TRUE),"")</f>
        <v/>
      </c>
      <c r="J1073" s="192"/>
      <c r="K1073" s="192" t="str">
        <f>VLOOKUP(I1073,I1046:L1049,3,FALSE)</f>
        <v/>
      </c>
      <c r="L1073" s="155"/>
      <c r="M1073" s="259"/>
      <c r="N1073" s="259"/>
      <c r="O1073" s="156"/>
      <c r="P1073" s="157"/>
      <c r="Q1073" s="260" t="str">
        <f>IF(L1073="","",IF(AND(L1073-L1072&gt;1,L1073&gt;10),1,0)+IF(AND(M1073-M1072&gt;1,M1073&gt;10),1,0)+IF(AND(N1073-N1072&gt;1,N1073&gt;10),1,0)+IF(AND(O1073-O1072&gt;1,O1073&gt;10),1,0)+IF(AND(P1073-P1072&gt;1,P1073&gt;10),1,0))</f>
        <v/>
      </c>
      <c r="R1073" s="203" t="str">
        <f>IF(AND(Q1072&lt;&gt;3,Q1073&lt;&gt;3),"",IF(Q1072=3,IF(VLOOKUP(I1072,I1046:L1049,4,FALSE)&gt;VLOOKUP(I1073,I1046:L1049,4,FALSE),VLOOKUP(R1072,Point_dif,2,FALSE),VLOOKUP(R1072,Point_dif,3,FALSE)),IF(Q1073=3,IF(VLOOKUP(I1073,I1046:L1049,4,FALSE)&gt;VLOOKUP(I1072,I1046:L1049,4,FALSE),VLOOKUP(R1072,Point_dif,2,FALSE),VLOOKUP(R1072,Point_dif,3,FALSE)))))</f>
        <v/>
      </c>
      <c r="S1073" s="260" t="str">
        <f>IF(R1073="","",IF(Q1073=3,+R1073,-R1073))</f>
        <v/>
      </c>
      <c r="T1073" s="247"/>
      <c r="U1073" s="235"/>
      <c r="V1073" s="235"/>
      <c r="W1073" s="235"/>
      <c r="X1073" s="235"/>
      <c r="Y1073" s="235"/>
      <c r="Z1073" s="235"/>
      <c r="AA1073" s="246">
        <v>3</v>
      </c>
      <c r="AB1073" s="222" t="str">
        <f>IF(AND(COUNTBLANK(I1046:I1049)=0,Group_players=4,Group_players=4,M1047=M1048,M1048=M1049),IF(X1055="","",IF(COUNTIF(X1053:X1056,X1055)=3,"Tied",IF(AND(COUNTIF(X1053:X1056,X1055)=1,X1054&lt;&gt;X1056),IF(M1048=2,IF(SMALL(X1053:X1056,1)=X1055,1,IF(SMALL(X1053:X1056,2)=X1055,2,IF(SMALL(X1053:X1056,3)=X1055,3))),IF(M1048=1,IF(SMALL(X1053:X1056,1)=X1055,2,IF(SMALL(X1053:X1056,2)=X1055,3,IF(SMALL(X1053:X1056,3)=X1055,4))),"")),IF(COUNTIF(X1053:X1056,X1055)=1,IF(X1055&lt;X1054,IF(M1048=2,1,2),IF(M1048=2,3,4)),IF(COUNTIF(X1053:X1056,X1055)=2,IF(X1055=X1054,IF(X1055&lt;X1056,IF(M1048=2,IF(Q1067=3,1,2),IF(M1048=1,IF(Q1067=3,2,3))),IF(X1055&gt;X1056,IF(M1048=2,IF(Q1067=3,2,3),IF(M1048=1,IF(Q1067=3,3,4))))),IF(X1055=X1056,IF(X1055&lt;X1054,IF(M1048=2,IF(Q1072=3,1,2),IF(M1048=1,IF(Q1072=3,2,3))),IF(X1055&gt;X1054,IF(M1048=2,IF(Q1072=3,2,3),IF(M1048=1,IF(Q1072=3,3,4)))))))))))),"")</f>
        <v/>
      </c>
      <c r="AC1073" s="192"/>
      <c r="AD1073" s="192"/>
      <c r="AE1073" s="192"/>
      <c r="AF1073" s="203"/>
      <c r="AG1073" s="203"/>
      <c r="AH1073" s="203"/>
      <c r="AI1073" s="203"/>
      <c r="AJ1073" s="203"/>
      <c r="AK1073" s="203"/>
      <c r="AL1073" s="203"/>
      <c r="AM1073" s="203"/>
      <c r="AN1073" s="192"/>
      <c r="AO1073" s="192"/>
      <c r="AP1073" s="192"/>
      <c r="AQ1073" s="192"/>
      <c r="AR1073" s="192"/>
      <c r="AS1073" s="192"/>
      <c r="AT1073" s="192"/>
      <c r="AU1073" s="192"/>
      <c r="AV1073" s="192"/>
      <c r="AW1073" s="192"/>
      <c r="AX1073" s="192"/>
    </row>
    <row r="1074" spans="2:50" ht="15" customHeight="1" thickTop="1" thickBot="1" x14ac:dyDescent="0.35">
      <c r="B1074" s="192"/>
      <c r="C1074" s="192"/>
      <c r="D1074" s="192"/>
      <c r="E1074" s="192"/>
      <c r="F1074" s="192"/>
      <c r="G1074" s="192"/>
      <c r="H1074" s="192"/>
      <c r="I1074" s="192"/>
      <c r="J1074" s="192"/>
      <c r="K1074" s="192"/>
      <c r="L1074" s="192"/>
      <c r="M1074" s="192"/>
      <c r="N1074" s="192"/>
      <c r="O1074" s="268"/>
      <c r="P1074" s="192"/>
      <c r="Q1074" s="192"/>
      <c r="R1074" s="247"/>
      <c r="S1074" s="247"/>
      <c r="T1074" s="247"/>
      <c r="U1074" s="235"/>
      <c r="V1074" s="235"/>
      <c r="W1074" s="235"/>
      <c r="X1074" s="235"/>
      <c r="Y1074" s="235"/>
      <c r="Z1074" s="235"/>
      <c r="AA1074" s="261">
        <v>4</v>
      </c>
      <c r="AB1074" s="233" t="str">
        <f>IF(AND(COUNTBLANK(I1046:I1049)=0,Group_players=4,M1047=M1048,M1048=M1049),IF(X1056="","",IF(COUNTIF(X1053:X1056,X1056)=3,"Tied",IF(AND(COUNTIF(X1053:X1056,X1056)=1,X1055&lt;&gt;X1054),IF(M1049=2,IF(SMALL(X1053:X1056,1)=X1056,1,IF(SMALL(X1053:X1056,2)=X1056,2,IF(SMALL(X1053:X1056,3)=X1056,3))),IF(M1049=1,IF(SMALL(X1053:X1056,1)=X1056,2,IF(SMALL(X1053:X1056,2)=X1056,3,IF(SMALL(X1053:X1056,3)=X1056,4))),"")),IF(COUNTIF(X1053:X1056,X1056)=1,IF(X1056&lt;X1054,IF(M1049=2,1,2),IF(M1049=2,3,4)),IF(COUNTIF(X1053:X1056,X1056)=2,IF(X1056=X1054,IF(X1056&lt;X1055,IF(M1049=2,IF(Q1061=3,1,2),IF(M1049=1,IF(Q1061=3,2,3))),IF(X1056&gt;X1055,IF(M1049=2,IF(Q1061=3,2,3),IF(M1049=1,IF(Q1061=3,3,4))))),IF(X1056=X1055,IF(X1056&lt;X1054,IF(M1049=2,IF(Q1073=3,1,2),IF(M1049=1,IF(Q1073=3,2,3))),IF(X1056&gt;X1054,IF(M1049=2,IF(Q1073=3,2,3),IF(M1049=1,IF(Q1073=3,3,4)))))))))))),"")</f>
        <v/>
      </c>
      <c r="AC1074" s="192"/>
      <c r="AD1074" s="192"/>
      <c r="AE1074" s="192"/>
      <c r="AF1074" s="203"/>
      <c r="AG1074" s="203"/>
      <c r="AH1074" s="203"/>
      <c r="AI1074" s="203"/>
      <c r="AJ1074" s="203"/>
      <c r="AK1074" s="203"/>
      <c r="AL1074" s="203"/>
      <c r="AM1074" s="203"/>
      <c r="AN1074" s="192"/>
      <c r="AO1074" s="192"/>
      <c r="AP1074" s="192"/>
      <c r="AQ1074" s="192"/>
      <c r="AR1074" s="192"/>
      <c r="AS1074" s="192"/>
      <c r="AT1074" s="192"/>
      <c r="AU1074" s="192"/>
      <c r="AV1074" s="192"/>
      <c r="AW1074" s="192"/>
      <c r="AX1074" s="192"/>
    </row>
    <row r="1075" spans="2:50" ht="15" customHeight="1" thickTop="1" x14ac:dyDescent="0.3">
      <c r="B1075" s="192"/>
      <c r="C1075" s="192"/>
      <c r="D1075" s="192"/>
      <c r="E1075" s="192"/>
      <c r="F1075" s="192"/>
      <c r="G1075" s="192"/>
      <c r="H1075" s="192"/>
      <c r="I1075" s="192"/>
      <c r="J1075" s="192"/>
      <c r="K1075" s="192"/>
      <c r="L1075" s="192"/>
      <c r="M1075" s="192"/>
      <c r="N1075" s="192"/>
      <c r="O1075" s="192"/>
      <c r="P1075" s="192"/>
      <c r="Q1075" s="192"/>
      <c r="R1075" s="192"/>
      <c r="S1075" s="192"/>
      <c r="T1075" s="203"/>
      <c r="U1075" s="192"/>
      <c r="V1075" s="192"/>
      <c r="W1075" s="192"/>
      <c r="X1075" s="192"/>
      <c r="Y1075" s="192"/>
      <c r="Z1075" s="192"/>
      <c r="AA1075" s="192"/>
      <c r="AB1075" s="192"/>
      <c r="AC1075" s="192"/>
      <c r="AD1075" s="192"/>
      <c r="AE1075" s="192"/>
      <c r="AF1075" s="203"/>
      <c r="AG1075" s="203"/>
      <c r="AH1075" s="203"/>
      <c r="AI1075" s="203"/>
      <c r="AJ1075" s="203"/>
      <c r="AK1075" s="203"/>
      <c r="AL1075" s="203"/>
      <c r="AM1075" s="203"/>
      <c r="AN1075" s="192"/>
      <c r="AO1075" s="192"/>
      <c r="AP1075" s="192"/>
      <c r="AQ1075" s="192"/>
      <c r="AR1075" s="192"/>
      <c r="AS1075" s="192"/>
      <c r="AT1075" s="192"/>
      <c r="AU1075" s="192"/>
      <c r="AV1075" s="192"/>
      <c r="AW1075" s="192"/>
      <c r="AX1075" s="192"/>
    </row>
    <row r="1076" spans="2:50" ht="15" customHeight="1" x14ac:dyDescent="0.3">
      <c r="B1076" s="192"/>
      <c r="C1076" s="192"/>
      <c r="D1076" s="192"/>
      <c r="E1076" s="192"/>
      <c r="F1076" s="192"/>
      <c r="G1076" s="192"/>
      <c r="H1076" s="192"/>
      <c r="I1076" s="192"/>
      <c r="J1076" s="192"/>
      <c r="K1076" s="192"/>
      <c r="L1076" s="192"/>
      <c r="M1076" s="192"/>
      <c r="N1076" s="192"/>
      <c r="O1076" s="192"/>
      <c r="P1076" s="192"/>
      <c r="Q1076" s="192"/>
      <c r="R1076" s="192"/>
      <c r="S1076" s="192"/>
      <c r="T1076" s="192"/>
      <c r="U1076" s="192"/>
      <c r="V1076" s="192"/>
      <c r="W1076" s="192"/>
      <c r="X1076" s="192"/>
      <c r="Y1076" s="192"/>
      <c r="Z1076" s="192"/>
      <c r="AA1076" s="192"/>
      <c r="AB1076" s="192"/>
      <c r="AC1076" s="192"/>
      <c r="AD1076" s="192"/>
      <c r="AE1076" s="192"/>
      <c r="AF1076" s="203"/>
      <c r="AG1076" s="203"/>
      <c r="AH1076" s="203"/>
      <c r="AI1076" s="203"/>
      <c r="AJ1076" s="203"/>
      <c r="AK1076" s="203"/>
      <c r="AL1076" s="203"/>
      <c r="AM1076" s="203"/>
      <c r="AN1076" s="192"/>
      <c r="AO1076" s="192"/>
      <c r="AP1076" s="192"/>
      <c r="AQ1076" s="192"/>
      <c r="AR1076" s="192"/>
      <c r="AS1076" s="192"/>
      <c r="AT1076" s="192"/>
      <c r="AU1076" s="192"/>
      <c r="AV1076" s="192"/>
      <c r="AW1076" s="192"/>
      <c r="AX1076" s="192"/>
    </row>
    <row r="1077" spans="2:50" ht="15" customHeight="1" x14ac:dyDescent="0.3">
      <c r="B1077" s="192"/>
      <c r="C1077" s="192"/>
      <c r="D1077" s="192"/>
      <c r="E1077" s="192"/>
      <c r="F1077" s="192"/>
      <c r="G1077" s="192"/>
      <c r="H1077" s="192"/>
      <c r="I1077" s="192"/>
      <c r="J1077" s="192"/>
      <c r="K1077" s="192"/>
      <c r="L1077" s="192"/>
      <c r="M1077" s="192"/>
      <c r="N1077" s="192"/>
      <c r="O1077" s="192"/>
      <c r="P1077" s="192"/>
      <c r="Q1077" s="192"/>
      <c r="R1077" s="192"/>
      <c r="S1077" s="192"/>
      <c r="T1077" s="192"/>
      <c r="U1077" s="192"/>
      <c r="V1077" s="192"/>
      <c r="W1077" s="192"/>
      <c r="X1077" s="192"/>
      <c r="Y1077" s="192"/>
      <c r="Z1077" s="269"/>
      <c r="AA1077" s="192"/>
      <c r="AB1077" s="192"/>
      <c r="AC1077" s="192"/>
      <c r="AD1077" s="192"/>
      <c r="AE1077" s="192"/>
      <c r="AF1077" s="203"/>
      <c r="AG1077" s="203"/>
      <c r="AH1077" s="203"/>
      <c r="AI1077" s="203"/>
      <c r="AJ1077" s="203"/>
      <c r="AK1077" s="203"/>
      <c r="AL1077" s="203"/>
      <c r="AM1077" s="203"/>
      <c r="AN1077" s="192"/>
      <c r="AO1077" s="192"/>
      <c r="AP1077" s="192"/>
      <c r="AQ1077" s="192"/>
      <c r="AR1077" s="192"/>
      <c r="AS1077" s="192"/>
      <c r="AT1077" s="192"/>
      <c r="AU1077" s="192"/>
      <c r="AV1077" s="192"/>
      <c r="AW1077" s="192"/>
      <c r="AX1077" s="192"/>
    </row>
    <row r="1078" spans="2:50" ht="15" customHeight="1" x14ac:dyDescent="0.3">
      <c r="B1078" s="192"/>
      <c r="C1078" s="192"/>
      <c r="D1078" s="192"/>
      <c r="E1078" s="192"/>
      <c r="F1078" s="192"/>
      <c r="G1078" s="192"/>
      <c r="H1078" s="192"/>
      <c r="I1078" s="192"/>
      <c r="J1078" s="192"/>
      <c r="K1078" s="192"/>
      <c r="L1078" s="192"/>
      <c r="M1078" s="192"/>
      <c r="N1078" s="192"/>
      <c r="O1078" s="192"/>
      <c r="P1078" s="192"/>
      <c r="Q1078" s="192"/>
      <c r="R1078" s="192"/>
      <c r="S1078" s="192"/>
      <c r="T1078" s="192"/>
      <c r="U1078" s="192"/>
      <c r="V1078" s="192"/>
      <c r="W1078" s="192"/>
      <c r="X1078" s="192"/>
      <c r="Y1078" s="192"/>
      <c r="Z1078" s="192"/>
      <c r="AA1078" s="192"/>
      <c r="AB1078" s="192"/>
      <c r="AC1078" s="192"/>
      <c r="AD1078" s="192"/>
      <c r="AE1078" s="192"/>
      <c r="AF1078" s="203"/>
      <c r="AG1078" s="203"/>
      <c r="AH1078" s="203"/>
      <c r="AI1078" s="203"/>
      <c r="AJ1078" s="203"/>
      <c r="AK1078" s="203"/>
      <c r="AL1078" s="203"/>
      <c r="AM1078" s="203"/>
      <c r="AN1078" s="192"/>
      <c r="AO1078" s="192"/>
      <c r="AP1078" s="192"/>
      <c r="AQ1078" s="192"/>
      <c r="AR1078" s="192"/>
      <c r="AS1078" s="192"/>
      <c r="AT1078" s="192"/>
      <c r="AU1078" s="192"/>
      <c r="AV1078" s="192"/>
      <c r="AW1078" s="192"/>
      <c r="AX1078" s="192"/>
    </row>
    <row r="1079" spans="2:50" ht="15" customHeight="1" x14ac:dyDescent="0.3">
      <c r="B1079" s="192"/>
      <c r="C1079" s="192"/>
      <c r="D1079" s="192"/>
      <c r="E1079" s="192"/>
      <c r="F1079" s="192"/>
      <c r="G1079" s="192"/>
      <c r="H1079" s="192"/>
      <c r="I1079" s="192"/>
      <c r="J1079" s="192"/>
      <c r="K1079" s="192"/>
      <c r="L1079" s="192"/>
      <c r="M1079" s="192"/>
      <c r="N1079" s="192"/>
      <c r="O1079" s="192"/>
      <c r="P1079" s="192"/>
      <c r="Q1079" s="192"/>
      <c r="R1079" s="192"/>
      <c r="S1079" s="192"/>
      <c r="T1079" s="192"/>
      <c r="U1079" s="192"/>
      <c r="V1079" s="192"/>
      <c r="W1079" s="192"/>
      <c r="X1079" s="192"/>
      <c r="Y1079" s="192"/>
      <c r="Z1079" s="192"/>
      <c r="AA1079" s="192"/>
      <c r="AB1079" s="192"/>
      <c r="AC1079" s="192"/>
      <c r="AD1079" s="192"/>
      <c r="AE1079" s="192"/>
      <c r="AF1079" s="203"/>
      <c r="AG1079" s="203"/>
      <c r="AH1079" s="203"/>
      <c r="AI1079" s="203"/>
      <c r="AJ1079" s="203"/>
      <c r="AK1079" s="203"/>
      <c r="AL1079" s="203"/>
      <c r="AM1079" s="203"/>
      <c r="AN1079" s="192"/>
      <c r="AO1079" s="192"/>
      <c r="AP1079" s="192"/>
      <c r="AQ1079" s="192"/>
      <c r="AR1079" s="192"/>
      <c r="AS1079" s="192"/>
      <c r="AT1079" s="192"/>
      <c r="AU1079" s="192"/>
      <c r="AV1079" s="192"/>
      <c r="AW1079" s="192"/>
      <c r="AX1079" s="192"/>
    </row>
    <row r="1080" spans="2:50" ht="15" customHeight="1" thickBot="1" x14ac:dyDescent="0.4">
      <c r="B1080" s="192"/>
      <c r="C1080" s="192"/>
      <c r="D1080" s="192"/>
      <c r="E1080" s="192"/>
      <c r="F1080" s="192"/>
      <c r="G1080" s="192"/>
      <c r="H1080" s="192"/>
      <c r="I1080" s="383" t="s">
        <v>152</v>
      </c>
      <c r="J1080" s="383"/>
      <c r="K1080" s="383"/>
      <c r="L1080" s="383"/>
      <c r="M1080" s="383"/>
      <c r="N1080" s="383"/>
      <c r="O1080" s="383"/>
      <c r="P1080" s="383"/>
      <c r="Q1080" s="383"/>
      <c r="R1080" s="383"/>
      <c r="S1080" s="192"/>
      <c r="T1080" s="192"/>
      <c r="U1080" s="370" t="s">
        <v>92</v>
      </c>
      <c r="V1080" s="371"/>
      <c r="W1080" s="371"/>
      <c r="X1080" s="372"/>
      <c r="Y1080" s="192"/>
      <c r="Z1080" s="192"/>
      <c r="AA1080" s="192"/>
      <c r="AB1080" s="192"/>
      <c r="AC1080" s="192"/>
      <c r="AD1080" s="192"/>
      <c r="AE1080" s="192"/>
      <c r="AF1080" s="203"/>
      <c r="AG1080" s="203"/>
      <c r="AH1080" s="203"/>
      <c r="AI1080" s="203"/>
      <c r="AJ1080" s="203"/>
      <c r="AK1080" s="203"/>
      <c r="AL1080" s="203"/>
      <c r="AM1080" s="203"/>
      <c r="AN1080" s="192"/>
      <c r="AO1080" s="192"/>
      <c r="AP1080" s="192"/>
      <c r="AQ1080" s="192"/>
      <c r="AR1080" s="192"/>
      <c r="AS1080" s="192"/>
      <c r="AT1080" s="192"/>
      <c r="AU1080" s="192"/>
      <c r="AV1080" s="192"/>
      <c r="AW1080" s="192"/>
      <c r="AX1080" s="192"/>
    </row>
    <row r="1081" spans="2:50" ht="15" customHeight="1" thickTop="1" thickBot="1" x14ac:dyDescent="0.35">
      <c r="B1081" s="192"/>
      <c r="C1081" s="192"/>
      <c r="D1081" s="192"/>
      <c r="E1081" s="192"/>
      <c r="F1081" s="192"/>
      <c r="G1081" s="192"/>
      <c r="H1081" s="192"/>
      <c r="I1081" s="400" t="s">
        <v>93</v>
      </c>
      <c r="J1081" s="160"/>
      <c r="K1081" s="396" t="s">
        <v>94</v>
      </c>
      <c r="L1081" s="398" t="s">
        <v>95</v>
      </c>
      <c r="M1081" s="390" t="s">
        <v>96</v>
      </c>
      <c r="N1081" s="390" t="s">
        <v>97</v>
      </c>
      <c r="O1081" s="373" t="s">
        <v>98</v>
      </c>
      <c r="P1081" s="373" t="str">
        <f>IF(COUNT(U1082:X1093)=3,"LM/WM Ratio",IF(COUNT(U1082:X1093)=6,"LP/WP Ratio",""))</f>
        <v/>
      </c>
      <c r="Q1081" s="390" t="s">
        <v>99</v>
      </c>
      <c r="R1081" s="392" t="s">
        <v>100</v>
      </c>
      <c r="S1081" s="192"/>
      <c r="T1081" s="120"/>
      <c r="U1081" s="121" t="s">
        <v>101</v>
      </c>
      <c r="V1081" s="122" t="s">
        <v>102</v>
      </c>
      <c r="W1081" s="122" t="s">
        <v>103</v>
      </c>
      <c r="X1081" s="123" t="s">
        <v>104</v>
      </c>
      <c r="Y1081" s="380" t="s">
        <v>105</v>
      </c>
      <c r="Z1081" s="379"/>
      <c r="AA1081" s="378" t="s">
        <v>106</v>
      </c>
      <c r="AB1081" s="379"/>
      <c r="AC1081" s="192"/>
      <c r="AD1081" s="192"/>
      <c r="AE1081" s="203"/>
      <c r="AF1081" s="203"/>
      <c r="AG1081" s="203"/>
      <c r="AH1081" s="203"/>
      <c r="AI1081" s="203"/>
      <c r="AJ1081" s="203"/>
      <c r="AK1081" s="203"/>
      <c r="AL1081" s="203"/>
      <c r="AM1081" s="203"/>
      <c r="AN1081" s="192"/>
      <c r="AO1081" s="192"/>
      <c r="AP1081" s="192"/>
      <c r="AQ1081" s="192"/>
      <c r="AR1081" s="192"/>
      <c r="AS1081" s="192"/>
      <c r="AT1081" s="192"/>
      <c r="AU1081" s="192"/>
      <c r="AV1081" s="192"/>
      <c r="AW1081" s="192"/>
      <c r="AX1081" s="192"/>
    </row>
    <row r="1082" spans="2:50" ht="15" customHeight="1" thickTop="1" thickBot="1" x14ac:dyDescent="0.35">
      <c r="B1082" s="192"/>
      <c r="C1082" s="192"/>
      <c r="D1082" s="192"/>
      <c r="E1082" s="192"/>
      <c r="F1082" s="192"/>
      <c r="G1082" s="192"/>
      <c r="H1082" s="192"/>
      <c r="I1082" s="401"/>
      <c r="J1082" s="161"/>
      <c r="K1082" s="397"/>
      <c r="L1082" s="399"/>
      <c r="M1082" s="391"/>
      <c r="N1082" s="391"/>
      <c r="O1082" s="374"/>
      <c r="P1082" s="374"/>
      <c r="Q1082" s="391"/>
      <c r="R1082" s="393"/>
      <c r="S1082" s="192"/>
      <c r="T1082" s="208">
        <v>1</v>
      </c>
      <c r="U1082" s="209" t="str">
        <f>IF(M1083="","",IF(COUNTIF(M1083:M1085,M1083)=3,IF(COUNTBLANK(I1083:I1086)=1,(Q1095+Q1101)/(Q1094+Q1100),IF(COUNTBLANK(I1083:I1086)=0,(Q1107+Q1095)/(Q1106+Q1094),"")),""))</f>
        <v/>
      </c>
      <c r="V1082" s="125" t="str">
        <f>IF(AND(COUNTBLANK(I1083:I1086)=0,M1083=M1085,M1085=M1086),(Q1095+Q1101)/(Q1094+Q1100),"")</f>
        <v/>
      </c>
      <c r="W1082" s="210" t="str">
        <f>IF(AND(COUNTBLANK(I1083:I1086)=0,M1083=M1084,M1084=M1086),(Q1107+Q1101)/(Q1106+Q1100),"")</f>
        <v/>
      </c>
      <c r="X1082" s="211"/>
      <c r="Y1082" s="169" t="s">
        <v>93</v>
      </c>
      <c r="Z1082" s="170" t="s">
        <v>107</v>
      </c>
      <c r="AA1082" s="169" t="s">
        <v>93</v>
      </c>
      <c r="AB1082" s="170" t="s">
        <v>107</v>
      </c>
      <c r="AC1082" s="192"/>
      <c r="AD1082" s="192"/>
      <c r="AE1082" s="192"/>
      <c r="AF1082" s="203"/>
      <c r="AG1082" s="203"/>
      <c r="AH1082" s="203"/>
      <c r="AI1082" s="203"/>
      <c r="AJ1082" s="203"/>
      <c r="AK1082" s="203"/>
      <c r="AL1082" s="203"/>
      <c r="AM1082" s="203"/>
      <c r="AN1082" s="192"/>
      <c r="AO1082" s="192"/>
      <c r="AP1082" s="192"/>
      <c r="AQ1082" s="192"/>
      <c r="AR1082" s="192"/>
      <c r="AS1082" s="192"/>
      <c r="AT1082" s="192"/>
      <c r="AU1082" s="192"/>
      <c r="AV1082" s="192"/>
      <c r="AW1082" s="192"/>
      <c r="AX1082" s="192"/>
    </row>
    <row r="1083" spans="2:50" ht="15" customHeight="1" thickTop="1" thickBot="1" x14ac:dyDescent="0.35">
      <c r="B1083" s="192"/>
      <c r="C1083" s="192"/>
      <c r="D1083" s="192"/>
      <c r="E1083" s="192"/>
      <c r="F1083" s="192" t="str">
        <f>IF(I1083="","",VLOOKUP(I1083,Siembra,2,FALSE))</f>
        <v/>
      </c>
      <c r="G1083" s="192" t="str">
        <f>O1083</f>
        <v/>
      </c>
      <c r="H1083" s="192">
        <v>1</v>
      </c>
      <c r="I1083" s="128" t="str">
        <f>IF(K1083="","",IF(ISNUMBER(Sorteo!$A$17),VLOOKUP(K1083,Draw,2,FALSE),""))</f>
        <v/>
      </c>
      <c r="J1083" s="129" t="str">
        <f>O1083</f>
        <v/>
      </c>
      <c r="K1083" s="130" t="str">
        <f>IF($K$9="","",IF(Group_players=4,IF(Tablas!CK$3="","",Tablas!CK$3),IF(Group_players=3,IF(Tablas!CK$11="","",Tablas!CK$11),"")))</f>
        <v/>
      </c>
      <c r="L1083" s="131" t="str">
        <f>IF(K1083="","",VLOOKUP(I1083,Siembra,3,FALSE))</f>
        <v/>
      </c>
      <c r="M1083" s="132" t="str">
        <f>IF(AND(Q1094="",Q1095=""),"",IF(I1083="","",SUMIFS(E1094:E1110,I1094:I1110,I1083)))</f>
        <v/>
      </c>
      <c r="N1083" s="132" t="str">
        <f>IF(M1083="","",IF(I1083="","",SUMIFS(F1094:F1110,I1094:I1110,I1083)))</f>
        <v/>
      </c>
      <c r="O1083" s="132" t="str">
        <f>IF(M1083="","",IF(COUNTBLANK(I1083:I1086)=1,IF(M1083=2,1,IF(M1083=0,3,IF(AND(M1083=1,M1084&lt;&gt;1),2,IF(COUNTIF(M1083:M1085,1)&gt;1,Z1083)))),IF(COUNTBLANK(I1083:I1086)=0,IF(COUNTIF(M1083:M1086,M1083)=1,IF(M1083=3,1,IF(M1083=2,2,IF(M1083=1,3,IF(M1083=0,4)))),IF(Group_players=3,Z1083,IF(COUNTIF(M1083:M1086,M1083)=2,AB1083,IF(AND(M1083=M1084,M1084=M1085),AB1087,IF(AND(M1083=M1085,M1085=M1086),AB1090,IF(AND(M1083=M1084,M1084=M1086),AB1093,"")))))),99)))</f>
        <v/>
      </c>
      <c r="P1083" s="133" t="str">
        <f>IF(COUNT(U1082:X1093)=3,IF(ISNUMBER(U1082),U1082,IF(ISNUMBER(V1082),V1082,IF(ISNUMBER(W1082),W1082,IF(X1082="","")))),IF(COUNT(U1082:X1093)=6,IF(ISNUMBER(U1090),U1090,IF(ISNUMBER(V1090),V1090,IF(ISNUMBER(W1090),W1090,IF(ISBLANK(X1082),"")))),""))</f>
        <v/>
      </c>
      <c r="Q1083" s="132" t="str">
        <f>IF(M1083="","",SUMIF(I1094:S1110,I1083,S1094:S1110))</f>
        <v/>
      </c>
      <c r="R1083" s="134" t="str">
        <f>IF(M1083="","",L1083+Q1083)</f>
        <v/>
      </c>
      <c r="S1083" s="203"/>
      <c r="T1083" s="208">
        <v>2</v>
      </c>
      <c r="U1083" s="209" t="str">
        <f>IF(M1084="","",IF(COUNTIF(M1083:M1085,M1084)=3,IF(COUNTBLANK(I1083:I1086)=1,(Q1098+Q1100)/(Q1097+Q1101),IF(COUNTBLANK(I1083:I1086)=0,(Q1104+Q1106)/(Q1103+Q1107),"")),""))</f>
        <v/>
      </c>
      <c r="V1083" s="135"/>
      <c r="W1083" s="212" t="str">
        <f>IF(AND(COUNTBLANK(I1083:I1086)=0,M1084=M1083,M1083=M1086),(Q1106+Q1098)/(Q1107+Q1097),"")</f>
        <v/>
      </c>
      <c r="X1083" s="213" t="str">
        <f>IF(AND(COUNTBLANK(I1083:I1086)=0,M1084=M1085,M1085=M1086),(Q1104+Q1098)/(Q1103+Q1097),"")</f>
        <v/>
      </c>
      <c r="Y1083" s="214">
        <v>1</v>
      </c>
      <c r="Z1083" s="215" t="str">
        <f>IF(U1082="","",IF(OR(Group_players=3,AND(Group_players=4,COUNTBLANK(I1083:I1086)=1)),IF(COUNTIF(M1083:M1085,M1083)=1,"",IF(AND(U1082=U1083,U1083=U1084),Z1087,IF(AND(U1082&lt;&gt;U1083,U1082&lt;&gt;U1084,U1083&lt;&gt;U1084),(IF(SMALL(U1082:U1084,1)=U1082,1,IF(SMALL(U1082:U1084,2)=U1082,2,IF(SMALL(U1082:U1084,3)=U1082,3)))),IF(AND(U1082&lt;U1083,U1083=U1084),1,IF(AND(U1082&gt;U1083,U1083=U1084),3,IF(AND(U1082=U1083,U1082&lt;U1084),(IF(Q1100=3,1,2)),IF(AND(U1082=U1083,U1082&gt;U1084),(IF(Q1100=3,2,3)),IF(AND(U1082=U1084,U1082&lt;U1083),(IF(Q1094=3,1,2)),IF(AND(U1082=U1084,U1082&gt;U1083),(IF(Q1094=3,2,3)),99))))))))),""))</f>
        <v/>
      </c>
      <c r="AA1083" s="216">
        <v>1</v>
      </c>
      <c r="AB1083" s="217" t="str">
        <f>IF(COUNTIF(M1083:M1086,M1083)&lt;&gt;2,"",IF(COUNTIF(M1083:M1086,M1083)=1,"",IF(AND(COUNTIF(M1083:M1086,M1083)=2,M1083=2),IF(M1083=M1084,IF(Q1106=3,1,2),IF(M1083=M1085,IF(Q1094=3,1,2),IF(M1083=M1086,IF(Q1100=3,1,2)))),IF(AND(COUNTIF(M1083:M1086,M1083)=2,M1083=1),IF(M1083=M1084,IF(Q1106=3,3,4),IF(M1083=M1085,IF(Q1094=3,3,4),IF(M1083=M1086,IF(Q1100=3,3,4)))),IF(COUNTIF(M1083:M1086,M1083)=3,AB1087)))))</f>
        <v/>
      </c>
      <c r="AC1083" s="192"/>
      <c r="AD1083" s="192"/>
      <c r="AE1083" s="192"/>
      <c r="AF1083" s="203"/>
      <c r="AG1083" s="203"/>
      <c r="AH1083" s="203"/>
      <c r="AI1083" s="203"/>
      <c r="AJ1083" s="203"/>
      <c r="AK1083" s="203"/>
      <c r="AL1083" s="203"/>
      <c r="AM1083" s="203"/>
      <c r="AN1083" s="192"/>
      <c r="AO1083" s="192"/>
      <c r="AP1083" s="192"/>
      <c r="AQ1083" s="192"/>
      <c r="AR1083" s="192"/>
      <c r="AS1083" s="192"/>
      <c r="AT1083" s="192"/>
      <c r="AU1083" s="192"/>
      <c r="AV1083" s="192"/>
      <c r="AW1083" s="192"/>
      <c r="AX1083" s="192"/>
    </row>
    <row r="1084" spans="2:50" ht="15" customHeight="1" thickTop="1" thickBot="1" x14ac:dyDescent="0.35">
      <c r="B1084" s="192"/>
      <c r="C1084" s="192"/>
      <c r="D1084" s="192"/>
      <c r="E1084" s="192"/>
      <c r="F1084" s="192" t="str">
        <f>IF(I1084="","",VLOOKUP(I1084,Siembra,2,FALSE))</f>
        <v/>
      </c>
      <c r="G1084" s="192" t="str">
        <f>O1084</f>
        <v/>
      </c>
      <c r="H1084" s="192">
        <v>2</v>
      </c>
      <c r="I1084" s="128" t="str">
        <f>IF(K1084="","",IF(ISNUMBER(Sorteo!$A$17),VLOOKUP(K1084,Draw,2,FALSE),""))</f>
        <v/>
      </c>
      <c r="J1084" s="129" t="str">
        <f>O1084</f>
        <v/>
      </c>
      <c r="K1084" s="136" t="str">
        <f>IF($K$9="","",IF(Group_players=4,IF(Tablas!CK$4="","",Tablas!CK$4),IF(Group_players=3,IF(Tablas!CK$12="","",Tablas!CK$12),"")))</f>
        <v/>
      </c>
      <c r="L1084" s="137" t="str">
        <f>IF(K1084="","",VLOOKUP(I1084,Siembra,3,FALSE))</f>
        <v/>
      </c>
      <c r="M1084" s="132" t="str">
        <f>IF(AND(L1094="",L1095=""),"",IF(I1084="","",SUMIFS(E1094:E1111,I1094:I1111,I1084)))</f>
        <v/>
      </c>
      <c r="N1084" s="138" t="str">
        <f>IF(M1084="","",IF(I1084="","",SUMIFS(F1094:F1110,I1094:I1110,I1084)))</f>
        <v/>
      </c>
      <c r="O1084" s="132" t="str">
        <f>IF(M1084="","",IF(COUNTBLANK(I1083:I1086)=1,IF(M1084=2,1,IF(M1084=0,3,IF(AND(M1084=1,M1085&lt;&gt;1),2,IF(COUNTIF(M1083:M1086,1)&gt;1,Z1084)))),IF(COUNTBLANK(I1083:I1086)=0,IF(COUNTIF(M1083:M1086,M1084)=1,IF(M1084=3,1,IF(M1084=2,2,IF(M1084=1,3,IF(M1084=0,4)))),IF(Group_players=3,Z1084,IF(COUNTIF(M1083:M1086,M1084)=2,AB1084,IF(AND(M1084=M1083,M1083=M1085),AB1088,IF(AND(M1084=M1083,M1083=M1086),AB1094,IF(AND(M1084=M1085,M1085=M1086),AB1096,"")))))))))</f>
        <v/>
      </c>
      <c r="P1084" s="133" t="str">
        <f>IF(COUNT(U1082:X1093)=3,IF(ISNUMBER(U1083),U1083,IF(ISNUMBER(W1083),W1083,IF(ISNUMBER(X1083),X1083,IF(X1083="","")))),IF(COUNT(U1082:X1093)=6,IF(ISNUMBER(U1091),U1091,IF(ISNUMBER(W1091),W1091,IF(ISNUMBER(X1091),X1091,IF(ISBLANK(X1090),"")))),""))</f>
        <v/>
      </c>
      <c r="Q1084" s="138" t="str">
        <f>IF(M1084="","",SUMIF(I1094:S1110,I1084,S1094:$S1110))</f>
        <v/>
      </c>
      <c r="R1084" s="139" t="str">
        <f>IF(M1084="","",L1084+Q1084)</f>
        <v/>
      </c>
      <c r="S1084" s="203"/>
      <c r="T1084" s="208">
        <v>3</v>
      </c>
      <c r="U1084" s="209" t="str">
        <f>IF(M1085="","",IF(COUNTIF(M1083:M1085,M1085)=3,IF(COUNTBLANK(I1083:I1086)=1,(Q1094+Q1097)/(Q1095+Q1098),IF(COUNTBLANK(I1083:I1086)=0,(Q1094+Q1103)/(Q1095+Q1104),"")),""))</f>
        <v/>
      </c>
      <c r="V1084" s="125" t="str">
        <f>IF(AND(COUNTBLANK(I1083:I1086)=0,M1085=M1086,M1086=M1083),(Q1094+Q1110)/(Q1095+Q1109),"")</f>
        <v/>
      </c>
      <c r="W1084" s="218"/>
      <c r="X1084" s="213" t="str">
        <f>IF(AND(COUNTBLANK(I1083:I1086)=0,M1085=M1086,M1086=M1084),(Q1103+Q1110)/(Q1104+Q1109),"")</f>
        <v/>
      </c>
      <c r="Y1084" s="219">
        <v>2</v>
      </c>
      <c r="Z1084" s="220" t="str">
        <f>IF(U1083="","",IF(OR(Group_players=3,AND(Group_players=4,COUNTBLANK(I1083:I1086)=1)),IF(COUNTIF(M1083:M1085,M1084)=1,"",IF(AND(U1083=U1082,U1083=U1084),Z1088,IF(AND(U1083&lt;&gt;U1082,U1083&lt;&gt;U1084,U1082&lt;&gt;U1084),(IF(SMALL(U1082:U1084,1)=U1083,1,IF(SMALL(U1082:U1084,2)=U1083,2,IF(SMALL(U1082:U1084,3)=U1083,3)))),IF(AND(U1083&lt;U1082,U1082=U1084),1,IF(AND(U1083&gt;U1082,U1082=U1084),3,IF(AND(U1083=U1082,U1083&lt;U1084),(IF(Q1101=3,1,2)),IF(AND(U1083=U1082,U1083&gt;U1084),(IF(Q1101=3,2,3)),IF(AND(U1083=U1084,U1083&lt;U1082),(IF(Q1097=3,1,2)),IF(AND(U1083=U1084,U1083&gt;U1082),(IF(Q1097=3,2,3)),99))))))))),""))</f>
        <v/>
      </c>
      <c r="AA1084" s="221">
        <v>2</v>
      </c>
      <c r="AB1084" s="222" t="str">
        <f>IF(COUNTIF(M1083:M1086,M1084)&lt;&gt;2,"",IF(COUNTIF(M1083:M1086,M1084)=1,"",IF(AND(COUNTIF(M1083:M1086,M1084)=2,M1084=2),IF(M1084=M1083,IF(Q1107=3,1,2),IF(M1084=M1085,IF(Q1103=3,1,2),IF(M1084=M1086,IF(Q1097=3,1,2)))),IF(AND(COUNTIF(M1083:M1086,M1084)=2,M1084=1),IF(M1084=M1083,IF(Q1107=3,3,4),IF(M1084=M1085,IF(Q1103=3,3,4),IF(M1084=M1086,IF(Q1097=3,3,4)))),AB1089))))</f>
        <v/>
      </c>
      <c r="AC1084" s="192"/>
      <c r="AD1084" s="192"/>
      <c r="AE1084" s="192"/>
      <c r="AF1084" s="203"/>
      <c r="AG1084" s="203"/>
      <c r="AH1084" s="203"/>
      <c r="AI1084" s="203"/>
      <c r="AJ1084" s="203"/>
      <c r="AK1084" s="203"/>
      <c r="AL1084" s="203"/>
      <c r="AM1084" s="203"/>
      <c r="AN1084" s="192"/>
      <c r="AO1084" s="192"/>
      <c r="AP1084" s="192"/>
      <c r="AQ1084" s="192"/>
      <c r="AR1084" s="192"/>
      <c r="AS1084" s="192"/>
      <c r="AT1084" s="192"/>
      <c r="AU1084" s="192"/>
      <c r="AV1084" s="192"/>
      <c r="AW1084" s="192"/>
      <c r="AX1084" s="192"/>
    </row>
    <row r="1085" spans="2:50" ht="15" customHeight="1" thickBot="1" x14ac:dyDescent="0.35">
      <c r="B1085" s="192"/>
      <c r="C1085" s="192"/>
      <c r="D1085" s="192"/>
      <c r="E1085" s="192"/>
      <c r="F1085" s="192" t="str">
        <f>IF(I1085="","",VLOOKUP(I1085,Siembra,2,FALSE))</f>
        <v/>
      </c>
      <c r="G1085" s="192" t="str">
        <f>O1085</f>
        <v/>
      </c>
      <c r="H1085" s="192">
        <v>3</v>
      </c>
      <c r="I1085" s="128" t="str">
        <f>IF(K1085="","",IF(ISNUMBER(Sorteo!$A$17),VLOOKUP(K1085,Draw,2,FALSE),""))</f>
        <v/>
      </c>
      <c r="J1085" s="129" t="str">
        <f>O1085</f>
        <v/>
      </c>
      <c r="K1085" s="136" t="str">
        <f>IF($K$9="","",IF(Group_players=4,IF(Tablas!CK$5="","",Tablas!CK$5),IF(Group_players=3,IF(Tablas!CK$13="","",Tablas!CK$13),"")))</f>
        <v/>
      </c>
      <c r="L1085" s="137" t="str">
        <f>IF(K1085="","",VLOOKUP(I1085,Siembra,3,FALSE))</f>
        <v/>
      </c>
      <c r="M1085" s="132" t="str">
        <f>IF(AND(L1095="",L1094=""),"",IF(I1085="","",SUMIFS(E1094:E1112,I1094:I1112,I1085)))</f>
        <v/>
      </c>
      <c r="N1085" s="138" t="str">
        <f>IF(M1085="","",IF(I1085="","",SUMIFS(F1094:F1110,I1094:I1110,I1085)))</f>
        <v/>
      </c>
      <c r="O1085" s="132" t="str">
        <f>IF(M1085="","",IF(COUNTBLANK(I1083:I1086)=1,IF(M1085=2,1,IF(M1085=0,3,IF(AND(M1085=1,M1085&lt;&gt;M1083),2,IF(COUNTIF(M1083:M1086,1)&gt;1,Z1085)))),IF(COUNTBLANK(I1083:I1086)=0,IF(COUNTIF(M1083:M1086,M1085)=1,IF(M1085=3,1,IF(M1085=2,2,IF(M1085=1,3,IF(M1085=0,4)))),IF(Group_players=3,Z1085,IF(COUNTIF(M1083:M1086,M1085)=2,AB1085,IF(AND(M1085=M1083,M1083=M1084),AB1089,IF(AND(M1085=M1083,M1083=M1086),AB1091,IF(AND(M1085=M1084,M1084=M1086),AB1097,"")))))))))</f>
        <v/>
      </c>
      <c r="P1085" s="133" t="str">
        <f>IF(COUNT(U1082:X1093)=3,IF(ISNUMBER(U1084),U1084,IF(ISNUMBER(V1084),V1084,IF(ISNUMBER(X1084),X1084,IF(W1084="","")))),IF(COUNT(U1082:X1093)=6,IF(ISNUMBER(U1092),U1092,IF(ISNUMBER(V1092),V1092,IF(ISNUMBER(X1092),X1092,""))),""))</f>
        <v/>
      </c>
      <c r="Q1085" s="138" t="str">
        <f>IF(M1085="","",SUMIF(I1094:S1110,I1085,S1094:S1110))</f>
        <v/>
      </c>
      <c r="R1085" s="139" t="str">
        <f>IF(M1085="","",L1085+Q1085)</f>
        <v/>
      </c>
      <c r="S1085" s="203"/>
      <c r="T1085" s="208">
        <v>4</v>
      </c>
      <c r="U1085" s="223"/>
      <c r="V1085" s="140" t="str">
        <f>IF(AND(COUNTBLANK(I1083:I1086)=0,M1086=M1083,M1083=M1085),(Q1100+Q1109)/(Q1101+Q1110),"")</f>
        <v/>
      </c>
      <c r="W1085" s="224" t="str">
        <f>IF(AND(COUNTBLANK(I1083:I1086)=0,M1086=M1083,M1083=M1084),(Q1100+Q1097)/(Q1101+Q1098),"")</f>
        <v/>
      </c>
      <c r="X1085" s="225" t="str">
        <f>IF(AND(COUNTBLANK(I1083:I1086)=0,M1086=M1084,M1084=M1085),(Q1097+Q1109)/(Q1098+Q1110),"")</f>
        <v/>
      </c>
      <c r="Y1085" s="226">
        <v>3</v>
      </c>
      <c r="Z1085" s="227" t="str">
        <f>IF(U1084="","",IF(OR(Group_players=3,AND(Group_players=4,COUNTBLANK(I1083:I1086)=1)),IF(COUNTIF(M1083:M1085,M1085)=1,"",IF(AND(U1084=U1082,U1084=U1083),Z1089,IF(AND(U1084&lt;&gt;U1083,U1083&lt;&gt;U1082,U1084&lt;&gt;U1082),(IF(SMALL(U1082:U1084,1)=U1084,1,IF(SMALL(U1082:U1084,2)=U1084,2,IF(SMALL(U1082:U1084,3)=U1084,3)))),IF(AND(U1084&lt;U1083,U1083=U1082),1,IF(AND(U1084&gt;U1083,U1083=U1082),3,IF(AND(U1084=U1083,U1084&lt;U1082),(IF(Q1098=3,1,2)),IF(AND(U1084=U1083,U1084&gt;U1082),(IF(Q1098=3,2,3)),IF(AND(U1084=U1082,U1084&lt;U1083),(IF(Q1095=3,1,2)),IF(AND(U1084=U1082,U1084&gt;U1083),(IF(Q1095=3,2,3)),99))))))))),""))</f>
        <v/>
      </c>
      <c r="AA1085" s="221">
        <v>3</v>
      </c>
      <c r="AB1085" s="222" t="str">
        <f>IF(COUNTIF(M1083:M1086,M1085)&lt;&gt;2,"",IF(COUNTIF(M1083:M1086,M1085)=1,"",IF(AND(COUNTIF(M1083:M1086,M1085)=2,M1085=2),IF(M1085=M1083,IF(Q1095=3,1,2),IF(M1085=M1084,IF(Q1104=3,1,2),IF(M1085=M1086,IF(Q1109=3,1,2)))),IF(AND(COUNTIF(M1083:M1086,M1085)=2,M1085=1),IF(M1085=M1083,IF(Q1095=3,3,4),IF(M1085=M1084,IF(Q1104=3,3,4),IF(M1085=M1086,IF(Q1109=3,3,4)))),AB1089))))</f>
        <v/>
      </c>
      <c r="AC1085" s="192"/>
      <c r="AD1085" s="192"/>
      <c r="AE1085" s="192"/>
      <c r="AF1085" s="203"/>
      <c r="AG1085" s="203"/>
      <c r="AH1085" s="203"/>
      <c r="AI1085" s="203"/>
      <c r="AJ1085" s="203"/>
      <c r="AK1085" s="203"/>
      <c r="AL1085" s="203"/>
      <c r="AM1085" s="203"/>
      <c r="AN1085" s="192"/>
      <c r="AO1085" s="192"/>
      <c r="AP1085" s="192"/>
      <c r="AQ1085" s="192"/>
      <c r="AR1085" s="192"/>
      <c r="AS1085" s="192"/>
      <c r="AT1085" s="192"/>
      <c r="AU1085" s="192"/>
      <c r="AV1085" s="192"/>
      <c r="AW1085" s="192"/>
      <c r="AX1085" s="192"/>
    </row>
    <row r="1086" spans="2:50" ht="15" customHeight="1" thickTop="1" thickBot="1" x14ac:dyDescent="0.35">
      <c r="B1086" s="192"/>
      <c r="C1086" s="192"/>
      <c r="D1086" s="192"/>
      <c r="E1086" s="192"/>
      <c r="F1086" s="192" t="str">
        <f>IF(I1086="","",VLOOKUP(I1086,Siembra,2,FALSE))</f>
        <v/>
      </c>
      <c r="G1086" s="192" t="str">
        <f>O1086</f>
        <v/>
      </c>
      <c r="H1086" s="192">
        <v>4</v>
      </c>
      <c r="I1086" s="141" t="str">
        <f>IF(K1086="","",IF(ISNUMBER(Sorteo!$A$17),VLOOKUP(K1086,Draw,2,FALSE),""))</f>
        <v/>
      </c>
      <c r="J1086" s="142" t="str">
        <f>O1086</f>
        <v/>
      </c>
      <c r="K1086" s="143" t="str">
        <f>IF($K$9="","",IF(Group_players=4,IF(Tablas!CK6="","",Tablas!CK6),""))</f>
        <v/>
      </c>
      <c r="L1086" s="144" t="str">
        <f>IF(K1086="","",VLOOKUP(I1086,Siembra,3,FALSE))</f>
        <v/>
      </c>
      <c r="M1086" s="145" t="str">
        <f>IF(AND(Q1097="",Q1098=""),"",IF(I1086="","",SUMIFS(E1094:E1113,I1094:I1113,I1086)))</f>
        <v/>
      </c>
      <c r="N1086" s="145" t="str">
        <f>IF(M1086="","",IF(I1086="","",SUMIFS(F1094:F1110,I1094:I1110,I1086)))</f>
        <v/>
      </c>
      <c r="O1086" s="145" t="str">
        <f>IF(M1086="","",IF(COUNTIF(M1083:M1086,M1086)=1,IF(M1086=3,1,IF(M1086=2,2,IF(M1086=1,3,IF(M1086=0,4)))),IF(COUNTIF(M1083:M1086,M1086)=2,AB1086,IF(AND(M1086=M1083,M1083=M1085),AB1092,IF(AND(M1086=M1083,M1083=M1084),AB1095,IF(AND(M1086=M1084,M1084=M1085),AB1098,""))))))</f>
        <v/>
      </c>
      <c r="P1086" s="146" t="str">
        <f>IF(COUNT(U1082:X1093)=3,IF(ISNUMBER(V1085),V1085,IF(ISNUMBER(W1085),W1085,IF(ISNUMBER(X1085),X1085,IF(X1085="","")))),IF(COUNT(U1082:X1093)=6,IF(ISNUMBER(V1093),V1093,IF(ISNUMBER(W1093),W1093,IF(ISNUMBER(X1093),X1093,""))),""))</f>
        <v/>
      </c>
      <c r="Q1086" s="145" t="str">
        <f>IF(M1086="","",SUMIF(I1094:S1110,I1086,S1094:$S1110))</f>
        <v/>
      </c>
      <c r="R1086" s="147" t="str">
        <f>IF(M1086="","",L1086+Q1086)</f>
        <v/>
      </c>
      <c r="S1086" s="203"/>
      <c r="T1086" s="192"/>
      <c r="U1086" s="192"/>
      <c r="V1086" s="192"/>
      <c r="W1086" s="192"/>
      <c r="X1086" s="192"/>
      <c r="Y1086" s="230" t="s">
        <v>93</v>
      </c>
      <c r="Z1086" s="231" t="s">
        <v>110</v>
      </c>
      <c r="AA1086" s="232">
        <v>4</v>
      </c>
      <c r="AB1086" s="233" t="str">
        <f>IF(COUNTIF(M1083:M1086,M1086)&lt;&gt;2,"",IF(COUNTIF(M1083:M1086,M1086)=1,"",IF(AND(COUNTIF(M1083:M1086,M1086)=2,M1086=2),IF(M1086=M1083,IF(Q1101=3,1,2),IF(M1086=M1084,IF(Q1098=3,1,2),IF(M1086=M1085,IF(Q1110=3,1,2)))),IF(AND(COUNTIF(M1083:M1086,M1086)=2,M1086=1),IF(M1086=M1083,IF(Q1101=3,3,4),IF(M1086=M1084,IF(Q1098=3,3,4),IF(M1086=M1085,IF(Q1110=3,3,4)))),AB1092))))</f>
        <v/>
      </c>
      <c r="AC1086" s="192"/>
      <c r="AD1086" s="192"/>
      <c r="AE1086" s="192"/>
      <c r="AF1086" s="203"/>
      <c r="AG1086" s="203"/>
      <c r="AH1086" s="203"/>
      <c r="AI1086" s="203"/>
      <c r="AJ1086" s="203"/>
      <c r="AK1086" s="203"/>
      <c r="AL1086" s="203"/>
      <c r="AM1086" s="203"/>
      <c r="AN1086" s="192"/>
      <c r="AO1086" s="192"/>
      <c r="AP1086" s="192"/>
      <c r="AQ1086" s="192"/>
      <c r="AR1086" s="192"/>
      <c r="AS1086" s="192"/>
      <c r="AT1086" s="192"/>
      <c r="AU1086" s="192"/>
      <c r="AV1086" s="192"/>
      <c r="AW1086" s="192"/>
      <c r="AX1086" s="192"/>
    </row>
    <row r="1087" spans="2:50" ht="15" customHeight="1" thickTop="1" x14ac:dyDescent="0.3">
      <c r="B1087" s="192"/>
      <c r="C1087" s="192"/>
      <c r="D1087" s="192"/>
      <c r="E1087" s="192"/>
      <c r="F1087" s="192"/>
      <c r="G1087" s="192"/>
      <c r="H1087" s="192"/>
      <c r="I1087" s="192"/>
      <c r="J1087" s="192"/>
      <c r="K1087" s="192"/>
      <c r="L1087" s="192"/>
      <c r="M1087" s="192"/>
      <c r="N1087" s="192"/>
      <c r="O1087" s="192"/>
      <c r="P1087" s="192"/>
      <c r="Q1087" s="192"/>
      <c r="R1087" s="192"/>
      <c r="S1087" s="192"/>
      <c r="T1087" s="208"/>
      <c r="U1087" s="192"/>
      <c r="V1087" s="148"/>
      <c r="W1087" s="148"/>
      <c r="X1087" s="234"/>
      <c r="Y1087" s="214">
        <v>1</v>
      </c>
      <c r="Z1087" s="215" t="str">
        <f>IF(U1090="","",IF(OR(Group_players=3,AND(Group_players=4,COUNTBLANK(I1083:I1086)=1)),IF(COUNTIF(M1083:M1085,M1083)=1,"",IF(COUNTIF(U1082:U1084,U1082)=3,IF(AND(U1090=U1091,U1091=U1092),"Tied",IF(AND(U1090&lt;&gt;U1091,U1090&lt;&gt;U1092,U1091&lt;&gt;U1092),(IF(SMALL(U1090:U1092,1)=U1090,1,IF(SMALL(U1090:U1092,2)=U1090,2,IF(SMALL(U1090:U1092,3)=U1090,3)))),IF(AND(U1090&lt;U1091,U1091=U1092),1,IF(AND(U1090&gt;U1091,U1091=U1092),3,IF(AND(U1090=U1091,U1090&lt;U1092),(IF(Q1100=3,1,2)),IF(AND(U1090=U1091,U1090&gt;U1092),(IF(Q1100=3,2,3)),IF(AND(U1090=U1092,U1090&lt;U1091),(IF(Q1094=3,1,2)),IF(AND(U1090=U1092,U1090&gt;U1091),(IF(Q1094=3,2,3)),99)))))))),"")),""))</f>
        <v/>
      </c>
      <c r="AA1087" s="208">
        <v>1</v>
      </c>
      <c r="AB1087" s="222" t="str">
        <f>IF(AND(COUNTBLANK(I1083:I1086)=0,Group_players=4,M1083=M1084,M1084=M1085),IF(COUNTIF(U1082:U1085,U1082)=3,AB1100,IF(AND(COUNTIF(U1082:U1085,U1082)=1,U1083&lt;&gt;U1084),IF(M1083=2,IF(SMALL(U1082:U1085,1)=U1082,1,IF(SMALL(U1082:U1085,2)=U1082,2,IF(SMALL(U1082:U1085,3)=U1082,3))),IF(M1083=1,IF(SMALL(U1082:U1085,1)=U1082,2,IF(SMALL(U1082:U1085,2)=U1082,3,IF(SMALL(U1082:U1085,3)=U1082,4))),"")),IF(COUNTIF(U1082:U1085,U1082)=1,IF(U1082&lt;U1083,IF(M1083=2,1,2),IF(M1083=2,3,4)),IF(COUNTIF(U1082:U1085,U1082)=2,IF(U1082=U1083,IF(U1082&lt;U1084,IF(M1083=2,IF(Q1106=3,1,2),IF(M1083=1,IF(Q1106=3,2,3))),IF(U1082&gt;U1084,IF(M1083=2,IF(Q1106=3,2,3),IF(M1083=1,IF(Q1106=3,3,4))))),IF(U1082=U1084,IF(U1082&lt;U1083,IF(M1083=2,IF(Q1094=3,1,2),IF(M1083=1,IF(Q1094=3,2,3))),IF(U1082&gt;U1083,IF(M1083=2,IF(Q1094=3,2,3),IF(M1083=1,IF(Q1094=3,3,4))))))),"")))),"")</f>
        <v/>
      </c>
      <c r="AC1087" s="192"/>
      <c r="AD1087" s="192"/>
      <c r="AE1087" s="269"/>
      <c r="AF1087" s="203"/>
      <c r="AG1087" s="203"/>
      <c r="AH1087" s="203"/>
      <c r="AI1087" s="203"/>
      <c r="AJ1087" s="203"/>
      <c r="AK1087" s="203"/>
      <c r="AL1087" s="203"/>
      <c r="AM1087" s="203"/>
      <c r="AN1087" s="192"/>
      <c r="AO1087" s="192"/>
      <c r="AP1087" s="192"/>
      <c r="AQ1087" s="192"/>
      <c r="AR1087" s="192"/>
      <c r="AS1087" s="192"/>
      <c r="AT1087" s="192"/>
      <c r="AU1087" s="192"/>
      <c r="AV1087" s="192"/>
      <c r="AW1087" s="192"/>
      <c r="AX1087" s="192"/>
    </row>
    <row r="1088" spans="2:50" ht="15" customHeight="1" thickBot="1" x14ac:dyDescent="0.35">
      <c r="B1088" s="192"/>
      <c r="C1088" s="192"/>
      <c r="D1088" s="192"/>
      <c r="E1088" s="192"/>
      <c r="F1088" s="192"/>
      <c r="G1088" s="192"/>
      <c r="H1088" s="192"/>
      <c r="I1088" s="269"/>
      <c r="J1088" s="269"/>
      <c r="K1088" s="192"/>
      <c r="L1088" s="192"/>
      <c r="M1088" s="192"/>
      <c r="N1088" s="192"/>
      <c r="O1088" s="192"/>
      <c r="P1088" s="192"/>
      <c r="Q1088" s="192"/>
      <c r="R1088" s="192"/>
      <c r="S1088" s="192"/>
      <c r="T1088" s="208"/>
      <c r="U1088" s="368" t="s">
        <v>111</v>
      </c>
      <c r="V1088" s="369"/>
      <c r="W1088" s="369"/>
      <c r="X1088" s="369"/>
      <c r="Y1088" s="236">
        <v>2</v>
      </c>
      <c r="Z1088" s="220" t="str">
        <f>IF(U1083="","",IF(OR(Group_players=3,AND(Group_players=4,COUNTBLANK(I1083:I1086)=1)),IF(COUNTIF(M1083:M1085,M1084)=1,"",IF(COUNTIF(U1082:U1084,U1083)=3,IF(AND(U1091=U1090,U1091=U1092),"Tied",IF(AND(U1091&lt;&gt;U1090,U1091&lt;&gt;U1092,U1090&lt;&gt;U1092),(IF(SMALL(U1090:U1092,1)=U1091,1,IF(SMALL(U1090:U1092,2)=U1091,2,IF(SMALL(U1090:U1092,3)=U1091,3)))),IF(AND(U1091&lt;U1090,U1090=U1092),1,IF(AND(U1091&gt;U1090,U1090=U1092),3,IF(AND(U1091=U1090,U1091&lt;U1092),(IF(Q1101=3,1,2)),IF(AND(U1091=U1090,U1091&gt;U1092),(IF(Q1101=3,2,3)),IF(AND(U1091=U1092,U1091&lt;U1090),(IF(Q1097=3,1,2)),IF(AND(U1091=U1092,U1091&gt;U1090),(IF(Q1097=3,2,3)),99)))))))),"")),""))</f>
        <v/>
      </c>
      <c r="AA1088" s="208">
        <v>2</v>
      </c>
      <c r="AB1088" s="222" t="str">
        <f>IF(AND(COUNTBLANK(I1083:I1086)=0,Group_players=4,M1083=M1084,M1084=M1085),IF(COUNTIF(U1082:U1085,U1083)=3,AB1101,IF(AND(COUNTIF(U1082:U1085,U1083)=1,U1082&lt;&gt;U1084),IF(M1084=2,IF(SMALL(U1082:U1085,1)=U1083,1,IF(SMALL(U1082:U1085,2)=U1083,2,IF(SMALL(U1082:U1085,3)=U1083,3))),IF(M1084=1,IF(SMALL(U1082:U1085,1)=U1083,2,IF(SMALL(U1082:U1085,2)=U1083,3,IF(SMALL(U1082:U1085,3)=U1083,4))),"")),IF(COUNTIF(U1082:U1084,U1083)=1,IF(U1083&lt;U1082,IF(M1084=2,1,2),IF(M1084=2,3,99)),IF(COUNTIF(U1082:U1085,U1083)=2,IF(U1083=U1082,IF(U1083&lt;U1084,IF(M1084=2,IF(Q1107=3,1,2),IF(M1084=1,IF(Q1107=3,2,3))),IF(U1083&gt;U1084,IF(M1084=2,IF(Q1107=3,2,3),IF(M1084=1,IF(Q1107=3,3,4))))),IF(U1083=U1084,IF(U1083&lt;U1082,IF(M1084=2,IF(Q1103=3,1,2),IF(M1084=1,IF(Q1103=3,2,3))),IF(U1083&gt;U1082,IF(M1084=2,IF(Q1103=3,2,3),IF(M1084=1,IF(Q1103=3,3,4))))))),"")))),"")</f>
        <v/>
      </c>
      <c r="AC1088" s="192"/>
      <c r="AD1088" s="192"/>
      <c r="AE1088" s="192"/>
      <c r="AF1088" s="203"/>
      <c r="AG1088" s="203"/>
      <c r="AH1088" s="203"/>
      <c r="AI1088" s="203"/>
      <c r="AJ1088" s="203"/>
      <c r="AK1088" s="203"/>
      <c r="AL1088" s="203"/>
      <c r="AM1088" s="203"/>
      <c r="AN1088" s="192"/>
      <c r="AO1088" s="192"/>
      <c r="AP1088" s="192"/>
      <c r="AQ1088" s="192"/>
      <c r="AR1088" s="192"/>
      <c r="AS1088" s="192"/>
      <c r="AT1088" s="192"/>
      <c r="AU1088" s="192"/>
      <c r="AV1088" s="192"/>
      <c r="AW1088" s="192"/>
      <c r="AX1088" s="192"/>
    </row>
    <row r="1089" spans="2:50" ht="15" customHeight="1" thickTop="1" thickBot="1" x14ac:dyDescent="0.35">
      <c r="B1089" s="192"/>
      <c r="C1089" s="192"/>
      <c r="D1089" s="192"/>
      <c r="E1089" s="192"/>
      <c r="F1089" s="192"/>
      <c r="G1089" s="192"/>
      <c r="H1089" s="192"/>
      <c r="I1089" s="192"/>
      <c r="J1089" s="192"/>
      <c r="K1089" s="192"/>
      <c r="L1089" s="192"/>
      <c r="M1089" s="192"/>
      <c r="N1089" s="192"/>
      <c r="O1089" s="192"/>
      <c r="P1089" s="192"/>
      <c r="Q1089" s="192"/>
      <c r="R1089" s="192"/>
      <c r="S1089" s="192"/>
      <c r="T1089" s="120"/>
      <c r="U1089" s="121" t="s">
        <v>101</v>
      </c>
      <c r="V1089" s="122" t="s">
        <v>102</v>
      </c>
      <c r="W1089" s="122" t="s">
        <v>103</v>
      </c>
      <c r="X1089" s="123" t="s">
        <v>104</v>
      </c>
      <c r="Y1089" s="238">
        <v>3</v>
      </c>
      <c r="Z1089" s="239" t="str">
        <f>IF(U1084="","",IF(OR(Group_players=3,AND(Group_players=4,COUNTBLANK(I1083:I1086)=1)),IF(COUNTIF(M1083:M1085,M1085)=1,"",IF(COUNTIF(U1082:U1084,U1084)=3,IF(AND(U1092=U1090,U1092=U1091),"Tied",IF(AND(U1092&lt;&gt;U1091,U1091&lt;&gt;U1090,U1092&lt;&gt;U1090),(IF(SMALL(U1090:U1092,1)=U1092,1,IF(SMALL(U1090:U1092,2)=U1092,2,IF(SMALL(U1090:U1092,3)=U1092,3)))),IF(AND(U1092&lt;U1091,U1091=U1090),1,IF(AND(U1092&gt;U1091,U1091=U1090),3,IF(AND(U1092=U1091,U1092&lt;U1090),(IF(Q1098=3,1,2)),IF(AND(U1092=U1091,U1092&gt;U1090),(IF(Q1098=3,2,3)),IF(AND(U1092=U1090,U1092&lt;U1091),(IF(Q1095=3,1,2)),IF(AND(U1092=U1090,U1092&gt;U1091),(IF(Q1095=3,2,3)),99)))))))),"")),""))</f>
        <v/>
      </c>
      <c r="AA1089" s="240">
        <v>3</v>
      </c>
      <c r="AB1089" s="241" t="str">
        <f>IF(AND(COUNTBLANK(I1083:I1086)=0,Group_players=4,M1083=M1084,M1084=M1085),IF(COUNTIF(U1082:U1085,U1084)=3,AB1102,IF(AND(COUNTIF(U1082:U1085,U1084)=1,U1082&lt;&gt;U1083),IF(M1083=2,IF(SMALL(U1082:U1085,1)=U1084,1,IF(SMALL(U1082:U1085,2)=U1084,2,IF(SMALL(U1082:U1085,3)=U1084,3))),IF(M1085=1,IF(SMALL(U1082:U1085,1)=U1084,2,IF(SMALL(U1082:U1085,2)=U1084,3,IF(SMALL(U1082:U1085,3)=U1084,4))),"")),IF(COUNTIF(U1082:U1085,U1084)=1,IF(U1084&lt;U1083,IF(M1085=2,1,2),IF(M1085=2,3,4)),IF(COUNTIF(U1082:U1085,U1084)=2,IF(U1084=U1083,IF(U1084&lt;U1082,IF(M1085=2,IF(Q1104=3,1,2),IF(M1085=1,IF(Q1104=3,2,3))),IF(U1084&gt;U1082,IF(M1085=2,IF(Q1104=3,2,3),IF(M1085=1,IF(Q1104=3,3,4))))),IF(U1084=U1082,IF(U1084&lt;U1083,IF(M1085=2,IF(Q1095=3,1,2),IF(M1085=1,IF(Q1095=3,2,3))),IF(U1084&gt;U1083,IF(M1085=2,IF(Q1095=3,2,3),IF(M1085=1,IF(Q1095=3,3,4))))))),"")))),"")</f>
        <v/>
      </c>
      <c r="AC1089" s="192"/>
      <c r="AD1089" s="192"/>
      <c r="AE1089" s="192"/>
      <c r="AF1089" s="203"/>
      <c r="AG1089" s="203"/>
      <c r="AH1089" s="203"/>
      <c r="AI1089" s="203"/>
      <c r="AJ1089" s="203"/>
      <c r="AK1089" s="203"/>
      <c r="AL1089" s="203"/>
      <c r="AM1089" s="203"/>
      <c r="AN1089" s="192"/>
      <c r="AO1089" s="192"/>
      <c r="AP1089" s="192"/>
      <c r="AQ1089" s="192"/>
      <c r="AR1089" s="192"/>
      <c r="AS1089" s="192"/>
      <c r="AT1089" s="192"/>
      <c r="AU1089" s="192"/>
      <c r="AV1089" s="192"/>
      <c r="AW1089" s="192"/>
      <c r="AX1089" s="192"/>
    </row>
    <row r="1090" spans="2:50" ht="15" customHeight="1" thickTop="1" thickBot="1" x14ac:dyDescent="0.35">
      <c r="B1090" s="192"/>
      <c r="C1090" s="192"/>
      <c r="D1090" s="192"/>
      <c r="E1090" s="192"/>
      <c r="F1090" s="192"/>
      <c r="G1090" s="192"/>
      <c r="H1090" s="192"/>
      <c r="I1090" s="192"/>
      <c r="J1090" s="192"/>
      <c r="K1090" s="192"/>
      <c r="L1090" s="192"/>
      <c r="M1090" s="192"/>
      <c r="N1090" s="192"/>
      <c r="O1090" s="192"/>
      <c r="P1090" s="192"/>
      <c r="Q1090" s="192"/>
      <c r="R1090" s="192"/>
      <c r="S1090" s="192"/>
      <c r="T1090" s="208">
        <v>1</v>
      </c>
      <c r="U1090" s="209" t="str">
        <f>IF(U1082="","",IF(OR(U1082&lt;&gt;U1083,U1082&lt;&gt;U1084),"",IF(COUNTIF(M1083:M1085,M1083)=1,"",IF(COUNTBLANK(I1083:I1086)=1,(SUM(L1095:P1095)+SUM(L1101:P1101))/(SUM(L1094:P1094)+SUM(L1100:P1100)),IF(COUNTBLANK(I1083:I1086)=0,(SUM(L1107:P1107)+SUM(L1095:P1095))/(SUM(L1106:P1106)+SUM(L1094:P1094)),"")))))</f>
        <v/>
      </c>
      <c r="V1090" s="125" t="str">
        <f>IF(V1082="","",IF(OR(V1082&lt;&gt;V1084,V1082&lt;&gt;V1085),"",IF(AND(COUNTBLANK(I1083:I1086)=0,M1083=M1085,M1085=M1086),(SUM(L1095:P1095)+SUM(L1101:P1101))/(SUM(L1094:P1094)+SUM(L1100:P1100)),"")))</f>
        <v/>
      </c>
      <c r="W1090" s="210" t="str">
        <f>IF(W1082="","",IF(OR(W1082&lt;&gt;W1083,W1082&lt;&gt;W1085),"",IF(AND(COUNTBLANK(I1083:I1086)=0,M1083=M1084,M1084=M1086),(SUM(L1107:P1107)+SUM(L1101:P1101))/(SUM(L1106:P1106)+SUM(L1100:P1100)),"")))</f>
        <v/>
      </c>
      <c r="X1090" s="211"/>
      <c r="Y1090" s="242"/>
      <c r="Z1090" s="242"/>
      <c r="AA1090" s="243">
        <v>1</v>
      </c>
      <c r="AB1090" s="244" t="str">
        <f>IF(AND(COUNTBLANK(I1083:I1086)=0,Group_players=4,M1083=M1085,M1085=M1086),IF(COUNTIF(V1082:V1085,V1082)=3,AB1103,IF(AND(COUNTIF(V1082:V1085,V1082)=1,V1084&lt;&gt;U1093),IF(M1083=2,IF(SMALL(V1082:V1085,1)=V1082,1,IF(SMALL(V1082:V1085,2)=V1082,2,IF(SMALL(V1082:V1085,3)=V1082,3))),IF(M1083=1,IF(SMALL(V1082:V1085,1)=V1082,2,IF(SMALL(V1082:V1085,2)=V1082,3,IF(SMALL(V1082:V1085,3)=V1082,4))),"")),IF(COUNTIF(V1082:V1085,V1082)=1,IF(V1082&lt;V1084,IF(M1083=2,1,2),IF(M1083=2,3,4)),IF(COUNTIF(V1082:V1085,V1082)=2,IF(V1082=V1084,IF(V1082&lt;V1085,IF(M1083=2,IF(Q1094=3,1,2),IF(M1083=1,IF(Q1094=3,2,3))),IF(V1082&gt;V1085,IF(M1083=2,IF(Q1094=3,2,3),IF(M1083=1,IF(Q1094=3,3,4))))),IF(V1082=V1085,IF(V1082&lt;V1084,IF(M1083=2,IF(Q1100=3,1,2),IF(M1083=1,IF(Q1100=3,2,3))),IF(V1082&gt;V1083,IF(M1083=2,IF(Q1100=3,2,3),IF(M1083=1,IF(Q1100=3,3,4))))))),"")))),"")</f>
        <v/>
      </c>
      <c r="AC1090" s="192"/>
      <c r="AD1090" s="192"/>
      <c r="AE1090" s="192"/>
      <c r="AF1090" s="203"/>
      <c r="AG1090" s="203"/>
      <c r="AH1090" s="203"/>
      <c r="AI1090" s="203"/>
      <c r="AJ1090" s="203"/>
      <c r="AK1090" s="203"/>
      <c r="AL1090" s="203"/>
      <c r="AM1090" s="203"/>
      <c r="AN1090" s="192"/>
      <c r="AO1090" s="192"/>
      <c r="AP1090" s="192"/>
      <c r="AQ1090" s="192"/>
      <c r="AR1090" s="192"/>
      <c r="AS1090" s="192"/>
      <c r="AT1090" s="192"/>
      <c r="AU1090" s="192"/>
      <c r="AV1090" s="192"/>
      <c r="AW1090" s="192"/>
      <c r="AX1090" s="192"/>
    </row>
    <row r="1091" spans="2:50" ht="15" customHeight="1" thickTop="1" thickBot="1" x14ac:dyDescent="0.35">
      <c r="B1091" s="192"/>
      <c r="C1091" s="192"/>
      <c r="D1091" s="192"/>
      <c r="E1091" s="117"/>
      <c r="F1091" s="117"/>
      <c r="G1091" s="117"/>
      <c r="H1091" s="192"/>
      <c r="I1091" s="192"/>
      <c r="J1091" s="192"/>
      <c r="K1091" s="192"/>
      <c r="L1091" s="192"/>
      <c r="M1091" s="192"/>
      <c r="N1091" s="192"/>
      <c r="O1091" s="192"/>
      <c r="P1091" s="192"/>
      <c r="Q1091" s="192"/>
      <c r="R1091" s="192"/>
      <c r="S1091" s="394" t="s">
        <v>112</v>
      </c>
      <c r="T1091" s="208">
        <v>2</v>
      </c>
      <c r="U1091" s="209" t="str">
        <f>IF(U1082="","",IF(OR(U1083&lt;&gt;U1082,U1083&lt;&gt;U1084),"",IF(COUNTIF(M1083:M1085,M1084)=1,"",IF(COUNTBLANK(I1083:I1086)=1,(SUM(L1098:P1098)+SUM(L1100:P1100))/(SUM(L1097:P1097)+SUM(L1101:P1101)),IF(COUNTBLANK(I1083:I1086)=0,(SUM(L1106:P1106)+SUM(L1104:P1104))/(SUM(L1107:P1107)+SUM(L1103:P1103)))))))</f>
        <v/>
      </c>
      <c r="V1091" s="135"/>
      <c r="W1091" s="212" t="str">
        <f>IF(W1082="","",IF(OR(W1083&lt;&gt;W1082,W1083&lt;&gt;W1085),"",IF(AND(COUNTBLANK(I1083:I1086)=0,M1083=M1084,M1084=M1086),(SUM(L1098:P1098)+SUM(L1106:P1106))/(SUM(L1107:P1107)+SUM(L1097:P1097)),"")))</f>
        <v/>
      </c>
      <c r="X1091" s="245" t="str">
        <f>IF(X1083="","",IF(OR(X1083&lt;&gt;X1084,X1083&lt;&gt;X1085),"",IF(AND(COUNTBLANK(I1083:I1086)=0,M1084=M1085,M1085=M1086),(SUM(L1104:P1104)+SUM(L1098:P1098))/(SUM(L1103:P1103)+SUM(L1097:P1097)),"")))</f>
        <v/>
      </c>
      <c r="Y1091" s="242"/>
      <c r="Z1091" s="203"/>
      <c r="AA1091" s="246">
        <v>3</v>
      </c>
      <c r="AB1091" s="222" t="str">
        <f>IF(AND(COUNTBLANK(I1083:I1086)=0,Group_players=4,M1083=M1085,M1085=M1086),IF(COUNTIF(V1082:V1085,V1084)=3,AB1104,IF(AND(COUNTIF(V1082:V1085,V1084)=1,V1082&lt;&gt;V1085),IF(M1085=2,IF(SMALL(V1082:V1085,1)=V1084,1,IF(SMALL(V1082:V1085,2)=V1084,2,IF(SMALL(V1082:V1085,3)=V1084,3))),IF(M1085=1,IF(SMALL(V1082:V1085,1)=V1084,2,IF(SMALL(V1082:V1085,2)=V1084,3,IF(SMALL(V1082:V1085,3)=V1084,4))),"")),IF(COUNTIF(V1082:V1085,V1084)=1,IF(V1084&lt;V1082,IF(M1085=2,1,2),IF(M1085=2,3,4)),IF(COUNTIF(V1082:V1085,V1084)=2,IF(V1084=V1082,IF(V1084&lt;V1085,IF(M1085=2,IF(Q1095=3,1,2),IF(M1085=1,IF(Q1095=3,2,3))),IF(V1084&gt;V1085,IF(M1085=2,IF(Q1095=3,2,3),IF(M1085=1,IF(Q1095=3,3,4))))),IF(V1084=V1085,IF(V1084&lt;V1082,IF(M1085=2,IF(Q1109=3,1,2),IF(M1085=1,IF(Q1109=3,2,3))),IF(V1084&gt;V1082,IF(M1085=2,IF(Q1109=3,2,3),IF(M1085=1,IF(Q1109=3,3,4))))))),"")))),"")</f>
        <v/>
      </c>
      <c r="AC1091" s="192"/>
      <c r="AD1091" s="192"/>
      <c r="AE1091" s="192"/>
      <c r="AF1091" s="203"/>
      <c r="AG1091" s="203"/>
      <c r="AH1091" s="203"/>
      <c r="AI1091" s="203"/>
      <c r="AJ1091" s="203"/>
      <c r="AK1091" s="203"/>
      <c r="AL1091" s="203"/>
      <c r="AM1091" s="203"/>
      <c r="AN1091" s="192"/>
      <c r="AO1091" s="192"/>
      <c r="AP1091" s="192"/>
      <c r="AQ1091" s="192"/>
      <c r="AR1091" s="192"/>
      <c r="AS1091" s="192"/>
      <c r="AT1091" s="192"/>
      <c r="AU1091" s="192"/>
      <c r="AV1091" s="192"/>
      <c r="AW1091" s="192"/>
      <c r="AX1091" s="192"/>
    </row>
    <row r="1092" spans="2:50" ht="15" customHeight="1" thickTop="1" thickBot="1" x14ac:dyDescent="0.35">
      <c r="B1092" s="192"/>
      <c r="C1092" s="192"/>
      <c r="D1092" s="192"/>
      <c r="E1092" s="117"/>
      <c r="F1092" s="117"/>
      <c r="G1092" s="117"/>
      <c r="H1092" s="192"/>
      <c r="I1092" s="192"/>
      <c r="J1092" s="192"/>
      <c r="K1092" s="192"/>
      <c r="L1092" s="192"/>
      <c r="M1092" s="192"/>
      <c r="N1092" s="192"/>
      <c r="O1092" s="192"/>
      <c r="P1092" s="192"/>
      <c r="Q1092" s="192"/>
      <c r="R1092" s="247"/>
      <c r="S1092" s="395"/>
      <c r="T1092" s="208">
        <v>3</v>
      </c>
      <c r="U1092" s="209" t="str">
        <f>IF(U1082="","",IF(OR(U1084&lt;&gt;U1082,U1084&lt;&gt;U1083),"",IF(COUNTIF(M1083:M1085,M1085)=1,"",IF(COUNTBLANK(I1083:I1086)=1,(SUM(L1094:P1094)+SUM(L1097:P1097))/(SUM(L1095:P1095)+SUM(L1098:P1098)),IF(COUNTBLANK(I1083:I1086)=0,(SUM(L1094:P1094)+SUM(L1103:P1103))/(SUM(L1095:P1095)+SUM(L1104:P1104)))))))</f>
        <v/>
      </c>
      <c r="V1092" s="125" t="str">
        <f>IF(V1082="","",IF(OR(V1084&lt;&gt;V1082,V1084&lt;&gt;V1085),"",IF(AND(COUNTBLANK(I1083:I1086)=0,M1083=M1085,M1085=M1086),(SUM(L1094:P1094)+SUM(L1110:P1110))/(SUM(L1095:P1095)+SUM(L1109:P1109)),"")))</f>
        <v/>
      </c>
      <c r="W1092" s="218"/>
      <c r="X1092" s="245" t="str">
        <f>IF(X1083="","",IF(OR(X1084&lt;&gt;X1083,X1084&lt;&gt;X1085),"",IF(AND(COUNTBLANK(I1083:I1086)=0,M1084=M1085,M1085=M1086),(SUM(L1103:P1103)+SUM(L1110:P1110))/(SUM(L1104:P1104)+SUM(L1109:P1109)),"")))</f>
        <v/>
      </c>
      <c r="Y1092" s="208"/>
      <c r="Z1092" s="203"/>
      <c r="AA1092" s="240">
        <v>4</v>
      </c>
      <c r="AB1092" s="222" t="str">
        <f>IF(AND(COUNTBLANK(I1083:I1086)=0,Group_players=4,M1083=M1085,M1085=M1086),IF(COUNTIF(V1082:V1085,V1085)=3,AB1105,IF(AND(COUNTIF(V1082:V1085,V1085)=1,V1084&lt;&gt;V1082),IF(M1086=2,IF(SMALL(V1082:V1085,1)=V1085,1,IF(SMALL(V1082:V1085,2)=V1085,2,IF(SMALL(V1082:V1085,3)=V1085,3))),IF(M1086=1,IF(SMALL(V1082:V1085,1)=V1085,2,IF(SMALL(V1082:V1085,2)=V1085,3,IF(SMALL(V1082:V1085,3)=V1085,4))),"")),IF(COUNTIF(V1082:V1085,V1085)=1,IF(V1085&lt;V1082,IF(M1086=2,1,2),IF(M1086=2,3,4)),IF(COUNTIF(V1082:V1085,V1085)=2,IF(V1085=V1082,IF(V1085&lt;V1084,IF(M1086=2,IF(Q1101=3,1,2),IF(M1086=1,IF(Q1101=3,2,3))),IF(V1085&gt;V1084,IF(M1086=2,IF(Q1101=3,2,3),IF(M1086=1,IF(Q1101=3,3,4))))),IF(V1085=V1084,IF(V1085&lt;V1082,IF(M1086=2,IF(Q1110=3,1,2),IF(M1086=1,IF(Q1110=3,2,3))),IF(V1085&gt;V1082,IF(M1086=2,IF(Q1110=3,2,3),IF(M1086=1,IF(Q1110=3,3,4))))))),"")))),"")</f>
        <v/>
      </c>
      <c r="AC1092" s="192"/>
      <c r="AD1092" s="192"/>
      <c r="AE1092" s="192"/>
      <c r="AF1092" s="203"/>
      <c r="AG1092" s="203"/>
      <c r="AH1092" s="203"/>
      <c r="AI1092" s="203"/>
      <c r="AJ1092" s="203"/>
      <c r="AK1092" s="203"/>
      <c r="AL1092" s="203"/>
      <c r="AM1092" s="203"/>
      <c r="AN1092" s="192"/>
      <c r="AO1092" s="192"/>
      <c r="AP1092" s="192"/>
      <c r="AQ1092" s="192"/>
      <c r="AR1092" s="192"/>
      <c r="AS1092" s="192"/>
      <c r="AT1092" s="192"/>
      <c r="AU1092" s="192"/>
      <c r="AV1092" s="192"/>
      <c r="AW1092" s="192"/>
      <c r="AX1092" s="192"/>
    </row>
    <row r="1093" spans="2:50" ht="15" customHeight="1" thickTop="1" thickBot="1" x14ac:dyDescent="0.35">
      <c r="B1093" s="192"/>
      <c r="C1093" s="192"/>
      <c r="D1093" s="192"/>
      <c r="E1093" s="168" t="s">
        <v>113</v>
      </c>
      <c r="F1093" s="168" t="s">
        <v>114</v>
      </c>
      <c r="G1093" s="117"/>
      <c r="H1093" s="192"/>
      <c r="I1093" s="249" t="s">
        <v>115</v>
      </c>
      <c r="J1093" s="249"/>
      <c r="K1093" s="249"/>
      <c r="L1093" s="250" t="s">
        <v>115</v>
      </c>
      <c r="M1093" s="250" t="s">
        <v>116</v>
      </c>
      <c r="N1093" s="250" t="s">
        <v>117</v>
      </c>
      <c r="O1093" s="250" t="s">
        <v>118</v>
      </c>
      <c r="P1093" s="250" t="s">
        <v>119</v>
      </c>
      <c r="Q1093" s="250" t="s">
        <v>120</v>
      </c>
      <c r="R1093" s="250"/>
      <c r="S1093" s="251"/>
      <c r="T1093" s="208">
        <v>4</v>
      </c>
      <c r="U1093" s="223"/>
      <c r="V1093" s="140" t="str">
        <f>IF(V1082="","",IF(OR(V1085&lt;&gt;V1082,V1085&lt;&gt;V1084),"",IF(AND(COUNTBLANK(I1083:I1086)=0,M1083=M1085,M1085=M1086),(SUM(L1100:P1100)+SUM(L1109:P1109))/(SUM(L1101:P1101)+SUM(L1110:P1110)),"")))</f>
        <v/>
      </c>
      <c r="W1093" s="224" t="str">
        <f>IF(W1082="","",IF(OR(W1085&lt;&gt;W1082,W1085&lt;&gt;W1083),"",IF(AND(COUNTBLANK(I1083:I1086)=0,M1083=M1084,M1084=M1086),(SUM(L1100:P1100)+SUM(L1097:P1097))/(SUM(L1101:P1101)+SUM(L1098:P1098)),"")))</f>
        <v/>
      </c>
      <c r="X1093" s="252" t="str">
        <f>IF(X1083="","",IF(OR(X1085&lt;&gt;X1083,X1085&lt;&gt;X1084),"",IF(AND(COUNTBLANK(I1083:I1086)=0,M1084=M1085,M1085=M1086),(SUM(L1097:P1097)+SUM(L1109:P1109))/(SUM(L1098:P1098)+SUM(L1110:P1110)),"")))</f>
        <v/>
      </c>
      <c r="Y1093" s="192"/>
      <c r="Z1093" s="203"/>
      <c r="AA1093" s="243">
        <v>1</v>
      </c>
      <c r="AB1093" s="151" t="str">
        <f>IF(AND(COUNTBLANK(I1083:I1086)=0,Group_players=4,M1083=M1084,M1084=M1086),IF(COUNTIF(W1082:W1085,W1082)=3,AB1106,IF(AND(COUNTIF(W1082:W1085,W1082)=1,W1083&lt;&gt;W1085),IF(M1083=2,IF(SMALL(W1082:W1085,1)=W1082,1,IF(SMALL(W1082:W1085,2)=W1082,2,IF(SMALL(W1082:W1085,3)=W1082,3))),IF(M1083=1,IF(SMALL(W1082:W1085,1)=W1082,2,IF(SMALL(W1082:W1085,2)=W1082,3,IF(SMALL(W1082:W1085,3)=W1082,4))),"")),IF(COUNTIF(W1082:W1085,W1082)=1,IF(W1082&lt;W1083,IF(M1083=2,1,2),IF(M1083=2,3,4)),IF(COUNTIF(W1082:W1085,W1082)=2,IF(W1082=W1083,IF(W1082&lt;W1085,IF(M1083=2,IF(Q1106=3,1,2),IF(M1083=1,IF(Q1106=3,2,3))),IF(W1082&gt;W1085,IF(M1083=2,IF(Q1106=3,2,3),IF(M1083=1,IF(Q1106=3,3,4))))),IF(W1082=W1085,IF(W1082&lt;W1083,IF(M1083=2,IF(Q1100=3,1,2),IF(M1083=1,IF(Q1100=3,2,3))),IF(W1082&gt;W1083,IF(M1083=2,IF(Q1100=3,2,3),IF(M1083=1,IF(Q1100=3,3,4))))))),"")))),"")</f>
        <v/>
      </c>
      <c r="AC1093" s="192"/>
      <c r="AD1093" s="192"/>
      <c r="AE1093" s="192"/>
      <c r="AF1093" s="203"/>
      <c r="AG1093" s="203"/>
      <c r="AH1093" s="203"/>
      <c r="AI1093" s="203"/>
      <c r="AJ1093" s="203"/>
      <c r="AK1093" s="203"/>
      <c r="AL1093" s="203"/>
      <c r="AM1093" s="203"/>
      <c r="AN1093" s="192"/>
      <c r="AO1093" s="192"/>
      <c r="AP1093" s="192"/>
      <c r="AQ1093" s="192"/>
      <c r="AR1093" s="192"/>
      <c r="AS1093" s="192"/>
      <c r="AT1093" s="192"/>
      <c r="AU1093" s="192"/>
      <c r="AV1093" s="192"/>
      <c r="AW1093" s="192"/>
      <c r="AX1093" s="192"/>
    </row>
    <row r="1094" spans="2:50" ht="15" customHeight="1" thickTop="1" x14ac:dyDescent="0.3">
      <c r="B1094" s="192"/>
      <c r="C1094" s="192"/>
      <c r="D1094" s="192"/>
      <c r="E1094" s="164" t="str">
        <f>IF(Q1094="","",IF(Q1094=3,1,0))</f>
        <v/>
      </c>
      <c r="F1094" s="164" t="str">
        <f>IF(Q1094="","",IF(Q1094&lt;3,1,0))</f>
        <v/>
      </c>
      <c r="G1094" s="192"/>
      <c r="H1094" s="192" t="str">
        <f>IF(I1083="","",1)</f>
        <v/>
      </c>
      <c r="I1094" s="192" t="str">
        <f>IF(ISNUMBER(H1094),VLOOKUP(H1094,H1083:I1086,2,TRUE),"")</f>
        <v/>
      </c>
      <c r="J1094" s="192"/>
      <c r="K1094" s="192" t="str">
        <f>VLOOKUP(I1094,I1083:L1086,3,FALSE)</f>
        <v/>
      </c>
      <c r="L1094" s="253"/>
      <c r="M1094" s="254"/>
      <c r="N1094" s="254"/>
      <c r="O1094" s="152"/>
      <c r="P1094" s="153"/>
      <c r="Q1094" s="255" t="str">
        <f>IF(L1094="","",IF(AND(L1094-L1095&gt;1,L1094&gt;10),1,0)+IF(AND(M1094-M1095&gt;1,M1094&gt;10),1,0)+IF(AND(N1094-N1095&gt;1,N1094&gt;10),1,0)+IF(AND(O1094-O1095&gt;1,O1094&gt;10),1,0)+IF(AND(P1094-P1095&gt;1,P1094&gt;10),1,0))</f>
        <v/>
      </c>
      <c r="R1094" s="203" t="str">
        <f>IF(AND(I1094="",I1095=""),"",ABS(VLOOKUP(I1094,I1083:L1086,4,FALSE)-VLOOKUP(I1095,I1083:L1086,4,FALSE)))</f>
        <v/>
      </c>
      <c r="S1094" s="256" t="str">
        <f>IF(R1095="","",IF(Q1094=3,+R1095,-R1095))</f>
        <v/>
      </c>
      <c r="T1094" s="257"/>
      <c r="U1094" s="258"/>
      <c r="V1094" s="258"/>
      <c r="W1094" s="258"/>
      <c r="X1094" s="258"/>
      <c r="Y1094" s="192"/>
      <c r="Z1094" s="203"/>
      <c r="AA1094" s="246">
        <v>2</v>
      </c>
      <c r="AB1094" s="154" t="str">
        <f>IF(AND(COUNTBLANK(I1083:I1086)=0,Group_players=4,M1083=M1084,M1084=M1086),IF(COUNTIF(W1082:W1085,W1083)=3,AB1107,IF(AND(COUNTIF(W1082:W1085,W1083)=1,W1082&lt;&gt;W1084),IF(M1084=2,IF(SMALL(W1082:W1085,1)=W1083,1,IF(SMALL(W1082:W1085,2)=W1083,2,IF(SMALL(W1082:W1085,3)=W1083,3))),IF(M1084=1,IF(SMALL(W1082:W1085,1)=W1083,2,IF(SMALL(W1082:W1085,2)=W1083,3,IF(SMALL(W1082:W1085,3)=W1083,4))),"")),IF(COUNTIF(W1082:W1085,W1083)=1,IF(W1083&lt;W1082,IF(M1084=2,1,2),IF(M1084=2,3,4)),IF(COUNTIF(W1082:W1085,W1083)=2,IF(W1083=W1082,IF(W1083&lt;W1085,IF(M1084=2,IF(Q1107=3,1,2),IF(M1084=1,IF(Q1107=3,2,3))),IF(W1083&gt;W1085,IF(M1084=2,IF(Q1107=3,2,3),IF(M1084=1,IF(Q1107=3,3,4))))),IF(W1083=W1085,IF(W1083&lt;W1082,IF(M1084=2,IF(Q1097=3,1,2),IF(M1084=1,IF(Q1097=3,2,3))),IF(W1083&gt;W1082,IF(M1084=2,IF(Q1097=3,2,3),IF(M1084=1,IF(Q1097=3,3,4))))))),"")))),"")</f>
        <v/>
      </c>
      <c r="AC1094" s="192"/>
      <c r="AD1094" s="192"/>
      <c r="AE1094" s="192"/>
      <c r="AF1094" s="203"/>
      <c r="AG1094" s="203"/>
      <c r="AH1094" s="203"/>
      <c r="AI1094" s="203"/>
      <c r="AJ1094" s="203"/>
      <c r="AK1094" s="203"/>
      <c r="AL1094" s="203"/>
      <c r="AM1094" s="203"/>
      <c r="AN1094" s="192"/>
      <c r="AO1094" s="192"/>
      <c r="AP1094" s="192"/>
      <c r="AQ1094" s="192"/>
      <c r="AR1094" s="192"/>
      <c r="AS1094" s="192"/>
      <c r="AT1094" s="192"/>
      <c r="AU1094" s="192"/>
      <c r="AV1094" s="192"/>
      <c r="AW1094" s="192"/>
      <c r="AX1094" s="192"/>
    </row>
    <row r="1095" spans="2:50" ht="15" customHeight="1" thickBot="1" x14ac:dyDescent="0.35">
      <c r="B1095" s="192"/>
      <c r="C1095" s="192"/>
      <c r="D1095" s="192"/>
      <c r="E1095" s="164" t="str">
        <f>IF(Q1095="","",IF(Q1095=3,1,0))</f>
        <v/>
      </c>
      <c r="F1095" s="164" t="str">
        <f>IF(Q1095="","",IF(Q1095&lt;3,1,0))</f>
        <v/>
      </c>
      <c r="G1095" s="192"/>
      <c r="H1095" s="192" t="str">
        <f>IF(I1084="","",IF(I1085="",2,3))</f>
        <v/>
      </c>
      <c r="I1095" s="192" t="str">
        <f>IF(ISNUMBER(H1095),VLOOKUP(H1095,H1083:I1086,2,TRUE),"")</f>
        <v/>
      </c>
      <c r="J1095" s="192"/>
      <c r="K1095" s="192" t="str">
        <f>VLOOKUP(I1095,I1083:L1086,3,FALSE)</f>
        <v/>
      </c>
      <c r="L1095" s="155"/>
      <c r="M1095" s="259"/>
      <c r="N1095" s="259"/>
      <c r="O1095" s="156"/>
      <c r="P1095" s="157"/>
      <c r="Q1095" s="260" t="str">
        <f>IF(L1095="","",IF(AND(L1095-L1094&gt;1,L1095&gt;10),1,0)+IF(AND(M1095-M1094&gt;1,M1095&gt;10),1,0)+IF(AND(N1095-N1094&gt;1,N1095&gt;10),1,0)+IF(AND(O1095-O1094&gt;1,O1095&gt;10),1,0)+IF(AND(P1095-P1094&gt;1,P1095&gt;10),1,0))</f>
        <v/>
      </c>
      <c r="R1095" s="203" t="str">
        <f>IF(AND(Q1094&lt;&gt;3,Q1095&lt;&gt;3),"",IF(Q1094=3,IF(VLOOKUP(I1094,I1083:L1086,4,FALSE)&gt;VLOOKUP(I1095,I1083:L1086,4,FALSE),VLOOKUP(R1094,Point_dif,2,FALSE),VLOOKUP(R1094,Point_dif,3,FALSE)),IF(Q1095=3,IF(VLOOKUP(I1095,I1083:L1086,4,FALSE)&gt;VLOOKUP(I1094,I1083:L1086,4,FALSE),VLOOKUP(R1094,Point_dif,2,FALSE),VLOOKUP(R1094,Point_dif,3,FALSE)))))</f>
        <v/>
      </c>
      <c r="S1095" s="256" t="str">
        <f>IF(R1095="","",IF(Q1095=3,+R1095,-R1095))</f>
        <v/>
      </c>
      <c r="T1095" s="192"/>
      <c r="U1095" s="235"/>
      <c r="V1095" s="235"/>
      <c r="W1095" s="235"/>
      <c r="X1095" s="235"/>
      <c r="Y1095" s="235"/>
      <c r="Z1095" s="235"/>
      <c r="AA1095" s="240">
        <v>4</v>
      </c>
      <c r="AB1095" s="158" t="str">
        <f>IF(AND(COUNTBLANK(I1083:I1086)=0,Group_players=4,M1083=M1084,M1084=M1086),IF(COUNTIF(W1082:W1085,W1085)=3,AB1108,IF(AND(COUNTIF(W1082:W1085,W1085)=1,W1082&lt;&gt;W1083),IF(M1086=2,IF(SMALL(W1082:W1085,1)=W1085,1,IF(SMALL(W1082:W1085,2)=W1085,2,IF(SMALL(W1082:W1085,3)=W1085,3))),IF(M1086=1,IF(SMALL(W1082:W1085,1)=W1085,2,IF(SMALL(W1082:W1085,2)=W1085,3,IF(SMALL(W1082:W1085,3)=W1085,4))),"")),IF(COUNTIF(W1082:W1085,W1085)=1,IF(W1085&lt;W1082,IF(M1086=2,1,2),IF(M1086=2,3,4)),IF(COUNTIF(W1082:W1085,W1085)=2,IF(W1085=W1082,IF(W1085&lt;W1083,IF(M1086=2,IF(Q1101=3,1,2),IF(M1086=1,IF(Q1101=3,2,3))),IF(W1085&gt;W1084,IF(M1086=2,IF(Q1101=3,2,3),IF(M1086=1,IF(Q1101=3,3,4))))),IF(W1085=W1083,IF(W1085&lt;W1082,IF(M1086=2,IF(Q1098=3,1,2),IF(M1086=1,IF(Q1098=3,2,3))),IF(W1085&gt;W1082,IF(M1086=2,IF(Q1098=3,2,3),IF(M1086=1,IF(Q1098=3,3,4))))))),"")))),"")</f>
        <v/>
      </c>
      <c r="AC1095" s="192"/>
      <c r="AD1095" s="192"/>
      <c r="AE1095" s="192"/>
      <c r="AF1095" s="203"/>
      <c r="AG1095" s="203"/>
      <c r="AH1095" s="203"/>
      <c r="AI1095" s="203"/>
      <c r="AJ1095" s="203"/>
      <c r="AK1095" s="203"/>
      <c r="AL1095" s="203"/>
      <c r="AM1095" s="203"/>
      <c r="AN1095" s="192"/>
      <c r="AO1095" s="192"/>
      <c r="AP1095" s="192"/>
      <c r="AQ1095" s="192"/>
      <c r="AR1095" s="192"/>
      <c r="AS1095" s="192"/>
      <c r="AT1095" s="192"/>
      <c r="AU1095" s="192"/>
      <c r="AV1095" s="192"/>
      <c r="AW1095" s="192"/>
      <c r="AX1095" s="192"/>
    </row>
    <row r="1096" spans="2:50" ht="15" customHeight="1" thickTop="1" thickBot="1" x14ac:dyDescent="0.35">
      <c r="B1096" s="192"/>
      <c r="C1096" s="192"/>
      <c r="D1096" s="192"/>
      <c r="E1096" s="164"/>
      <c r="F1096" s="164"/>
      <c r="G1096" s="192"/>
      <c r="H1096" s="192"/>
      <c r="I1096" s="249" t="s">
        <v>116</v>
      </c>
      <c r="J1096" s="249"/>
      <c r="K1096" s="249"/>
      <c r="L1096" s="250" t="s">
        <v>115</v>
      </c>
      <c r="M1096" s="250" t="s">
        <v>116</v>
      </c>
      <c r="N1096" s="250" t="s">
        <v>117</v>
      </c>
      <c r="O1096" s="250" t="s">
        <v>118</v>
      </c>
      <c r="P1096" s="250" t="s">
        <v>119</v>
      </c>
      <c r="Q1096" s="250" t="s">
        <v>120</v>
      </c>
      <c r="R1096" s="250"/>
      <c r="S1096" s="251"/>
      <c r="T1096" s="192"/>
      <c r="U1096" s="235"/>
      <c r="V1096" s="235"/>
      <c r="W1096" s="235"/>
      <c r="X1096" s="235"/>
      <c r="Y1096" s="235"/>
      <c r="Z1096" s="235"/>
      <c r="AA1096" s="243">
        <v>2</v>
      </c>
      <c r="AB1096" s="151" t="str">
        <f>IF(AND(COUNTBLANK(I1083:I1086)=0,Group_players=4,M1084=M1085,M1085=M1086),IF(COUNTIF(X1082:X1085,X1083)=3,AB1109,IF(AND(COUNTIF(X1082:X1085,X1083)=1,X1084&lt;&gt;X1085),IF(M1084=2,IF(SMALL(X1082:X1085,1)=X1083,1,IF(SMALL(X1082:X1085,2)=X1083,2,IF(SMALL(X1082:X1085,3)=X1083,3))),IF(M1084=1,IF(SMALL(X1082:X1085,1)=X1083,2,IF(SMALL(X1082:X1085,2)=X1083,3,IF(SMALL(X1082:X1085,3)=X1083,4))),"")),IF(COUNTIF(X1082:X1085,X1083)=1,IF(X1083&lt;X1085,IF(M1084=2,1,2),IF(M1084=1,3,3)),IF(COUNTIF(X1082:X1085,X1083)=2,IF(X1083=X1084,IF(X1083&lt;X1085,IF(M1084=2,IF(Q1103=3,1,2),IF(M1084=1,IF(Q1103=3,2,3))),IF(X1083&gt;X1085,IF(M1084=2,IF(Q1103=3,2,3),IF(M1084=1,IF(Q1103=3,3,4))))),IF(X1083=X1085,IF(X1083&lt;X1084,IF(M1084=2,IF(Q1097=3,1,2),IF(M1084=1,IF(Q1097=3,2,3))),IF(X1083&gt;X1084,IF(M1084=2,IF(Q1097=3,2,3),IF(M1084=1,IF(Q1097=3,3,4))))))),"")))),"")</f>
        <v/>
      </c>
      <c r="AC1096" s="192"/>
      <c r="AD1096" s="192"/>
      <c r="AE1096" s="192"/>
      <c r="AF1096" s="203"/>
      <c r="AG1096" s="203"/>
      <c r="AH1096" s="203"/>
      <c r="AI1096" s="203"/>
      <c r="AJ1096" s="203"/>
      <c r="AK1096" s="203"/>
      <c r="AL1096" s="203"/>
      <c r="AM1096" s="203"/>
      <c r="AN1096" s="192"/>
      <c r="AO1096" s="192"/>
      <c r="AP1096" s="192"/>
      <c r="AQ1096" s="192"/>
      <c r="AR1096" s="192"/>
      <c r="AS1096" s="192"/>
      <c r="AT1096" s="192"/>
      <c r="AU1096" s="192"/>
      <c r="AV1096" s="192"/>
      <c r="AW1096" s="192"/>
      <c r="AX1096" s="192"/>
    </row>
    <row r="1097" spans="2:50" ht="15" customHeight="1" thickTop="1" x14ac:dyDescent="0.3">
      <c r="B1097" s="192"/>
      <c r="C1097" s="192"/>
      <c r="D1097" s="192"/>
      <c r="E1097" s="164" t="str">
        <f>IF(Q1097="","",IF(Q1097=3,1,0))</f>
        <v/>
      </c>
      <c r="F1097" s="164" t="str">
        <f>IF(Q1097="","",IF(Q1097&lt;3,1,0))</f>
        <v/>
      </c>
      <c r="G1097" s="192"/>
      <c r="H1097" s="192" t="str">
        <f>IF(I1085="","",2)</f>
        <v/>
      </c>
      <c r="I1097" s="192" t="str">
        <f>IF(ISNUMBER(H1097),VLOOKUP(H1097,H1083:I1086,2,TRUE),"")</f>
        <v/>
      </c>
      <c r="J1097" s="192"/>
      <c r="K1097" s="192" t="str">
        <f>VLOOKUP(I1097,I1083:L1086,3,FALSE)</f>
        <v/>
      </c>
      <c r="L1097" s="253"/>
      <c r="M1097" s="254"/>
      <c r="N1097" s="254"/>
      <c r="O1097" s="152"/>
      <c r="P1097" s="153"/>
      <c r="Q1097" s="255" t="str">
        <f>IF(L1097="","",IF(AND(L1097-L1098&gt;1,L1097&gt;10),1,0)+IF(AND(M1097-M1098&gt;1,M1097&gt;10),1,0)+IF(AND(N1097-N1098&gt;1,N1097&gt;10),1,0)+IF(AND(O1097-O1098&gt;1,O1097&gt;10),1,0)+IF(AND(P1097-P1098&gt;1,P1097&gt;10),1,0))</f>
        <v/>
      </c>
      <c r="R1097" s="203" t="str">
        <f>IF(AND(I1097="",I1098=""),"",ABS(VLOOKUP(I1097,I1083:L1086,4,FALSE)-VLOOKUP(I1098,I1083:L1086,4,FALSE)))</f>
        <v/>
      </c>
      <c r="S1097" s="256" t="str">
        <f>IF(R1098="","",IF(Q1097=3,+R1098,-R1098))</f>
        <v/>
      </c>
      <c r="T1097" s="192"/>
      <c r="U1097" s="235"/>
      <c r="V1097" s="235"/>
      <c r="W1097" s="235"/>
      <c r="X1097" s="235"/>
      <c r="Y1097" s="235"/>
      <c r="Z1097" s="235"/>
      <c r="AA1097" s="246">
        <v>3</v>
      </c>
      <c r="AB1097" s="154" t="str">
        <f>IF(AND(COUNTBLANK(I1083:I1086)=0,Group_players=4,M1084=M1085,M1085=M1086),IF(COUNTIF(X1082:X1085,X1084)=3,AB1110,IF(AND(COUNTIF(X1082:X1085,X1084)=1,X1083&lt;&gt;X1085),IF(M1085=2,IF(SMALL(X1082:X1085,1)=X1084,1,IF(SMALL(X1082:X1085,2)=X1084,2,IF(SMALL(X1082:X1085,3)=X1084,3))),IF(M1085=1,IF(SMALL(X1082:X1085,1)=X1084,2,IF(SMALL(X1082:X1085,2)=X1084,3,IF(SMALL(X1082:X1085,3)=X1084,4))),"")),IF(COUNTIF(X1082:X1085,X1084)=1,IF(X1084&lt;X1083,IF(M1085=2,1,2),IF(M1085=2,3,4)),IF(COUNTIF(X1082:X1085,X1084)=2,IF(X1084=X1083,IF(X1084&lt;X1085,IF(M1085=2,IF(Q1104=3,1,2),IF(M1085=1,IF(Q1104=3,2,3))),IF(X1084&gt;X1085,IF(M1085=2,IF(Q1104=3,2,3),IF(M1085=1,IF(Q1104=3,3,4))))),IF(X1084=X1085,IF(X1084&lt;X1083,IF(M1085=2,IF(Q1109=3,1,2),IF(M1085=1,IF(Q1109=3,2,3))),IF(X1084&gt;X1083,IF(M1085=2,IF(Q1109=3,2,3),IF(M1085=1,IF(Q1109=3,3,4))))))),"")))),"")</f>
        <v/>
      </c>
      <c r="AC1097" s="192"/>
      <c r="AD1097" s="192"/>
      <c r="AE1097" s="192"/>
      <c r="AF1097" s="203"/>
      <c r="AG1097" s="203"/>
      <c r="AH1097" s="203"/>
      <c r="AI1097" s="203"/>
      <c r="AJ1097" s="203"/>
      <c r="AK1097" s="203"/>
      <c r="AL1097" s="203"/>
      <c r="AM1097" s="203"/>
      <c r="AN1097" s="192"/>
      <c r="AO1097" s="192"/>
      <c r="AP1097" s="192"/>
      <c r="AQ1097" s="192"/>
      <c r="AR1097" s="192"/>
      <c r="AS1097" s="192"/>
      <c r="AT1097" s="192"/>
      <c r="AU1097" s="192"/>
      <c r="AV1097" s="192"/>
      <c r="AW1097" s="192"/>
      <c r="AX1097" s="192"/>
    </row>
    <row r="1098" spans="2:50" ht="15" customHeight="1" thickBot="1" x14ac:dyDescent="0.35">
      <c r="B1098" s="192"/>
      <c r="C1098" s="192"/>
      <c r="D1098" s="192"/>
      <c r="E1098" s="164" t="str">
        <f>IF(Q1098="","",IF(Q1098=3,1,0))</f>
        <v/>
      </c>
      <c r="F1098" s="164" t="str">
        <f>IF(Q1098="","",IF(Q1098&lt;3,1,0))</f>
        <v/>
      </c>
      <c r="G1098" s="192"/>
      <c r="H1098" s="192" t="str">
        <f>IF(I1085="","",IF(I1086="",3,4))</f>
        <v/>
      </c>
      <c r="I1098" s="192" t="str">
        <f>IF(ISNUMBER(H1098),VLOOKUP(H1098,H1083:I1086,2,TRUE),"")</f>
        <v/>
      </c>
      <c r="J1098" s="192"/>
      <c r="K1098" s="192" t="str">
        <f>VLOOKUP(I1098,I1083:L1086,3,FALSE)</f>
        <v/>
      </c>
      <c r="L1098" s="155"/>
      <c r="M1098" s="259"/>
      <c r="N1098" s="259"/>
      <c r="O1098" s="156"/>
      <c r="P1098" s="157"/>
      <c r="Q1098" s="260" t="str">
        <f>IF(L1098="","",IF(AND(L1098-L1097&gt;1,L1098&gt;10),1,0)+IF(AND(M1098-M1097&gt;1,M1098&gt;10),1,0)+IF(AND(N1098-N1097&gt;1,N1098&gt;10),1,0)+IF(AND(O1098-O1097&gt;1,O1098&gt;10),1,0)+IF(AND(P1098-P1097&gt;1,P1098&gt;10),1,0))</f>
        <v/>
      </c>
      <c r="R1098" s="203" t="str">
        <f>IF(AND(Q1097&lt;&gt;3,Q1098&lt;&gt;3),"",IF(Q1097=3,IF(VLOOKUP(I1097,I1083:L1086,4,FALSE)&gt;VLOOKUP(I1098,I1083:L1086,4,FALSE),VLOOKUP(R1097,Point_dif,2,FALSE),VLOOKUP(R1097,Point_dif,3,FALSE)),IF(Q1098=3,IF(VLOOKUP(I1098,I1083:L1086,4,FALSE)&gt;VLOOKUP(I1097,I1083:L1086,4,FALSE),VLOOKUP(R1097,Point_dif,2,FALSE),VLOOKUP(R1097,Point_dif,3,FALSE)))))</f>
        <v/>
      </c>
      <c r="S1098" s="256" t="str">
        <f>IF(R1098="","",IF(Q1098=3,+R1098,-R1098))</f>
        <v/>
      </c>
      <c r="T1098" s="192"/>
      <c r="U1098" s="235"/>
      <c r="V1098" s="235"/>
      <c r="W1098" s="235"/>
      <c r="X1098" s="235"/>
      <c r="Y1098" s="235"/>
      <c r="Z1098" s="235"/>
      <c r="AA1098" s="261">
        <v>4</v>
      </c>
      <c r="AB1098" s="158" t="str">
        <f>IF(AND(COUNTBLANK(I1083:I1086)=0,Group_players=4,M1084=M1085,M1085=M1086),IF(COUNTIF(X1082:X1085,X1085)=3,AB1111,IF(AND(COUNTIF(X1082:X1085,X1085)=1,X1084&lt;&gt;X1083),IF(M1086=2,IF(SMALL(X1082:X1085,1)=X1085,1,IF(SMALL(X1082:X1085,2)=X1085,2,IF(SMALL(X1082:X1085,3)=X1085,3))),IF(M1086=1,IF(SMALL(X1082:X1085,1)=X1085,2,IF(SMALL(X1082:X1085,2)=X1085,3,IF(SMALL(X1082:X1085,3)=X1085,4))),"")),IF(COUNTIF(X1082:X1085,X1085)=1,IF(X1085&lt;X1083,IF(M1086=2,1,2),IF(M1086=2,3,4)),IF(COUNTIF(X1082:X1085,X1085)=2,IF(X1085=X1083,IF(X1085&lt;X1084,IF(M1086=2,IF(Q1098=3,1,2),IF(M1086=1,IF(Q1098=3,2,3))),IF(X1085&gt;X1084,IF(M1086=2,IF(Q1098=3,2,3),IF(M1086=1,IF(Q1098=3,3,4))))),IF(X1085=X1084,IF(X1085&lt;X1083,IF(M1086=2,IF(Q1110=3,1,2),IF(M1086=1,IF(Q1110=3,2,3))),IF(X1085&gt;X1083,IF(M1086=2,IF(Q1110=3,2,3),IF(M1086=1,IF(Q1110=3,3,4))))))),"")))),"")</f>
        <v/>
      </c>
      <c r="AC1098" s="192"/>
      <c r="AD1098" s="192"/>
      <c r="AE1098" s="192"/>
      <c r="AF1098" s="203"/>
      <c r="AG1098" s="203"/>
      <c r="AH1098" s="203"/>
      <c r="AI1098" s="203"/>
      <c r="AJ1098" s="203"/>
      <c r="AK1098" s="203"/>
      <c r="AL1098" s="203"/>
      <c r="AM1098" s="203"/>
      <c r="AN1098" s="192"/>
      <c r="AO1098" s="192"/>
      <c r="AP1098" s="192"/>
      <c r="AQ1098" s="192"/>
      <c r="AR1098" s="192"/>
      <c r="AS1098" s="192"/>
      <c r="AT1098" s="192"/>
      <c r="AU1098" s="192"/>
      <c r="AV1098" s="192"/>
      <c r="AW1098" s="192"/>
      <c r="AX1098" s="192"/>
    </row>
    <row r="1099" spans="2:50" ht="15" customHeight="1" thickTop="1" thickBot="1" x14ac:dyDescent="0.35">
      <c r="B1099" s="192"/>
      <c r="C1099" s="192"/>
      <c r="D1099" s="192"/>
      <c r="E1099" s="164"/>
      <c r="F1099" s="164"/>
      <c r="G1099" s="192"/>
      <c r="H1099" s="192"/>
      <c r="I1099" s="249" t="s">
        <v>117</v>
      </c>
      <c r="J1099" s="249"/>
      <c r="K1099" s="249"/>
      <c r="L1099" s="250" t="s">
        <v>115</v>
      </c>
      <c r="M1099" s="250" t="s">
        <v>116</v>
      </c>
      <c r="N1099" s="250" t="s">
        <v>117</v>
      </c>
      <c r="O1099" s="250" t="s">
        <v>118</v>
      </c>
      <c r="P1099" s="250" t="s">
        <v>119</v>
      </c>
      <c r="Q1099" s="250" t="s">
        <v>120</v>
      </c>
      <c r="R1099" s="250"/>
      <c r="S1099" s="251"/>
      <c r="T1099" s="263"/>
      <c r="U1099" s="264"/>
      <c r="V1099" s="242"/>
      <c r="W1099" s="242"/>
      <c r="X1099" s="264"/>
      <c r="Y1099" s="192"/>
      <c r="Z1099" s="203"/>
      <c r="AA1099" s="126" t="s">
        <v>93</v>
      </c>
      <c r="AB1099" s="265" t="s">
        <v>110</v>
      </c>
      <c r="AC1099" s="192"/>
      <c r="AD1099" s="192"/>
      <c r="AE1099" s="192"/>
      <c r="AF1099" s="203"/>
      <c r="AG1099" s="203"/>
      <c r="AH1099" s="203"/>
      <c r="AI1099" s="203"/>
      <c r="AJ1099" s="203"/>
      <c r="AK1099" s="203"/>
      <c r="AL1099" s="203"/>
      <c r="AM1099" s="203"/>
      <c r="AN1099" s="192"/>
      <c r="AO1099" s="192"/>
      <c r="AP1099" s="192"/>
      <c r="AQ1099" s="192"/>
      <c r="AR1099" s="192"/>
      <c r="AS1099" s="192"/>
      <c r="AT1099" s="192"/>
      <c r="AU1099" s="192"/>
      <c r="AV1099" s="192"/>
      <c r="AW1099" s="192"/>
      <c r="AX1099" s="192"/>
    </row>
    <row r="1100" spans="2:50" ht="15" customHeight="1" thickTop="1" x14ac:dyDescent="0.3">
      <c r="B1100" s="192"/>
      <c r="C1100" s="192"/>
      <c r="D1100" s="192"/>
      <c r="E1100" s="164" t="str">
        <f>IF(Q1100="","",IF(Q1100=3,1,0))</f>
        <v/>
      </c>
      <c r="F1100" s="164" t="str">
        <f>IF(Q1100="","",IF(Q1100&lt;3,1,0))</f>
        <v/>
      </c>
      <c r="G1100" s="192"/>
      <c r="H1100" s="192" t="str">
        <f>IF(I1085&lt;&gt;"",1,"")</f>
        <v/>
      </c>
      <c r="I1100" s="192" t="str">
        <f>IF(ISNUMBER(H1100),VLOOKUP(H1100,H1083:I1086,2,TRUE),"")</f>
        <v/>
      </c>
      <c r="J1100" s="192"/>
      <c r="K1100" s="192" t="str">
        <f>VLOOKUP(I1100,I1083:L1086,3,FALSE)</f>
        <v/>
      </c>
      <c r="L1100" s="253"/>
      <c r="M1100" s="254"/>
      <c r="N1100" s="254"/>
      <c r="O1100" s="152"/>
      <c r="P1100" s="153"/>
      <c r="Q1100" s="255" t="str">
        <f>IF(L1100="","",IF(AND(L1100-L1101&gt;1,L1100&gt;10),1,0)+IF(AND(M1100-M1101&gt;1,M1100&gt;10),1,0)+IF(AND(N1100-N1101&gt;1,N1100&gt;10),1,0)+IF(AND(O1100-O1101&gt;1,O1100&gt;10),1,0)+IF(AND(P1100-P1101&gt;1,P1100&gt;10),1,0))</f>
        <v/>
      </c>
      <c r="R1100" s="203" t="str">
        <f>IF(AND(I1100="",I1101=""),"",ABS(VLOOKUP(I1100,I1083:L1086,4,FALSE)-VLOOKUP(I1101,I1083:L1086,4,FALSE)))</f>
        <v/>
      </c>
      <c r="S1100" s="256" t="str">
        <f>IF(R1101="","",IF(Q1100=3,+R1101,-R1101))</f>
        <v/>
      </c>
      <c r="T1100" s="192"/>
      <c r="U1100" s="235"/>
      <c r="V1100" s="235"/>
      <c r="W1100" s="235"/>
      <c r="X1100" s="235"/>
      <c r="Y1100" s="235"/>
      <c r="Z1100" s="235"/>
      <c r="AA1100" s="243">
        <v>1</v>
      </c>
      <c r="AB1100" s="222" t="str">
        <f>IF(AND(COUNTBLANK(I1083:I1086)=0,Group_players=4,M1083=M1084,M1084=M1085),IF(U1090="","",IF(COUNTIF(U1090:U1093,U1090)=3,"Tied",IF(AND(COUNTIF(U1090:U1093,U1090)=1,U1091&lt;&gt;U1092),IF(M1083=2,IF(SMALL(U1090:U1093,1)=U1090,1,IF(SMALL(U1090:U1093,2)=U1090,2,IF(SMALL(U1090:U1093,3)=U1090,3))),IF(M1083=1,IF(SMALL(U1090:U1093,1)=U1090,2,IF(SMALL(U1090:U1093,2)=U1090,3,IF(SMALL(U1090:U1093,3)=U1090,4))),"")),IF(COUNTIF(U1090:U1093,U1090)=1,IF(U1090&lt;U1091,IF(M1083=2,1,2),IF(M1083=2,3,4)),IF(COUNTIF(U1090:U1093,U1090)=2,IF(U1090=U1091,IF(U1090&lt;U1092,IF(M1083=2,IF(Q1106=3,1,2),IF(M1083=1,IF(Q1106=3,2,3))),IF(U1090&gt;U1092,IF(M1083=2,IF(Q1106=3,2,3),IF(M1083=1,IF(Q1106=3,3,4))))),IF(U1090=U1092,IF(U1090&lt;U1091,IF(M1083=2,IF(Q1094=3,1,2),IF(M1083=1,IF(Q1094=3,2,3))),IF(U1090&gt;U1091,IF(M1083=2,IF(Q1094=3,2,3),IF(M1083=1,IF(Q1094=3,3,4)))))))))))),"")</f>
        <v/>
      </c>
      <c r="AC1100" s="192"/>
      <c r="AD1100" s="192"/>
      <c r="AE1100" s="192"/>
      <c r="AF1100" s="203"/>
      <c r="AG1100" s="203"/>
      <c r="AH1100" s="203"/>
      <c r="AI1100" s="203"/>
      <c r="AJ1100" s="203"/>
      <c r="AK1100" s="203"/>
      <c r="AL1100" s="203"/>
      <c r="AM1100" s="203"/>
      <c r="AN1100" s="192"/>
      <c r="AO1100" s="192"/>
      <c r="AP1100" s="192"/>
      <c r="AQ1100" s="192"/>
      <c r="AR1100" s="192"/>
      <c r="AS1100" s="192"/>
      <c r="AT1100" s="192"/>
      <c r="AU1100" s="192"/>
      <c r="AV1100" s="192"/>
      <c r="AW1100" s="192"/>
      <c r="AX1100" s="192"/>
    </row>
    <row r="1101" spans="2:50" ht="15" customHeight="1" thickBot="1" x14ac:dyDescent="0.35">
      <c r="B1101" s="192"/>
      <c r="C1101" s="192"/>
      <c r="D1101" s="192"/>
      <c r="E1101" s="164" t="str">
        <f>IF(Q1101="","",IF(Q1101=3,1,0))</f>
        <v/>
      </c>
      <c r="F1101" s="164" t="str">
        <f>IF(Q1101="","",IF(Q1101&lt;3,1,0))</f>
        <v/>
      </c>
      <c r="G1101" s="192"/>
      <c r="H1101" s="192" t="str">
        <f>IF(I1085="","",IF(I1086&lt;&gt;"",4,2))</f>
        <v/>
      </c>
      <c r="I1101" s="192" t="str">
        <f>IF(ISNUMBER(H1101),VLOOKUP(H1101,H1083:I1086,2,TRUE),"")</f>
        <v/>
      </c>
      <c r="J1101" s="192"/>
      <c r="K1101" s="192" t="str">
        <f>VLOOKUP(I1101,I1083:L1086,3,FALSE)</f>
        <v/>
      </c>
      <c r="L1101" s="155"/>
      <c r="M1101" s="259"/>
      <c r="N1101" s="259"/>
      <c r="O1101" s="156"/>
      <c r="P1101" s="157"/>
      <c r="Q1101" s="260" t="str">
        <f>IF(L1101="","",IF(AND(L1101-L1100&gt;1,L1101&gt;10),1,0)+IF(AND(M1101-M1100&gt;1,M1101&gt;10),1,0)+IF(AND(N1101-N1100&gt;1,N1101&gt;10),1,0)+IF(AND(O1101-O1100&gt;1,O1101&gt;10),1,0)+IF(AND(P1101-P1100&gt;1,P1101&gt;10),1,0))</f>
        <v/>
      </c>
      <c r="R1101" s="203" t="str">
        <f>IF(AND(Q1100&lt;&gt;3,Q1101&lt;&gt;3),"",IF(Q1100=3,IF(VLOOKUP(I1100,I1083:L1086,4,FALSE)&gt;VLOOKUP(I1101,I1083:L1086,4,FALSE),VLOOKUP(R1100,Point_dif,2,FALSE),VLOOKUP(R1100,Point_dif,3,FALSE)),IF(Q1101=3,IF(VLOOKUP(I1101,I1083:L1086,4,FALSE)&gt;VLOOKUP(I1100,I1083:L1086,4,FALSE),VLOOKUP(R1100,Point_dif,2,FALSE),VLOOKUP(R1100,Point_dif,3,FALSE)))))</f>
        <v/>
      </c>
      <c r="S1101" s="256" t="str">
        <f>IF(R1101="","",IF(Q1101=3,+R1101,-R1101))</f>
        <v/>
      </c>
      <c r="T1101" s="192"/>
      <c r="U1101" s="235"/>
      <c r="V1101" s="235"/>
      <c r="W1101" s="235"/>
      <c r="X1101" s="235"/>
      <c r="Y1101" s="235"/>
      <c r="Z1101" s="235"/>
      <c r="AA1101" s="246">
        <v>2</v>
      </c>
      <c r="AB1101" s="222" t="str">
        <f>IF(AND(COUNTBLANK(I1083:I1086)=0,Group_players=4,M1083=M1084,M1084=M1085),IF(U1091="","",IF(COUNTIF(U1090:U1093,U1091)=3,"Tied",IF(AND(COUNTIF(U1090:U1093,U1091)=1,U1090&lt;&gt;U1092),IF(M1084=2,IF(SMALL(U1090:U1093,1)=U1091,1,IF(SMALL(U1090:U1093,2)=U1091,2,IF(SMALL(U1090:U1093,3)=U1091,3))),IF(M1084=1,IF(SMALL(U1090:U1093,1)=U1091,2,IF(SMALL(U1090:U1093,2)=U1091,3,IF(SMALL(U1090:U1093,3)=U1091,4))),"")),IF(COUNTIF(U1090:U1093,U1091)=1,IF(U1091&lt;U1090,IF(M1084=2,1,2),IF(M1084=2,3,4)),IF(COUNTIF(U1090:U1093,U1091)=2,IF(U1091=U1090,IF(U1091&lt;U1092,IF(M1084=2,IF(Q1107=3,1,2),IF(M1084=1,IF(Q1107=3,2,3))),IF(U1091&gt;U1092,IF(M1084=2,IF(Q1107=3,2,3),IF(M1084=1,IF(Q1107=3,3,4))))),IF(U1091=U1092,IF(U1091&lt;U1090,IF(M1084=2,IF(Q1103=3,1,2),IF(M1084=1,IF(Q1103=3,2,3))),IF(U1091&gt;U1090,IF(M1084=2,IF(Q1103=3,2,3),IF(M1084=1,IF(Q1103=3,3,4)))))))))))),"")</f>
        <v/>
      </c>
      <c r="AC1101" s="192"/>
      <c r="AD1101" s="192"/>
      <c r="AE1101" s="192"/>
      <c r="AF1101" s="203"/>
      <c r="AG1101" s="203"/>
      <c r="AH1101" s="203"/>
      <c r="AI1101" s="203"/>
      <c r="AJ1101" s="203"/>
      <c r="AK1101" s="203"/>
      <c r="AL1101" s="203"/>
      <c r="AM1101" s="203"/>
      <c r="AN1101" s="192"/>
      <c r="AO1101" s="192"/>
      <c r="AP1101" s="192"/>
      <c r="AQ1101" s="192"/>
      <c r="AR1101" s="192"/>
      <c r="AS1101" s="192"/>
      <c r="AT1101" s="192"/>
      <c r="AU1101" s="192"/>
      <c r="AV1101" s="192"/>
      <c r="AW1101" s="192"/>
      <c r="AX1101" s="192"/>
    </row>
    <row r="1102" spans="2:50" ht="15" customHeight="1" thickTop="1" thickBot="1" x14ac:dyDescent="0.35">
      <c r="B1102" s="192"/>
      <c r="C1102" s="192"/>
      <c r="D1102" s="192"/>
      <c r="E1102" s="164"/>
      <c r="F1102" s="164"/>
      <c r="G1102" s="192"/>
      <c r="H1102" s="192"/>
      <c r="I1102" s="249" t="s">
        <v>118</v>
      </c>
      <c r="J1102" s="249"/>
      <c r="K1102" s="249"/>
      <c r="L1102" s="250" t="s">
        <v>115</v>
      </c>
      <c r="M1102" s="250" t="s">
        <v>116</v>
      </c>
      <c r="N1102" s="250" t="s">
        <v>117</v>
      </c>
      <c r="O1102" s="250" t="s">
        <v>118</v>
      </c>
      <c r="P1102" s="250" t="s">
        <v>119</v>
      </c>
      <c r="Q1102" s="250" t="s">
        <v>120</v>
      </c>
      <c r="R1102" s="250"/>
      <c r="S1102" s="251"/>
      <c r="T1102" s="192"/>
      <c r="U1102" s="235"/>
      <c r="V1102" s="235"/>
      <c r="W1102" s="235"/>
      <c r="X1102" s="235"/>
      <c r="Y1102" s="235"/>
      <c r="Z1102" s="235"/>
      <c r="AA1102" s="240">
        <v>3</v>
      </c>
      <c r="AB1102" s="241" t="str">
        <f>IF(AND(COUNTBLANK(I1083:I1086)=0,Group_players=4,M1083=M1084,M1084=M1085),IF(U1092="","",IF(COUNTIF(U1090:U1093,U1092)=3,"Tied",IF(AND(COUNTIF(U1090:U1093,U1092)=1,U1090&lt;&gt;U1091),IF(M1083=2,IF(SMALL(U1090:U1093,1)=U1092,1,IF(SMALL(U1090:U1093,2)=U1092,2,IF(SMALL(U1090:U1093,3)=U1092,3))),IF(M1085=1,IF(SMALL(U1090:U1093,1)=U1092,2,IF(SMALL(U1090:U1093,2)=U1092,3,IF(SMALL(U1090:U1093,3)=U1092,4))),"")),IF(COUNTIF(U1090:U1093,U1092)=1,IF(U1092&lt;U1091,IF(M1085=2,1,2),IF(M1085=2,3,4)),IF(COUNTIF(U1090:U1093,U1092)=2,IF(U1092=U1091,IF(U1092&lt;U1090,IF(M1085=2,IF(Q1104=3,1,2),IF(M1085=1,IF(Q1104=3,2,3))),IF(U1092&gt;U1090,IF(M1085=2,IF(Q1104=3,2,3),IF(M1085=1,IF(Q1104=3,3,4))))),IF(U1092=U1090,IF(U1092&lt;U1091,IF(M1085=2,IF(Q1095=3,1,2),IF(M1085=1,IF(Q1095=3,2,3))),IF(U1092&gt;U1091,IF(M1085=2,IF(Q1095=3,2,3),IF(M1085=1,IF(Q1095=3,3,4)))))))))))),"")</f>
        <v/>
      </c>
      <c r="AC1102" s="192"/>
      <c r="AD1102" s="192"/>
      <c r="AE1102" s="192"/>
      <c r="AF1102" s="203"/>
      <c r="AG1102" s="203"/>
      <c r="AH1102" s="203"/>
      <c r="AI1102" s="203"/>
      <c r="AJ1102" s="203"/>
      <c r="AK1102" s="203"/>
      <c r="AL1102" s="203"/>
      <c r="AM1102" s="203"/>
      <c r="AN1102" s="192"/>
      <c r="AO1102" s="192"/>
      <c r="AP1102" s="192"/>
      <c r="AQ1102" s="192"/>
      <c r="AR1102" s="192"/>
      <c r="AS1102" s="192"/>
      <c r="AT1102" s="192"/>
      <c r="AU1102" s="192"/>
      <c r="AV1102" s="192"/>
      <c r="AW1102" s="192"/>
      <c r="AX1102" s="192"/>
    </row>
    <row r="1103" spans="2:50" ht="15" customHeight="1" thickTop="1" x14ac:dyDescent="0.3">
      <c r="B1103" s="192"/>
      <c r="C1103" s="192"/>
      <c r="D1103" s="192"/>
      <c r="E1103" s="164" t="str">
        <f>IF(Q1103="","",IF(Q1103=3,1,0))</f>
        <v/>
      </c>
      <c r="F1103" s="164" t="str">
        <f>IF(Q1103="","",IF(Q1103&lt;3,1,0))</f>
        <v/>
      </c>
      <c r="G1103" s="192"/>
      <c r="H1103" s="192" t="str">
        <f>IF(I1086&lt;&gt;"",2,"")</f>
        <v/>
      </c>
      <c r="I1103" s="192" t="str">
        <f>IF(ISNUMBER(H1103),VLOOKUP(H1103,H1083:I1086,2,TRUE),"")</f>
        <v/>
      </c>
      <c r="J1103" s="192"/>
      <c r="K1103" s="192" t="str">
        <f>VLOOKUP(I1103,I1083:L1086,3,FALSE)</f>
        <v/>
      </c>
      <c r="L1103" s="253"/>
      <c r="M1103" s="254"/>
      <c r="N1103" s="254"/>
      <c r="O1103" s="152"/>
      <c r="P1103" s="153"/>
      <c r="Q1103" s="255" t="str">
        <f>IF(L1103="","",IF(AND(L1103-L1104&gt;1,L1103&gt;10),1,0)+IF(AND(M1103-M1104&gt;1,M1103&gt;10),1,0)+IF(AND(N1103-N1104&gt;1,N1103&gt;10),1,0)+IF(AND(O1103-O1104&gt;1,O1103&gt;10),1,0)+IF(AND(P1103-P1104&gt;1,P1103&gt;10),1,0))</f>
        <v/>
      </c>
      <c r="R1103" s="203" t="str">
        <f>IF(AND(I1103="",I1104=""),"",ABS(VLOOKUP(I1103,I1083:L1086,4,FALSE)-VLOOKUP(I1104,I1083:L1086,4,FALSE)))</f>
        <v/>
      </c>
      <c r="S1103" s="256" t="str">
        <f>IF(R1104="","",IF(Q1103=3,+R1104,-R1104))</f>
        <v/>
      </c>
      <c r="T1103" s="192"/>
      <c r="U1103" s="235"/>
      <c r="V1103" s="235"/>
      <c r="W1103" s="235"/>
      <c r="X1103" s="235"/>
      <c r="Y1103" s="235"/>
      <c r="Z1103" s="235"/>
      <c r="AA1103" s="243">
        <v>1</v>
      </c>
      <c r="AB1103" s="222" t="str">
        <f>IF(AND(COUNTBLANK(I1083:I1086)=0,Group_players=4,M1083=M1085,M1085=M1086),IF(V1090="","",IF(COUNTIF(V1090:V1093,V1090)=3,"Tied",IF(AND(COUNTIF(V1090:V1093,V1090)=1,V1092&lt;&gt;U1093),IF(M1083=2,IF(SMALL(V1090:V1093,1)=V1090,1,IF(SMALL(V1090:V1093,2)=V1090,2,IF(SMALL(V1090:V1093,3)=V1090,3))),IF(M1083=1,IF(SMALL(V1090:V1093,1)=V1090,2,IF(SMALL(V1090:V1093,2)=V1090,3,IF(SMALL(V1090:V1093,3)=V1090,4))),"")),IF(COUNTIF(V1090:V1093,V1090)=1,IF(V1090&lt;V1092,IF(M1083=2,1,2),IF(M1083=2,3,4)),IF(COUNTIF(V1090:V1093,V1090)=2,IF(V1090=V1092,IF(V1090&lt;V1093,IF(M1083=2,IF(Q1094=3,1,2),IF(M1083=1,IF(Q1094=3,2,3))),IF(V1090&gt;V1093,IF(M1083=2,IF(Q1094=3,2,3),IF(M1083=1,IF(Q1094=3,3,4))))),IF(V1090=V1093,IF(V1090&lt;V1092,IF(M1083=2,IF(Q1100=3,1,2),IF(M1083=1,IF(Q1100=3,2,3))),IF(V1090&gt;V1091,IF(M1083=2,IF(Q1100=3,2,3),IF(M1083=1,IF(Q1100=3,3,4)))))))))))),"")</f>
        <v/>
      </c>
      <c r="AC1103" s="192"/>
      <c r="AD1103" s="192"/>
      <c r="AE1103" s="192"/>
      <c r="AF1103" s="203"/>
      <c r="AG1103" s="203"/>
      <c r="AH1103" s="203"/>
      <c r="AI1103" s="203"/>
      <c r="AJ1103" s="203"/>
      <c r="AK1103" s="203"/>
      <c r="AL1103" s="203"/>
      <c r="AM1103" s="203"/>
      <c r="AN1103" s="192"/>
      <c r="AO1103" s="192"/>
      <c r="AP1103" s="192"/>
      <c r="AQ1103" s="192"/>
      <c r="AR1103" s="192"/>
      <c r="AS1103" s="192"/>
      <c r="AT1103" s="192"/>
      <c r="AU1103" s="192"/>
      <c r="AV1103" s="192"/>
      <c r="AW1103" s="192"/>
      <c r="AX1103" s="192"/>
    </row>
    <row r="1104" spans="2:50" ht="15" customHeight="1" thickBot="1" x14ac:dyDescent="0.35">
      <c r="B1104" s="192"/>
      <c r="C1104" s="192"/>
      <c r="D1104" s="192"/>
      <c r="E1104" s="164" t="str">
        <f>IF(Q1104="","",IF(Q1104=3,1,0))</f>
        <v/>
      </c>
      <c r="F1104" s="164" t="str">
        <f>IF(Q1104="","",IF(Q1104&lt;3,1,0))</f>
        <v/>
      </c>
      <c r="G1104" s="192"/>
      <c r="H1104" s="192" t="str">
        <f>IF(I1086&lt;&gt;"",3,"")</f>
        <v/>
      </c>
      <c r="I1104" s="192" t="str">
        <f>IF(ISNUMBER(H1104),VLOOKUP(H1104,H1083:I1086,2,TRUE),"")</f>
        <v/>
      </c>
      <c r="J1104" s="192"/>
      <c r="K1104" s="192" t="str">
        <f>VLOOKUP(I1104,I1083:L1086,3,FALSE)</f>
        <v/>
      </c>
      <c r="L1104" s="155"/>
      <c r="M1104" s="259"/>
      <c r="N1104" s="259"/>
      <c r="O1104" s="156"/>
      <c r="P1104" s="157"/>
      <c r="Q1104" s="260" t="str">
        <f>IF(L1104="","",IF(AND(L1104-L1103&gt;1,L1104&gt;10),1,0)+IF(AND(M1104-M1103&gt;1,M1104&gt;10),1,0)+IF(AND(N1104-N1103&gt;1,N1104&gt;10),1,0)+IF(AND(O1104-O1103&gt;1,O1104&gt;10),1,0)+IF(AND(P1104-P1103&gt;1,P1104&gt;10),1,0))</f>
        <v/>
      </c>
      <c r="R1104" s="203" t="str">
        <f>IF(AND(Q1103&lt;&gt;3,Q1104&lt;&gt;3),"",IF(Q1103=3,IF(VLOOKUP(I1103,I1083:L1086,4,FALSE)&gt;VLOOKUP(I1104,I1083:L1086,4,FALSE),VLOOKUP(R1103,Point_dif,2,FALSE),VLOOKUP(R1103,Point_dif,3,FALSE)),IF(Q1104=3,IF(VLOOKUP(I1104,I1083:L1086,4,FALSE)&gt;VLOOKUP(I1103,I1083:L1086,4,FALSE),VLOOKUP(R1103,Point_dif,2,FALSE),VLOOKUP(R1103,Point_dif,3,FALSE)))))</f>
        <v/>
      </c>
      <c r="S1104" s="256" t="str">
        <f>IF(R1104="","",IF(Q1104=3,+R1104,-R1104))</f>
        <v/>
      </c>
      <c r="T1104" s="192"/>
      <c r="U1104" s="159"/>
      <c r="V1104" s="266"/>
      <c r="W1104" s="266"/>
      <c r="X1104" s="266"/>
      <c r="Y1104" s="192"/>
      <c r="Z1104" s="203"/>
      <c r="AA1104" s="246">
        <v>3</v>
      </c>
      <c r="AB1104" s="222" t="str">
        <f>IF(AND(COUNTBLANK(I1083:I1086)=0,Group_players=4,M1083=M1085,M1085=M1086),IF(V1092="","",IF(COUNTIF(V1090:V1093,V1092)=3,"Tied",IF(AND(COUNTIF(V1090:V1093,V1092)=1,V1090&lt;&gt;V1093),IF(M1085=2,IF(SMALL(V1090:V1093,1)=V1092,1,IF(SMALL(V1090:V1093,2)=V1092,2,IF(SMALL(V1090:V1093,3)=V1092,3))),IF(M1085=1,IF(SMALL(V1090:V1093,1)=V1092,2,IF(SMALL(V1090:V1093,2)=V1092,3,IF(SMALL(V1090:V1093,3)=V1092,4))),"")),IF(COUNTIF(V1090:V1093,V1092)=1,IF(V1092&lt;V1090,IF(M1085=2,1,2),IF(M1085=2,3,4)),IF(COUNTIF(V1090:V1093,V1092)=2,IF(V1092=V1090,IF(V1092&lt;V1093,IF(M1085=2,IF(Q1095=3,1,2),IF(M1085=1,IF(Q1095=3,2,3))),IF(V1092&gt;V1093,IF(M1085=2,IF(Q1095=3,2,3),IF(M1085=1,IF(Q1095=3,3,4))))),IF(V1092=V1093,IF(V1092&lt;V1090,IF(M1085=2,IF(Q1109=3,1,2),IF(M1085=1,IF(Q1109=3,2,3))),IF(V1092&gt;V1090,IF(M1085=2,IF(Q1109=3,2,3),IF(M1085=1,IF(Q1109=3,3,4)))))))))))),"")</f>
        <v/>
      </c>
      <c r="AC1104" s="192"/>
      <c r="AD1104" s="192"/>
      <c r="AE1104" s="192"/>
      <c r="AF1104" s="203"/>
      <c r="AG1104" s="203"/>
      <c r="AH1104" s="203"/>
      <c r="AI1104" s="203"/>
      <c r="AJ1104" s="203"/>
      <c r="AK1104" s="203"/>
      <c r="AL1104" s="203"/>
      <c r="AM1104" s="203"/>
      <c r="AN1104" s="192"/>
      <c r="AO1104" s="192"/>
      <c r="AP1104" s="192"/>
      <c r="AQ1104" s="192"/>
      <c r="AR1104" s="192"/>
      <c r="AS1104" s="192"/>
      <c r="AT1104" s="192"/>
      <c r="AU1104" s="192"/>
      <c r="AV1104" s="192"/>
      <c r="AW1104" s="192"/>
      <c r="AX1104" s="192"/>
    </row>
    <row r="1105" spans="2:50" ht="15" customHeight="1" thickTop="1" thickBot="1" x14ac:dyDescent="0.35">
      <c r="B1105" s="192"/>
      <c r="C1105" s="192"/>
      <c r="D1105" s="192"/>
      <c r="E1105" s="164"/>
      <c r="F1105" s="164"/>
      <c r="G1105" s="192"/>
      <c r="H1105" s="192"/>
      <c r="I1105" s="249" t="s">
        <v>119</v>
      </c>
      <c r="J1105" s="249"/>
      <c r="K1105" s="249"/>
      <c r="L1105" s="250" t="s">
        <v>115</v>
      </c>
      <c r="M1105" s="250" t="s">
        <v>116</v>
      </c>
      <c r="N1105" s="250" t="s">
        <v>117</v>
      </c>
      <c r="O1105" s="250" t="s">
        <v>118</v>
      </c>
      <c r="P1105" s="250" t="s">
        <v>119</v>
      </c>
      <c r="Q1105" s="250" t="s">
        <v>120</v>
      </c>
      <c r="R1105" s="250"/>
      <c r="S1105" s="251"/>
      <c r="T1105" s="247"/>
      <c r="U1105" s="235"/>
      <c r="V1105" s="235"/>
      <c r="W1105" s="235"/>
      <c r="X1105" s="235"/>
      <c r="Y1105" s="235"/>
      <c r="Z1105" s="235"/>
      <c r="AA1105" s="240">
        <v>4</v>
      </c>
      <c r="AB1105" s="241" t="str">
        <f>IF(AND(COUNTBLANK(I1083:I1086)=0,Group_players=4,M1083=M1085,M1085=M1086),IF(V1093="","",IF(COUNTIF(V1090:V1093,V1093)=3,"Tied",IF(AND(COUNTIF(V1090:V1093,V1093)=1,V1092&lt;&gt;V1090),IF(M1086=2,IF(SMALL(V1090:V1093,1)=V1093,1,IF(SMALL(V1090:V1093,2)=V1093,2,IF(SMALL(V1090:V1093,3)=V1093,3))),IF(M1086=1,IF(SMALL(V1090:V1093,1)=V1093,2,IF(SMALL(V1090:V1093,2)=V1093,3,IF(SMALL(V1090:V1093,3)=V1093,4))),"")),IF(COUNTIF(V1090:V1093,V1093)=1,IF(V1093&lt;V1090,IF(M1086=2,1,2),IF(M1086=2,3,4)),IF(COUNTIF(V1090:V1093,V1093)=2,IF(V1093=V1090,IF(V1093&lt;V1092,IF(M1086=2,IF(Q1101=3,1,2),IF(M1086=1,IF(Q1101=3,2,3))),IF(V1093&gt;V1092,IF(M1086=2,IF(Q1101=3,2,3),IF(M1086=1,IF(Q1101=3,3,4))))),IF(V1093=V1092,IF(V1093&lt;V1090,IF(M1086=2,IF(Q1110=3,1,2),IF(M1086=1,IF(Q1110=3,2,3))),IF(V1093&gt;V1090,IF(M1086=2,IF(Q1110=3,2,3),IF(M1086=1,IF(Q1110=3,3,4)))))))))))),"")</f>
        <v/>
      </c>
      <c r="AC1105" s="192"/>
      <c r="AD1105" s="192"/>
      <c r="AE1105" s="192"/>
      <c r="AF1105" s="203"/>
      <c r="AG1105" s="203"/>
      <c r="AH1105" s="203"/>
      <c r="AI1105" s="203"/>
      <c r="AJ1105" s="203"/>
      <c r="AK1105" s="203"/>
      <c r="AL1105" s="203"/>
      <c r="AM1105" s="203"/>
      <c r="AN1105" s="192"/>
      <c r="AO1105" s="192"/>
      <c r="AP1105" s="192"/>
      <c r="AQ1105" s="192"/>
      <c r="AR1105" s="192"/>
      <c r="AS1105" s="192"/>
      <c r="AT1105" s="192"/>
      <c r="AU1105" s="192"/>
      <c r="AV1105" s="192"/>
      <c r="AW1105" s="192"/>
      <c r="AX1105" s="192"/>
    </row>
    <row r="1106" spans="2:50" ht="15" customHeight="1" thickTop="1" x14ac:dyDescent="0.3">
      <c r="B1106" s="192"/>
      <c r="C1106" s="192"/>
      <c r="D1106" s="192"/>
      <c r="E1106" s="164" t="str">
        <f>IF(Q1106="","",IF(Q1106=3,1,0))</f>
        <v/>
      </c>
      <c r="F1106" s="164" t="str">
        <f>IF(Q1106="","",IF(Q1106&lt;3,1,0))</f>
        <v/>
      </c>
      <c r="G1106" s="192"/>
      <c r="H1106" s="192" t="str">
        <f>IF(I1086&lt;&gt;"",1,"")</f>
        <v/>
      </c>
      <c r="I1106" s="192" t="str">
        <f>IF(ISNUMBER(H1106),VLOOKUP(H1106,H1083:I1086,2,TRUE),"")</f>
        <v/>
      </c>
      <c r="J1106" s="192"/>
      <c r="K1106" s="192" t="str">
        <f>VLOOKUP(I1106,I1083:L1086,3,FALSE)</f>
        <v/>
      </c>
      <c r="L1106" s="253"/>
      <c r="M1106" s="254"/>
      <c r="N1106" s="254"/>
      <c r="O1106" s="152"/>
      <c r="P1106" s="153"/>
      <c r="Q1106" s="255" t="str">
        <f>IF(L1106="","",IF(AND(L1106-L1107&gt;1,L1106&gt;10),1,0)+IF(AND(M1106-M1107&gt;1,M1106&gt;10),1,0)+IF(AND(N1106-N1107&gt;1,N1106&gt;10),1,0)+IF(AND(O1106-O1107&gt;1,O1106&gt;10),1,0)+IF(AND(P1106-P1107&gt;1,P1106&gt;10),1,0))</f>
        <v/>
      </c>
      <c r="R1106" s="203" t="str">
        <f>IF(AND(I1106="",I1107=""),"",ABS(VLOOKUP(I1106,I1083:L1086,4,FALSE)-VLOOKUP(I1107,I1083:L1086,4,FALSE)))</f>
        <v/>
      </c>
      <c r="S1106" s="256" t="str">
        <f>IF(R1107="","",IF(Q1106=3,+R1107,-R1107))</f>
        <v/>
      </c>
      <c r="T1106" s="247"/>
      <c r="U1106" s="235"/>
      <c r="V1106" s="235"/>
      <c r="W1106" s="235"/>
      <c r="X1106" s="235"/>
      <c r="Y1106" s="235"/>
      <c r="Z1106" s="235"/>
      <c r="AA1106" s="243">
        <v>1</v>
      </c>
      <c r="AB1106" s="222" t="str">
        <f>IF(AND(COUNTBLANK(I1083:I1086)=0,Group_players=4,M1083=M1084,M1084=M1086),IF(W1090="","",IF(COUNTIF(W1090:W1093,W1090)=3,"Tied",IF(AND(COUNTIF(W1090:W1093,W1090)=1,W1091&lt;&gt;W1092),IF(M1083=2,IF(SMALL(W1090:W1093,1)=W1090,1,IF(SMALL(W1090:W1093,2)=W1090,2,IF(SMALL(W1090:W1093,3)=W1090,3))),IF(M1083=1,IF(SMALL(W1090:W1093,1)=W1090,2,IF(SMALL(W1090:W1093,2)=W1090,3,IF(SMALL(W1090:W1093,3)=W1090,4))),"")),IF(COUNTIF(W1090:W1093,W1090)=1,IF(W1090&lt;W1091,IF(M1083=2,1,2),IF(M1083=2,3,4)),IF(COUNTIF(W1090:W1093,W1090)=2,IF(W1090=W1091,IF(W1090&lt;W1093,IF(M1083=2,IF(Q1106=3,1,2),IF(M1083=1,IF(Q1106=3,2,3))),IF(W1090&gt;W1093,IF(M1083=2,IF(Q1106=3,2,3),IF(M1083=1,IF(Q1106=3,3,4))))),IF(W1090=W1093,IF(W1090&lt;W1091,IF(M1083=2,IF(Q1100=3,1,2),IF(M1083=1,IF(Q1100=3,2,3))),IF(W1090&gt;W1091,IF(M1083=2,IF(Q1100=3,2,3),IF(M1083=1,IF(Q1100=3,3,4)))))))))))),"")</f>
        <v/>
      </c>
      <c r="AC1106" s="192"/>
      <c r="AD1106" s="192"/>
      <c r="AE1106" s="192"/>
      <c r="AF1106" s="203"/>
      <c r="AG1106" s="203"/>
      <c r="AH1106" s="203"/>
      <c r="AI1106" s="203"/>
      <c r="AJ1106" s="203"/>
      <c r="AK1106" s="203"/>
      <c r="AL1106" s="203"/>
      <c r="AM1106" s="203"/>
      <c r="AN1106" s="192"/>
      <c r="AO1106" s="192"/>
      <c r="AP1106" s="192"/>
      <c r="AQ1106" s="192"/>
      <c r="AR1106" s="192"/>
      <c r="AS1106" s="192"/>
      <c r="AT1106" s="192"/>
      <c r="AU1106" s="192"/>
      <c r="AV1106" s="192"/>
      <c r="AW1106" s="192"/>
      <c r="AX1106" s="192"/>
    </row>
    <row r="1107" spans="2:50" ht="15" customHeight="1" thickBot="1" x14ac:dyDescent="0.35">
      <c r="B1107" s="192"/>
      <c r="C1107" s="192"/>
      <c r="D1107" s="192"/>
      <c r="E1107" s="164" t="str">
        <f>IF(Q1107="","",IF(Q1107=3,1,0))</f>
        <v/>
      </c>
      <c r="F1107" s="164" t="str">
        <f>IF(Q1107="","",IF(Q1107&lt;3,1,0))</f>
        <v/>
      </c>
      <c r="G1107" s="192"/>
      <c r="H1107" s="192" t="str">
        <f>IF(I1086&lt;&gt;"",2,"")</f>
        <v/>
      </c>
      <c r="I1107" s="192" t="str">
        <f>IF(ISNUMBER(H1107),VLOOKUP(H1107,H1083:I1086,2,TRUE),"")</f>
        <v/>
      </c>
      <c r="J1107" s="192"/>
      <c r="K1107" s="192" t="str">
        <f>VLOOKUP(I1107,I1083:L1086,3,FALSE)</f>
        <v/>
      </c>
      <c r="L1107" s="155"/>
      <c r="M1107" s="259"/>
      <c r="N1107" s="259"/>
      <c r="O1107" s="156"/>
      <c r="P1107" s="157"/>
      <c r="Q1107" s="260" t="str">
        <f>IF(L1107="","",IF(AND(L1107-L1106&gt;1,L1107&gt;10),1,0)+IF(AND(M1107-M1106&gt;1,M1107&gt;10),1,0)+IF(AND(N1107-N1106&gt;1,N1107&gt;10),1,0)+IF(AND(O1107-O1106&gt;1,O1107&gt;10),1,0)+IF(AND(P1107-P1106&gt;1,P1107&gt;10),1,0))</f>
        <v/>
      </c>
      <c r="R1107" s="203" t="str">
        <f>IF(AND(Q1106&lt;&gt;3,Q1107&lt;&gt;3),"",IF(Q1106=3,IF(VLOOKUP(I1106,I1083:L1086,4,FALSE)&gt;VLOOKUP(I1107,I1083:L1086,4,FALSE),VLOOKUP(R1106,Point_dif,2,FALSE),VLOOKUP(R1106,Point_dif,3,FALSE)),IF(Q1107=3,IF(VLOOKUP(I1107,I1083:L1086,4,FALSE)&gt;VLOOKUP(I1107,I1083:L1086,4,FALSE),VLOOKUP(R1106,Point_dif,2,FALSE),VLOOKUP(R1106,Point_dif,3,FALSE)))))</f>
        <v/>
      </c>
      <c r="S1107" s="256" t="str">
        <f>IF(R1107="","",IF(Q1107=3,+R1107,-R1107))</f>
        <v/>
      </c>
      <c r="T1107" s="247"/>
      <c r="U1107" s="235"/>
      <c r="V1107" s="235"/>
      <c r="W1107" s="235"/>
      <c r="X1107" s="235"/>
      <c r="Y1107" s="235"/>
      <c r="Z1107" s="235"/>
      <c r="AA1107" s="246">
        <v>2</v>
      </c>
      <c r="AB1107" s="222" t="str">
        <f>IF(AND(COUNTBLANK(I1083:I1086)=0,Group_players=4,M1083=M1084,M1084=M1086),IF(W1091="","",IF(COUNTIF(W1090:W1093,W1091)=3,"Tied",IF(AND(COUNTIF(W1090:W1093,W1091)=1,W1090&lt;&gt;W1092),IF(M1084=2,IF(SMALL(W1090:W1093,1)=W1091,1,IF(SMALL(W1090:W1093,2)=W1091,2,IF(SMALL(W1090:W1093,3)=W1091,3))),IF(M1084=1,IF(SMALL(W1090:W1093,1)=W1091,2,IF(SMALL(W1090:W1093,2)=W1091,3,IF(SMALL(W1090:W1093,3)=W1091,4))),"")),IF(COUNTIF(W1090:W1093,W1091)=1,IF(W1091&lt;W1090,IF(M1084=2,1,2),IF(M1084=2,3,4)),IF(COUNTIF(W1090:W1093,W1091)=2,IF(W1091=W1090,IF(W1091&lt;W1093,IF(M1084=2,IF(Q1107=3,1,2),IF(M1084=1,IF(Q1107=3,2,3))),IF(W1091&gt;W1093,IF(M1084=2,IF(Q1107=3,2,3),IF(M1084=1,IF(Q1107=3,3,4))))),IF(W1091=W1093,IF(W1091&lt;W1090,IF(M1084=2,IF(Q1097=3,1,2),IF(M1084=1,IF(Q1097=3,2,3))),IF(W1091&gt;W1090,IF(M1084=2,IF(Q1097=3,2,3),IF(M1084=1,IF(Q1097=3,3,4)))))))))))),"")</f>
        <v/>
      </c>
      <c r="AC1107" s="192"/>
      <c r="AD1107" s="192"/>
      <c r="AE1107" s="192"/>
      <c r="AF1107" s="203"/>
      <c r="AG1107" s="203"/>
      <c r="AH1107" s="203"/>
      <c r="AI1107" s="203"/>
      <c r="AJ1107" s="203"/>
      <c r="AK1107" s="203"/>
      <c r="AL1107" s="203"/>
      <c r="AM1107" s="203"/>
      <c r="AN1107" s="192"/>
      <c r="AO1107" s="192"/>
      <c r="AP1107" s="192"/>
      <c r="AQ1107" s="192"/>
      <c r="AR1107" s="192"/>
      <c r="AS1107" s="192"/>
      <c r="AT1107" s="192"/>
      <c r="AU1107" s="192"/>
      <c r="AV1107" s="192"/>
      <c r="AW1107" s="192"/>
      <c r="AX1107" s="192"/>
    </row>
    <row r="1108" spans="2:50" ht="15" customHeight="1" thickTop="1" thickBot="1" x14ac:dyDescent="0.35">
      <c r="B1108" s="192"/>
      <c r="C1108" s="192"/>
      <c r="D1108" s="192"/>
      <c r="E1108" s="164"/>
      <c r="F1108" s="164"/>
      <c r="G1108" s="192"/>
      <c r="H1108" s="192"/>
      <c r="I1108" s="249" t="s">
        <v>121</v>
      </c>
      <c r="J1108" s="249"/>
      <c r="K1108" s="249"/>
      <c r="L1108" s="250" t="s">
        <v>115</v>
      </c>
      <c r="M1108" s="250" t="s">
        <v>116</v>
      </c>
      <c r="N1108" s="250" t="s">
        <v>117</v>
      </c>
      <c r="O1108" s="250" t="s">
        <v>118</v>
      </c>
      <c r="P1108" s="250" t="s">
        <v>119</v>
      </c>
      <c r="Q1108" s="250" t="s">
        <v>120</v>
      </c>
      <c r="R1108" s="250"/>
      <c r="S1108" s="251"/>
      <c r="T1108" s="247"/>
      <c r="U1108" s="235"/>
      <c r="V1108" s="235"/>
      <c r="W1108" s="235"/>
      <c r="X1108" s="235"/>
      <c r="Y1108" s="235"/>
      <c r="Z1108" s="235"/>
      <c r="AA1108" s="240">
        <v>4</v>
      </c>
      <c r="AB1108" s="241" t="str">
        <f>IF(AND(COUNTBLANK(I1083:I1086)=0,Group_players=4,M1083=M1084,M1084=M1086),IF(W1093="","",IF(COUNTIF(W1090:W1093,W1093)=3,"Tied",IF(AND(COUNTIF(W1090:W1093,W1093)=1,W1090&lt;&gt;W1091),IF(M1086=2,IF(SMALL(W1090:W1093,1)=W1093,1,IF(SMALL(W1090:W1093,2)=W1093,2,IF(SMALL(W1090:W1093,3)=W1093,3))),IF(M1086=1,IF(SMALL(W1090:W1093,1)=W1093,2,IF(SMALL(W1090:W1093,2)=W1093,3,IF(SMALL(W1090:W1093,3)=W1093,4))),"")),IF(COUNTIF(W1090:W1093,W1093)=1,IF(W1093&lt;W1090,IF(M1086=2,1,2),IF(M1086=2,3,4)),IF(COUNTIF(W1090:W1093,W1093)=2,IF(W1093=W1090,IF(W1093&lt;W1091,IF(M1086=2,IF(Q1101=3,1,2),IF(M1086=1,IF(Q1101=3,2,3))),IF(W1093&gt;W1092,IF(M1086=2,IF(Q1101=3,2,3),IF(M1086=1,IF(Q1101=3,3,4))))),IF(W1093=W1091,IF(W1093&lt;W1090,IF(M1086=2,IF(Q1098=3,1,2),IF(M1086=1,IF(Q1098=3,2,3))),IF(W1093&gt;W1090,IF(M1086=2,IF(Q1098=3,2,3),IF(M1086=1,IF(Q1098=3,3,4)))))))))))),"")</f>
        <v/>
      </c>
      <c r="AC1108" s="192"/>
      <c r="AD1108" s="192"/>
      <c r="AE1108" s="192"/>
      <c r="AF1108" s="203"/>
      <c r="AG1108" s="203"/>
      <c r="AH1108" s="203"/>
      <c r="AI1108" s="203"/>
      <c r="AJ1108" s="203"/>
      <c r="AK1108" s="203"/>
      <c r="AL1108" s="203"/>
      <c r="AM1108" s="203"/>
      <c r="AN1108" s="192"/>
      <c r="AO1108" s="192"/>
      <c r="AP1108" s="192"/>
      <c r="AQ1108" s="192"/>
      <c r="AR1108" s="192"/>
      <c r="AS1108" s="192"/>
      <c r="AT1108" s="192"/>
      <c r="AU1108" s="192"/>
      <c r="AV1108" s="192"/>
      <c r="AW1108" s="192"/>
      <c r="AX1108" s="192"/>
    </row>
    <row r="1109" spans="2:50" ht="15" customHeight="1" thickTop="1" x14ac:dyDescent="0.3">
      <c r="B1109" s="192"/>
      <c r="C1109" s="192"/>
      <c r="D1109" s="192"/>
      <c r="E1109" s="164" t="str">
        <f>IF(Q1109="","",IF(Q1109=3,1,0))</f>
        <v/>
      </c>
      <c r="F1109" s="164" t="str">
        <f>IF(Q1109="","",IF(Q1109&lt;3,1,0))</f>
        <v/>
      </c>
      <c r="G1109" s="192"/>
      <c r="H1109" s="192" t="str">
        <f>IF(I1086&lt;&gt;"",3,"")</f>
        <v/>
      </c>
      <c r="I1109" s="192" t="str">
        <f>IF(ISNUMBER(H1109),VLOOKUP(H1109,H1083:I1086,2,TRUE),"")</f>
        <v/>
      </c>
      <c r="J1109" s="192"/>
      <c r="K1109" s="192" t="str">
        <f>VLOOKUP(I1109,I1083:L1086,3,FALSE)</f>
        <v/>
      </c>
      <c r="L1109" s="253"/>
      <c r="M1109" s="254"/>
      <c r="N1109" s="254"/>
      <c r="O1109" s="152"/>
      <c r="P1109" s="153"/>
      <c r="Q1109" s="255" t="str">
        <f>IF(L1109="","",IF(AND(L1109-L1110&gt;1,L1109&gt;10),1,0)+IF(AND(M1109-M1110&gt;1,M1109&gt;10),1,0)+IF(AND(N1109-N1110&gt;1,N1109&gt;10),1,0)+IF(AND(O1109-O1110&gt;1,O1109&gt;10),1,0)+IF(AND(P1109-P1110&gt;1,P1109&gt;10),1,0))</f>
        <v/>
      </c>
      <c r="R1109" s="203" t="str">
        <f>IF(AND(I1109="",I1110=""),"",ABS(VLOOKUP(I1109,I1083:L1086,4,FALSE)-VLOOKUP(I1110,I1083:L1086,4,FALSE)))</f>
        <v/>
      </c>
      <c r="S1109" s="256" t="str">
        <f>IF(R1110="","",IF(Q1109=3,+R1110,-R1110))</f>
        <v/>
      </c>
      <c r="T1109" s="247"/>
      <c r="U1109" s="264"/>
      <c r="V1109" s="242"/>
      <c r="W1109" s="192"/>
      <c r="X1109" s="264"/>
      <c r="Y1109" s="192"/>
      <c r="Z1109" s="192"/>
      <c r="AA1109" s="243">
        <v>2</v>
      </c>
      <c r="AB1109" s="222" t="str">
        <f>IF(AND(COUNTBLANK(I1083:I1086)=0,Group_players=4,M1084=M1085,M1085=M1086),IF(X1091="","",IF(COUNTIF(X1090:X1093,X1091)=3,"Tied",IF(AND(COUNTIF(X1090:X1093,X1091)=1,X1092&lt;&gt;X1093),IF(M1084=2,IF(SMALL(X1090:X1093,1)=X1091,1,IF(SMALL(X1090:X1093,2)=X1091,2,IF(SMALL(X1090:X1093,3)=X1091,3))),IF(M1084=1,IF(SMALL(X1090:X1093,1)=X1091,2,IF(SMALL(X1090:X1093,2)=X1091,3,IF(SMALL(X1090:X1093,3)=X1091,4))),"")),IF(COUNTIF(X1090:X1093,X1091)=1,IF(X1091&lt;X1093,IF(M1084=2,1,2),IF(M1084=1,4)),IF(COUNTIF(X1090:X1093,X1091)=2,IF(X1091=X1092,IF(X1091&lt;X1093,IF(M1084=2,IF(Q1103=3,1,2),IF(M1084=1,IF(Q1103=3,2,3))),IF(X1091&gt;X1093,IF(M1084=2,IF(Q1103=3,2,3),IF(M1084=1,IF(Q1103=3,3,4))))),IF(X1091=X1093,IF(X1091&lt;X1092,IF(M1084=2,IF(Q1097=3,1,2),IF(M1084=1,IF(Q1097=3,2,3))),IF(X1091&gt;X1092,IF(M1084=2,IF(Q1097=3,2,3),IF(M1084=1,IF(Q1097=3,3,4)))))))))))),"")</f>
        <v/>
      </c>
      <c r="AC1109" s="192"/>
      <c r="AD1109" s="192"/>
      <c r="AE1109" s="192"/>
      <c r="AF1109" s="203"/>
      <c r="AG1109" s="203"/>
      <c r="AH1109" s="203"/>
      <c r="AI1109" s="203"/>
      <c r="AJ1109" s="203"/>
      <c r="AK1109" s="203"/>
      <c r="AL1109" s="203"/>
      <c r="AM1109" s="203"/>
      <c r="AN1109" s="192"/>
      <c r="AO1109" s="192"/>
      <c r="AP1109" s="192"/>
      <c r="AQ1109" s="192"/>
      <c r="AR1109" s="192"/>
      <c r="AS1109" s="192"/>
      <c r="AT1109" s="192"/>
      <c r="AU1109" s="192"/>
      <c r="AV1109" s="192"/>
      <c r="AW1109" s="192"/>
      <c r="AX1109" s="192"/>
    </row>
    <row r="1110" spans="2:50" ht="15" customHeight="1" thickBot="1" x14ac:dyDescent="0.35">
      <c r="B1110" s="192"/>
      <c r="C1110" s="192"/>
      <c r="D1110" s="192"/>
      <c r="E1110" s="164" t="str">
        <f>IF(Q1110="","",IF(Q1110=3,1,0))</f>
        <v/>
      </c>
      <c r="F1110" s="164" t="str">
        <f>IF(Q1110="","",IF(Q1110&lt;3,1,0))</f>
        <v/>
      </c>
      <c r="G1110" s="192"/>
      <c r="H1110" s="192" t="str">
        <f>IF(I1086&lt;&gt;"",4,"")</f>
        <v/>
      </c>
      <c r="I1110" s="192" t="str">
        <f>IF(ISNUMBER(H1110),VLOOKUP(H1110,H1083:I1086,2,TRUE),"")</f>
        <v/>
      </c>
      <c r="J1110" s="192"/>
      <c r="K1110" s="192" t="str">
        <f>VLOOKUP(I1110,I1083:L1086,3,FALSE)</f>
        <v/>
      </c>
      <c r="L1110" s="155"/>
      <c r="M1110" s="259"/>
      <c r="N1110" s="259"/>
      <c r="O1110" s="156"/>
      <c r="P1110" s="157"/>
      <c r="Q1110" s="260" t="str">
        <f>IF(L1110="","",IF(AND(L1110-L1109&gt;1,L1110&gt;10),1,0)+IF(AND(M1110-M1109&gt;1,M1110&gt;10),1,0)+IF(AND(N1110-N1109&gt;1,N1110&gt;10),1,0)+IF(AND(O1110-O1109&gt;1,O1110&gt;10),1,0)+IF(AND(P1110-P1109&gt;1,P1110&gt;10),1,0))</f>
        <v/>
      </c>
      <c r="R1110" s="203" t="str">
        <f>IF(AND(Q1109&lt;&gt;3,Q1110&lt;&gt;3),"",IF(Q1109=3,IF(VLOOKUP(I1109,I1083:L1086,4,FALSE)&gt;VLOOKUP(I1110,I1083:L1086,4,FALSE),VLOOKUP(R1109,Point_dif,2,FALSE),VLOOKUP(R1109,Point_dif,3,FALSE)),IF(Q1110=3,IF(VLOOKUP(I1110,I1083:L1086,4,FALSE)&gt;VLOOKUP(I1109,I1083:L1086,4,FALSE),VLOOKUP(R1109,Point_dif,2,FALSE),VLOOKUP(R1109,Point_dif,3,FALSE)))))</f>
        <v/>
      </c>
      <c r="S1110" s="260" t="str">
        <f>IF(R1110="","",IF(Q1110=3,+R1110,-R1110))</f>
        <v/>
      </c>
      <c r="T1110" s="247"/>
      <c r="U1110" s="235"/>
      <c r="V1110" s="235"/>
      <c r="W1110" s="235"/>
      <c r="X1110" s="235"/>
      <c r="Y1110" s="235"/>
      <c r="Z1110" s="235"/>
      <c r="AA1110" s="246">
        <v>3</v>
      </c>
      <c r="AB1110" s="222" t="str">
        <f>IF(AND(COUNTBLANK(I1083:I1086)=0,Group_players=4,Group_players=4,M1084=M1085,M1085=M1086),IF(X1092="","",IF(COUNTIF(X1090:X1093,X1092)=3,"Tied",IF(AND(COUNTIF(X1090:X1093,X1092)=1,X1091&lt;&gt;X1093),IF(M1085=2,IF(SMALL(X1090:X1093,1)=X1092,1,IF(SMALL(X1090:X1093,2)=X1092,2,IF(SMALL(X1090:X1093,3)=X1092,3))),IF(M1085=1,IF(SMALL(X1090:X1093,1)=X1092,2,IF(SMALL(X1090:X1093,2)=X1092,3,IF(SMALL(X1090:X1093,3)=X1092,4))),"")),IF(COUNTIF(X1090:X1093,X1092)=1,IF(X1092&lt;X1091,IF(M1085=2,1,2),IF(M1085=2,3,4)),IF(COUNTIF(X1090:X1093,X1092)=2,IF(X1092=X1091,IF(X1092&lt;X1093,IF(M1085=2,IF(Q1104=3,1,2),IF(M1085=1,IF(Q1104=3,2,3))),IF(X1092&gt;X1093,IF(M1085=2,IF(Q1104=3,2,3),IF(M1085=1,IF(Q1104=3,3,4))))),IF(X1092=X1093,IF(X1092&lt;X1091,IF(M1085=2,IF(Q1109=3,1,2),IF(M1085=1,IF(Q1109=3,2,3))),IF(X1092&gt;X1091,IF(M1085=2,IF(Q1109=3,2,3),IF(M1085=1,IF(Q1109=3,3,4)))))))))))),"")</f>
        <v/>
      </c>
      <c r="AC1110" s="192"/>
      <c r="AD1110" s="192"/>
      <c r="AE1110" s="192"/>
      <c r="AF1110" s="203"/>
      <c r="AG1110" s="203"/>
      <c r="AH1110" s="203"/>
      <c r="AI1110" s="203"/>
      <c r="AJ1110" s="203"/>
      <c r="AK1110" s="203"/>
      <c r="AL1110" s="203"/>
      <c r="AM1110" s="203"/>
      <c r="AN1110" s="192"/>
      <c r="AO1110" s="192"/>
      <c r="AP1110" s="192"/>
      <c r="AQ1110" s="192"/>
      <c r="AR1110" s="192"/>
      <c r="AS1110" s="192"/>
      <c r="AT1110" s="192"/>
      <c r="AU1110" s="192"/>
      <c r="AV1110" s="192"/>
      <c r="AW1110" s="192"/>
      <c r="AX1110" s="192"/>
    </row>
    <row r="1111" spans="2:50" ht="15" customHeight="1" thickTop="1" thickBot="1" x14ac:dyDescent="0.35">
      <c r="B1111" s="192"/>
      <c r="C1111" s="192"/>
      <c r="D1111" s="192"/>
      <c r="E1111" s="192"/>
      <c r="F1111" s="192"/>
      <c r="G1111" s="192"/>
      <c r="H1111" s="192"/>
      <c r="I1111" s="192"/>
      <c r="J1111" s="192"/>
      <c r="K1111" s="192"/>
      <c r="L1111" s="192"/>
      <c r="M1111" s="192"/>
      <c r="N1111" s="192"/>
      <c r="O1111" s="268"/>
      <c r="P1111" s="192"/>
      <c r="Q1111" s="192"/>
      <c r="R1111" s="247"/>
      <c r="S1111" s="247"/>
      <c r="T1111" s="247"/>
      <c r="U1111" s="235"/>
      <c r="V1111" s="235"/>
      <c r="W1111" s="235"/>
      <c r="X1111" s="235"/>
      <c r="Y1111" s="235"/>
      <c r="Z1111" s="235"/>
      <c r="AA1111" s="261">
        <v>4</v>
      </c>
      <c r="AB1111" s="233" t="str">
        <f>IF(AND(COUNTBLANK(I1083:I1086)=0,Group_players=4,M1084=M1085,M1085=M1086),IF(X1093="","",IF(COUNTIF(X1090:X1093,X1093)=3,"Tied",IF(AND(COUNTIF(X1090:X1093,X1093)=1,X1092&lt;&gt;X1091),IF(M1086=2,IF(SMALL(X1090:X1093,1)=X1093,1,IF(SMALL(X1090:X1093,2)=X1093,2,IF(SMALL(X1090:X1093,3)=X1093,3))),IF(M1086=1,IF(SMALL(X1090:X1093,1)=X1093,2,IF(SMALL(X1090:X1093,2)=X1093,3,IF(SMALL(X1090:X1093,3)=X1093,4))),"")),IF(COUNTIF(X1090:X1093,X1093)=1,IF(X1093&lt;X1091,IF(M1086=2,1,2),IF(M1086=2,3,4)),IF(COUNTIF(X1090:X1093,X1093)=2,IF(X1093=X1091,IF(X1093&lt;X1092,IF(M1086=2,IF(Q1098=3,1,2),IF(M1086=1,IF(Q1098=3,2,3))),IF(X1093&gt;X1092,IF(M1086=2,IF(Q1098=3,2,3),IF(M1086=1,IF(Q1098=3,3,4))))),IF(X1093=X1092,IF(X1093&lt;X1091,IF(M1086=2,IF(Q1110=3,1,2),IF(M1086=1,IF(Q1110=3,2,3))),IF(X1093&gt;X1091,IF(M1086=2,IF(Q1110=3,2,3),IF(M1086=1,IF(Q1110=3,3,4)))))))))))),"")</f>
        <v/>
      </c>
      <c r="AC1111" s="192"/>
      <c r="AD1111" s="192"/>
      <c r="AE1111" s="192"/>
      <c r="AF1111" s="203"/>
      <c r="AG1111" s="203"/>
      <c r="AH1111" s="203"/>
      <c r="AI1111" s="203"/>
      <c r="AJ1111" s="203"/>
      <c r="AK1111" s="203"/>
      <c r="AL1111" s="203"/>
      <c r="AM1111" s="203"/>
      <c r="AN1111" s="192"/>
      <c r="AO1111" s="192"/>
      <c r="AP1111" s="192"/>
      <c r="AQ1111" s="192"/>
      <c r="AR1111" s="192"/>
      <c r="AS1111" s="192"/>
      <c r="AT1111" s="192"/>
      <c r="AU1111" s="192"/>
      <c r="AV1111" s="192"/>
      <c r="AW1111" s="192"/>
      <c r="AX1111" s="192"/>
    </row>
    <row r="1112" spans="2:50" ht="15" customHeight="1" thickTop="1" x14ac:dyDescent="0.3">
      <c r="B1112" s="192"/>
      <c r="C1112" s="192"/>
      <c r="D1112" s="192"/>
      <c r="E1112" s="192"/>
      <c r="F1112" s="192"/>
      <c r="G1112" s="192"/>
      <c r="H1112" s="192"/>
      <c r="I1112" s="192"/>
      <c r="J1112" s="192"/>
      <c r="K1112" s="192"/>
      <c r="L1112" s="192"/>
      <c r="M1112" s="192"/>
      <c r="N1112" s="192"/>
      <c r="O1112" s="192"/>
      <c r="P1112" s="192"/>
      <c r="Q1112" s="192"/>
      <c r="R1112" s="192"/>
      <c r="S1112" s="192"/>
      <c r="T1112" s="203"/>
      <c r="U1112" s="192"/>
      <c r="V1112" s="192"/>
      <c r="W1112" s="192"/>
      <c r="X1112" s="192"/>
      <c r="Y1112" s="192"/>
      <c r="Z1112" s="192"/>
      <c r="AA1112" s="192"/>
      <c r="AB1112" s="192"/>
      <c r="AC1112" s="192"/>
      <c r="AD1112" s="192"/>
      <c r="AE1112" s="192"/>
      <c r="AF1112" s="203"/>
      <c r="AG1112" s="203"/>
      <c r="AH1112" s="203"/>
      <c r="AI1112" s="203"/>
      <c r="AJ1112" s="203"/>
      <c r="AK1112" s="203"/>
      <c r="AL1112" s="203"/>
      <c r="AM1112" s="203"/>
      <c r="AN1112" s="192"/>
      <c r="AO1112" s="192"/>
      <c r="AP1112" s="192"/>
      <c r="AQ1112" s="192"/>
      <c r="AR1112" s="192"/>
      <c r="AS1112" s="192"/>
      <c r="AT1112" s="192"/>
      <c r="AU1112" s="192"/>
      <c r="AV1112" s="192"/>
      <c r="AW1112" s="192"/>
      <c r="AX1112" s="192"/>
    </row>
    <row r="1113" spans="2:50" ht="15" customHeight="1" x14ac:dyDescent="0.3">
      <c r="B1113" s="192"/>
      <c r="C1113" s="192"/>
      <c r="D1113" s="192"/>
      <c r="E1113" s="192"/>
      <c r="F1113" s="192"/>
      <c r="G1113" s="192"/>
      <c r="H1113" s="192"/>
      <c r="I1113" s="192"/>
      <c r="J1113" s="192"/>
      <c r="K1113" s="192"/>
      <c r="L1113" s="192"/>
      <c r="M1113" s="192"/>
      <c r="N1113" s="192"/>
      <c r="O1113" s="192"/>
      <c r="P1113" s="192"/>
      <c r="Q1113" s="192"/>
      <c r="R1113" s="192"/>
      <c r="S1113" s="192"/>
      <c r="T1113" s="192"/>
      <c r="U1113" s="192"/>
      <c r="V1113" s="192"/>
      <c r="W1113" s="192"/>
      <c r="X1113" s="192"/>
      <c r="Y1113" s="192"/>
      <c r="Z1113" s="192"/>
      <c r="AA1113" s="192"/>
      <c r="AB1113" s="192"/>
      <c r="AC1113" s="192"/>
      <c r="AD1113" s="192"/>
      <c r="AE1113" s="192"/>
      <c r="AF1113" s="203"/>
      <c r="AG1113" s="203"/>
      <c r="AH1113" s="203"/>
      <c r="AI1113" s="203"/>
      <c r="AJ1113" s="203"/>
      <c r="AK1113" s="203"/>
      <c r="AL1113" s="203"/>
      <c r="AM1113" s="203"/>
      <c r="AN1113" s="192"/>
      <c r="AO1113" s="192"/>
      <c r="AP1113" s="192"/>
      <c r="AQ1113" s="192"/>
      <c r="AR1113" s="192"/>
      <c r="AS1113" s="192"/>
      <c r="AT1113" s="192"/>
      <c r="AU1113" s="192"/>
      <c r="AV1113" s="192"/>
      <c r="AW1113" s="192"/>
      <c r="AX1113" s="192"/>
    </row>
    <row r="1114" spans="2:50" ht="15" customHeight="1" x14ac:dyDescent="0.3">
      <c r="B1114" s="192"/>
      <c r="C1114" s="192"/>
      <c r="D1114" s="192"/>
      <c r="E1114" s="192"/>
      <c r="F1114" s="192"/>
      <c r="G1114" s="192"/>
      <c r="H1114" s="192"/>
      <c r="I1114" s="192"/>
      <c r="J1114" s="192"/>
      <c r="K1114" s="192"/>
      <c r="L1114" s="192"/>
      <c r="M1114" s="192"/>
      <c r="N1114" s="192"/>
      <c r="O1114" s="192"/>
      <c r="P1114" s="192"/>
      <c r="Q1114" s="192"/>
      <c r="R1114" s="192"/>
      <c r="S1114" s="192"/>
      <c r="T1114" s="192"/>
      <c r="U1114" s="192"/>
      <c r="V1114" s="192"/>
      <c r="W1114" s="192"/>
      <c r="X1114" s="192"/>
      <c r="Y1114" s="192"/>
      <c r="Z1114" s="269"/>
      <c r="AA1114" s="192"/>
      <c r="AB1114" s="192"/>
      <c r="AC1114" s="192"/>
      <c r="AD1114" s="192"/>
      <c r="AE1114" s="192"/>
      <c r="AF1114" s="203"/>
      <c r="AG1114" s="203"/>
      <c r="AH1114" s="203"/>
      <c r="AI1114" s="203"/>
      <c r="AJ1114" s="203"/>
      <c r="AK1114" s="203"/>
      <c r="AL1114" s="203"/>
      <c r="AM1114" s="203"/>
      <c r="AN1114" s="192"/>
      <c r="AO1114" s="192"/>
      <c r="AP1114" s="192"/>
      <c r="AQ1114" s="192"/>
      <c r="AR1114" s="192"/>
      <c r="AS1114" s="192"/>
      <c r="AT1114" s="192"/>
      <c r="AU1114" s="192"/>
      <c r="AV1114" s="192"/>
      <c r="AW1114" s="192"/>
      <c r="AX1114" s="192"/>
    </row>
    <row r="1115" spans="2:50" ht="15" customHeight="1" x14ac:dyDescent="0.3">
      <c r="B1115" s="192"/>
      <c r="C1115" s="192"/>
      <c r="D1115" s="192"/>
      <c r="E1115" s="192"/>
      <c r="F1115" s="192"/>
      <c r="G1115" s="192"/>
      <c r="H1115" s="192"/>
      <c r="I1115" s="192"/>
      <c r="J1115" s="192"/>
      <c r="K1115" s="192"/>
      <c r="L1115" s="192"/>
      <c r="M1115" s="192"/>
      <c r="N1115" s="192"/>
      <c r="O1115" s="192"/>
      <c r="P1115" s="192"/>
      <c r="Q1115" s="192"/>
      <c r="R1115" s="192"/>
      <c r="S1115" s="192"/>
      <c r="T1115" s="192"/>
      <c r="U1115" s="192"/>
      <c r="V1115" s="192"/>
      <c r="W1115" s="192"/>
      <c r="X1115" s="192"/>
      <c r="Y1115" s="192"/>
      <c r="Z1115" s="192"/>
      <c r="AA1115" s="192"/>
      <c r="AB1115" s="192"/>
      <c r="AC1115" s="192"/>
      <c r="AD1115" s="192"/>
      <c r="AE1115" s="192"/>
      <c r="AF1115" s="203"/>
      <c r="AG1115" s="203"/>
      <c r="AH1115" s="203"/>
      <c r="AI1115" s="203"/>
      <c r="AJ1115" s="203"/>
      <c r="AK1115" s="203"/>
      <c r="AL1115" s="203"/>
      <c r="AM1115" s="203"/>
      <c r="AN1115" s="192"/>
      <c r="AO1115" s="192"/>
      <c r="AP1115" s="192"/>
      <c r="AQ1115" s="192"/>
      <c r="AR1115" s="192"/>
      <c r="AS1115" s="192"/>
      <c r="AT1115" s="192"/>
      <c r="AU1115" s="192"/>
      <c r="AV1115" s="192"/>
      <c r="AW1115" s="192"/>
      <c r="AX1115" s="192"/>
    </row>
    <row r="1116" spans="2:50" ht="15" customHeight="1" x14ac:dyDescent="0.3">
      <c r="B1116" s="192"/>
      <c r="C1116" s="192"/>
      <c r="D1116" s="192"/>
      <c r="E1116" s="192"/>
      <c r="F1116" s="192"/>
      <c r="G1116" s="192"/>
      <c r="H1116" s="192"/>
      <c r="I1116" s="192"/>
      <c r="J1116" s="192"/>
      <c r="K1116" s="192"/>
      <c r="L1116" s="192"/>
      <c r="M1116" s="192"/>
      <c r="N1116" s="192"/>
      <c r="O1116" s="192"/>
      <c r="P1116" s="192"/>
      <c r="Q1116" s="192"/>
      <c r="R1116" s="192"/>
      <c r="S1116" s="192"/>
      <c r="T1116" s="192"/>
      <c r="U1116" s="192"/>
      <c r="V1116" s="192"/>
      <c r="W1116" s="192"/>
      <c r="X1116" s="192"/>
      <c r="Y1116" s="192"/>
      <c r="Z1116" s="192"/>
      <c r="AA1116" s="192"/>
      <c r="AB1116" s="192"/>
      <c r="AC1116" s="192"/>
      <c r="AD1116" s="192"/>
      <c r="AE1116" s="192"/>
      <c r="AF1116" s="203"/>
      <c r="AG1116" s="203"/>
      <c r="AH1116" s="203"/>
      <c r="AI1116" s="203"/>
      <c r="AJ1116" s="203"/>
      <c r="AK1116" s="203"/>
      <c r="AL1116" s="203"/>
      <c r="AM1116" s="203"/>
      <c r="AN1116" s="192"/>
      <c r="AO1116" s="192"/>
      <c r="AP1116" s="192"/>
      <c r="AQ1116" s="192"/>
      <c r="AR1116" s="192"/>
      <c r="AS1116" s="192"/>
      <c r="AT1116" s="192"/>
      <c r="AU1116" s="192"/>
      <c r="AV1116" s="192"/>
      <c r="AW1116" s="192"/>
      <c r="AX1116" s="192"/>
    </row>
    <row r="1117" spans="2:50" ht="15" customHeight="1" thickBot="1" x14ac:dyDescent="0.4">
      <c r="B1117" s="192"/>
      <c r="C1117" s="192"/>
      <c r="D1117" s="192"/>
      <c r="E1117" s="192"/>
      <c r="F1117" s="192"/>
      <c r="G1117" s="192"/>
      <c r="H1117" s="192"/>
      <c r="I1117" s="383" t="s">
        <v>153</v>
      </c>
      <c r="J1117" s="383"/>
      <c r="K1117" s="383"/>
      <c r="L1117" s="383"/>
      <c r="M1117" s="383"/>
      <c r="N1117" s="383"/>
      <c r="O1117" s="383"/>
      <c r="P1117" s="383"/>
      <c r="Q1117" s="383"/>
      <c r="R1117" s="383"/>
      <c r="S1117" s="192"/>
      <c r="T1117" s="192"/>
      <c r="U1117" s="370" t="s">
        <v>92</v>
      </c>
      <c r="V1117" s="371"/>
      <c r="W1117" s="371"/>
      <c r="X1117" s="372"/>
      <c r="Y1117" s="192"/>
      <c r="Z1117" s="192"/>
      <c r="AA1117" s="192"/>
      <c r="AB1117" s="192"/>
      <c r="AC1117" s="192"/>
      <c r="AD1117" s="192"/>
      <c r="AE1117" s="192"/>
      <c r="AF1117" s="203"/>
      <c r="AG1117" s="203"/>
      <c r="AH1117" s="203"/>
      <c r="AI1117" s="203"/>
      <c r="AJ1117" s="203"/>
      <c r="AK1117" s="203"/>
      <c r="AL1117" s="203"/>
      <c r="AM1117" s="203"/>
      <c r="AN1117" s="192"/>
      <c r="AO1117" s="192"/>
      <c r="AP1117" s="192"/>
      <c r="AQ1117" s="192"/>
      <c r="AR1117" s="192"/>
      <c r="AS1117" s="192"/>
      <c r="AT1117" s="192"/>
      <c r="AU1117" s="192"/>
      <c r="AV1117" s="192"/>
      <c r="AW1117" s="192"/>
      <c r="AX1117" s="192"/>
    </row>
    <row r="1118" spans="2:50" ht="15" customHeight="1" thickTop="1" thickBot="1" x14ac:dyDescent="0.35">
      <c r="B1118" s="192"/>
      <c r="C1118" s="192"/>
      <c r="D1118" s="192"/>
      <c r="E1118" s="192"/>
      <c r="F1118" s="192"/>
      <c r="G1118" s="192"/>
      <c r="H1118" s="192"/>
      <c r="I1118" s="400" t="s">
        <v>93</v>
      </c>
      <c r="J1118" s="160"/>
      <c r="K1118" s="396" t="s">
        <v>94</v>
      </c>
      <c r="L1118" s="398" t="s">
        <v>95</v>
      </c>
      <c r="M1118" s="390" t="s">
        <v>96</v>
      </c>
      <c r="N1118" s="390" t="s">
        <v>97</v>
      </c>
      <c r="O1118" s="373" t="s">
        <v>98</v>
      </c>
      <c r="P1118" s="373" t="str">
        <f>IF(COUNT(U1119:X1130)=3,"LM/WM Ratio",IF(COUNT(U1119:X1130)=6,"LP/WP Ratio",""))</f>
        <v/>
      </c>
      <c r="Q1118" s="390" t="s">
        <v>99</v>
      </c>
      <c r="R1118" s="392" t="s">
        <v>100</v>
      </c>
      <c r="S1118" s="192"/>
      <c r="T1118" s="120"/>
      <c r="U1118" s="121" t="s">
        <v>101</v>
      </c>
      <c r="V1118" s="122" t="s">
        <v>102</v>
      </c>
      <c r="W1118" s="122" t="s">
        <v>103</v>
      </c>
      <c r="X1118" s="123" t="s">
        <v>104</v>
      </c>
      <c r="Y1118" s="380" t="s">
        <v>105</v>
      </c>
      <c r="Z1118" s="379"/>
      <c r="AA1118" s="378" t="s">
        <v>106</v>
      </c>
      <c r="AB1118" s="379"/>
      <c r="AC1118" s="192"/>
      <c r="AD1118" s="192"/>
      <c r="AE1118" s="203"/>
      <c r="AF1118" s="203"/>
      <c r="AG1118" s="203"/>
      <c r="AH1118" s="203"/>
      <c r="AI1118" s="203"/>
      <c r="AJ1118" s="203"/>
      <c r="AK1118" s="203"/>
      <c r="AL1118" s="203"/>
      <c r="AM1118" s="203"/>
      <c r="AN1118" s="192"/>
      <c r="AO1118" s="192"/>
      <c r="AP1118" s="192"/>
      <c r="AQ1118" s="192"/>
      <c r="AR1118" s="192"/>
      <c r="AS1118" s="192"/>
      <c r="AT1118" s="192"/>
      <c r="AU1118" s="192"/>
      <c r="AV1118" s="192"/>
      <c r="AW1118" s="192"/>
      <c r="AX1118" s="192"/>
    </row>
    <row r="1119" spans="2:50" ht="15" customHeight="1" thickTop="1" thickBot="1" x14ac:dyDescent="0.35">
      <c r="B1119" s="192"/>
      <c r="C1119" s="192"/>
      <c r="D1119" s="192"/>
      <c r="E1119" s="192"/>
      <c r="F1119" s="192"/>
      <c r="G1119" s="192"/>
      <c r="H1119" s="192"/>
      <c r="I1119" s="401"/>
      <c r="J1119" s="161"/>
      <c r="K1119" s="397"/>
      <c r="L1119" s="399"/>
      <c r="M1119" s="391"/>
      <c r="N1119" s="391"/>
      <c r="O1119" s="374"/>
      <c r="P1119" s="374"/>
      <c r="Q1119" s="391"/>
      <c r="R1119" s="393"/>
      <c r="S1119" s="192"/>
      <c r="T1119" s="208">
        <v>1</v>
      </c>
      <c r="U1119" s="209" t="str">
        <f>IF(M1120="","",IF(COUNTIF(M1120:M1122,M1120)=3,IF(COUNTBLANK(I1120:I1123)=1,(Q1132+Q1138)/(Q1131+Q1137),IF(COUNTBLANK(I1120:I1123)=0,(Q1144+Q1132)/(Q1143+Q1131),"")),""))</f>
        <v/>
      </c>
      <c r="V1119" s="125" t="str">
        <f>IF(AND(COUNTBLANK(I1120:I1123)=0,M1120=M1122,M1122=M1123),(Q1132+Q1138)/(Q1131+Q1137),"")</f>
        <v/>
      </c>
      <c r="W1119" s="210" t="str">
        <f>IF(AND(COUNTBLANK(I1120:I1123)=0,M1120=M1121,M1121=M1123),(Q1144+Q1138)/(Q1143+Q1137),"")</f>
        <v/>
      </c>
      <c r="X1119" s="211"/>
      <c r="Y1119" s="169" t="s">
        <v>93</v>
      </c>
      <c r="Z1119" s="170" t="s">
        <v>107</v>
      </c>
      <c r="AA1119" s="169" t="s">
        <v>93</v>
      </c>
      <c r="AB1119" s="170" t="s">
        <v>107</v>
      </c>
      <c r="AC1119" s="192"/>
      <c r="AD1119" s="192"/>
      <c r="AE1119" s="192"/>
      <c r="AF1119" s="192"/>
      <c r="AG1119" s="192"/>
      <c r="AH1119" s="192"/>
      <c r="AI1119" s="192"/>
      <c r="AJ1119" s="192"/>
      <c r="AK1119" s="192"/>
      <c r="AL1119" s="192"/>
      <c r="AM1119" s="192"/>
      <c r="AN1119" s="192"/>
      <c r="AO1119" s="192"/>
      <c r="AP1119" s="192"/>
      <c r="AQ1119" s="192"/>
      <c r="AR1119" s="192"/>
      <c r="AS1119" s="192"/>
      <c r="AT1119" s="192"/>
      <c r="AU1119" s="192"/>
      <c r="AV1119" s="192"/>
      <c r="AW1119" s="192"/>
      <c r="AX1119" s="192"/>
    </row>
    <row r="1120" spans="2:50" ht="15" customHeight="1" thickTop="1" thickBot="1" x14ac:dyDescent="0.35">
      <c r="B1120" s="192"/>
      <c r="C1120" s="192"/>
      <c r="D1120" s="192"/>
      <c r="E1120" s="192"/>
      <c r="F1120" s="192" t="str">
        <f>IF(I1120="","",VLOOKUP(I1120,Siembra,2,FALSE))</f>
        <v/>
      </c>
      <c r="G1120" s="192" t="str">
        <f>O1120</f>
        <v/>
      </c>
      <c r="H1120" s="192">
        <v>1</v>
      </c>
      <c r="I1120" s="128" t="str">
        <f>IF(K1120="","",IF(ISNUMBER(Sorteo!$A$17),VLOOKUP(K1120,Draw,2,FALSE),""))</f>
        <v/>
      </c>
      <c r="J1120" s="129" t="str">
        <f>O1120</f>
        <v/>
      </c>
      <c r="K1120" s="130" t="str">
        <f>IF($K$9="","",IF(Group_players=4,IF(Tablas!CL$3="","",Tablas!CL$3),IF(Group_players=3,IF(Tablas!CL$11="","",Tablas!CL$11),"")))</f>
        <v/>
      </c>
      <c r="L1120" s="131" t="str">
        <f>IF(K1120="","",VLOOKUP(I1120,Siembra,3,FALSE))</f>
        <v/>
      </c>
      <c r="M1120" s="132" t="str">
        <f>IF(AND(Q1131="",Q1132=""),"",IF(I1120="","",SUMIFS(E1131:E1147,I1131:I1147,I1120)))</f>
        <v/>
      </c>
      <c r="N1120" s="132" t="str">
        <f>IF(M1120="","",IF(I1120="","",SUMIFS(F1131:F1147,I1131:I1147,I1120)))</f>
        <v/>
      </c>
      <c r="O1120" s="132" t="str">
        <f>IF(M1120="","",IF(COUNTBLANK(I1120:I1123)=1,IF(M1120=2,1,IF(M1120=0,3,IF(AND(M1120=1,M1121&lt;&gt;1),2,IF(COUNTIF(M1120:M1122,1)&gt;1,Z1120)))),IF(COUNTBLANK(I1120:I1123)=0,IF(COUNTIF(M1120:M1123,M1120)=1,IF(M1120=3,1,IF(M1120=2,2,IF(M1120=1,3,IF(M1120=0,4)))),IF(Group_players=3,Z1120,IF(COUNTIF(M1120:M1123,M1120)=2,AB1120,IF(AND(M1120=M1121,M1121=M1122),AB1124,IF(AND(M1120=M1122,M1122=M1123),AB1127,IF(AND(M1120=M1121,M1121=M1123),AB1130,"")))))),99)))</f>
        <v/>
      </c>
      <c r="P1120" s="133" t="str">
        <f>IF(COUNT(U1119:X1130)=3,IF(ISNUMBER(U1119),U1119,IF(ISNUMBER(V1119),V1119,IF(ISNUMBER(W1119),W1119,IF(X1119="","")))),IF(COUNT(U1119:X1130)=6,IF(ISNUMBER(U1127),U1127,IF(ISNUMBER(V1127),V1127,IF(ISNUMBER(W1127),W1127,IF(ISBLANK(X1119),"")))),""))</f>
        <v/>
      </c>
      <c r="Q1120" s="132" t="str">
        <f>IF(M1120="","",SUMIF(I1131:S1147,I1120,S1131:S1147))</f>
        <v/>
      </c>
      <c r="R1120" s="134" t="str">
        <f>IF(M1120="","",L1120+Q1120)</f>
        <v/>
      </c>
      <c r="S1120" s="203"/>
      <c r="T1120" s="208">
        <v>2</v>
      </c>
      <c r="U1120" s="209" t="str">
        <f>IF(M1121="","",IF(COUNTIF(M1120:M1122,M1121)=3,IF(COUNTBLANK(I1120:I1123)=1,(Q1135+Q1137)/(Q1134+Q1138),IF(COUNTBLANK(I1120:I1123)=0,(Q1141+Q1143)/(Q1140+Q1144),"")),""))</f>
        <v/>
      </c>
      <c r="V1120" s="135"/>
      <c r="W1120" s="212" t="str">
        <f>IF(AND(COUNTBLANK(I1120:I1123)=0,M1121=M1120,M1120=M1123),(Q1143+Q1135)/(Q1144+Q1134),"")</f>
        <v/>
      </c>
      <c r="X1120" s="213" t="str">
        <f>IF(AND(COUNTBLANK(I1120:I1123)=0,M1121=M1122,M1122=M1123),(Q1141+Q1135)/(Q1140+Q1134),"")</f>
        <v/>
      </c>
      <c r="Y1120" s="214">
        <v>1</v>
      </c>
      <c r="Z1120" s="215" t="str">
        <f>IF(U1119="","",IF(OR(Group_players=3,AND(Group_players=4,COUNTBLANK(I1120:I1123)=1)),IF(COUNTIF(M1120:M1122,M1120)=1,"",IF(AND(U1119=U1120,U1120=U1121),Z1124,IF(AND(U1119&lt;&gt;U1120,U1119&lt;&gt;U1121,U1120&lt;&gt;U1121),(IF(SMALL(U1119:U1121,1)=U1119,1,IF(SMALL(U1119:U1121,2)=U1119,2,IF(SMALL(U1119:U1121,3)=U1119,3)))),IF(AND(U1119&lt;U1120,U1120=U1121),1,IF(AND(U1119&gt;U1120,U1120=U1121),3,IF(AND(U1119=U1120,U1119&lt;U1121),(IF(Q1137=3,1,2)),IF(AND(U1119=U1120,U1119&gt;U1121),(IF(Q1137=3,2,3)),IF(AND(U1119=U1121,U1119&lt;U1120),(IF(Q1131=3,1,2)),IF(AND(U1119=U1121,U1119&gt;U1120),(IF(Q1131=3,2,3)),99))))))))),""))</f>
        <v/>
      </c>
      <c r="AA1120" s="216">
        <v>1</v>
      </c>
      <c r="AB1120" s="217" t="str">
        <f>IF(COUNTIF(M1120:M1123,M1120)&lt;&gt;2,"",IF(COUNTIF(M1120:M1123,M1120)=1,"",IF(AND(COUNTIF(M1120:M1123,M1120)=2,M1120=2),IF(M1120=M1121,IF(Q1143=3,1,2),IF(M1120=M1122,IF(Q1131=3,1,2),IF(M1120=M1123,IF(Q1137=3,1,2)))),IF(AND(COUNTIF(M1120:M1123,M1120)=2,M1120=1),IF(M1120=M1121,IF(Q1143=3,3,4),IF(M1120=M1122,IF(Q1131=3,3,4),IF(M1120=M1123,IF(Q1137=3,3,4)))),IF(COUNTIF(M1120:M1123,M1120)=3,AB1124)))))</f>
        <v/>
      </c>
      <c r="AC1120" s="192"/>
      <c r="AD1120" s="192"/>
      <c r="AE1120" s="192"/>
      <c r="AF1120" s="192"/>
      <c r="AG1120" s="192"/>
      <c r="AH1120" s="192"/>
      <c r="AI1120" s="192"/>
      <c r="AJ1120" s="192"/>
      <c r="AK1120" s="192"/>
      <c r="AL1120" s="192"/>
      <c r="AM1120" s="192"/>
      <c r="AN1120" s="192"/>
      <c r="AO1120" s="192"/>
      <c r="AP1120" s="192"/>
      <c r="AQ1120" s="192"/>
      <c r="AR1120" s="192"/>
      <c r="AS1120" s="192"/>
      <c r="AT1120" s="192"/>
      <c r="AU1120" s="192"/>
      <c r="AV1120" s="192"/>
      <c r="AW1120" s="192"/>
      <c r="AX1120" s="192"/>
    </row>
    <row r="1121" spans="2:50" ht="15" customHeight="1" thickTop="1" thickBot="1" x14ac:dyDescent="0.35">
      <c r="B1121" s="192"/>
      <c r="C1121" s="192"/>
      <c r="D1121" s="192"/>
      <c r="E1121" s="192"/>
      <c r="F1121" s="192" t="str">
        <f>IF(I1121="","",VLOOKUP(I1121,Siembra,2,FALSE))</f>
        <v/>
      </c>
      <c r="G1121" s="192" t="str">
        <f>O1121</f>
        <v/>
      </c>
      <c r="H1121" s="192">
        <v>2</v>
      </c>
      <c r="I1121" s="128" t="str">
        <f>IF(K1121="","",IF(ISNUMBER(Sorteo!$A$17),VLOOKUP(K1121,Draw,2,FALSE),""))</f>
        <v/>
      </c>
      <c r="J1121" s="129" t="str">
        <f>O1121</f>
        <v/>
      </c>
      <c r="K1121" s="136" t="str">
        <f>IF($K$9="","",IF(Group_players=4,IF(Tablas!CL$4="","",Tablas!CL$4),IF(Group_players=3,IF(Tablas!CL$12="","",Tablas!CL$12),"")))</f>
        <v/>
      </c>
      <c r="L1121" s="137" t="str">
        <f>IF(K1121="","",VLOOKUP(I1121,Siembra,3,FALSE))</f>
        <v/>
      </c>
      <c r="M1121" s="132" t="str">
        <f>IF(AND(L1131="",L1132=""),"",IF(I1121="","",SUMIFS(E1131:E1148,I1131:I1148,I1121)))</f>
        <v/>
      </c>
      <c r="N1121" s="138" t="str">
        <f>IF(M1121="","",IF(I1121="","",SUMIFS(F1131:F1147,I1131:I1147,I1121)))</f>
        <v/>
      </c>
      <c r="O1121" s="132" t="str">
        <f>IF(M1121="","",IF(COUNTBLANK(I1120:I1123)=1,IF(M1121=2,1,IF(M1121=0,3,IF(AND(M1121=1,M1122&lt;&gt;1),2,IF(COUNTIF(M1120:M1123,1)&gt;1,Z1121)))),IF(COUNTBLANK(I1120:I1123)=0,IF(COUNTIF(M1120:M1123,M1121)=1,IF(M1121=3,1,IF(M1121=2,2,IF(M1121=1,3,IF(M1121=0,4)))),IF(Group_players=3,Z1121,IF(COUNTIF(M1120:M1123,M1121)=2,AB1121,IF(AND(M1121=M1120,M1120=M1122),AB1125,IF(AND(M1121=M1120,M1120=M1123),AB1131,IF(AND(M1121=M1122,M1122=M1123),AB1133,"")))))))))</f>
        <v/>
      </c>
      <c r="P1121" s="133" t="str">
        <f>IF(COUNT(U1119:X1130)=3,IF(ISNUMBER(U1120),U1120,IF(ISNUMBER(W1120),W1120,IF(ISNUMBER(X1120),X1120,IF(X1120="","")))),IF(COUNT(U1119:X1130)=6,IF(ISNUMBER(U1128),U1128,IF(ISNUMBER(W1128),W1128,IF(ISNUMBER(X1128),X1128,IF(ISBLANK(X1127),"")))),""))</f>
        <v/>
      </c>
      <c r="Q1121" s="138" t="str">
        <f>IF(M1121="","",SUMIF(I1131:S1147,I1121,S1131:$S1147))</f>
        <v/>
      </c>
      <c r="R1121" s="139" t="str">
        <f>IF(M1121="","",L1121+Q1121)</f>
        <v/>
      </c>
      <c r="S1121" s="203"/>
      <c r="T1121" s="208">
        <v>3</v>
      </c>
      <c r="U1121" s="209" t="str">
        <f>IF(M1122="","",IF(COUNTIF(M1120:M1122,M1122)=3,IF(COUNTBLANK(I1120:I1123)=1,(Q1131+Q1134)/(Q1132+Q1135),IF(COUNTBLANK(I1120:I1123)=0,(Q1131+Q1140)/(Q1132+Q1141),"")),""))</f>
        <v/>
      </c>
      <c r="V1121" s="125" t="str">
        <f>IF(AND(COUNTBLANK(I1120:I1123)=0,M1122=M1123,M1123=M1120),(Q1131+Q1147)/(Q1132+Q1146),"")</f>
        <v/>
      </c>
      <c r="W1121" s="218"/>
      <c r="X1121" s="213" t="str">
        <f>IF(AND(COUNTBLANK(I1120:I1123)=0,M1122=M1123,M1123=M1121),(Q1140+Q1147)/(Q1141+Q1146),"")</f>
        <v/>
      </c>
      <c r="Y1121" s="219">
        <v>2</v>
      </c>
      <c r="Z1121" s="220" t="str">
        <f>IF(U1120="","",IF(OR(Group_players=3,AND(Group_players=4,COUNTBLANK(I1120:I1123)=1)),IF(COUNTIF(M1120:M1122,M1121)=1,"",IF(AND(U1120=U1119,U1120=U1121),Z1125,IF(AND(U1120&lt;&gt;U1119,U1120&lt;&gt;U1121,U1119&lt;&gt;U1121),(IF(SMALL(U1119:U1121,1)=U1120,1,IF(SMALL(U1119:U1121,2)=U1120,2,IF(SMALL(U1119:U1121,3)=U1120,3)))),IF(AND(U1120&lt;U1119,U1119=U1121),1,IF(AND(U1120&gt;U1119,U1119=U1121),3,IF(AND(U1120=U1119,U1120&lt;U1121),(IF(Q1138=3,1,2)),IF(AND(U1120=U1119,U1120&gt;U1121),(IF(Q1138=3,2,3)),IF(AND(U1120=U1121,U1120&lt;U1119),(IF(Q1134=3,1,2)),IF(AND(U1120=U1121,U1120&gt;U1119),(IF(Q1134=3,2,3)),99))))))))),""))</f>
        <v/>
      </c>
      <c r="AA1121" s="221">
        <v>2</v>
      </c>
      <c r="AB1121" s="222" t="str">
        <f>IF(COUNTIF(M1120:M1123,M1121)&lt;&gt;2,"",IF(COUNTIF(M1120:M1123,M1121)=1,"",IF(AND(COUNTIF(M1120:M1123,M1121)=2,M1121=2),IF(M1121=M1120,IF(Q1144=3,1,2),IF(M1121=M1122,IF(Q1140=3,1,2),IF(M1121=M1123,IF(Q1134=3,1,2)))),IF(AND(COUNTIF(M1120:M1123,M1121)=2,M1121=1),IF(M1121=M1120,IF(Q1144=3,3,4),IF(M1121=M1122,IF(Q1140=3,3,4),IF(M1121=M1123,IF(Q1134=3,3,4)))),AB1126))))</f>
        <v/>
      </c>
      <c r="AC1121" s="192"/>
      <c r="AD1121" s="192"/>
      <c r="AE1121" s="192"/>
      <c r="AF1121" s="192"/>
      <c r="AG1121" s="192"/>
      <c r="AH1121" s="192"/>
      <c r="AI1121" s="192"/>
      <c r="AJ1121" s="192"/>
      <c r="AK1121" s="192"/>
      <c r="AL1121" s="192"/>
      <c r="AM1121" s="192"/>
      <c r="AN1121" s="192"/>
      <c r="AO1121" s="192"/>
      <c r="AP1121" s="192"/>
      <c r="AQ1121" s="192"/>
      <c r="AR1121" s="192"/>
      <c r="AS1121" s="192"/>
      <c r="AT1121" s="192"/>
      <c r="AU1121" s="192"/>
      <c r="AV1121" s="192"/>
      <c r="AW1121" s="192"/>
      <c r="AX1121" s="192"/>
    </row>
    <row r="1122" spans="2:50" ht="15" customHeight="1" thickBot="1" x14ac:dyDescent="0.35">
      <c r="B1122" s="192"/>
      <c r="C1122" s="192"/>
      <c r="D1122" s="192"/>
      <c r="E1122" s="192"/>
      <c r="F1122" s="192" t="str">
        <f>IF(I1122="","",VLOOKUP(I1122,Siembra,2,FALSE))</f>
        <v/>
      </c>
      <c r="G1122" s="192" t="str">
        <f>O1122</f>
        <v/>
      </c>
      <c r="H1122" s="192">
        <v>3</v>
      </c>
      <c r="I1122" s="128" t="str">
        <f>IF(K1122="","",IF(ISNUMBER(Sorteo!$A$17),VLOOKUP(K1122,Draw,2,FALSE),""))</f>
        <v/>
      </c>
      <c r="J1122" s="129" t="str">
        <f>O1122</f>
        <v/>
      </c>
      <c r="K1122" s="136" t="str">
        <f>IF($K$9="","",IF(Group_players=4,IF(Tablas!CL$5="","",Tablas!CL$5),IF(Group_players=3,IF(Tablas!CL$13="","",Tablas!CL$13),"")))</f>
        <v/>
      </c>
      <c r="L1122" s="137" t="str">
        <f>IF(K1122="","",VLOOKUP(I1122,Siembra,3,FALSE))</f>
        <v/>
      </c>
      <c r="M1122" s="132" t="str">
        <f>IF(AND(L1132="",L1131=""),"",IF(I1122="","",SUMIFS(E1131:E1149,I1131:I1149,I1122)))</f>
        <v/>
      </c>
      <c r="N1122" s="138" t="str">
        <f>IF(M1122="","",IF(I1122="","",SUMIFS(F1131:F1147,I1131:I1147,I1122)))</f>
        <v/>
      </c>
      <c r="O1122" s="132" t="str">
        <f>IF(M1122="","",IF(COUNTBLANK(I1120:I1123)=1,IF(M1122=2,1,IF(M1122=0,3,IF(AND(M1122=1,M1122&lt;&gt;M1120),2,IF(COUNTIF(M1120:M1123,1)&gt;1,Z1122)))),IF(COUNTBLANK(I1120:I1123)=0,IF(COUNTIF(M1120:M1123,M1122)=1,IF(M1122=3,1,IF(M1122=2,2,IF(M1122=1,3,IF(M1122=0,4)))),IF(Group_players=3,Z1122,IF(COUNTIF(M1120:M1123,M1122)=2,AB1122,IF(AND(M1122=M1120,M1120=M1121),AB1126,IF(AND(M1122=M1120,M1120=M1123),AB1128,IF(AND(M1122=M1121,M1121=M1123),AB1134,"")))))))))</f>
        <v/>
      </c>
      <c r="P1122" s="133" t="str">
        <f>IF(COUNT(U1119:X1130)=3,IF(ISNUMBER(U1121),U1121,IF(ISNUMBER(V1121),V1121,IF(ISNUMBER(X1121),X1121,IF(W1121="","")))),IF(COUNT(U1119:X1130)=6,IF(ISNUMBER(U1129),U1129,IF(ISNUMBER(V1129),V1129,IF(ISNUMBER(X1129),X1129,""))),""))</f>
        <v/>
      </c>
      <c r="Q1122" s="138" t="str">
        <f>IF(M1122="","",SUMIF(I1131:S1147,I1122,S1131:S1147))</f>
        <v/>
      </c>
      <c r="R1122" s="139" t="str">
        <f>IF(M1122="","",L1122+Q1122)</f>
        <v/>
      </c>
      <c r="S1122" s="203"/>
      <c r="T1122" s="208">
        <v>4</v>
      </c>
      <c r="U1122" s="223"/>
      <c r="V1122" s="140" t="str">
        <f>IF(AND(COUNTBLANK(I1120:I1123)=0,M1123=M1120,M1120=M1122),(Q1137+Q1146)/(Q1138+Q1147),"")</f>
        <v/>
      </c>
      <c r="W1122" s="224" t="str">
        <f>IF(AND(COUNTBLANK(I1120:I1123)=0,M1123=M1120,M1120=M1121),(Q1137+Q1134)/(Q1138+Q1135),"")</f>
        <v/>
      </c>
      <c r="X1122" s="225" t="str">
        <f>IF(AND(COUNTBLANK(I1120:I1123)=0,M1123=M1121,M1121=M1122),(Q1134+Q1146)/(Q1135+Q1147),"")</f>
        <v/>
      </c>
      <c r="Y1122" s="226">
        <v>3</v>
      </c>
      <c r="Z1122" s="227" t="str">
        <f>IF(U1121="","",IF(OR(Group_players=3,AND(Group_players=4,COUNTBLANK(I1120:I1123)=1)),IF(COUNTIF(M1120:M1122,M1122)=1,"",IF(AND(U1121=U1119,U1121=U1120),Z1126,IF(AND(U1121&lt;&gt;U1120,U1120&lt;&gt;U1119,U1121&lt;&gt;U1119),(IF(SMALL(U1119:U1121,1)=U1121,1,IF(SMALL(U1119:U1121,2)=U1121,2,IF(SMALL(U1119:U1121,3)=U1121,3)))),IF(AND(U1121&lt;U1120,U1120=U1119),1,IF(AND(U1121&gt;U1120,U1120=U1119),3,IF(AND(U1121=U1120,U1121&lt;U1119),(IF(Q1135=3,1,2)),IF(AND(U1121=U1120,U1121&gt;U1119),(IF(Q1135=3,2,3)),IF(AND(U1121=U1119,U1121&lt;U1120),(IF(Q1132=3,1,2)),IF(AND(U1121=U1119,U1121&gt;U1120),(IF(Q1132=3,2,3)),99))))))))),""))</f>
        <v/>
      </c>
      <c r="AA1122" s="221">
        <v>3</v>
      </c>
      <c r="AB1122" s="222" t="str">
        <f>IF(COUNTIF(M1120:M1123,M1122)&lt;&gt;2,"",IF(COUNTIF(M1120:M1123,M1122)=1,"",IF(AND(COUNTIF(M1120:M1123,M1122)=2,M1122=2),IF(M1122=M1120,IF(Q1132=3,1,2),IF(M1122=M1121,IF(Q1141=3,1,2),IF(M1122=M1123,IF(Q1146=3,1,2)))),IF(AND(COUNTIF(M1120:M1123,M1122)=2,M1122=1),IF(M1122=M1120,IF(Q1132=3,3,4),IF(M1122=M1121,IF(Q1141=3,3,4),IF(M1122=M1123,IF(Q1146=3,3,4)))),AB1126))))</f>
        <v/>
      </c>
      <c r="AC1122" s="192"/>
      <c r="AD1122" s="192"/>
      <c r="AE1122" s="192"/>
      <c r="AF1122" s="192"/>
      <c r="AG1122" s="192"/>
      <c r="AH1122" s="192"/>
      <c r="AI1122" s="192"/>
      <c r="AJ1122" s="192"/>
      <c r="AK1122" s="192"/>
      <c r="AL1122" s="192"/>
      <c r="AM1122" s="192"/>
      <c r="AN1122" s="192"/>
      <c r="AO1122" s="192"/>
      <c r="AP1122" s="192"/>
      <c r="AQ1122" s="192"/>
      <c r="AR1122" s="192"/>
      <c r="AS1122" s="192"/>
      <c r="AT1122" s="192"/>
      <c r="AU1122" s="192"/>
      <c r="AV1122" s="192"/>
      <c r="AW1122" s="192"/>
      <c r="AX1122" s="192"/>
    </row>
    <row r="1123" spans="2:50" ht="15" customHeight="1" thickTop="1" thickBot="1" x14ac:dyDescent="0.35">
      <c r="B1123" s="192"/>
      <c r="C1123" s="192"/>
      <c r="D1123" s="192"/>
      <c r="E1123" s="192"/>
      <c r="F1123" s="192" t="str">
        <f>IF(I1123="","",VLOOKUP(I1123,Siembra,2,FALSE))</f>
        <v/>
      </c>
      <c r="G1123" s="192" t="str">
        <f>O1123</f>
        <v/>
      </c>
      <c r="H1123" s="192">
        <v>4</v>
      </c>
      <c r="I1123" s="141" t="str">
        <f>IF(K1123="","",IF(ISNUMBER(Sorteo!$A$17),VLOOKUP(K1123,Draw,2,FALSE),""))</f>
        <v/>
      </c>
      <c r="J1123" s="142" t="str">
        <f>O1123</f>
        <v/>
      </c>
      <c r="K1123" s="143" t="str">
        <f>IF($K$9="","",IF(Group_players=4,IF(Tablas!CL6="","",Tablas!CL6),""))</f>
        <v/>
      </c>
      <c r="L1123" s="144" t="str">
        <f>IF(K1123="","",VLOOKUP(I1123,Siembra,3,FALSE))</f>
        <v/>
      </c>
      <c r="M1123" s="145" t="str">
        <f>IF(AND(Q1134="",Q1135=""),"",IF(I1123="","",SUMIFS(E1131:E1150,I1131:I1150,I1123)))</f>
        <v/>
      </c>
      <c r="N1123" s="145" t="str">
        <f>IF(M1123="","",IF(I1123="","",SUMIFS(F1131:F1147,I1131:I1147,I1123)))</f>
        <v/>
      </c>
      <c r="O1123" s="145" t="str">
        <f>IF(M1123="","",IF(COUNTIF(M1120:M1123,M1123)=1,IF(M1123=3,1,IF(M1123=2,2,IF(M1123=1,3,IF(M1123=0,4)))),IF(COUNTIF(M1120:M1123,M1123)=2,AB1123,IF(AND(M1123=M1120,M1120=M1122),AB1129,IF(AND(M1123=M1120,M1120=M1121),AB1132,IF(AND(M1123=M1121,M1121=M1122),AB1135,""))))))</f>
        <v/>
      </c>
      <c r="P1123" s="146" t="str">
        <f>IF(COUNT(U1119:X1130)=3,IF(ISNUMBER(V1122),V1122,IF(ISNUMBER(W1122),W1122,IF(ISNUMBER(X1122),X1122,IF(X1122="","")))),IF(COUNT(U1119:X1130)=6,IF(ISNUMBER(V1130),V1130,IF(ISNUMBER(W1130),W1130,IF(ISNUMBER(X1130),X1130,""))),""))</f>
        <v/>
      </c>
      <c r="Q1123" s="145" t="str">
        <f>IF(M1123="","",SUMIF(I1131:S1147,I1123,S1131:$S1147))</f>
        <v/>
      </c>
      <c r="R1123" s="147" t="str">
        <f>IF(M1123="","",L1123+Q1123)</f>
        <v/>
      </c>
      <c r="S1123" s="203"/>
      <c r="T1123" s="192"/>
      <c r="U1123" s="192"/>
      <c r="V1123" s="192"/>
      <c r="W1123" s="192"/>
      <c r="X1123" s="192"/>
      <c r="Y1123" s="230" t="s">
        <v>93</v>
      </c>
      <c r="Z1123" s="231" t="s">
        <v>110</v>
      </c>
      <c r="AA1123" s="232">
        <v>4</v>
      </c>
      <c r="AB1123" s="233" t="str">
        <f>IF(COUNTIF(M1120:M1123,M1123)&lt;&gt;2,"",IF(COUNTIF(M1120:M1123,M1123)=1,"",IF(AND(COUNTIF(M1120:M1123,M1123)=2,M1123=2),IF(M1123=M1120,IF(Q1138=3,1,2),IF(M1123=M1121,IF(Q1135=3,1,2),IF(M1123=M1122,IF(Q1147=3,1,2)))),IF(AND(COUNTIF(M1120:M1123,M1123)=2,M1123=1),IF(M1123=M1120,IF(Q1138=3,3,4),IF(M1123=M1121,IF(Q1135=3,3,4),IF(M1123=M1122,IF(Q1147=3,3,4)))),AB1129))))</f>
        <v/>
      </c>
      <c r="AC1123" s="192"/>
      <c r="AD1123" s="192"/>
      <c r="AE1123" s="192"/>
      <c r="AF1123" s="192"/>
      <c r="AG1123" s="192"/>
      <c r="AH1123" s="192"/>
      <c r="AI1123" s="192"/>
      <c r="AJ1123" s="192"/>
      <c r="AK1123" s="192"/>
      <c r="AL1123" s="192"/>
      <c r="AM1123" s="192"/>
      <c r="AN1123" s="192"/>
      <c r="AO1123" s="192"/>
      <c r="AP1123" s="192"/>
      <c r="AQ1123" s="192"/>
      <c r="AR1123" s="192"/>
      <c r="AS1123" s="192"/>
      <c r="AT1123" s="192"/>
      <c r="AU1123" s="192"/>
      <c r="AV1123" s="192"/>
      <c r="AW1123" s="192"/>
      <c r="AX1123" s="192"/>
    </row>
    <row r="1124" spans="2:50" ht="15" customHeight="1" thickTop="1" x14ac:dyDescent="0.3">
      <c r="B1124" s="192"/>
      <c r="C1124" s="192"/>
      <c r="D1124" s="192"/>
      <c r="E1124" s="192"/>
      <c r="F1124" s="192"/>
      <c r="G1124" s="192"/>
      <c r="H1124" s="192"/>
      <c r="I1124" s="192"/>
      <c r="J1124" s="192"/>
      <c r="K1124" s="192"/>
      <c r="L1124" s="192"/>
      <c r="M1124" s="192"/>
      <c r="N1124" s="192"/>
      <c r="O1124" s="192"/>
      <c r="P1124" s="192"/>
      <c r="Q1124" s="192"/>
      <c r="R1124" s="192"/>
      <c r="S1124" s="192"/>
      <c r="T1124" s="208"/>
      <c r="U1124" s="192"/>
      <c r="V1124" s="148"/>
      <c r="W1124" s="148"/>
      <c r="X1124" s="234"/>
      <c r="Y1124" s="214">
        <v>1</v>
      </c>
      <c r="Z1124" s="215" t="str">
        <f>IF(U1127="","",IF(OR(Group_players=3,AND(Group_players=4,COUNTBLANK(I1120:I1123)=1)),IF(COUNTIF(M1120:M1122,M1120)=1,"",IF(COUNTIF(U1119:U1121,U1119)=3,IF(AND(U1127=U1128,U1128=U1129),"Tied",IF(AND(U1127&lt;&gt;U1128,U1127&lt;&gt;U1129,U1128&lt;&gt;U1129),(IF(SMALL(U1127:U1129,1)=U1127,1,IF(SMALL(U1127:U1129,2)=U1127,2,IF(SMALL(U1127:U1129,3)=U1127,3)))),IF(AND(U1127&lt;U1128,U1128=U1129),1,IF(AND(U1127&gt;U1128,U1128=U1129),3,IF(AND(U1127=U1128,U1127&lt;U1129),(IF(Q1137=3,1,2)),IF(AND(U1127=U1128,U1127&gt;U1129),(IF(Q1137=3,2,3)),IF(AND(U1127=U1129,U1127&lt;U1128),(IF(Q1131=3,1,2)),IF(AND(U1127=U1129,U1127&gt;U1128),(IF(Q1131=3,2,3)),99)))))))),"")),""))</f>
        <v/>
      </c>
      <c r="AA1124" s="208">
        <v>1</v>
      </c>
      <c r="AB1124" s="222" t="str">
        <f>IF(AND(COUNTBLANK(I1120:I1123)=0,Group_players=4,M1120=M1121,M1121=M1122),IF(COUNTIF(U1119:U1122,U1119)=3,AB1137,IF(AND(COUNTIF(U1119:U1122,U1119)=1,U1120&lt;&gt;U1121),IF(M1120=2,IF(SMALL(U1119:U1122,1)=U1119,1,IF(SMALL(U1119:U1122,2)=U1119,2,IF(SMALL(U1119:U1122,3)=U1119,3))),IF(M1120=1,IF(SMALL(U1119:U1122,1)=U1119,2,IF(SMALL(U1119:U1122,2)=U1119,3,IF(SMALL(U1119:U1122,3)=U1119,4))),"")),IF(COUNTIF(U1119:U1122,U1119)=1,IF(U1119&lt;U1120,IF(M1120=2,1,2),IF(M1120=2,3,4)),IF(COUNTIF(U1119:U1122,U1119)=2,IF(U1119=U1120,IF(U1119&lt;U1121,IF(M1120=2,IF(Q1143=3,1,2),IF(M1120=1,IF(Q1143=3,2,3))),IF(U1119&gt;U1121,IF(M1120=2,IF(Q1143=3,2,3),IF(M1120=1,IF(Q1143=3,3,4))))),IF(U1119=U1121,IF(U1119&lt;U1120,IF(M1120=2,IF(Q1131=3,1,2),IF(M1120=1,IF(Q1131=3,2,3))),IF(U1119&gt;U1120,IF(M1120=2,IF(Q1131=3,2,3),IF(M1120=1,IF(Q1131=3,3,4))))))),"")))),"")</f>
        <v/>
      </c>
      <c r="AC1124" s="192"/>
      <c r="AD1124" s="192"/>
      <c r="AE1124" s="269"/>
      <c r="AF1124" s="192"/>
      <c r="AG1124" s="192"/>
      <c r="AH1124" s="192"/>
      <c r="AI1124" s="192"/>
      <c r="AJ1124" s="192"/>
      <c r="AK1124" s="192"/>
      <c r="AL1124" s="192"/>
      <c r="AM1124" s="192"/>
      <c r="AN1124" s="192"/>
      <c r="AO1124" s="192"/>
      <c r="AP1124" s="192"/>
      <c r="AQ1124" s="192"/>
      <c r="AR1124" s="192"/>
      <c r="AS1124" s="192"/>
      <c r="AT1124" s="192"/>
      <c r="AU1124" s="192"/>
      <c r="AV1124" s="192"/>
      <c r="AW1124" s="192"/>
      <c r="AX1124" s="192"/>
    </row>
    <row r="1125" spans="2:50" ht="15" customHeight="1" thickBot="1" x14ac:dyDescent="0.35">
      <c r="B1125" s="192"/>
      <c r="C1125" s="192"/>
      <c r="D1125" s="192"/>
      <c r="E1125" s="192"/>
      <c r="F1125" s="192"/>
      <c r="G1125" s="192"/>
      <c r="H1125" s="192"/>
      <c r="I1125" s="269"/>
      <c r="J1125" s="269"/>
      <c r="K1125" s="192"/>
      <c r="L1125" s="192"/>
      <c r="M1125" s="192"/>
      <c r="N1125" s="192"/>
      <c r="O1125" s="192"/>
      <c r="P1125" s="192"/>
      <c r="Q1125" s="192"/>
      <c r="R1125" s="192"/>
      <c r="S1125" s="192"/>
      <c r="T1125" s="208"/>
      <c r="U1125" s="368" t="s">
        <v>111</v>
      </c>
      <c r="V1125" s="369"/>
      <c r="W1125" s="369"/>
      <c r="X1125" s="369"/>
      <c r="Y1125" s="236">
        <v>2</v>
      </c>
      <c r="Z1125" s="220" t="str">
        <f>IF(U1120="","",IF(OR(Group_players=3,AND(Group_players=4,COUNTBLANK(I1120:I1123)=1)),IF(COUNTIF(M1120:M1122,M1121)=1,"",IF(COUNTIF(U1119:U1121,U1120)=3,IF(AND(U1128=U1127,U1128=U1129),"Tied",IF(AND(U1128&lt;&gt;U1127,U1128&lt;&gt;U1129,U1127&lt;&gt;U1129),(IF(SMALL(U1127:U1129,1)=U1128,1,IF(SMALL(U1127:U1129,2)=U1128,2,IF(SMALL(U1127:U1129,3)=U1128,3)))),IF(AND(U1128&lt;U1127,U1127=U1129),1,IF(AND(U1128&gt;U1127,U1127=U1129),3,IF(AND(U1128=U1127,U1128&lt;U1129),(IF(Q1138=3,1,2)),IF(AND(U1128=U1127,U1128&gt;U1129),(IF(Q1138=3,2,3)),IF(AND(U1128=U1129,U1128&lt;U1127),(IF(Q1134=3,1,2)),IF(AND(U1128=U1129,U1128&gt;U1127),(IF(Q1134=3,2,3)),99)))))))),"")),""))</f>
        <v/>
      </c>
      <c r="AA1125" s="208">
        <v>2</v>
      </c>
      <c r="AB1125" s="222" t="str">
        <f>IF(AND(COUNTBLANK(I1120:I1123)=0,Group_players=4,M1120=M1121,M1121=M1122),IF(COUNTIF(U1119:U1122,U1120)=3,AB1138,IF(AND(COUNTIF(U1119:U1122,U1120)=1,U1119&lt;&gt;U1121),IF(M1121=2,IF(SMALL(U1119:U1122,1)=U1120,1,IF(SMALL(U1119:U1122,2)=U1120,2,IF(SMALL(U1119:U1122,3)=U1120,3))),IF(M1121=1,IF(SMALL(U1119:U1122,1)=U1120,2,IF(SMALL(U1119:U1122,2)=U1120,3,IF(SMALL(U1119:U1122,3)=U1120,4))),"")),IF(COUNTIF(U1119:U1121,U1120)=1,IF(U1120&lt;U1119,IF(M1121=2,1,2),IF(M1121=2,3,99)),IF(COUNTIF(U1119:U1122,U1120)=2,IF(U1120=U1119,IF(U1120&lt;U1121,IF(M1121=2,IF(Q1144=3,1,2),IF(M1121=1,IF(Q1144=3,2,3))),IF(U1120&gt;U1121,IF(M1121=2,IF(Q1144=3,2,3),IF(M1121=1,IF(Q1144=3,3,4))))),IF(U1120=U1121,IF(U1120&lt;U1119,IF(M1121=2,IF(Q1140=3,1,2),IF(M1121=1,IF(Q1140=3,2,3))),IF(U1120&gt;U1119,IF(M1121=2,IF(Q1140=3,2,3),IF(M1121=1,IF(Q1140=3,3,4))))))),"")))),"")</f>
        <v/>
      </c>
      <c r="AC1125" s="192"/>
      <c r="AD1125" s="192"/>
      <c r="AE1125" s="192"/>
      <c r="AF1125" s="192"/>
      <c r="AG1125" s="192"/>
      <c r="AH1125" s="192"/>
      <c r="AI1125" s="192"/>
      <c r="AJ1125" s="192"/>
      <c r="AK1125" s="192"/>
      <c r="AL1125" s="192"/>
      <c r="AM1125" s="192"/>
      <c r="AN1125" s="192"/>
      <c r="AO1125" s="192"/>
      <c r="AP1125" s="192"/>
      <c r="AQ1125" s="192"/>
      <c r="AR1125" s="192"/>
      <c r="AS1125" s="192"/>
      <c r="AT1125" s="192"/>
      <c r="AU1125" s="192"/>
      <c r="AV1125" s="192"/>
      <c r="AW1125" s="192"/>
      <c r="AX1125" s="192"/>
    </row>
    <row r="1126" spans="2:50" ht="15" customHeight="1" thickTop="1" thickBot="1" x14ac:dyDescent="0.35">
      <c r="B1126" s="192"/>
      <c r="C1126" s="192"/>
      <c r="D1126" s="192"/>
      <c r="E1126" s="192"/>
      <c r="F1126" s="192"/>
      <c r="G1126" s="192"/>
      <c r="H1126" s="192"/>
      <c r="I1126" s="192"/>
      <c r="J1126" s="192"/>
      <c r="K1126" s="192"/>
      <c r="L1126" s="192"/>
      <c r="M1126" s="192"/>
      <c r="N1126" s="192"/>
      <c r="O1126" s="192"/>
      <c r="P1126" s="192"/>
      <c r="Q1126" s="192"/>
      <c r="R1126" s="192"/>
      <c r="S1126" s="192"/>
      <c r="T1126" s="120"/>
      <c r="U1126" s="121" t="s">
        <v>101</v>
      </c>
      <c r="V1126" s="122" t="s">
        <v>102</v>
      </c>
      <c r="W1126" s="122" t="s">
        <v>103</v>
      </c>
      <c r="X1126" s="123" t="s">
        <v>104</v>
      </c>
      <c r="Y1126" s="238">
        <v>3</v>
      </c>
      <c r="Z1126" s="239" t="str">
        <f>IF(U1121="","",IF(OR(Group_players=3,AND(Group_players=4,COUNTBLANK(I1120:I1123)=1)),IF(COUNTIF(M1120:M1122,M1122)=1,"",IF(COUNTIF(U1119:U1121,U1121)=3,IF(AND(U1129=U1127,U1129=U1128),"Tied",IF(AND(U1129&lt;&gt;U1128,U1128&lt;&gt;U1127,U1129&lt;&gt;U1127),(IF(SMALL(U1127:U1129,1)=U1129,1,IF(SMALL(U1127:U1129,2)=U1129,2,IF(SMALL(U1127:U1129,3)=U1129,3)))),IF(AND(U1129&lt;U1128,U1128=U1127),1,IF(AND(U1129&gt;U1128,U1128=U1127),3,IF(AND(U1129=U1128,U1129&lt;U1127),(IF(Q1135=3,1,2)),IF(AND(U1129=U1128,U1129&gt;U1127),(IF(Q1135=3,2,3)),IF(AND(U1129=U1127,U1129&lt;U1128),(IF(Q1132=3,1,2)),IF(AND(U1129=U1127,U1129&gt;U1128),(IF(Q1132=3,2,3)),99)))))))),"")),""))</f>
        <v/>
      </c>
      <c r="AA1126" s="240">
        <v>3</v>
      </c>
      <c r="AB1126" s="241" t="str">
        <f>IF(AND(COUNTBLANK(I1120:I1123)=0,Group_players=4,M1120=M1121,M1121=M1122),IF(COUNTIF(U1119:U1122,U1121)=3,AB1139,IF(AND(COUNTIF(U1119:U1122,U1121)=1,U1119&lt;&gt;U1120),IF(M1120=2,IF(SMALL(U1119:U1122,1)=U1121,1,IF(SMALL(U1119:U1122,2)=U1121,2,IF(SMALL(U1119:U1122,3)=U1121,3))),IF(M1122=1,IF(SMALL(U1119:U1122,1)=U1121,2,IF(SMALL(U1119:U1122,2)=U1121,3,IF(SMALL(U1119:U1122,3)=U1121,4))),"")),IF(COUNTIF(U1119:U1122,U1121)=1,IF(U1121&lt;U1120,IF(M1122=2,1,2),IF(M1122=2,3,4)),IF(COUNTIF(U1119:U1122,U1121)=2,IF(U1121=U1120,IF(U1121&lt;U1119,IF(M1122=2,IF(Q1141=3,1,2),IF(M1122=1,IF(Q1141=3,2,3))),IF(U1121&gt;U1119,IF(M1122=2,IF(Q1141=3,2,3),IF(M1122=1,IF(Q1141=3,3,4))))),IF(U1121=U1119,IF(U1121&lt;U1120,IF(M1122=2,IF(Q1132=3,1,2),IF(M1122=1,IF(Q1132=3,2,3))),IF(U1121&gt;U1120,IF(M1122=2,IF(Q1132=3,2,3),IF(M1122=1,IF(Q1132=3,3,4))))))),"")))),"")</f>
        <v/>
      </c>
      <c r="AC1126" s="192"/>
      <c r="AD1126" s="192"/>
      <c r="AE1126" s="192"/>
      <c r="AF1126" s="192"/>
      <c r="AG1126" s="192"/>
      <c r="AH1126" s="192"/>
      <c r="AI1126" s="192"/>
      <c r="AJ1126" s="192"/>
      <c r="AK1126" s="192"/>
      <c r="AL1126" s="192"/>
      <c r="AM1126" s="192"/>
      <c r="AN1126" s="192"/>
      <c r="AO1126" s="192"/>
      <c r="AP1126" s="192"/>
      <c r="AQ1126" s="192"/>
      <c r="AR1126" s="192"/>
      <c r="AS1126" s="192"/>
      <c r="AT1126" s="192"/>
      <c r="AU1126" s="192"/>
      <c r="AV1126" s="192"/>
      <c r="AW1126" s="192"/>
      <c r="AX1126" s="192"/>
    </row>
    <row r="1127" spans="2:50" ht="15" customHeight="1" thickTop="1" thickBot="1" x14ac:dyDescent="0.35">
      <c r="B1127" s="192"/>
      <c r="C1127" s="192"/>
      <c r="D1127" s="192"/>
      <c r="E1127" s="192"/>
      <c r="F1127" s="192"/>
      <c r="G1127" s="192"/>
      <c r="H1127" s="192"/>
      <c r="I1127" s="192"/>
      <c r="J1127" s="192"/>
      <c r="K1127" s="192"/>
      <c r="L1127" s="192"/>
      <c r="M1127" s="192"/>
      <c r="N1127" s="192"/>
      <c r="O1127" s="192"/>
      <c r="P1127" s="192"/>
      <c r="Q1127" s="192"/>
      <c r="R1127" s="192"/>
      <c r="S1127" s="192"/>
      <c r="T1127" s="208">
        <v>1</v>
      </c>
      <c r="U1127" s="209" t="str">
        <f>IF(U1119="","",IF(OR(U1119&lt;&gt;U1120,U1119&lt;&gt;U1121),"",IF(COUNTIF(M1120:M1122,M1120)=1,"",IF(COUNTBLANK(I1120:I1123)=1,(SUM(L1132:P1132)+SUM(L1138:P1138))/(SUM(L1131:P1131)+SUM(L1137:P1137)),IF(COUNTBLANK(I1120:I1123)=0,(SUM(L1144:P1144)+SUM(L1132:P1132))/(SUM(L1143:P1143)+SUM(L1131:P1131)),"")))))</f>
        <v/>
      </c>
      <c r="V1127" s="125" t="str">
        <f>IF(V1119="","",IF(OR(V1119&lt;&gt;V1121,V1119&lt;&gt;V1122),"",IF(AND(COUNTBLANK(I1120:I1123)=0,M1120=M1122,M1122=M1123),(SUM(L1132:P1132)+SUM(L1138:P1138))/(SUM(L1131:P1131)+SUM(L1137:P1137)),"")))</f>
        <v/>
      </c>
      <c r="W1127" s="210" t="str">
        <f>IF(W1119="","",IF(OR(W1119&lt;&gt;W1120,W1119&lt;&gt;W1122),"",IF(AND(COUNTBLANK(I1120:I1123)=0,M1120=M1121,M1121=M1123),(SUM(L1144:P1144)+SUM(L1138:P1138))/(SUM(L1143:P1143)+SUM(L1137:P1137)),"")))</f>
        <v/>
      </c>
      <c r="X1127" s="211"/>
      <c r="Y1127" s="242"/>
      <c r="Z1127" s="242"/>
      <c r="AA1127" s="243">
        <v>1</v>
      </c>
      <c r="AB1127" s="244" t="str">
        <f>IF(AND(COUNTBLANK(I1120:I1123)=0,Group_players=4,M1120=M1122,M1122=M1123),IF(COUNTIF(V1119:V1122,V1119)=3,AB1140,IF(AND(COUNTIF(V1119:V1122,V1119)=1,V1121&lt;&gt;U1130),IF(M1120=2,IF(SMALL(V1119:V1122,1)=V1119,1,IF(SMALL(V1119:V1122,2)=V1119,2,IF(SMALL(V1119:V1122,3)=V1119,3))),IF(M1120=1,IF(SMALL(V1119:V1122,1)=V1119,2,IF(SMALL(V1119:V1122,2)=V1119,3,IF(SMALL(V1119:V1122,3)=V1119,4))),"")),IF(COUNTIF(V1119:V1122,V1119)=1,IF(V1119&lt;V1121,IF(M1120=2,1,2),IF(M1120=2,3,4)),IF(COUNTIF(V1119:V1122,V1119)=2,IF(V1119=V1121,IF(V1119&lt;V1122,IF(M1120=2,IF(Q1131=3,1,2),IF(M1120=1,IF(Q1131=3,2,3))),IF(V1119&gt;V1122,IF(M1120=2,IF(Q1131=3,2,3),IF(M1120=1,IF(Q1131=3,3,4))))),IF(V1119=V1122,IF(V1119&lt;V1121,IF(M1120=2,IF(Q1137=3,1,2),IF(M1120=1,IF(Q1137=3,2,3))),IF(V1119&gt;V1120,IF(M1120=2,IF(Q1137=3,2,3),IF(M1120=1,IF(Q1137=3,3,4))))))),"")))),"")</f>
        <v/>
      </c>
      <c r="AC1127" s="192"/>
      <c r="AD1127" s="192"/>
      <c r="AE1127" s="192"/>
      <c r="AF1127" s="192"/>
      <c r="AG1127" s="192"/>
      <c r="AH1127" s="192"/>
      <c r="AI1127" s="192"/>
      <c r="AJ1127" s="192"/>
      <c r="AK1127" s="192"/>
      <c r="AL1127" s="192"/>
      <c r="AM1127" s="192"/>
      <c r="AN1127" s="192"/>
      <c r="AO1127" s="192"/>
      <c r="AP1127" s="192"/>
      <c r="AQ1127" s="192"/>
      <c r="AR1127" s="192"/>
      <c r="AS1127" s="192"/>
      <c r="AT1127" s="192"/>
      <c r="AU1127" s="192"/>
      <c r="AV1127" s="192"/>
      <c r="AW1127" s="192"/>
      <c r="AX1127" s="192"/>
    </row>
    <row r="1128" spans="2:50" ht="15" customHeight="1" thickTop="1" thickBot="1" x14ac:dyDescent="0.35">
      <c r="B1128" s="192"/>
      <c r="C1128" s="192"/>
      <c r="D1128" s="192"/>
      <c r="E1128" s="117"/>
      <c r="F1128" s="117"/>
      <c r="G1128" s="117"/>
      <c r="H1128" s="192"/>
      <c r="I1128" s="192"/>
      <c r="J1128" s="192"/>
      <c r="K1128" s="192"/>
      <c r="L1128" s="192"/>
      <c r="M1128" s="192"/>
      <c r="N1128" s="192"/>
      <c r="O1128" s="192"/>
      <c r="P1128" s="192"/>
      <c r="Q1128" s="192"/>
      <c r="R1128" s="192"/>
      <c r="S1128" s="394" t="s">
        <v>112</v>
      </c>
      <c r="T1128" s="208">
        <v>2</v>
      </c>
      <c r="U1128" s="209" t="str">
        <f>IF(U1119="","",IF(OR(U1120&lt;&gt;U1119,U1120&lt;&gt;U1121),"",IF(COUNTIF(M1120:M1122,M1121)=1,"",IF(COUNTBLANK(I1120:I1123)=1,(SUM(L1135:P1135)+SUM(L1137:P1137))/(SUM(L1134:P1134)+SUM(L1138:P1138)),IF(COUNTBLANK(I1120:I1123)=0,(SUM(L1143:P1143)+SUM(L1141:P1141))/(SUM(L1144:P1144)+SUM(L1140:P1140)))))))</f>
        <v/>
      </c>
      <c r="V1128" s="135"/>
      <c r="W1128" s="212" t="str">
        <f>IF(W1119="","",IF(OR(W1120&lt;&gt;W1119,W1120&lt;&gt;W1122),"",IF(AND(COUNTBLANK(I1120:I1123)=0,M1120=M1121,M1121=M1123),(SUM(L1135:P1135)+SUM(L1143:P1143))/(SUM(L1144:P1144)+SUM(L1134:P1134)),"")))</f>
        <v/>
      </c>
      <c r="X1128" s="245" t="str">
        <f>IF(X1120="","",IF(OR(X1120&lt;&gt;X1121,X1120&lt;&gt;X1122),"",IF(AND(COUNTBLANK(I1120:I1123)=0,M1121=M1122,M1122=M1123),(SUM(L1141:P1141)+SUM(L1135:P1135))/(SUM(L1140:P1140)+SUM(L1134:P1134)),"")))</f>
        <v/>
      </c>
      <c r="Y1128" s="242"/>
      <c r="Z1128" s="203"/>
      <c r="AA1128" s="246">
        <v>3</v>
      </c>
      <c r="AB1128" s="222" t="str">
        <f>IF(AND(COUNTBLANK(I1120:I1123)=0,Group_players=4,M1120=M1122,M1122=M1123),IF(COUNTIF(V1119:V1122,V1121)=3,AB1141,IF(AND(COUNTIF(V1119:V1122,V1121)=1,V1119&lt;&gt;V1122),IF(M1122=2,IF(SMALL(V1119:V1122,1)=V1121,1,IF(SMALL(V1119:V1122,2)=V1121,2,IF(SMALL(V1119:V1122,3)=V1121,3))),IF(M1122=1,IF(SMALL(V1119:V1122,1)=V1121,2,IF(SMALL(V1119:V1122,2)=V1121,3,IF(SMALL(V1119:V1122,3)=V1121,4))),"")),IF(COUNTIF(V1119:V1122,V1121)=1,IF(V1121&lt;V1119,IF(M1122=2,1,2),IF(M1122=2,3,4)),IF(COUNTIF(V1119:V1122,V1121)=2,IF(V1121=V1119,IF(V1121&lt;V1122,IF(M1122=2,IF(Q1132=3,1,2),IF(M1122=1,IF(Q1132=3,2,3))),IF(V1121&gt;V1122,IF(M1122=2,IF(Q1132=3,2,3),IF(M1122=1,IF(Q1132=3,3,4))))),IF(V1121=V1122,IF(V1121&lt;V1119,IF(M1122=2,IF(Q1146=3,1,2),IF(M1122=1,IF(Q1146=3,2,3))),IF(V1121&gt;V1119,IF(M1122=2,IF(Q1146=3,2,3),IF(M1122=1,IF(Q1146=3,3,4))))))),"")))),"")</f>
        <v/>
      </c>
      <c r="AC1128" s="192"/>
      <c r="AD1128" s="192"/>
      <c r="AE1128" s="192"/>
      <c r="AF1128" s="192"/>
      <c r="AG1128" s="192"/>
      <c r="AH1128" s="192"/>
      <c r="AI1128" s="192"/>
      <c r="AJ1128" s="192"/>
      <c r="AK1128" s="192"/>
      <c r="AL1128" s="192"/>
      <c r="AM1128" s="192"/>
      <c r="AN1128" s="192"/>
      <c r="AO1128" s="192"/>
      <c r="AP1128" s="192"/>
      <c r="AQ1128" s="192"/>
      <c r="AR1128" s="192"/>
      <c r="AS1128" s="192"/>
      <c r="AT1128" s="192"/>
      <c r="AU1128" s="192"/>
      <c r="AV1128" s="192"/>
      <c r="AW1128" s="192"/>
      <c r="AX1128" s="192"/>
    </row>
    <row r="1129" spans="2:50" ht="15" customHeight="1" thickTop="1" thickBot="1" x14ac:dyDescent="0.35">
      <c r="B1129" s="192"/>
      <c r="C1129" s="192"/>
      <c r="D1129" s="192"/>
      <c r="E1129" s="117"/>
      <c r="F1129" s="117"/>
      <c r="G1129" s="117"/>
      <c r="H1129" s="192"/>
      <c r="I1129" s="192"/>
      <c r="J1129" s="192"/>
      <c r="K1129" s="192"/>
      <c r="L1129" s="192"/>
      <c r="M1129" s="192"/>
      <c r="N1129" s="192"/>
      <c r="O1129" s="192"/>
      <c r="P1129" s="192"/>
      <c r="Q1129" s="192"/>
      <c r="R1129" s="247"/>
      <c r="S1129" s="395"/>
      <c r="T1129" s="208">
        <v>3</v>
      </c>
      <c r="U1129" s="209" t="str">
        <f>IF(U1119="","",IF(OR(U1121&lt;&gt;U1119,U1121&lt;&gt;U1120),"",IF(COUNTIF(M1120:M1122,M1122)=1,"",IF(COUNTBLANK(I1120:I1123)=1,(SUM(L1131:P1131)+SUM(L1134:P1134))/(SUM(L1132:P1132)+SUM(L1135:P1135)),IF(COUNTBLANK(I1120:I1123)=0,(SUM(L1131:P1131)+SUM(L1140:P1140))/(SUM(L1132:P1132)+SUM(L1141:P1141)))))))</f>
        <v/>
      </c>
      <c r="V1129" s="125" t="str">
        <f>IF(V1119="","",IF(OR(V1121&lt;&gt;V1119,V1121&lt;&gt;V1122),"",IF(AND(COUNTBLANK(I1120:I1123)=0,M1120=M1122,M1122=M1123),(SUM(L1131:P1131)+SUM(L1147:P1147))/(SUM(L1132:P1132)+SUM(L1146:P1146)),"")))</f>
        <v/>
      </c>
      <c r="W1129" s="218"/>
      <c r="X1129" s="245" t="str">
        <f>IF(X1120="","",IF(OR(X1121&lt;&gt;X1120,X1121&lt;&gt;X1122),"",IF(AND(COUNTBLANK(I1120:I1123)=0,M1121=M1122,M1122=M1123),(SUM(L1140:P1140)+SUM(L1147:P1147))/(SUM(L1141:P1141)+SUM(L1146:P1146)),"")))</f>
        <v/>
      </c>
      <c r="Y1129" s="208"/>
      <c r="Z1129" s="203"/>
      <c r="AA1129" s="240">
        <v>4</v>
      </c>
      <c r="AB1129" s="222" t="str">
        <f>IF(AND(COUNTBLANK(I1120:I1123)=0,Group_players=4,M1120=M1122,M1122=M1123),IF(COUNTIF(V1119:V1122,V1122)=3,AB1142,IF(AND(COUNTIF(V1119:V1122,V1122)=1,V1121&lt;&gt;V1119),IF(M1123=2,IF(SMALL(V1119:V1122,1)=V1122,1,IF(SMALL(V1119:V1122,2)=V1122,2,IF(SMALL(V1119:V1122,3)=V1122,3))),IF(M1123=1,IF(SMALL(V1119:V1122,1)=V1122,2,IF(SMALL(V1119:V1122,2)=V1122,3,IF(SMALL(V1119:V1122,3)=V1122,4))),"")),IF(COUNTIF(V1119:V1122,V1122)=1,IF(V1122&lt;V1119,IF(M1123=2,1,2),IF(M1123=2,3,4)),IF(COUNTIF(V1119:V1122,V1122)=2,IF(V1122=V1119,IF(V1122&lt;V1121,IF(M1123=2,IF(Q1138=3,1,2),IF(M1123=1,IF(Q1138=3,2,3))),IF(V1122&gt;V1121,IF(M1123=2,IF(Q1138=3,2,3),IF(M1123=1,IF(Q1138=3,3,4))))),IF(V1122=V1121,IF(V1122&lt;V1119,IF(M1123=2,IF(Q1147=3,1,2),IF(M1123=1,IF(Q1147=3,2,3))),IF(V1122&gt;V1119,IF(M1123=2,IF(Q1147=3,2,3),IF(M1123=1,IF(Q1147=3,3,4))))))),"")))),"")</f>
        <v/>
      </c>
      <c r="AC1129" s="192"/>
      <c r="AD1129" s="192"/>
      <c r="AE1129" s="192"/>
      <c r="AF1129" s="192"/>
      <c r="AG1129" s="192"/>
      <c r="AH1129" s="192"/>
      <c r="AI1129" s="192"/>
      <c r="AJ1129" s="192"/>
      <c r="AK1129" s="192"/>
      <c r="AL1129" s="192"/>
      <c r="AM1129" s="192"/>
      <c r="AN1129" s="192"/>
      <c r="AO1129" s="192"/>
      <c r="AP1129" s="192"/>
      <c r="AQ1129" s="192"/>
      <c r="AR1129" s="192"/>
      <c r="AS1129" s="192"/>
      <c r="AT1129" s="192"/>
      <c r="AU1129" s="192"/>
      <c r="AV1129" s="192"/>
      <c r="AW1129" s="192"/>
      <c r="AX1129" s="192"/>
    </row>
    <row r="1130" spans="2:50" ht="15" customHeight="1" thickTop="1" thickBot="1" x14ac:dyDescent="0.35">
      <c r="B1130" s="192"/>
      <c r="C1130" s="192"/>
      <c r="D1130" s="192"/>
      <c r="E1130" s="168" t="s">
        <v>113</v>
      </c>
      <c r="F1130" s="168" t="s">
        <v>114</v>
      </c>
      <c r="G1130" s="117"/>
      <c r="H1130" s="192"/>
      <c r="I1130" s="249" t="s">
        <v>115</v>
      </c>
      <c r="J1130" s="249"/>
      <c r="K1130" s="249"/>
      <c r="L1130" s="250" t="s">
        <v>115</v>
      </c>
      <c r="M1130" s="250" t="s">
        <v>116</v>
      </c>
      <c r="N1130" s="250" t="s">
        <v>117</v>
      </c>
      <c r="O1130" s="250" t="s">
        <v>118</v>
      </c>
      <c r="P1130" s="250" t="s">
        <v>119</v>
      </c>
      <c r="Q1130" s="250" t="s">
        <v>120</v>
      </c>
      <c r="R1130" s="250"/>
      <c r="S1130" s="251"/>
      <c r="T1130" s="208">
        <v>4</v>
      </c>
      <c r="U1130" s="223"/>
      <c r="V1130" s="140" t="str">
        <f>IF(V1119="","",IF(OR(V1122&lt;&gt;V1119,V1122&lt;&gt;V1121),"",IF(AND(COUNTBLANK(I1120:I1123)=0,M1120=M1122,M1122=M1123),(SUM(L1137:P1137)+SUM(L1146:P1146))/(SUM(L1138:P1138)+SUM(L1147:P1147)),"")))</f>
        <v/>
      </c>
      <c r="W1130" s="224" t="str">
        <f>IF(W1119="","",IF(OR(W1122&lt;&gt;W1119,W1122&lt;&gt;W1120),"",IF(AND(COUNTBLANK(I1120:I1123)=0,M1120=M1121,M1121=M1123),(SUM(L1137:P1137)+SUM(L1134:P1134))/(SUM(L1138:P1138)+SUM(L1135:P1135)),"")))</f>
        <v/>
      </c>
      <c r="X1130" s="252" t="str">
        <f>IF(X1120="","",IF(OR(X1122&lt;&gt;X1120,X1122&lt;&gt;X1121),"",IF(AND(COUNTBLANK(I1120:I1123)=0,M1121=M1122,M1122=M1123),(SUM(L1134:P1134)+SUM(L1146:P1146))/(SUM(L1135:P1135)+SUM(L1147:P1147)),"")))</f>
        <v/>
      </c>
      <c r="Y1130" s="192"/>
      <c r="Z1130" s="203"/>
      <c r="AA1130" s="243">
        <v>1</v>
      </c>
      <c r="AB1130" s="151" t="str">
        <f>IF(AND(COUNTBLANK(I1120:I1123)=0,Group_players=4,M1120=M1121,M1121=M1123),IF(COUNTIF(W1119:W1122,W1119)=3,AB1143,IF(AND(COUNTIF(W1119:W1122,W1119)=1,W1120&lt;&gt;W1122),IF(M1120=2,IF(SMALL(W1119:W1122,1)=W1119,1,IF(SMALL(W1119:W1122,2)=W1119,2,IF(SMALL(W1119:W1122,3)=W1119,3))),IF(M1120=1,IF(SMALL(W1119:W1122,1)=W1119,2,IF(SMALL(W1119:W1122,2)=W1119,3,IF(SMALL(W1119:W1122,3)=W1119,4))),"")),IF(COUNTIF(W1119:W1122,W1119)=1,IF(W1119&lt;W1120,IF(M1120=2,1,2),IF(M1120=2,3,4)),IF(COUNTIF(W1119:W1122,W1119)=2,IF(W1119=W1120,IF(W1119&lt;W1122,IF(M1120=2,IF(Q1143=3,1,2),IF(M1120=1,IF(Q1143=3,2,3))),IF(W1119&gt;W1122,IF(M1120=2,IF(Q1143=3,2,3),IF(M1120=1,IF(Q1143=3,3,4))))),IF(W1119=W1122,IF(W1119&lt;W1120,IF(M1120=2,IF(Q1137=3,1,2),IF(M1120=1,IF(Q1137=3,2,3))),IF(W1119&gt;W1120,IF(M1120=2,IF(Q1137=3,2,3),IF(M1120=1,IF(Q1137=3,3,4))))))),"")))),"")</f>
        <v/>
      </c>
      <c r="AC1130" s="192"/>
      <c r="AD1130" s="192"/>
      <c r="AE1130" s="192"/>
      <c r="AF1130" s="192"/>
      <c r="AG1130" s="192"/>
      <c r="AH1130" s="192"/>
      <c r="AI1130" s="192"/>
      <c r="AJ1130" s="192"/>
      <c r="AK1130" s="192"/>
      <c r="AL1130" s="192"/>
      <c r="AM1130" s="192"/>
      <c r="AN1130" s="192"/>
      <c r="AO1130" s="192"/>
      <c r="AP1130" s="192"/>
      <c r="AQ1130" s="192"/>
      <c r="AR1130" s="192"/>
      <c r="AS1130" s="192"/>
      <c r="AT1130" s="192"/>
      <c r="AU1130" s="192"/>
      <c r="AV1130" s="192"/>
      <c r="AW1130" s="192"/>
      <c r="AX1130" s="192"/>
    </row>
    <row r="1131" spans="2:50" ht="15" customHeight="1" thickTop="1" x14ac:dyDescent="0.3">
      <c r="B1131" s="192"/>
      <c r="C1131" s="192"/>
      <c r="D1131" s="192"/>
      <c r="E1131" s="164" t="str">
        <f>IF(Q1131="","",IF(Q1131=3,1,0))</f>
        <v/>
      </c>
      <c r="F1131" s="164" t="str">
        <f>IF(Q1131="","",IF(Q1131&lt;3,1,0))</f>
        <v/>
      </c>
      <c r="G1131" s="192"/>
      <c r="H1131" s="192" t="str">
        <f>IF(I1120="","",1)</f>
        <v/>
      </c>
      <c r="I1131" s="192" t="str">
        <f>IF(ISNUMBER(H1131),VLOOKUP(H1131,H1120:I1123,2,TRUE),"")</f>
        <v/>
      </c>
      <c r="J1131" s="192"/>
      <c r="K1131" s="192" t="str">
        <f>VLOOKUP(I1131,I1120:L1123,3,FALSE)</f>
        <v/>
      </c>
      <c r="L1131" s="253"/>
      <c r="M1131" s="254"/>
      <c r="N1131" s="254"/>
      <c r="O1131" s="152"/>
      <c r="P1131" s="153"/>
      <c r="Q1131" s="255" t="str">
        <f>IF(L1131="","",IF(AND(L1131-L1132&gt;1,L1131&gt;10),1,0)+IF(AND(M1131-M1132&gt;1,M1131&gt;10),1,0)+IF(AND(N1131-N1132&gt;1,N1131&gt;10),1,0)+IF(AND(O1131-O1132&gt;1,O1131&gt;10),1,0)+IF(AND(P1131-P1132&gt;1,P1131&gt;10),1,0))</f>
        <v/>
      </c>
      <c r="R1131" s="203" t="str">
        <f>IF(AND(I1131="",I1132=""),"",ABS(VLOOKUP(I1131,I1120:L1123,4,FALSE)-VLOOKUP(I1132,I1120:L1123,4,FALSE)))</f>
        <v/>
      </c>
      <c r="S1131" s="256" t="str">
        <f>IF(R1132="","",IF(Q1131=3,+R1132,-R1132))</f>
        <v/>
      </c>
      <c r="T1131" s="257"/>
      <c r="U1131" s="258"/>
      <c r="V1131" s="258"/>
      <c r="W1131" s="258"/>
      <c r="X1131" s="258"/>
      <c r="Y1131" s="192"/>
      <c r="Z1131" s="203"/>
      <c r="AA1131" s="246">
        <v>2</v>
      </c>
      <c r="AB1131" s="154" t="str">
        <f>IF(AND(COUNTBLANK(I1120:I1123)=0,Group_players=4,M1120=M1121,M1121=M1123),IF(COUNTIF(W1119:W1122,W1120)=3,AB1144,IF(AND(COUNTIF(W1119:W1122,W1120)=1,W1119&lt;&gt;W1121),IF(M1121=2,IF(SMALL(W1119:W1122,1)=W1120,1,IF(SMALL(W1119:W1122,2)=W1120,2,IF(SMALL(W1119:W1122,3)=W1120,3))),IF(M1121=1,IF(SMALL(W1119:W1122,1)=W1120,2,IF(SMALL(W1119:W1122,2)=W1120,3,IF(SMALL(W1119:W1122,3)=W1120,4))),"")),IF(COUNTIF(W1119:W1122,W1120)=1,IF(W1120&lt;W1119,IF(M1121=2,1,2),IF(M1121=2,3,4)),IF(COUNTIF(W1119:W1122,W1120)=2,IF(W1120=W1119,IF(W1120&lt;W1122,IF(M1121=2,IF(Q1144=3,1,2),IF(M1121=1,IF(Q1144=3,2,3))),IF(W1120&gt;W1122,IF(M1121=2,IF(Q1144=3,2,3),IF(M1121=1,IF(Q1144=3,3,4))))),IF(W1120=W1122,IF(W1120&lt;W1119,IF(M1121=2,IF(Q1134=3,1,2),IF(M1121=1,IF(Q1134=3,2,3))),IF(W1120&gt;W1119,IF(M1121=2,IF(Q1134=3,2,3),IF(M1121=1,IF(Q1134=3,3,4))))))),"")))),"")</f>
        <v/>
      </c>
      <c r="AC1131" s="192"/>
      <c r="AD1131" s="192"/>
      <c r="AE1131" s="192"/>
      <c r="AF1131" s="192"/>
      <c r="AG1131" s="192"/>
      <c r="AH1131" s="192"/>
      <c r="AI1131" s="192"/>
      <c r="AJ1131" s="192"/>
      <c r="AK1131" s="192"/>
      <c r="AL1131" s="192"/>
      <c r="AM1131" s="192"/>
      <c r="AN1131" s="192"/>
      <c r="AO1131" s="192"/>
      <c r="AP1131" s="192"/>
      <c r="AQ1131" s="192"/>
      <c r="AR1131" s="192"/>
      <c r="AS1131" s="192"/>
      <c r="AT1131" s="192"/>
      <c r="AU1131" s="192"/>
      <c r="AV1131" s="192"/>
      <c r="AW1131" s="192"/>
      <c r="AX1131" s="192"/>
    </row>
    <row r="1132" spans="2:50" ht="15" customHeight="1" thickBot="1" x14ac:dyDescent="0.35">
      <c r="B1132" s="192"/>
      <c r="C1132" s="192"/>
      <c r="D1132" s="192"/>
      <c r="E1132" s="164" t="str">
        <f>IF(Q1132="","",IF(Q1132=3,1,0))</f>
        <v/>
      </c>
      <c r="F1132" s="164" t="str">
        <f>IF(Q1132="","",IF(Q1132&lt;3,1,0))</f>
        <v/>
      </c>
      <c r="G1132" s="192"/>
      <c r="H1132" s="192" t="str">
        <f>IF(I1121="","",IF(I1122="",2,3))</f>
        <v/>
      </c>
      <c r="I1132" s="192" t="str">
        <f>IF(ISNUMBER(H1132),VLOOKUP(H1132,H1120:I1123,2,TRUE),"")</f>
        <v/>
      </c>
      <c r="J1132" s="192"/>
      <c r="K1132" s="192" t="str">
        <f>VLOOKUP(I1132,I1120:L1123,3,FALSE)</f>
        <v/>
      </c>
      <c r="L1132" s="155"/>
      <c r="M1132" s="259"/>
      <c r="N1132" s="259"/>
      <c r="O1132" s="156"/>
      <c r="P1132" s="157"/>
      <c r="Q1132" s="260" t="str">
        <f>IF(L1132="","",IF(AND(L1132-L1131&gt;1,L1132&gt;10),1,0)+IF(AND(M1132-M1131&gt;1,M1132&gt;10),1,0)+IF(AND(N1132-N1131&gt;1,N1132&gt;10),1,0)+IF(AND(O1132-O1131&gt;1,O1132&gt;10),1,0)+IF(AND(P1132-P1131&gt;1,P1132&gt;10),1,0))</f>
        <v/>
      </c>
      <c r="R1132" s="203" t="str">
        <f>IF(AND(Q1131&lt;&gt;3,Q1132&lt;&gt;3),"",IF(Q1131=3,IF(VLOOKUP(I1131,I1120:L1123,4,FALSE)&gt;VLOOKUP(I1132,I1120:L1123,4,FALSE),VLOOKUP(R1131,Point_dif,2,FALSE),VLOOKUP(R1131,Point_dif,3,FALSE)),IF(Q1132=3,IF(VLOOKUP(I1132,I1120:L1123,4,FALSE)&gt;VLOOKUP(I1131,I1120:L1123,4,FALSE),VLOOKUP(R1131,Point_dif,2,FALSE),VLOOKUP(R1131,Point_dif,3,FALSE)))))</f>
        <v/>
      </c>
      <c r="S1132" s="256" t="str">
        <f>IF(R1132="","",IF(Q1132=3,+R1132,-R1132))</f>
        <v/>
      </c>
      <c r="T1132" s="192"/>
      <c r="U1132" s="235"/>
      <c r="V1132" s="235"/>
      <c r="W1132" s="235"/>
      <c r="X1132" s="235"/>
      <c r="Y1132" s="235"/>
      <c r="Z1132" s="235"/>
      <c r="AA1132" s="240">
        <v>4</v>
      </c>
      <c r="AB1132" s="158" t="str">
        <f>IF(AND(COUNTBLANK(I1120:I1123)=0,Group_players=4,M1120=M1121,M1121=M1123),IF(COUNTIF(W1119:W1122,W1122)=3,AB1145,IF(AND(COUNTIF(W1119:W1122,W1122)=1,W1119&lt;&gt;W1120),IF(M1123=2,IF(SMALL(W1119:W1122,1)=W1122,1,IF(SMALL(W1119:W1122,2)=W1122,2,IF(SMALL(W1119:W1122,3)=W1122,3))),IF(M1123=1,IF(SMALL(W1119:W1122,1)=W1122,2,IF(SMALL(W1119:W1122,2)=W1122,3,IF(SMALL(W1119:W1122,3)=W1122,4))),"")),IF(COUNTIF(W1119:W1122,W1122)=1,IF(W1122&lt;W1119,IF(M1123=2,1,2),IF(M1123=2,3,4)),IF(COUNTIF(W1119:W1122,W1122)=2,IF(W1122=W1119,IF(W1122&lt;W1120,IF(M1123=2,IF(Q1138=3,1,2),IF(M1123=1,IF(Q1138=3,2,3))),IF(W1122&gt;W1121,IF(M1123=2,IF(Q1138=3,2,3),IF(M1123=1,IF(Q1138=3,3,4))))),IF(W1122=W1120,IF(W1122&lt;W1119,IF(M1123=2,IF(Q1135=3,1,2),IF(M1123=1,IF(Q1135=3,2,3))),IF(W1122&gt;W1119,IF(M1123=2,IF(Q1135=3,2,3),IF(M1123=1,IF(Q1135=3,3,4))))))),"")))),"")</f>
        <v/>
      </c>
      <c r="AC1132" s="192"/>
      <c r="AD1132" s="192"/>
      <c r="AE1132" s="192"/>
      <c r="AF1132" s="192"/>
      <c r="AG1132" s="192"/>
      <c r="AH1132" s="192"/>
      <c r="AI1132" s="192"/>
      <c r="AJ1132" s="192"/>
      <c r="AK1132" s="192"/>
      <c r="AL1132" s="192"/>
      <c r="AM1132" s="192"/>
      <c r="AN1132" s="192"/>
      <c r="AO1132" s="192"/>
      <c r="AP1132" s="192"/>
      <c r="AQ1132" s="192"/>
      <c r="AR1132" s="192"/>
      <c r="AS1132" s="192"/>
      <c r="AT1132" s="192"/>
      <c r="AU1132" s="192"/>
      <c r="AV1132" s="192"/>
      <c r="AW1132" s="192"/>
      <c r="AX1132" s="192"/>
    </row>
    <row r="1133" spans="2:50" ht="15" customHeight="1" thickTop="1" thickBot="1" x14ac:dyDescent="0.35">
      <c r="B1133" s="192"/>
      <c r="C1133" s="192"/>
      <c r="D1133" s="192"/>
      <c r="E1133" s="164"/>
      <c r="F1133" s="164"/>
      <c r="G1133" s="192"/>
      <c r="H1133" s="192"/>
      <c r="I1133" s="249" t="s">
        <v>116</v>
      </c>
      <c r="J1133" s="249"/>
      <c r="K1133" s="249"/>
      <c r="L1133" s="250" t="s">
        <v>115</v>
      </c>
      <c r="M1133" s="250" t="s">
        <v>116</v>
      </c>
      <c r="N1133" s="250" t="s">
        <v>117</v>
      </c>
      <c r="O1133" s="250" t="s">
        <v>118</v>
      </c>
      <c r="P1133" s="250" t="s">
        <v>119</v>
      </c>
      <c r="Q1133" s="250" t="s">
        <v>120</v>
      </c>
      <c r="R1133" s="250"/>
      <c r="S1133" s="251"/>
      <c r="T1133" s="192"/>
      <c r="U1133" s="235"/>
      <c r="V1133" s="235"/>
      <c r="W1133" s="235"/>
      <c r="X1133" s="235"/>
      <c r="Y1133" s="235"/>
      <c r="Z1133" s="235"/>
      <c r="AA1133" s="243">
        <v>2</v>
      </c>
      <c r="AB1133" s="151" t="str">
        <f>IF(AND(COUNTBLANK(I1120:I1123)=0,Group_players=4,M1121=M1122,M1122=M1123),IF(COUNTIF(X1119:X1122,X1120)=3,AB1146,IF(AND(COUNTIF(X1119:X1122,X1120)=1,X1121&lt;&gt;X1122),IF(M1121=2,IF(SMALL(X1119:X1122,1)=X1120,1,IF(SMALL(X1119:X1122,2)=X1120,2,IF(SMALL(X1119:X1122,3)=X1120,3))),IF(M1121=1,IF(SMALL(X1119:X1122,1)=X1120,2,IF(SMALL(X1119:X1122,2)=X1120,3,IF(SMALL(X1119:X1122,3)=X1120,4))),"")),IF(COUNTIF(X1119:X1122,X1120)=1,IF(X1120&lt;X1122,IF(M1121=2,1,2),IF(M1121=1,3,3)),IF(COUNTIF(X1119:X1122,X1120)=2,IF(X1120=X1121,IF(X1120&lt;X1122,IF(M1121=2,IF(Q1140=3,1,2),IF(M1121=1,IF(Q1140=3,2,3))),IF(X1120&gt;X1122,IF(M1121=2,IF(Q1140=3,2,3),IF(M1121=1,IF(Q1140=3,3,4))))),IF(X1120=X1122,IF(X1120&lt;X1121,IF(M1121=2,IF(Q1134=3,1,2),IF(M1121=1,IF(Q1134=3,2,3))),IF(X1120&gt;X1121,IF(M1121=2,IF(Q1134=3,2,3),IF(M1121=1,IF(Q1134=3,3,4))))))),"")))),"")</f>
        <v/>
      </c>
      <c r="AC1133" s="192"/>
      <c r="AD1133" s="192"/>
      <c r="AE1133" s="192"/>
      <c r="AF1133" s="192"/>
      <c r="AG1133" s="192"/>
      <c r="AH1133" s="192"/>
      <c r="AI1133" s="192"/>
      <c r="AJ1133" s="192"/>
      <c r="AK1133" s="192"/>
      <c r="AL1133" s="192"/>
      <c r="AM1133" s="192"/>
      <c r="AN1133" s="192"/>
      <c r="AO1133" s="192"/>
      <c r="AP1133" s="192"/>
      <c r="AQ1133" s="192"/>
      <c r="AR1133" s="192"/>
      <c r="AS1133" s="192"/>
      <c r="AT1133" s="192"/>
      <c r="AU1133" s="192"/>
      <c r="AV1133" s="192"/>
      <c r="AW1133" s="192"/>
      <c r="AX1133" s="192"/>
    </row>
    <row r="1134" spans="2:50" ht="15" customHeight="1" thickTop="1" x14ac:dyDescent="0.3">
      <c r="B1134" s="192"/>
      <c r="C1134" s="192"/>
      <c r="D1134" s="192"/>
      <c r="E1134" s="164" t="str">
        <f>IF(Q1134="","",IF(Q1134=3,1,0))</f>
        <v/>
      </c>
      <c r="F1134" s="164" t="str">
        <f>IF(Q1134="","",IF(Q1134&lt;3,1,0))</f>
        <v/>
      </c>
      <c r="G1134" s="192"/>
      <c r="H1134" s="192" t="str">
        <f>IF(I1122="","",2)</f>
        <v/>
      </c>
      <c r="I1134" s="192" t="str">
        <f>IF(ISNUMBER(H1134),VLOOKUP(H1134,H1120:I1123,2,TRUE),"")</f>
        <v/>
      </c>
      <c r="J1134" s="192"/>
      <c r="K1134" s="192" t="str">
        <f>VLOOKUP(I1134,I1120:L1123,3,FALSE)</f>
        <v/>
      </c>
      <c r="L1134" s="253"/>
      <c r="M1134" s="254"/>
      <c r="N1134" s="254"/>
      <c r="O1134" s="152"/>
      <c r="P1134" s="153"/>
      <c r="Q1134" s="255" t="str">
        <f>IF(L1134="","",IF(AND(L1134-L1135&gt;1,L1134&gt;10),1,0)+IF(AND(M1134-M1135&gt;1,M1134&gt;10),1,0)+IF(AND(N1134-N1135&gt;1,N1134&gt;10),1,0)+IF(AND(O1134-O1135&gt;1,O1134&gt;10),1,0)+IF(AND(P1134-P1135&gt;1,P1134&gt;10),1,0))</f>
        <v/>
      </c>
      <c r="R1134" s="203" t="str">
        <f>IF(AND(I1134="",I1135=""),"",ABS(VLOOKUP(I1134,I1120:L1123,4,FALSE)-VLOOKUP(I1135,I1120:L1123,4,FALSE)))</f>
        <v/>
      </c>
      <c r="S1134" s="256" t="str">
        <f>IF(R1135="","",IF(Q1134=3,+R1135,-R1135))</f>
        <v/>
      </c>
      <c r="T1134" s="192"/>
      <c r="U1134" s="235"/>
      <c r="V1134" s="235"/>
      <c r="W1134" s="235"/>
      <c r="X1134" s="235"/>
      <c r="Y1134" s="235"/>
      <c r="Z1134" s="235"/>
      <c r="AA1134" s="246">
        <v>3</v>
      </c>
      <c r="AB1134" s="154" t="str">
        <f>IF(AND(COUNTBLANK(I1120:I1123)=0,Group_players=4,M1121=M1122,M1122=M1123),IF(COUNTIF(X1119:X1122,X1121)=3,AB1147,IF(AND(COUNTIF(X1119:X1122,X1121)=1,X1120&lt;&gt;X1122),IF(M1122=2,IF(SMALL(X1119:X1122,1)=X1121,1,IF(SMALL(X1119:X1122,2)=X1121,2,IF(SMALL(X1119:X1122,3)=X1121,3))),IF(M1122=1,IF(SMALL(X1119:X1122,1)=X1121,2,IF(SMALL(X1119:X1122,2)=X1121,3,IF(SMALL(X1119:X1122,3)=X1121,4))),"")),IF(COUNTIF(X1119:X1122,X1121)=1,IF(X1121&lt;X1120,IF(M1122=2,1,2),IF(M1122=2,3,4)),IF(COUNTIF(X1119:X1122,X1121)=2,IF(X1121=X1120,IF(X1121&lt;X1122,IF(M1122=2,IF(Q1141=3,1,2),IF(M1122=1,IF(Q1141=3,2,3))),IF(X1121&gt;X1122,IF(M1122=2,IF(Q1141=3,2,3),IF(M1122=1,IF(Q1141=3,3,4))))),IF(X1121=X1122,IF(X1121&lt;X1120,IF(M1122=2,IF(Q1146=3,1,2),IF(M1122=1,IF(Q1146=3,2,3))),IF(X1121&gt;X1120,IF(M1122=2,IF(Q1146=3,2,3),IF(M1122=1,IF(Q1146=3,3,4))))))),"")))),"")</f>
        <v/>
      </c>
      <c r="AC1134" s="192"/>
      <c r="AD1134" s="192"/>
      <c r="AE1134" s="192"/>
      <c r="AF1134" s="192"/>
      <c r="AG1134" s="192"/>
      <c r="AH1134" s="192"/>
      <c r="AI1134" s="192"/>
      <c r="AJ1134" s="192"/>
      <c r="AK1134" s="192"/>
      <c r="AL1134" s="192"/>
      <c r="AM1134" s="192"/>
      <c r="AN1134" s="192"/>
      <c r="AO1134" s="192"/>
      <c r="AP1134" s="192"/>
      <c r="AQ1134" s="192"/>
      <c r="AR1134" s="192"/>
      <c r="AS1134" s="192"/>
      <c r="AT1134" s="192"/>
      <c r="AU1134" s="192"/>
      <c r="AV1134" s="192"/>
      <c r="AW1134" s="192"/>
      <c r="AX1134" s="192"/>
    </row>
    <row r="1135" spans="2:50" ht="15" customHeight="1" thickBot="1" x14ac:dyDescent="0.35">
      <c r="B1135" s="192"/>
      <c r="C1135" s="192"/>
      <c r="D1135" s="192"/>
      <c r="E1135" s="164" t="str">
        <f>IF(Q1135="","",IF(Q1135=3,1,0))</f>
        <v/>
      </c>
      <c r="F1135" s="164" t="str">
        <f>IF(Q1135="","",IF(Q1135&lt;3,1,0))</f>
        <v/>
      </c>
      <c r="G1135" s="192"/>
      <c r="H1135" s="192" t="str">
        <f>IF(I1122="","",IF(I1123="",3,4))</f>
        <v/>
      </c>
      <c r="I1135" s="192" t="str">
        <f>IF(ISNUMBER(H1135),VLOOKUP(H1135,H1120:I1123,2,TRUE),"")</f>
        <v/>
      </c>
      <c r="J1135" s="192"/>
      <c r="K1135" s="192" t="str">
        <f>VLOOKUP(I1135,I1120:L1123,3,FALSE)</f>
        <v/>
      </c>
      <c r="L1135" s="155"/>
      <c r="M1135" s="259"/>
      <c r="N1135" s="259"/>
      <c r="O1135" s="156"/>
      <c r="P1135" s="157"/>
      <c r="Q1135" s="260" t="str">
        <f>IF(L1135="","",IF(AND(L1135-L1134&gt;1,L1135&gt;10),1,0)+IF(AND(M1135-M1134&gt;1,M1135&gt;10),1,0)+IF(AND(N1135-N1134&gt;1,N1135&gt;10),1,0)+IF(AND(O1135-O1134&gt;1,O1135&gt;10),1,0)+IF(AND(P1135-P1134&gt;1,P1135&gt;10),1,0))</f>
        <v/>
      </c>
      <c r="R1135" s="203" t="str">
        <f>IF(AND(Q1134&lt;&gt;3,Q1135&lt;&gt;3),"",IF(Q1134=3,IF(VLOOKUP(I1134,I1120:L1123,4,FALSE)&gt;VLOOKUP(I1135,I1120:L1123,4,FALSE),VLOOKUP(R1134,Point_dif,2,FALSE),VLOOKUP(R1134,Point_dif,3,FALSE)),IF(Q1135=3,IF(VLOOKUP(I1135,I1120:L1123,4,FALSE)&gt;VLOOKUP(I1134,I1120:L1123,4,FALSE),VLOOKUP(R1134,Point_dif,2,FALSE),VLOOKUP(R1134,Point_dif,3,FALSE)))))</f>
        <v/>
      </c>
      <c r="S1135" s="256" t="str">
        <f>IF(R1135="","",IF(Q1135=3,+R1135,-R1135))</f>
        <v/>
      </c>
      <c r="T1135" s="192"/>
      <c r="U1135" s="235"/>
      <c r="V1135" s="235"/>
      <c r="W1135" s="235"/>
      <c r="X1135" s="235"/>
      <c r="Y1135" s="235"/>
      <c r="Z1135" s="235"/>
      <c r="AA1135" s="261">
        <v>4</v>
      </c>
      <c r="AB1135" s="158" t="str">
        <f>IF(AND(COUNTBLANK(I1120:I1123)=0,Group_players=4,M1121=M1122,M1122=M1123),IF(COUNTIF(X1119:X1122,X1122)=3,AB1148,IF(AND(COUNTIF(X1119:X1122,X1122)=1,X1121&lt;&gt;X1120),IF(M1123=2,IF(SMALL(X1119:X1122,1)=X1122,1,IF(SMALL(X1119:X1122,2)=X1122,2,IF(SMALL(X1119:X1122,3)=X1122,3))),IF(M1123=1,IF(SMALL(X1119:X1122,1)=X1122,2,IF(SMALL(X1119:X1122,2)=X1122,3,IF(SMALL(X1119:X1122,3)=X1122,4))),"")),IF(COUNTIF(X1119:X1122,X1122)=1,IF(X1122&lt;X1120,IF(M1123=2,1,2),IF(M1123=2,3,4)),IF(COUNTIF(X1119:X1122,X1122)=2,IF(X1122=X1120,IF(X1122&lt;X1121,IF(M1123=2,IF(Q1135=3,1,2),IF(M1123=1,IF(Q1135=3,2,3))),IF(X1122&gt;X1121,IF(M1123=2,IF(Q1135=3,2,3),IF(M1123=1,IF(Q1135=3,3,4))))),IF(X1122=X1121,IF(X1122&lt;X1120,IF(M1123=2,IF(Q1147=3,1,2),IF(M1123=1,IF(Q1147=3,2,3))),IF(X1122&gt;X1120,IF(M1123=2,IF(Q1147=3,2,3),IF(M1123=1,IF(Q1147=3,3,4))))))),"")))),"")</f>
        <v/>
      </c>
      <c r="AC1135" s="192"/>
      <c r="AD1135" s="192"/>
      <c r="AE1135" s="192"/>
      <c r="AF1135" s="192"/>
      <c r="AG1135" s="192"/>
      <c r="AH1135" s="192"/>
      <c r="AI1135" s="192"/>
      <c r="AJ1135" s="192"/>
      <c r="AK1135" s="192"/>
      <c r="AL1135" s="192"/>
      <c r="AM1135" s="192"/>
      <c r="AN1135" s="192"/>
      <c r="AO1135" s="192"/>
      <c r="AP1135" s="192"/>
      <c r="AQ1135" s="192"/>
      <c r="AR1135" s="192"/>
      <c r="AS1135" s="192"/>
      <c r="AT1135" s="192"/>
      <c r="AU1135" s="192"/>
      <c r="AV1135" s="192"/>
      <c r="AW1135" s="192"/>
      <c r="AX1135" s="192"/>
    </row>
    <row r="1136" spans="2:50" ht="15" customHeight="1" thickTop="1" thickBot="1" x14ac:dyDescent="0.35">
      <c r="B1136" s="192"/>
      <c r="C1136" s="192"/>
      <c r="D1136" s="192"/>
      <c r="E1136" s="164"/>
      <c r="F1136" s="164"/>
      <c r="G1136" s="192"/>
      <c r="H1136" s="192"/>
      <c r="I1136" s="249" t="s">
        <v>117</v>
      </c>
      <c r="J1136" s="249"/>
      <c r="K1136" s="249"/>
      <c r="L1136" s="250" t="s">
        <v>115</v>
      </c>
      <c r="M1136" s="250" t="s">
        <v>116</v>
      </c>
      <c r="N1136" s="250" t="s">
        <v>117</v>
      </c>
      <c r="O1136" s="250" t="s">
        <v>118</v>
      </c>
      <c r="P1136" s="250" t="s">
        <v>119</v>
      </c>
      <c r="Q1136" s="250" t="s">
        <v>120</v>
      </c>
      <c r="R1136" s="250"/>
      <c r="S1136" s="251"/>
      <c r="T1136" s="263"/>
      <c r="U1136" s="264"/>
      <c r="V1136" s="242"/>
      <c r="W1136" s="242"/>
      <c r="X1136" s="264"/>
      <c r="Y1136" s="192"/>
      <c r="Z1136" s="203"/>
      <c r="AA1136" s="126" t="s">
        <v>93</v>
      </c>
      <c r="AB1136" s="265" t="s">
        <v>110</v>
      </c>
      <c r="AC1136" s="192"/>
      <c r="AD1136" s="192"/>
      <c r="AE1136" s="192"/>
      <c r="AF1136" s="192"/>
      <c r="AG1136" s="192"/>
      <c r="AH1136" s="192"/>
      <c r="AI1136" s="192"/>
      <c r="AJ1136" s="192"/>
      <c r="AK1136" s="192"/>
      <c r="AL1136" s="192"/>
      <c r="AM1136" s="192"/>
      <c r="AN1136" s="192"/>
      <c r="AO1136" s="192"/>
      <c r="AP1136" s="192"/>
      <c r="AQ1136" s="192"/>
      <c r="AR1136" s="192"/>
      <c r="AS1136" s="192"/>
      <c r="AT1136" s="192"/>
      <c r="AU1136" s="192"/>
      <c r="AV1136" s="192"/>
      <c r="AW1136" s="192"/>
      <c r="AX1136" s="192"/>
    </row>
    <row r="1137" spans="2:50" ht="15" customHeight="1" thickTop="1" x14ac:dyDescent="0.3">
      <c r="B1137" s="192"/>
      <c r="C1137" s="192"/>
      <c r="D1137" s="192"/>
      <c r="E1137" s="164" t="str">
        <f>IF(Q1137="","",IF(Q1137=3,1,0))</f>
        <v/>
      </c>
      <c r="F1137" s="164" t="str">
        <f>IF(Q1137="","",IF(Q1137&lt;3,1,0))</f>
        <v/>
      </c>
      <c r="G1137" s="192"/>
      <c r="H1137" s="192" t="str">
        <f>IF(I1122&lt;&gt;"",1,"")</f>
        <v/>
      </c>
      <c r="I1137" s="192" t="str">
        <f>IF(ISNUMBER(H1137),VLOOKUP(H1137,H1120:I1123,2,TRUE),"")</f>
        <v/>
      </c>
      <c r="J1137" s="192"/>
      <c r="K1137" s="192" t="str">
        <f>VLOOKUP(I1137,I1120:L1123,3,FALSE)</f>
        <v/>
      </c>
      <c r="L1137" s="253"/>
      <c r="M1137" s="254"/>
      <c r="N1137" s="254"/>
      <c r="O1137" s="152"/>
      <c r="P1137" s="153"/>
      <c r="Q1137" s="255" t="str">
        <f>IF(L1137="","",IF(AND(L1137-L1138&gt;1,L1137&gt;10),1,0)+IF(AND(M1137-M1138&gt;1,M1137&gt;10),1,0)+IF(AND(N1137-N1138&gt;1,N1137&gt;10),1,0)+IF(AND(O1137-O1138&gt;1,O1137&gt;10),1,0)+IF(AND(P1137-P1138&gt;1,P1137&gt;10),1,0))</f>
        <v/>
      </c>
      <c r="R1137" s="203" t="str">
        <f>IF(AND(I1137="",I1138=""),"",ABS(VLOOKUP(I1137,I1120:L1123,4,FALSE)-VLOOKUP(I1138,I1120:L1123,4,FALSE)))</f>
        <v/>
      </c>
      <c r="S1137" s="256" t="str">
        <f>IF(R1138="","",IF(Q1137=3,+R1138,-R1138))</f>
        <v/>
      </c>
      <c r="T1137" s="192"/>
      <c r="U1137" s="235"/>
      <c r="V1137" s="235"/>
      <c r="W1137" s="235"/>
      <c r="X1137" s="235"/>
      <c r="Y1137" s="235"/>
      <c r="Z1137" s="235"/>
      <c r="AA1137" s="243">
        <v>1</v>
      </c>
      <c r="AB1137" s="222" t="str">
        <f>IF(AND(COUNTBLANK(I1120:I1123)=0,Group_players=4,M1120=M1121,M1121=M1122),IF(U1127="","",IF(COUNTIF(U1127:U1130,U1127)=3,"Tied",IF(AND(COUNTIF(U1127:U1130,U1127)=1,U1128&lt;&gt;U1129),IF(M1120=2,IF(SMALL(U1127:U1130,1)=U1127,1,IF(SMALL(U1127:U1130,2)=U1127,2,IF(SMALL(U1127:U1130,3)=U1127,3))),IF(M1120=1,IF(SMALL(U1127:U1130,1)=U1127,2,IF(SMALL(U1127:U1130,2)=U1127,3,IF(SMALL(U1127:U1130,3)=U1127,4))),"")),IF(COUNTIF(U1127:U1130,U1127)=1,IF(U1127&lt;U1128,IF(M1120=2,1,2),IF(M1120=2,3,4)),IF(COUNTIF(U1127:U1130,U1127)=2,IF(U1127=U1128,IF(U1127&lt;U1129,IF(M1120=2,IF(Q1143=3,1,2),IF(M1120=1,IF(Q1143=3,2,3))),IF(U1127&gt;U1129,IF(M1120=2,IF(Q1143=3,2,3),IF(M1120=1,IF(Q1143=3,3,4))))),IF(U1127=U1129,IF(U1127&lt;U1128,IF(M1120=2,IF(Q1131=3,1,2),IF(M1120=1,IF(Q1131=3,2,3))),IF(U1127&gt;U1128,IF(M1120=2,IF(Q1131=3,2,3),IF(M1120=1,IF(Q1131=3,3,4)))))))))))),"")</f>
        <v/>
      </c>
      <c r="AC1137" s="192"/>
      <c r="AD1137" s="192"/>
      <c r="AE1137" s="192"/>
      <c r="AF1137" s="192"/>
      <c r="AG1137" s="192"/>
      <c r="AH1137" s="192"/>
      <c r="AI1137" s="192"/>
      <c r="AJ1137" s="192"/>
      <c r="AK1137" s="192"/>
      <c r="AL1137" s="192"/>
      <c r="AM1137" s="192"/>
      <c r="AN1137" s="192"/>
      <c r="AO1137" s="192"/>
      <c r="AP1137" s="192"/>
      <c r="AQ1137" s="192"/>
      <c r="AR1137" s="192"/>
      <c r="AS1137" s="192"/>
      <c r="AT1137" s="192"/>
      <c r="AU1137" s="192"/>
      <c r="AV1137" s="192"/>
      <c r="AW1137" s="192"/>
      <c r="AX1137" s="192"/>
    </row>
    <row r="1138" spans="2:50" ht="15" customHeight="1" thickBot="1" x14ac:dyDescent="0.35">
      <c r="B1138" s="192"/>
      <c r="C1138" s="192"/>
      <c r="D1138" s="192"/>
      <c r="E1138" s="164" t="str">
        <f>IF(Q1138="","",IF(Q1138=3,1,0))</f>
        <v/>
      </c>
      <c r="F1138" s="164" t="str">
        <f>IF(Q1138="","",IF(Q1138&lt;3,1,0))</f>
        <v/>
      </c>
      <c r="G1138" s="192"/>
      <c r="H1138" s="192" t="str">
        <f>IF(I1122="","",IF(I1123&lt;&gt;"",4,2))</f>
        <v/>
      </c>
      <c r="I1138" s="192" t="str">
        <f>IF(ISNUMBER(H1138),VLOOKUP(H1138,H1120:I1123,2,TRUE),"")</f>
        <v/>
      </c>
      <c r="J1138" s="192"/>
      <c r="K1138" s="192" t="str">
        <f>VLOOKUP(I1138,I1120:L1123,3,FALSE)</f>
        <v/>
      </c>
      <c r="L1138" s="155"/>
      <c r="M1138" s="259"/>
      <c r="N1138" s="259"/>
      <c r="O1138" s="156"/>
      <c r="P1138" s="157"/>
      <c r="Q1138" s="260" t="str">
        <f>IF(L1138="","",IF(AND(L1138-L1137&gt;1,L1138&gt;10),1,0)+IF(AND(M1138-M1137&gt;1,M1138&gt;10),1,0)+IF(AND(N1138-N1137&gt;1,N1138&gt;10),1,0)+IF(AND(O1138-O1137&gt;1,O1138&gt;10),1,0)+IF(AND(P1138-P1137&gt;1,P1138&gt;10),1,0))</f>
        <v/>
      </c>
      <c r="R1138" s="203" t="str">
        <f>IF(AND(Q1137&lt;&gt;3,Q1138&lt;&gt;3),"",IF(Q1137=3,IF(VLOOKUP(I1137,I1120:L1123,4,FALSE)&gt;VLOOKUP(I1138,I1120:L1123,4,FALSE),VLOOKUP(R1137,Point_dif,2,FALSE),VLOOKUP(R1137,Point_dif,3,FALSE)),IF(Q1138=3,IF(VLOOKUP(I1138,I1120:L1123,4,FALSE)&gt;VLOOKUP(I1137,I1120:L1123,4,FALSE),VLOOKUP(R1137,Point_dif,2,FALSE),VLOOKUP(R1137,Point_dif,3,FALSE)))))</f>
        <v/>
      </c>
      <c r="S1138" s="256" t="str">
        <f>IF(R1138="","",IF(Q1138=3,+R1138,-R1138))</f>
        <v/>
      </c>
      <c r="T1138" s="192"/>
      <c r="U1138" s="235"/>
      <c r="V1138" s="235"/>
      <c r="W1138" s="235"/>
      <c r="X1138" s="235"/>
      <c r="Y1138" s="235"/>
      <c r="Z1138" s="235"/>
      <c r="AA1138" s="246">
        <v>2</v>
      </c>
      <c r="AB1138" s="222" t="str">
        <f>IF(AND(COUNTBLANK(I1120:I1123)=0,Group_players=4,M1120=M1121,M1121=M1122),IF(U1128="","",IF(COUNTIF(U1127:U1130,U1128)=3,"Tied",IF(AND(COUNTIF(U1127:U1130,U1128)=1,U1127&lt;&gt;U1129),IF(M1121=2,IF(SMALL(U1127:U1130,1)=U1128,1,IF(SMALL(U1127:U1130,2)=U1128,2,IF(SMALL(U1127:U1130,3)=U1128,3))),IF(M1121=1,IF(SMALL(U1127:U1130,1)=U1128,2,IF(SMALL(U1127:U1130,2)=U1128,3,IF(SMALL(U1127:U1130,3)=U1128,4))),"")),IF(COUNTIF(U1127:U1130,U1128)=1,IF(U1128&lt;U1127,IF(M1121=2,1,2),IF(M1121=2,3,4)),IF(COUNTIF(U1127:U1130,U1128)=2,IF(U1128=U1127,IF(U1128&lt;U1129,IF(M1121=2,IF(Q1144=3,1,2),IF(M1121=1,IF(Q1144=3,2,3))),IF(U1128&gt;U1129,IF(M1121=2,IF(Q1144=3,2,3),IF(M1121=1,IF(Q1144=3,3,4))))),IF(U1128=U1129,IF(U1128&lt;U1127,IF(M1121=2,IF(Q1140=3,1,2),IF(M1121=1,IF(Q1140=3,2,3))),IF(U1128&gt;U1127,IF(M1121=2,IF(Q1140=3,2,3),IF(M1121=1,IF(Q1140=3,3,4)))))))))))),"")</f>
        <v/>
      </c>
      <c r="AC1138" s="192"/>
      <c r="AD1138" s="192"/>
      <c r="AE1138" s="192"/>
      <c r="AF1138" s="192"/>
      <c r="AG1138" s="192"/>
      <c r="AH1138" s="192"/>
      <c r="AI1138" s="192"/>
      <c r="AJ1138" s="192"/>
      <c r="AK1138" s="192"/>
      <c r="AL1138" s="192"/>
      <c r="AM1138" s="192"/>
      <c r="AN1138" s="192"/>
      <c r="AO1138" s="192"/>
      <c r="AP1138" s="192"/>
      <c r="AQ1138" s="192"/>
      <c r="AR1138" s="192"/>
      <c r="AS1138" s="192"/>
      <c r="AT1138" s="192"/>
      <c r="AU1138" s="192"/>
      <c r="AV1138" s="192"/>
      <c r="AW1138" s="192"/>
      <c r="AX1138" s="192"/>
    </row>
    <row r="1139" spans="2:50" ht="15" customHeight="1" thickTop="1" thickBot="1" x14ac:dyDescent="0.35">
      <c r="B1139" s="192"/>
      <c r="C1139" s="192"/>
      <c r="D1139" s="192"/>
      <c r="E1139" s="164"/>
      <c r="F1139" s="164"/>
      <c r="G1139" s="192"/>
      <c r="H1139" s="192"/>
      <c r="I1139" s="249" t="s">
        <v>118</v>
      </c>
      <c r="J1139" s="249"/>
      <c r="K1139" s="249"/>
      <c r="L1139" s="250" t="s">
        <v>115</v>
      </c>
      <c r="M1139" s="250" t="s">
        <v>116</v>
      </c>
      <c r="N1139" s="250" t="s">
        <v>117</v>
      </c>
      <c r="O1139" s="250" t="s">
        <v>118</v>
      </c>
      <c r="P1139" s="250" t="s">
        <v>119</v>
      </c>
      <c r="Q1139" s="250" t="s">
        <v>120</v>
      </c>
      <c r="R1139" s="250"/>
      <c r="S1139" s="251"/>
      <c r="T1139" s="192"/>
      <c r="U1139" s="235"/>
      <c r="V1139" s="235"/>
      <c r="W1139" s="235"/>
      <c r="X1139" s="235"/>
      <c r="Y1139" s="235"/>
      <c r="Z1139" s="235"/>
      <c r="AA1139" s="240">
        <v>3</v>
      </c>
      <c r="AB1139" s="241" t="str">
        <f>IF(AND(COUNTBLANK(I1120:I1123)=0,Group_players=4,M1120=M1121,M1121=M1122),IF(U1129="","",IF(COUNTIF(U1127:U1130,U1129)=3,"Tied",IF(AND(COUNTIF(U1127:U1130,U1129)=1,U1127&lt;&gt;U1128),IF(M1120=2,IF(SMALL(U1127:U1130,1)=U1129,1,IF(SMALL(U1127:U1130,2)=U1129,2,IF(SMALL(U1127:U1130,3)=U1129,3))),IF(M1122=1,IF(SMALL(U1127:U1130,1)=U1129,2,IF(SMALL(U1127:U1130,2)=U1129,3,IF(SMALL(U1127:U1130,3)=U1129,4))),"")),IF(COUNTIF(U1127:U1130,U1129)=1,IF(U1129&lt;U1128,IF(M1122=2,1,2),IF(M1122=2,3,4)),IF(COUNTIF(U1127:U1130,U1129)=2,IF(U1129=U1128,IF(U1129&lt;U1127,IF(M1122=2,IF(Q1141=3,1,2),IF(M1122=1,IF(Q1141=3,2,3))),IF(U1129&gt;U1127,IF(M1122=2,IF(Q1141=3,2,3),IF(M1122=1,IF(Q1141=3,3,4))))),IF(U1129=U1127,IF(U1129&lt;U1128,IF(M1122=2,IF(Q1132=3,1,2),IF(M1122=1,IF(Q1132=3,2,3))),IF(U1129&gt;U1128,IF(M1122=2,IF(Q1132=3,2,3),IF(M1122=1,IF(Q1132=3,3,4)))))))))))),"")</f>
        <v/>
      </c>
      <c r="AC1139" s="192"/>
      <c r="AD1139" s="192"/>
      <c r="AE1139" s="192"/>
      <c r="AF1139" s="192"/>
      <c r="AG1139" s="192"/>
      <c r="AH1139" s="192"/>
      <c r="AI1139" s="192"/>
      <c r="AJ1139" s="192"/>
      <c r="AK1139" s="192"/>
      <c r="AL1139" s="192"/>
      <c r="AM1139" s="192"/>
      <c r="AN1139" s="192"/>
      <c r="AO1139" s="192"/>
      <c r="AP1139" s="192"/>
      <c r="AQ1139" s="192"/>
      <c r="AR1139" s="192"/>
      <c r="AS1139" s="192"/>
      <c r="AT1139" s="192"/>
      <c r="AU1139" s="192"/>
      <c r="AV1139" s="192"/>
      <c r="AW1139" s="192"/>
      <c r="AX1139" s="192"/>
    </row>
    <row r="1140" spans="2:50" ht="15" customHeight="1" thickTop="1" x14ac:dyDescent="0.3">
      <c r="B1140" s="192"/>
      <c r="C1140" s="192"/>
      <c r="D1140" s="192"/>
      <c r="E1140" s="164" t="str">
        <f>IF(Q1140="","",IF(Q1140=3,1,0))</f>
        <v/>
      </c>
      <c r="F1140" s="164" t="str">
        <f>IF(Q1140="","",IF(Q1140&lt;3,1,0))</f>
        <v/>
      </c>
      <c r="G1140" s="192"/>
      <c r="H1140" s="192" t="str">
        <f>IF(I1123&lt;&gt;"",2,"")</f>
        <v/>
      </c>
      <c r="I1140" s="192" t="str">
        <f>IF(ISNUMBER(H1140),VLOOKUP(H1140,H1120:I1123,2,TRUE),"")</f>
        <v/>
      </c>
      <c r="J1140" s="192"/>
      <c r="K1140" s="192" t="str">
        <f>VLOOKUP(I1140,I1120:L1123,3,FALSE)</f>
        <v/>
      </c>
      <c r="L1140" s="253"/>
      <c r="M1140" s="254"/>
      <c r="N1140" s="254"/>
      <c r="O1140" s="152"/>
      <c r="P1140" s="153"/>
      <c r="Q1140" s="255" t="str">
        <f>IF(L1140="","",IF(AND(L1140-L1141&gt;1,L1140&gt;10),1,0)+IF(AND(M1140-M1141&gt;1,M1140&gt;10),1,0)+IF(AND(N1140-N1141&gt;1,N1140&gt;10),1,0)+IF(AND(O1140-O1141&gt;1,O1140&gt;10),1,0)+IF(AND(P1140-P1141&gt;1,P1140&gt;10),1,0))</f>
        <v/>
      </c>
      <c r="R1140" s="203" t="str">
        <f>IF(AND(I1140="",I1141=""),"",ABS(VLOOKUP(I1140,I1120:L1123,4,FALSE)-VLOOKUP(I1141,I1120:L1123,4,FALSE)))</f>
        <v/>
      </c>
      <c r="S1140" s="256" t="str">
        <f>IF(R1141="","",IF(Q1140=3,+R1141,-R1141))</f>
        <v/>
      </c>
      <c r="T1140" s="192"/>
      <c r="U1140" s="235"/>
      <c r="V1140" s="235"/>
      <c r="W1140" s="235"/>
      <c r="X1140" s="235"/>
      <c r="Y1140" s="235"/>
      <c r="Z1140" s="235"/>
      <c r="AA1140" s="243">
        <v>1</v>
      </c>
      <c r="AB1140" s="222" t="str">
        <f>IF(AND(COUNTBLANK(I1120:I1123)=0,Group_players=4,M1120=M1122,M1122=M1123),IF(V1127="","",IF(COUNTIF(V1127:V1130,V1127)=3,"Tied",IF(AND(COUNTIF(V1127:V1130,V1127)=1,V1129&lt;&gt;U1130),IF(M1120=2,IF(SMALL(V1127:V1130,1)=V1127,1,IF(SMALL(V1127:V1130,2)=V1127,2,IF(SMALL(V1127:V1130,3)=V1127,3))),IF(M1120=1,IF(SMALL(V1127:V1130,1)=V1127,2,IF(SMALL(V1127:V1130,2)=V1127,3,IF(SMALL(V1127:V1130,3)=V1127,4))),"")),IF(COUNTIF(V1127:V1130,V1127)=1,IF(V1127&lt;V1129,IF(M1120=2,1,2),IF(M1120=2,3,4)),IF(COUNTIF(V1127:V1130,V1127)=2,IF(V1127=V1129,IF(V1127&lt;V1130,IF(M1120=2,IF(Q1131=3,1,2),IF(M1120=1,IF(Q1131=3,2,3))),IF(V1127&gt;V1130,IF(M1120=2,IF(Q1131=3,2,3),IF(M1120=1,IF(Q1131=3,3,4))))),IF(V1127=V1130,IF(V1127&lt;V1129,IF(M1120=2,IF(Q1137=3,1,2),IF(M1120=1,IF(Q1137=3,2,3))),IF(V1127&gt;V1128,IF(M1120=2,IF(Q1137=3,2,3),IF(M1120=1,IF(Q1137=3,3,4)))))))))))),"")</f>
        <v/>
      </c>
      <c r="AC1140" s="192"/>
      <c r="AD1140" s="192"/>
      <c r="AE1140" s="192"/>
      <c r="AF1140" s="192"/>
      <c r="AG1140" s="192"/>
      <c r="AH1140" s="192"/>
      <c r="AI1140" s="192"/>
      <c r="AJ1140" s="192"/>
      <c r="AK1140" s="192"/>
      <c r="AL1140" s="192"/>
      <c r="AM1140" s="192"/>
      <c r="AN1140" s="192"/>
      <c r="AO1140" s="192"/>
      <c r="AP1140" s="192"/>
      <c r="AQ1140" s="192"/>
      <c r="AR1140" s="192"/>
      <c r="AS1140" s="192"/>
      <c r="AT1140" s="192"/>
      <c r="AU1140" s="192"/>
      <c r="AV1140" s="192"/>
      <c r="AW1140" s="192"/>
      <c r="AX1140" s="192"/>
    </row>
    <row r="1141" spans="2:50" ht="15" customHeight="1" thickBot="1" x14ac:dyDescent="0.35">
      <c r="B1141" s="192"/>
      <c r="C1141" s="192"/>
      <c r="D1141" s="192"/>
      <c r="E1141" s="164" t="str">
        <f>IF(Q1141="","",IF(Q1141=3,1,0))</f>
        <v/>
      </c>
      <c r="F1141" s="164" t="str">
        <f>IF(Q1141="","",IF(Q1141&lt;3,1,0))</f>
        <v/>
      </c>
      <c r="G1141" s="192"/>
      <c r="H1141" s="192" t="str">
        <f>IF(I1123&lt;&gt;"",3,"")</f>
        <v/>
      </c>
      <c r="I1141" s="192" t="str">
        <f>IF(ISNUMBER(H1141),VLOOKUP(H1141,H1120:I1123,2,TRUE),"")</f>
        <v/>
      </c>
      <c r="J1141" s="192"/>
      <c r="K1141" s="192" t="str">
        <f>VLOOKUP(I1141,I1120:L1123,3,FALSE)</f>
        <v/>
      </c>
      <c r="L1141" s="155"/>
      <c r="M1141" s="259"/>
      <c r="N1141" s="259"/>
      <c r="O1141" s="156"/>
      <c r="P1141" s="157"/>
      <c r="Q1141" s="260" t="str">
        <f>IF(L1141="","",IF(AND(L1141-L1140&gt;1,L1141&gt;10),1,0)+IF(AND(M1141-M1140&gt;1,M1141&gt;10),1,0)+IF(AND(N1141-N1140&gt;1,N1141&gt;10),1,0)+IF(AND(O1141-O1140&gt;1,O1141&gt;10),1,0)+IF(AND(P1141-P1140&gt;1,P1141&gt;10),1,0))</f>
        <v/>
      </c>
      <c r="R1141" s="203" t="str">
        <f>IF(AND(Q1140&lt;&gt;3,Q1141&lt;&gt;3),"",IF(Q1140=3,IF(VLOOKUP(I1140,I1120:L1123,4,FALSE)&gt;VLOOKUP(I1141,I1120:L1123,4,FALSE),VLOOKUP(R1140,Point_dif,2,FALSE),VLOOKUP(R1140,Point_dif,3,FALSE)),IF(Q1141=3,IF(VLOOKUP(I1141,I1120:L1123,4,FALSE)&gt;VLOOKUP(I1140,I1120:L1123,4,FALSE),VLOOKUP(R1140,Point_dif,2,FALSE),VLOOKUP(R1140,Point_dif,3,FALSE)))))</f>
        <v/>
      </c>
      <c r="S1141" s="256" t="str">
        <f>IF(R1141="","",IF(Q1141=3,+R1141,-R1141))</f>
        <v/>
      </c>
      <c r="T1141" s="192"/>
      <c r="U1141" s="159"/>
      <c r="V1141" s="266"/>
      <c r="W1141" s="266"/>
      <c r="X1141" s="266"/>
      <c r="Y1141" s="192"/>
      <c r="Z1141" s="203"/>
      <c r="AA1141" s="246">
        <v>3</v>
      </c>
      <c r="AB1141" s="222" t="str">
        <f>IF(AND(COUNTBLANK(I1120:I1123)=0,Group_players=4,M1120=M1122,M1122=M1123),IF(V1129="","",IF(COUNTIF(V1127:V1130,V1129)=3,"Tied",IF(AND(COUNTIF(V1127:V1130,V1129)=1,V1127&lt;&gt;V1130),IF(M1122=2,IF(SMALL(V1127:V1130,1)=V1129,1,IF(SMALL(V1127:V1130,2)=V1129,2,IF(SMALL(V1127:V1130,3)=V1129,3))),IF(M1122=1,IF(SMALL(V1127:V1130,1)=V1129,2,IF(SMALL(V1127:V1130,2)=V1129,3,IF(SMALL(V1127:V1130,3)=V1129,4))),"")),IF(COUNTIF(V1127:V1130,V1129)=1,IF(V1129&lt;V1127,IF(M1122=2,1,2),IF(M1122=2,3,4)),IF(COUNTIF(V1127:V1130,V1129)=2,IF(V1129=V1127,IF(V1129&lt;V1130,IF(M1122=2,IF(Q1132=3,1,2),IF(M1122=1,IF(Q1132=3,2,3))),IF(V1129&gt;V1130,IF(M1122=2,IF(Q1132=3,2,3),IF(M1122=1,IF(Q1132=3,3,4))))),IF(V1129=V1130,IF(V1129&lt;V1127,IF(M1122=2,IF(Q1146=3,1,2),IF(M1122=1,IF(Q1146=3,2,3))),IF(V1129&gt;V1127,IF(M1122=2,IF(Q1146=3,2,3),IF(M1122=1,IF(Q1146=3,3,4)))))))))))),"")</f>
        <v/>
      </c>
      <c r="AC1141" s="192"/>
      <c r="AD1141" s="192"/>
      <c r="AE1141" s="192"/>
      <c r="AF1141" s="192"/>
      <c r="AG1141" s="192"/>
      <c r="AH1141" s="192"/>
      <c r="AI1141" s="192"/>
      <c r="AJ1141" s="192"/>
      <c r="AK1141" s="192"/>
      <c r="AL1141" s="192"/>
      <c r="AM1141" s="192"/>
      <c r="AN1141" s="192"/>
      <c r="AO1141" s="192"/>
      <c r="AP1141" s="192"/>
      <c r="AQ1141" s="192"/>
      <c r="AR1141" s="192"/>
      <c r="AS1141" s="192"/>
      <c r="AT1141" s="192"/>
      <c r="AU1141" s="192"/>
      <c r="AV1141" s="192"/>
      <c r="AW1141" s="192"/>
      <c r="AX1141" s="192"/>
    </row>
    <row r="1142" spans="2:50" ht="15" customHeight="1" thickTop="1" thickBot="1" x14ac:dyDescent="0.35">
      <c r="B1142" s="192"/>
      <c r="C1142" s="192"/>
      <c r="D1142" s="192"/>
      <c r="E1142" s="164"/>
      <c r="F1142" s="164"/>
      <c r="G1142" s="192"/>
      <c r="H1142" s="192"/>
      <c r="I1142" s="249" t="s">
        <v>119</v>
      </c>
      <c r="J1142" s="249"/>
      <c r="K1142" s="249"/>
      <c r="L1142" s="250" t="s">
        <v>115</v>
      </c>
      <c r="M1142" s="250" t="s">
        <v>116</v>
      </c>
      <c r="N1142" s="250" t="s">
        <v>117</v>
      </c>
      <c r="O1142" s="250" t="s">
        <v>118</v>
      </c>
      <c r="P1142" s="250" t="s">
        <v>119</v>
      </c>
      <c r="Q1142" s="250" t="s">
        <v>120</v>
      </c>
      <c r="R1142" s="250"/>
      <c r="S1142" s="251"/>
      <c r="T1142" s="247"/>
      <c r="U1142" s="235"/>
      <c r="V1142" s="235"/>
      <c r="W1142" s="235"/>
      <c r="X1142" s="235"/>
      <c r="Y1142" s="235"/>
      <c r="Z1142" s="235"/>
      <c r="AA1142" s="240">
        <v>4</v>
      </c>
      <c r="AB1142" s="241" t="str">
        <f>IF(AND(COUNTBLANK(I1120:I1123)=0,Group_players=4,M1120=M1122,M1122=M1123),IF(V1130="","",IF(COUNTIF(V1127:V1130,V1130)=3,"Tied",IF(AND(COUNTIF(V1127:V1130,V1130)=1,V1129&lt;&gt;V1127),IF(M1123=2,IF(SMALL(V1127:V1130,1)=V1130,1,IF(SMALL(V1127:V1130,2)=V1130,2,IF(SMALL(V1127:V1130,3)=V1130,3))),IF(M1123=1,IF(SMALL(V1127:V1130,1)=V1130,2,IF(SMALL(V1127:V1130,2)=V1130,3,IF(SMALL(V1127:V1130,3)=V1130,4))),"")),IF(COUNTIF(V1127:V1130,V1130)=1,IF(V1130&lt;V1127,IF(M1123=2,1,2),IF(M1123=2,3,4)),IF(COUNTIF(V1127:V1130,V1130)=2,IF(V1130=V1127,IF(V1130&lt;V1129,IF(M1123=2,IF(Q1138=3,1,2),IF(M1123=1,IF(Q1138=3,2,3))),IF(V1130&gt;V1129,IF(M1123=2,IF(Q1138=3,2,3),IF(M1123=1,IF(Q1138=3,3,4))))),IF(V1130=V1129,IF(V1130&lt;V1127,IF(M1123=2,IF(Q1147=3,1,2),IF(M1123=1,IF(Q1147=3,2,3))),IF(V1130&gt;V1127,IF(M1123=2,IF(Q1147=3,2,3),IF(M1123=1,IF(Q1147=3,3,4)))))))))))),"")</f>
        <v/>
      </c>
      <c r="AC1142" s="192"/>
      <c r="AD1142" s="192"/>
      <c r="AE1142" s="192"/>
      <c r="AF1142" s="192"/>
      <c r="AG1142" s="192"/>
      <c r="AH1142" s="192"/>
      <c r="AI1142" s="192"/>
      <c r="AJ1142" s="192"/>
      <c r="AK1142" s="192"/>
      <c r="AL1142" s="192"/>
      <c r="AM1142" s="192"/>
      <c r="AN1142" s="192"/>
      <c r="AO1142" s="192"/>
      <c r="AP1142" s="192"/>
      <c r="AQ1142" s="192"/>
      <c r="AR1142" s="192"/>
      <c r="AS1142" s="192"/>
      <c r="AT1142" s="192"/>
      <c r="AU1142" s="192"/>
      <c r="AV1142" s="192"/>
      <c r="AW1142" s="192"/>
      <c r="AX1142" s="192"/>
    </row>
    <row r="1143" spans="2:50" ht="15" customHeight="1" thickTop="1" x14ac:dyDescent="0.3">
      <c r="B1143" s="192"/>
      <c r="C1143" s="192"/>
      <c r="D1143" s="192"/>
      <c r="E1143" s="164" t="str">
        <f>IF(Q1143="","",IF(Q1143=3,1,0))</f>
        <v/>
      </c>
      <c r="F1143" s="164" t="str">
        <f>IF(Q1143="","",IF(Q1143&lt;3,1,0))</f>
        <v/>
      </c>
      <c r="G1143" s="192"/>
      <c r="H1143" s="192" t="str">
        <f>IF(I1123&lt;&gt;"",1,"")</f>
        <v/>
      </c>
      <c r="I1143" s="192" t="str">
        <f>IF(ISNUMBER(H1143),VLOOKUP(H1143,H1120:I1123,2,TRUE),"")</f>
        <v/>
      </c>
      <c r="J1143" s="192"/>
      <c r="K1143" s="192" t="str">
        <f>VLOOKUP(I1143,I1120:L1123,3,FALSE)</f>
        <v/>
      </c>
      <c r="L1143" s="253"/>
      <c r="M1143" s="254"/>
      <c r="N1143" s="254"/>
      <c r="O1143" s="152"/>
      <c r="P1143" s="153"/>
      <c r="Q1143" s="255" t="str">
        <f>IF(L1143="","",IF(AND(L1143-L1144&gt;1,L1143&gt;10),1,0)+IF(AND(M1143-M1144&gt;1,M1143&gt;10),1,0)+IF(AND(N1143-N1144&gt;1,N1143&gt;10),1,0)+IF(AND(O1143-O1144&gt;1,O1143&gt;10),1,0)+IF(AND(P1143-P1144&gt;1,P1143&gt;10),1,0))</f>
        <v/>
      </c>
      <c r="R1143" s="203" t="str">
        <f>IF(AND(I1143="",I1144=""),"",ABS(VLOOKUP(I1143,I1120:L1123,4,FALSE)-VLOOKUP(I1144,I1120:L1123,4,FALSE)))</f>
        <v/>
      </c>
      <c r="S1143" s="256" t="str">
        <f>IF(R1144="","",IF(Q1143=3,+R1144,-R1144))</f>
        <v/>
      </c>
      <c r="T1143" s="247"/>
      <c r="U1143" s="235"/>
      <c r="V1143" s="235"/>
      <c r="W1143" s="235"/>
      <c r="X1143" s="235"/>
      <c r="Y1143" s="235"/>
      <c r="Z1143" s="235"/>
      <c r="AA1143" s="243">
        <v>1</v>
      </c>
      <c r="AB1143" s="222" t="str">
        <f>IF(AND(COUNTBLANK(I1120:I1123)=0,Group_players=4,M1120=M1121,M1121=M1123),IF(W1127="","",IF(COUNTIF(W1127:W1130,W1127)=3,"Tied",IF(AND(COUNTIF(W1127:W1130,W1127)=1,W1128&lt;&gt;W1129),IF(M1120=2,IF(SMALL(W1127:W1130,1)=W1127,1,IF(SMALL(W1127:W1130,2)=W1127,2,IF(SMALL(W1127:W1130,3)=W1127,3))),IF(M1120=1,IF(SMALL(W1127:W1130,1)=W1127,2,IF(SMALL(W1127:W1130,2)=W1127,3,IF(SMALL(W1127:W1130,3)=W1127,4))),"")),IF(COUNTIF(W1127:W1130,W1127)=1,IF(W1127&lt;W1128,IF(M1120=2,1,2),IF(M1120=2,3,4)),IF(COUNTIF(W1127:W1130,W1127)=2,IF(W1127=W1128,IF(W1127&lt;W1130,IF(M1120=2,IF(Q1143=3,1,2),IF(M1120=1,IF(Q1143=3,2,3))),IF(W1127&gt;W1130,IF(M1120=2,IF(Q1143=3,2,3),IF(M1120=1,IF(Q1143=3,3,4))))),IF(W1127=W1130,IF(W1127&lt;W1128,IF(M1120=2,IF(Q1137=3,1,2),IF(M1120=1,IF(Q1137=3,2,3))),IF(W1127&gt;W1128,IF(M1120=2,IF(Q1137=3,2,3),IF(M1120=1,IF(Q1137=3,3,4)))))))))))),"")</f>
        <v/>
      </c>
      <c r="AC1143" s="192"/>
      <c r="AD1143" s="192"/>
      <c r="AE1143" s="192"/>
      <c r="AF1143" s="192"/>
      <c r="AG1143" s="192"/>
      <c r="AH1143" s="192"/>
      <c r="AI1143" s="192"/>
      <c r="AJ1143" s="192"/>
      <c r="AK1143" s="192"/>
      <c r="AL1143" s="192"/>
      <c r="AM1143" s="192"/>
      <c r="AN1143" s="192"/>
      <c r="AO1143" s="192"/>
      <c r="AP1143" s="192"/>
      <c r="AQ1143" s="192"/>
      <c r="AR1143" s="192"/>
      <c r="AS1143" s="192"/>
      <c r="AT1143" s="192"/>
      <c r="AU1143" s="192"/>
      <c r="AV1143" s="192"/>
      <c r="AW1143" s="192"/>
      <c r="AX1143" s="192"/>
    </row>
    <row r="1144" spans="2:50" ht="15" customHeight="1" thickBot="1" x14ac:dyDescent="0.35">
      <c r="B1144" s="192"/>
      <c r="C1144" s="192"/>
      <c r="D1144" s="192"/>
      <c r="E1144" s="164" t="str">
        <f>IF(Q1144="","",IF(Q1144=3,1,0))</f>
        <v/>
      </c>
      <c r="F1144" s="164" t="str">
        <f>IF(Q1144="","",IF(Q1144&lt;3,1,0))</f>
        <v/>
      </c>
      <c r="G1144" s="192"/>
      <c r="H1144" s="192" t="str">
        <f>IF(I1123&lt;&gt;"",2,"")</f>
        <v/>
      </c>
      <c r="I1144" s="192" t="str">
        <f>IF(ISNUMBER(H1144),VLOOKUP(H1144,H1120:I1123,2,TRUE),"")</f>
        <v/>
      </c>
      <c r="J1144" s="192"/>
      <c r="K1144" s="192" t="str">
        <f>VLOOKUP(I1144,I1120:L1123,3,FALSE)</f>
        <v/>
      </c>
      <c r="L1144" s="155"/>
      <c r="M1144" s="259"/>
      <c r="N1144" s="259"/>
      <c r="O1144" s="156"/>
      <c r="P1144" s="157"/>
      <c r="Q1144" s="260" t="str">
        <f>IF(L1144="","",IF(AND(L1144-L1143&gt;1,L1144&gt;10),1,0)+IF(AND(M1144-M1143&gt;1,M1144&gt;10),1,0)+IF(AND(N1144-N1143&gt;1,N1144&gt;10),1,0)+IF(AND(O1144-O1143&gt;1,O1144&gt;10),1,0)+IF(AND(P1144-P1143&gt;1,P1144&gt;10),1,0))</f>
        <v/>
      </c>
      <c r="R1144" s="203" t="str">
        <f>IF(AND(Q1143&lt;&gt;3,Q1144&lt;&gt;3),"",IF(Q1143=3,IF(VLOOKUP(I1143,I1120:L1123,4,FALSE)&gt;VLOOKUP(I1144,I1120:L1123,4,FALSE),VLOOKUP(R1143,Point_dif,2,FALSE),VLOOKUP(R1143,Point_dif,3,FALSE)),IF(Q1144=3,IF(VLOOKUP(I1144,I1120:L1123,4,FALSE)&gt;VLOOKUP(I1144,I1120:L1123,4,FALSE),VLOOKUP(R1143,Point_dif,2,FALSE),VLOOKUP(R1143,Point_dif,3,FALSE)))))</f>
        <v/>
      </c>
      <c r="S1144" s="256" t="str">
        <f>IF(R1144="","",IF(Q1144=3,+R1144,-R1144))</f>
        <v/>
      </c>
      <c r="T1144" s="247"/>
      <c r="U1144" s="235"/>
      <c r="V1144" s="235"/>
      <c r="W1144" s="235"/>
      <c r="X1144" s="235"/>
      <c r="Y1144" s="235"/>
      <c r="Z1144" s="235"/>
      <c r="AA1144" s="246">
        <v>2</v>
      </c>
      <c r="AB1144" s="222" t="str">
        <f>IF(AND(COUNTBLANK(I1120:I1123)=0,Group_players=4,M1120=M1121,M1121=M1123),IF(W1128="","",IF(COUNTIF(W1127:W1130,W1128)=3,"Tied",IF(AND(COUNTIF(W1127:W1130,W1128)=1,W1127&lt;&gt;W1129),IF(M1121=2,IF(SMALL(W1127:W1130,1)=W1128,1,IF(SMALL(W1127:W1130,2)=W1128,2,IF(SMALL(W1127:W1130,3)=W1128,3))),IF(M1121=1,IF(SMALL(W1127:W1130,1)=W1128,2,IF(SMALL(W1127:W1130,2)=W1128,3,IF(SMALL(W1127:W1130,3)=W1128,4))),"")),IF(COUNTIF(W1127:W1130,W1128)=1,IF(W1128&lt;W1127,IF(M1121=2,1,2),IF(M1121=2,3,4)),IF(COUNTIF(W1127:W1130,W1128)=2,IF(W1128=W1127,IF(W1128&lt;W1130,IF(M1121=2,IF(Q1144=3,1,2),IF(M1121=1,IF(Q1144=3,2,3))),IF(W1128&gt;W1130,IF(M1121=2,IF(Q1144=3,2,3),IF(M1121=1,IF(Q1144=3,3,4))))),IF(W1128=W1130,IF(W1128&lt;W1127,IF(M1121=2,IF(Q1134=3,1,2),IF(M1121=1,IF(Q1134=3,2,3))),IF(W1128&gt;W1127,IF(M1121=2,IF(Q1134=3,2,3),IF(M1121=1,IF(Q1134=3,3,4)))))))))))),"")</f>
        <v/>
      </c>
      <c r="AC1144" s="192"/>
      <c r="AD1144" s="192"/>
      <c r="AE1144" s="192"/>
      <c r="AF1144" s="192"/>
      <c r="AG1144" s="192"/>
      <c r="AH1144" s="192"/>
      <c r="AI1144" s="192"/>
      <c r="AJ1144" s="192"/>
      <c r="AK1144" s="192"/>
      <c r="AL1144" s="192"/>
      <c r="AM1144" s="192"/>
      <c r="AN1144" s="192"/>
      <c r="AO1144" s="192"/>
      <c r="AP1144" s="192"/>
      <c r="AQ1144" s="192"/>
      <c r="AR1144" s="192"/>
      <c r="AS1144" s="192"/>
      <c r="AT1144" s="192"/>
      <c r="AU1144" s="192"/>
      <c r="AV1144" s="192"/>
      <c r="AW1144" s="192"/>
      <c r="AX1144" s="192"/>
    </row>
    <row r="1145" spans="2:50" ht="15" customHeight="1" thickTop="1" thickBot="1" x14ac:dyDescent="0.35">
      <c r="B1145" s="192"/>
      <c r="C1145" s="192"/>
      <c r="D1145" s="192"/>
      <c r="E1145" s="164"/>
      <c r="F1145" s="164"/>
      <c r="G1145" s="192"/>
      <c r="H1145" s="192"/>
      <c r="I1145" s="249" t="s">
        <v>121</v>
      </c>
      <c r="J1145" s="249"/>
      <c r="K1145" s="249"/>
      <c r="L1145" s="250" t="s">
        <v>115</v>
      </c>
      <c r="M1145" s="250" t="s">
        <v>116</v>
      </c>
      <c r="N1145" s="250" t="s">
        <v>117</v>
      </c>
      <c r="O1145" s="250" t="s">
        <v>118</v>
      </c>
      <c r="P1145" s="250" t="s">
        <v>119</v>
      </c>
      <c r="Q1145" s="250" t="s">
        <v>120</v>
      </c>
      <c r="R1145" s="250"/>
      <c r="S1145" s="251"/>
      <c r="T1145" s="247"/>
      <c r="U1145" s="235"/>
      <c r="V1145" s="235"/>
      <c r="W1145" s="235"/>
      <c r="X1145" s="235"/>
      <c r="Y1145" s="235"/>
      <c r="Z1145" s="235"/>
      <c r="AA1145" s="240">
        <v>4</v>
      </c>
      <c r="AB1145" s="241" t="str">
        <f>IF(AND(COUNTBLANK(I1120:I1123)=0,Group_players=4,M1120=M1121,M1121=M1123),IF(W1130="","",IF(COUNTIF(W1127:W1130,W1130)=3,"Tied",IF(AND(COUNTIF(W1127:W1130,W1130)=1,W1127&lt;&gt;W1128),IF(M1123=2,IF(SMALL(W1127:W1130,1)=W1130,1,IF(SMALL(W1127:W1130,2)=W1130,2,IF(SMALL(W1127:W1130,3)=W1130,3))),IF(M1123=1,IF(SMALL(W1127:W1130,1)=W1130,2,IF(SMALL(W1127:W1130,2)=W1130,3,IF(SMALL(W1127:W1130,3)=W1130,4))),"")),IF(COUNTIF(W1127:W1130,W1130)=1,IF(W1130&lt;W1127,IF(M1123=2,1,2),IF(M1123=2,3,4)),IF(COUNTIF(W1127:W1130,W1130)=2,IF(W1130=W1127,IF(W1130&lt;W1128,IF(M1123=2,IF(Q1138=3,1,2),IF(M1123=1,IF(Q1138=3,2,3))),IF(W1130&gt;W1129,IF(M1123=2,IF(Q1138=3,2,3),IF(M1123=1,IF(Q1138=3,3,4))))),IF(W1130=W1128,IF(W1130&lt;W1127,IF(M1123=2,IF(Q1135=3,1,2),IF(M1123=1,IF(Q1135=3,2,3))),IF(W1130&gt;W1127,IF(M1123=2,IF(Q1135=3,2,3),IF(M1123=1,IF(Q1135=3,3,4)))))))))))),"")</f>
        <v/>
      </c>
      <c r="AC1145" s="192"/>
      <c r="AD1145" s="192"/>
      <c r="AE1145" s="192"/>
      <c r="AF1145" s="192"/>
      <c r="AG1145" s="192"/>
      <c r="AH1145" s="192"/>
      <c r="AI1145" s="192"/>
      <c r="AJ1145" s="192"/>
      <c r="AK1145" s="192"/>
      <c r="AL1145" s="192"/>
      <c r="AM1145" s="192"/>
      <c r="AN1145" s="192"/>
      <c r="AO1145" s="192"/>
      <c r="AP1145" s="192"/>
      <c r="AQ1145" s="192"/>
      <c r="AR1145" s="192"/>
      <c r="AS1145" s="192"/>
      <c r="AT1145" s="192"/>
      <c r="AU1145" s="192"/>
      <c r="AV1145" s="192"/>
      <c r="AW1145" s="192"/>
      <c r="AX1145" s="192"/>
    </row>
    <row r="1146" spans="2:50" ht="15" customHeight="1" thickTop="1" x14ac:dyDescent="0.3">
      <c r="B1146" s="192"/>
      <c r="C1146" s="192"/>
      <c r="D1146" s="192"/>
      <c r="E1146" s="164" t="str">
        <f>IF(Q1146="","",IF(Q1146=3,1,0))</f>
        <v/>
      </c>
      <c r="F1146" s="164" t="str">
        <f>IF(Q1146="","",IF(Q1146&lt;3,1,0))</f>
        <v/>
      </c>
      <c r="G1146" s="192"/>
      <c r="H1146" s="192" t="str">
        <f>IF(I1123&lt;&gt;"",3,"")</f>
        <v/>
      </c>
      <c r="I1146" s="192" t="str">
        <f>IF(ISNUMBER(H1146),VLOOKUP(H1146,H1120:I1123,2,TRUE),"")</f>
        <v/>
      </c>
      <c r="J1146" s="192"/>
      <c r="K1146" s="192" t="str">
        <f>VLOOKUP(I1146,I1120:L1123,3,FALSE)</f>
        <v/>
      </c>
      <c r="L1146" s="253"/>
      <c r="M1146" s="254"/>
      <c r="N1146" s="254"/>
      <c r="O1146" s="152"/>
      <c r="P1146" s="153"/>
      <c r="Q1146" s="255" t="str">
        <f>IF(L1146="","",IF(AND(L1146-L1147&gt;1,L1146&gt;10),1,0)+IF(AND(M1146-M1147&gt;1,M1146&gt;10),1,0)+IF(AND(N1146-N1147&gt;1,N1146&gt;10),1,0)+IF(AND(O1146-O1147&gt;1,O1146&gt;10),1,0)+IF(AND(P1146-P1147&gt;1,P1146&gt;10),1,0))</f>
        <v/>
      </c>
      <c r="R1146" s="203" t="str">
        <f>IF(AND(I1146="",I1147=""),"",ABS(VLOOKUP(I1146,I1120:L1123,4,FALSE)-VLOOKUP(I1147,I1120:L1123,4,FALSE)))</f>
        <v/>
      </c>
      <c r="S1146" s="256" t="str">
        <f>IF(R1147="","",IF(Q1146=3,+R1147,-R1147))</f>
        <v/>
      </c>
      <c r="T1146" s="247"/>
      <c r="U1146" s="264"/>
      <c r="V1146" s="242"/>
      <c r="W1146" s="192"/>
      <c r="X1146" s="264"/>
      <c r="Y1146" s="192"/>
      <c r="Z1146" s="192"/>
      <c r="AA1146" s="243">
        <v>2</v>
      </c>
      <c r="AB1146" s="222" t="str">
        <f>IF(AND(COUNTBLANK(I1120:I1123)=0,Group_players=4,M1121=M1122,M1122=M1123),IF(X1128="","",IF(COUNTIF(X1127:X1130,X1128)=3,"Tied",IF(AND(COUNTIF(X1127:X1130,X1128)=1,X1129&lt;&gt;X1130),IF(M1121=2,IF(SMALL(X1127:X1130,1)=X1128,1,IF(SMALL(X1127:X1130,2)=X1128,2,IF(SMALL(X1127:X1130,3)=X1128,3))),IF(M1121=1,IF(SMALL(X1127:X1130,1)=X1128,2,IF(SMALL(X1127:X1130,2)=X1128,3,IF(SMALL(X1127:X1130,3)=X1128,4))),"")),IF(COUNTIF(X1127:X1130,X1128)=1,IF(X1128&lt;X1130,IF(M1121=2,1,2),IF(M1121=1,4)),IF(COUNTIF(X1127:X1130,X1128)=2,IF(X1128=X1129,IF(X1128&lt;X1130,IF(M1121=2,IF(Q1140=3,1,2),IF(M1121=1,IF(Q1140=3,2,3))),IF(X1128&gt;X1130,IF(M1121=2,IF(Q1140=3,2,3),IF(M1121=1,IF(Q1140=3,3,4))))),IF(X1128=X1130,IF(X1128&lt;X1129,IF(M1121=2,IF(Q1134=3,1,2),IF(M1121=1,IF(Q1134=3,2,3))),IF(X1128&gt;X1129,IF(M1121=2,IF(Q1134=3,2,3),IF(M1121=1,IF(Q1134=3,3,4)))))))))))),"")</f>
        <v/>
      </c>
      <c r="AC1146" s="192"/>
      <c r="AD1146" s="192"/>
      <c r="AE1146" s="192"/>
      <c r="AF1146" s="192"/>
      <c r="AG1146" s="192"/>
      <c r="AH1146" s="192"/>
      <c r="AI1146" s="192"/>
      <c r="AJ1146" s="192"/>
      <c r="AK1146" s="192"/>
      <c r="AL1146" s="192"/>
      <c r="AM1146" s="192"/>
      <c r="AN1146" s="192"/>
      <c r="AO1146" s="192"/>
      <c r="AP1146" s="192"/>
      <c r="AQ1146" s="192"/>
      <c r="AR1146" s="192"/>
      <c r="AS1146" s="192"/>
      <c r="AT1146" s="192"/>
      <c r="AU1146" s="192"/>
      <c r="AV1146" s="192"/>
      <c r="AW1146" s="192"/>
      <c r="AX1146" s="192"/>
    </row>
    <row r="1147" spans="2:50" ht="15" customHeight="1" thickBot="1" x14ac:dyDescent="0.35">
      <c r="B1147" s="192"/>
      <c r="C1147" s="192"/>
      <c r="D1147" s="192"/>
      <c r="E1147" s="164" t="str">
        <f>IF(Q1147="","",IF(Q1147=3,1,0))</f>
        <v/>
      </c>
      <c r="F1147" s="164" t="str">
        <f>IF(Q1147="","",IF(Q1147&lt;3,1,0))</f>
        <v/>
      </c>
      <c r="G1147" s="192"/>
      <c r="H1147" s="192" t="str">
        <f>IF(I1123&lt;&gt;"",4,"")</f>
        <v/>
      </c>
      <c r="I1147" s="192" t="str">
        <f>IF(ISNUMBER(H1147),VLOOKUP(H1147,H1120:I1123,2,TRUE),"")</f>
        <v/>
      </c>
      <c r="J1147" s="192"/>
      <c r="K1147" s="192" t="str">
        <f>VLOOKUP(I1147,I1120:L1123,3,FALSE)</f>
        <v/>
      </c>
      <c r="L1147" s="155"/>
      <c r="M1147" s="259"/>
      <c r="N1147" s="259"/>
      <c r="O1147" s="156"/>
      <c r="P1147" s="157"/>
      <c r="Q1147" s="260" t="str">
        <f>IF(L1147="","",IF(AND(L1147-L1146&gt;1,L1147&gt;10),1,0)+IF(AND(M1147-M1146&gt;1,M1147&gt;10),1,0)+IF(AND(N1147-N1146&gt;1,N1147&gt;10),1,0)+IF(AND(O1147-O1146&gt;1,O1147&gt;10),1,0)+IF(AND(P1147-P1146&gt;1,P1147&gt;10),1,0))</f>
        <v/>
      </c>
      <c r="R1147" s="203" t="str">
        <f>IF(AND(Q1146&lt;&gt;3,Q1147&lt;&gt;3),"",IF(Q1146=3,IF(VLOOKUP(I1146,I1120:L1123,4,FALSE)&gt;VLOOKUP(I1147,I1120:L1123,4,FALSE),VLOOKUP(R1146,Point_dif,2,FALSE),VLOOKUP(R1146,Point_dif,3,FALSE)),IF(Q1147=3,IF(VLOOKUP(I1147,I1120:L1123,4,FALSE)&gt;VLOOKUP(I1146,I1120:L1123,4,FALSE),VLOOKUP(R1146,Point_dif,2,FALSE),VLOOKUP(R1146,Point_dif,3,FALSE)))))</f>
        <v/>
      </c>
      <c r="S1147" s="260" t="str">
        <f>IF(R1147="","",IF(Q1147=3,+R1147,-R1147))</f>
        <v/>
      </c>
      <c r="T1147" s="247"/>
      <c r="U1147" s="235"/>
      <c r="V1147" s="235"/>
      <c r="W1147" s="235"/>
      <c r="X1147" s="235"/>
      <c r="Y1147" s="235"/>
      <c r="Z1147" s="235"/>
      <c r="AA1147" s="246">
        <v>3</v>
      </c>
      <c r="AB1147" s="222" t="str">
        <f>IF(AND(COUNTBLANK(I1120:I1123)=0,Group_players=4,Group_players=4,M1121=M1122,M1122=M1123),IF(X1129="","",IF(COUNTIF(X1127:X1130,X1129)=3,"Tied",IF(AND(COUNTIF(X1127:X1130,X1129)=1,X1128&lt;&gt;X1130),IF(M1122=2,IF(SMALL(X1127:X1130,1)=X1129,1,IF(SMALL(X1127:X1130,2)=X1129,2,IF(SMALL(X1127:X1130,3)=X1129,3))),IF(M1122=1,IF(SMALL(X1127:X1130,1)=X1129,2,IF(SMALL(X1127:X1130,2)=X1129,3,IF(SMALL(X1127:X1130,3)=X1129,4))),"")),IF(COUNTIF(X1127:X1130,X1129)=1,IF(X1129&lt;X1128,IF(M1122=2,1,2),IF(M1122=2,3,4)),IF(COUNTIF(X1127:X1130,X1129)=2,IF(X1129=X1128,IF(X1129&lt;X1130,IF(M1122=2,IF(Q1141=3,1,2),IF(M1122=1,IF(Q1141=3,2,3))),IF(X1129&gt;X1130,IF(M1122=2,IF(Q1141=3,2,3),IF(M1122=1,IF(Q1141=3,3,4))))),IF(X1129=X1130,IF(X1129&lt;X1128,IF(M1122=2,IF(Q1146=3,1,2),IF(M1122=1,IF(Q1146=3,2,3))),IF(X1129&gt;X1128,IF(M1122=2,IF(Q1146=3,2,3),IF(M1122=1,IF(Q1146=3,3,4)))))))))))),"")</f>
        <v/>
      </c>
      <c r="AC1147" s="192"/>
      <c r="AD1147" s="192"/>
      <c r="AE1147" s="192"/>
      <c r="AF1147" s="192"/>
      <c r="AG1147" s="192"/>
      <c r="AH1147" s="192"/>
      <c r="AI1147" s="192"/>
      <c r="AJ1147" s="192"/>
      <c r="AK1147" s="192"/>
      <c r="AL1147" s="192"/>
      <c r="AM1147" s="192"/>
      <c r="AN1147" s="192"/>
      <c r="AO1147" s="192"/>
      <c r="AP1147" s="192"/>
      <c r="AQ1147" s="192"/>
      <c r="AR1147" s="192"/>
      <c r="AS1147" s="192"/>
      <c r="AT1147" s="192"/>
      <c r="AU1147" s="192"/>
      <c r="AV1147" s="192"/>
      <c r="AW1147" s="192"/>
      <c r="AX1147" s="192"/>
    </row>
    <row r="1148" spans="2:50" ht="15" customHeight="1" thickTop="1" thickBot="1" x14ac:dyDescent="0.35">
      <c r="B1148" s="192"/>
      <c r="C1148" s="192"/>
      <c r="D1148" s="192"/>
      <c r="E1148" s="192"/>
      <c r="F1148" s="192"/>
      <c r="G1148" s="192"/>
      <c r="H1148" s="192"/>
      <c r="I1148" s="192"/>
      <c r="J1148" s="192"/>
      <c r="K1148" s="192"/>
      <c r="L1148" s="192"/>
      <c r="M1148" s="192"/>
      <c r="N1148" s="192"/>
      <c r="O1148" s="268"/>
      <c r="P1148" s="192"/>
      <c r="Q1148" s="192"/>
      <c r="R1148" s="247"/>
      <c r="S1148" s="247"/>
      <c r="T1148" s="247"/>
      <c r="U1148" s="235"/>
      <c r="V1148" s="235"/>
      <c r="W1148" s="235"/>
      <c r="X1148" s="235"/>
      <c r="Y1148" s="235"/>
      <c r="Z1148" s="235"/>
      <c r="AA1148" s="261">
        <v>4</v>
      </c>
      <c r="AB1148" s="233" t="str">
        <f>IF(AND(COUNTBLANK(I1120:I1123)=0,Group_players=4,M1121=M1122,M1122=M1123),IF(X1130="","",IF(COUNTIF(X1127:X1130,X1130)=3,"Tied",IF(AND(COUNTIF(X1127:X1130,X1130)=1,X1129&lt;&gt;X1128),IF(M1123=2,IF(SMALL(X1127:X1130,1)=X1130,1,IF(SMALL(X1127:X1130,2)=X1130,2,IF(SMALL(X1127:X1130,3)=X1130,3))),IF(M1123=1,IF(SMALL(X1127:X1130,1)=X1130,2,IF(SMALL(X1127:X1130,2)=X1130,3,IF(SMALL(X1127:X1130,3)=X1130,4))),"")),IF(COUNTIF(X1127:X1130,X1130)=1,IF(X1130&lt;X1128,IF(M1123=2,1,2),IF(M1123=2,3,4)),IF(COUNTIF(X1127:X1130,X1130)=2,IF(X1130=X1128,IF(X1130&lt;X1129,IF(M1123=2,IF(Q1135=3,1,2),IF(M1123=1,IF(Q1135=3,2,3))),IF(X1130&gt;X1129,IF(M1123=2,IF(Q1135=3,2,3),IF(M1123=1,IF(Q1135=3,3,4))))),IF(X1130=X1129,IF(X1130&lt;X1128,IF(M1123=2,IF(Q1147=3,1,2),IF(M1123=1,IF(Q1147=3,2,3))),IF(X1130&gt;X1128,IF(M1123=2,IF(Q1147=3,2,3),IF(M1123=1,IF(Q1147=3,3,4)))))))))))),"")</f>
        <v/>
      </c>
      <c r="AC1148" s="192"/>
      <c r="AD1148" s="192"/>
      <c r="AE1148" s="192"/>
      <c r="AF1148" s="192"/>
      <c r="AG1148" s="192"/>
      <c r="AH1148" s="192"/>
      <c r="AI1148" s="192"/>
      <c r="AJ1148" s="192"/>
      <c r="AK1148" s="192"/>
      <c r="AL1148" s="192"/>
      <c r="AM1148" s="192"/>
      <c r="AN1148" s="192"/>
      <c r="AO1148" s="192"/>
      <c r="AP1148" s="192"/>
      <c r="AQ1148" s="192"/>
      <c r="AR1148" s="192"/>
      <c r="AS1148" s="192"/>
      <c r="AT1148" s="192"/>
      <c r="AU1148" s="192"/>
      <c r="AV1148" s="192"/>
      <c r="AW1148" s="192"/>
      <c r="AX1148" s="192"/>
    </row>
    <row r="1149" spans="2:50" ht="15" customHeight="1" thickTop="1" x14ac:dyDescent="0.3">
      <c r="B1149" s="192"/>
      <c r="C1149" s="192"/>
      <c r="D1149" s="192"/>
      <c r="E1149" s="192"/>
      <c r="F1149" s="192"/>
      <c r="G1149" s="192"/>
      <c r="H1149" s="192"/>
      <c r="I1149" s="192"/>
      <c r="J1149" s="192"/>
      <c r="K1149" s="192"/>
      <c r="L1149" s="192"/>
      <c r="M1149" s="192"/>
      <c r="N1149" s="192"/>
      <c r="O1149" s="192"/>
      <c r="P1149" s="192"/>
      <c r="Q1149" s="192"/>
      <c r="R1149" s="192"/>
      <c r="S1149" s="192"/>
      <c r="T1149" s="203"/>
      <c r="U1149" s="192"/>
      <c r="V1149" s="192"/>
      <c r="W1149" s="192"/>
      <c r="X1149" s="192"/>
      <c r="Y1149" s="192"/>
      <c r="Z1149" s="192"/>
      <c r="AA1149" s="192"/>
      <c r="AB1149" s="192"/>
      <c r="AC1149" s="192"/>
      <c r="AD1149" s="192"/>
      <c r="AE1149" s="192"/>
      <c r="AF1149" s="192"/>
      <c r="AG1149" s="192"/>
      <c r="AH1149" s="192"/>
      <c r="AI1149" s="192"/>
      <c r="AJ1149" s="192"/>
      <c r="AK1149" s="192"/>
      <c r="AL1149" s="192"/>
      <c r="AM1149" s="192"/>
      <c r="AN1149" s="192"/>
      <c r="AO1149" s="192"/>
      <c r="AP1149" s="192"/>
      <c r="AQ1149" s="192"/>
      <c r="AR1149" s="192"/>
      <c r="AS1149" s="192"/>
      <c r="AT1149" s="192"/>
      <c r="AU1149" s="192"/>
      <c r="AV1149" s="192"/>
      <c r="AW1149" s="192"/>
      <c r="AX1149" s="192"/>
    </row>
    <row r="1150" spans="2:50" ht="15" customHeight="1" x14ac:dyDescent="0.3">
      <c r="B1150" s="192"/>
      <c r="C1150" s="192"/>
      <c r="D1150" s="192"/>
      <c r="E1150" s="192"/>
      <c r="F1150" s="192"/>
      <c r="G1150" s="192"/>
      <c r="H1150" s="192"/>
      <c r="I1150" s="192"/>
      <c r="J1150" s="192"/>
      <c r="K1150" s="192"/>
      <c r="L1150" s="192"/>
      <c r="M1150" s="192"/>
      <c r="N1150" s="192"/>
      <c r="O1150" s="192"/>
      <c r="P1150" s="192"/>
      <c r="Q1150" s="192"/>
      <c r="R1150" s="192"/>
      <c r="S1150" s="192"/>
      <c r="T1150" s="192"/>
      <c r="U1150" s="192"/>
      <c r="V1150" s="192"/>
      <c r="W1150" s="192"/>
      <c r="X1150" s="192"/>
      <c r="Y1150" s="192"/>
      <c r="Z1150" s="192"/>
      <c r="AA1150" s="192"/>
      <c r="AB1150" s="192"/>
      <c r="AC1150" s="192"/>
      <c r="AD1150" s="192"/>
      <c r="AE1150" s="192"/>
      <c r="AF1150" s="192"/>
      <c r="AG1150" s="192"/>
      <c r="AH1150" s="192"/>
      <c r="AI1150" s="192"/>
      <c r="AJ1150" s="192"/>
      <c r="AK1150" s="192"/>
      <c r="AL1150" s="192"/>
      <c r="AM1150" s="192"/>
      <c r="AN1150" s="192"/>
      <c r="AO1150" s="192"/>
      <c r="AP1150" s="192"/>
      <c r="AQ1150" s="192"/>
      <c r="AR1150" s="192"/>
      <c r="AS1150" s="192"/>
      <c r="AT1150" s="192"/>
      <c r="AU1150" s="192"/>
      <c r="AV1150" s="192"/>
      <c r="AW1150" s="192"/>
      <c r="AX1150" s="192"/>
    </row>
    <row r="1151" spans="2:50" ht="15" customHeight="1" x14ac:dyDescent="0.3">
      <c r="B1151" s="192"/>
      <c r="C1151" s="192"/>
      <c r="D1151" s="192"/>
      <c r="E1151" s="192"/>
      <c r="F1151" s="192"/>
      <c r="G1151" s="192"/>
      <c r="H1151" s="192"/>
      <c r="I1151" s="192"/>
      <c r="J1151" s="192"/>
      <c r="K1151" s="192"/>
      <c r="L1151" s="192"/>
      <c r="M1151" s="192"/>
      <c r="N1151" s="192"/>
      <c r="O1151" s="192"/>
      <c r="P1151" s="192"/>
      <c r="Q1151" s="192"/>
      <c r="R1151" s="192"/>
      <c r="S1151" s="192"/>
      <c r="T1151" s="192"/>
      <c r="U1151" s="192"/>
      <c r="V1151" s="192"/>
      <c r="W1151" s="192"/>
      <c r="X1151" s="192"/>
      <c r="Y1151" s="192"/>
      <c r="Z1151" s="269"/>
      <c r="AA1151" s="192"/>
      <c r="AB1151" s="192"/>
      <c r="AC1151" s="192"/>
      <c r="AD1151" s="192"/>
      <c r="AE1151" s="192"/>
      <c r="AF1151" s="192"/>
      <c r="AG1151" s="192"/>
      <c r="AH1151" s="192"/>
      <c r="AI1151" s="192"/>
      <c r="AJ1151" s="192"/>
      <c r="AK1151" s="192"/>
      <c r="AL1151" s="192"/>
      <c r="AM1151" s="192"/>
      <c r="AN1151" s="192"/>
      <c r="AO1151" s="192"/>
      <c r="AP1151" s="192"/>
      <c r="AQ1151" s="192"/>
      <c r="AR1151" s="192"/>
      <c r="AS1151" s="192"/>
      <c r="AT1151" s="192"/>
      <c r="AU1151" s="192"/>
      <c r="AV1151" s="192"/>
      <c r="AW1151" s="192"/>
      <c r="AX1151" s="192"/>
    </row>
    <row r="1152" spans="2:50" ht="15" customHeight="1" x14ac:dyDescent="0.3">
      <c r="B1152" s="192"/>
      <c r="C1152" s="192"/>
      <c r="D1152" s="192"/>
      <c r="E1152" s="192"/>
      <c r="F1152" s="192"/>
      <c r="G1152" s="192"/>
      <c r="H1152" s="192"/>
      <c r="I1152" s="192"/>
      <c r="J1152" s="192"/>
      <c r="K1152" s="192"/>
      <c r="L1152" s="192"/>
      <c r="M1152" s="192"/>
      <c r="N1152" s="192"/>
      <c r="O1152" s="192"/>
      <c r="P1152" s="192"/>
      <c r="Q1152" s="192"/>
      <c r="R1152" s="192"/>
      <c r="S1152" s="192"/>
      <c r="T1152" s="192"/>
      <c r="U1152" s="192"/>
      <c r="V1152" s="192"/>
      <c r="W1152" s="192"/>
      <c r="X1152" s="192"/>
      <c r="Y1152" s="192"/>
      <c r="Z1152" s="192"/>
      <c r="AA1152" s="192"/>
      <c r="AB1152" s="192"/>
      <c r="AC1152" s="192"/>
      <c r="AD1152" s="192"/>
      <c r="AE1152" s="192"/>
      <c r="AF1152" s="192"/>
      <c r="AG1152" s="192"/>
      <c r="AH1152" s="192"/>
      <c r="AI1152" s="192"/>
      <c r="AJ1152" s="192"/>
      <c r="AK1152" s="192"/>
      <c r="AL1152" s="192"/>
      <c r="AM1152" s="192"/>
      <c r="AN1152" s="192"/>
      <c r="AO1152" s="192"/>
      <c r="AP1152" s="192"/>
      <c r="AQ1152" s="192"/>
      <c r="AR1152" s="192"/>
      <c r="AS1152" s="192"/>
      <c r="AT1152" s="192"/>
      <c r="AU1152" s="192"/>
      <c r="AV1152" s="192"/>
      <c r="AW1152" s="192"/>
      <c r="AX1152" s="192"/>
    </row>
    <row r="1153" spans="2:50" ht="15" customHeight="1" x14ac:dyDescent="0.3">
      <c r="B1153" s="192"/>
      <c r="C1153" s="192"/>
      <c r="D1153" s="192"/>
      <c r="E1153" s="192"/>
      <c r="F1153" s="192"/>
      <c r="G1153" s="192"/>
      <c r="H1153" s="192"/>
      <c r="I1153" s="192"/>
      <c r="J1153" s="192"/>
      <c r="K1153" s="192"/>
      <c r="L1153" s="192"/>
      <c r="M1153" s="192"/>
      <c r="N1153" s="192"/>
      <c r="O1153" s="192"/>
      <c r="P1153" s="192"/>
      <c r="Q1153" s="192"/>
      <c r="R1153" s="192"/>
      <c r="S1153" s="192"/>
      <c r="T1153" s="192"/>
      <c r="U1153" s="192"/>
      <c r="V1153" s="192"/>
      <c r="W1153" s="192"/>
      <c r="X1153" s="192"/>
      <c r="Y1153" s="192"/>
      <c r="Z1153" s="192"/>
      <c r="AA1153" s="192"/>
      <c r="AB1153" s="192"/>
      <c r="AC1153" s="192"/>
      <c r="AD1153" s="192"/>
      <c r="AE1153" s="192"/>
      <c r="AF1153" s="192"/>
      <c r="AG1153" s="192"/>
      <c r="AH1153" s="192"/>
      <c r="AI1153" s="192"/>
      <c r="AJ1153" s="192"/>
      <c r="AK1153" s="192"/>
      <c r="AL1153" s="192"/>
      <c r="AM1153" s="192"/>
      <c r="AN1153" s="192"/>
      <c r="AO1153" s="192"/>
      <c r="AP1153" s="192"/>
      <c r="AQ1153" s="192"/>
      <c r="AR1153" s="192"/>
      <c r="AS1153" s="192"/>
      <c r="AT1153" s="192"/>
      <c r="AU1153" s="192"/>
      <c r="AV1153" s="192"/>
      <c r="AW1153" s="192"/>
      <c r="AX1153" s="192"/>
    </row>
    <row r="1154" spans="2:50" ht="15" customHeight="1" thickBot="1" x14ac:dyDescent="0.4">
      <c r="B1154" s="192"/>
      <c r="C1154" s="192"/>
      <c r="D1154" s="192"/>
      <c r="E1154" s="192"/>
      <c r="F1154" s="192"/>
      <c r="G1154" s="192"/>
      <c r="H1154" s="192"/>
      <c r="I1154" s="383" t="s">
        <v>154</v>
      </c>
      <c r="J1154" s="383"/>
      <c r="K1154" s="383"/>
      <c r="L1154" s="383"/>
      <c r="M1154" s="383"/>
      <c r="N1154" s="383"/>
      <c r="O1154" s="383"/>
      <c r="P1154" s="383"/>
      <c r="Q1154" s="383"/>
      <c r="R1154" s="383"/>
      <c r="S1154" s="192"/>
      <c r="T1154" s="192"/>
      <c r="U1154" s="370" t="s">
        <v>92</v>
      </c>
      <c r="V1154" s="371"/>
      <c r="W1154" s="371"/>
      <c r="X1154" s="372"/>
      <c r="Y1154" s="192"/>
      <c r="Z1154" s="192"/>
      <c r="AA1154" s="192"/>
      <c r="AB1154" s="192"/>
      <c r="AC1154" s="192"/>
      <c r="AD1154" s="192"/>
      <c r="AE1154" s="192"/>
      <c r="AF1154" s="192"/>
      <c r="AG1154" s="192"/>
      <c r="AH1154" s="192"/>
      <c r="AI1154" s="192"/>
      <c r="AJ1154" s="192"/>
      <c r="AK1154" s="192"/>
      <c r="AL1154" s="192"/>
      <c r="AM1154" s="192"/>
      <c r="AN1154" s="192"/>
      <c r="AO1154" s="192"/>
      <c r="AP1154" s="192"/>
      <c r="AQ1154" s="192"/>
      <c r="AR1154" s="192"/>
      <c r="AS1154" s="192"/>
      <c r="AT1154" s="192"/>
      <c r="AU1154" s="192"/>
      <c r="AV1154" s="192"/>
      <c r="AW1154" s="192"/>
      <c r="AX1154" s="192"/>
    </row>
    <row r="1155" spans="2:50" ht="15" customHeight="1" thickTop="1" thickBot="1" x14ac:dyDescent="0.35">
      <c r="B1155" s="192"/>
      <c r="C1155" s="192"/>
      <c r="D1155" s="192"/>
      <c r="E1155" s="192"/>
      <c r="F1155" s="192"/>
      <c r="G1155" s="192"/>
      <c r="H1155" s="192"/>
      <c r="I1155" s="400" t="s">
        <v>93</v>
      </c>
      <c r="J1155" s="160"/>
      <c r="K1155" s="396" t="s">
        <v>94</v>
      </c>
      <c r="L1155" s="398" t="s">
        <v>95</v>
      </c>
      <c r="M1155" s="390" t="s">
        <v>96</v>
      </c>
      <c r="N1155" s="390" t="s">
        <v>97</v>
      </c>
      <c r="O1155" s="373" t="s">
        <v>98</v>
      </c>
      <c r="P1155" s="373" t="str">
        <f>IF(COUNT(U1156:X1167)=3,"LM/WM Ratio",IF(COUNT(U1156:X1167)=6,"LP/WP Ratio",""))</f>
        <v/>
      </c>
      <c r="Q1155" s="390" t="s">
        <v>99</v>
      </c>
      <c r="R1155" s="392" t="s">
        <v>100</v>
      </c>
      <c r="S1155" s="192"/>
      <c r="T1155" s="120"/>
      <c r="U1155" s="121" t="s">
        <v>101</v>
      </c>
      <c r="V1155" s="122" t="s">
        <v>102</v>
      </c>
      <c r="W1155" s="122" t="s">
        <v>103</v>
      </c>
      <c r="X1155" s="123" t="s">
        <v>104</v>
      </c>
      <c r="Y1155" s="380" t="s">
        <v>105</v>
      </c>
      <c r="Z1155" s="379"/>
      <c r="AA1155" s="378" t="s">
        <v>106</v>
      </c>
      <c r="AB1155" s="379"/>
      <c r="AC1155" s="192"/>
      <c r="AD1155" s="192"/>
      <c r="AE1155" s="203"/>
      <c r="AF1155" s="192"/>
      <c r="AG1155" s="192"/>
      <c r="AH1155" s="192"/>
      <c r="AI1155" s="192"/>
      <c r="AJ1155" s="192"/>
      <c r="AK1155" s="192"/>
      <c r="AL1155" s="192"/>
      <c r="AM1155" s="192"/>
      <c r="AN1155" s="192"/>
      <c r="AO1155" s="192"/>
      <c r="AP1155" s="192"/>
      <c r="AQ1155" s="192"/>
      <c r="AR1155" s="192"/>
      <c r="AS1155" s="192"/>
      <c r="AT1155" s="192"/>
      <c r="AU1155" s="192"/>
      <c r="AV1155" s="192"/>
      <c r="AW1155" s="192"/>
      <c r="AX1155" s="192"/>
    </row>
    <row r="1156" spans="2:50" ht="15" customHeight="1" thickTop="1" thickBot="1" x14ac:dyDescent="0.35">
      <c r="B1156" s="192"/>
      <c r="C1156" s="192"/>
      <c r="D1156" s="192"/>
      <c r="E1156" s="192"/>
      <c r="F1156" s="192"/>
      <c r="G1156" s="192"/>
      <c r="H1156" s="192"/>
      <c r="I1156" s="401"/>
      <c r="J1156" s="161"/>
      <c r="K1156" s="397"/>
      <c r="L1156" s="399"/>
      <c r="M1156" s="391"/>
      <c r="N1156" s="391"/>
      <c r="O1156" s="374"/>
      <c r="P1156" s="374"/>
      <c r="Q1156" s="391"/>
      <c r="R1156" s="393"/>
      <c r="S1156" s="192"/>
      <c r="T1156" s="208">
        <v>1</v>
      </c>
      <c r="U1156" s="209" t="str">
        <f>IF(M1157="","",IF(COUNTIF(M1157:M1159,M1157)=3,IF(COUNTBLANK(I1157:I1160)=1,(Q1169+Q1175)/(Q1168+Q1174),IF(COUNTBLANK(I1157:I1160)=0,(Q1181+Q1169)/(Q1180+Q1168),"")),""))</f>
        <v/>
      </c>
      <c r="V1156" s="125" t="str">
        <f>IF(AND(COUNTBLANK(I1157:I1160)=0,M1157=M1159,M1159=M1160),(Q1169+Q1175)/(Q1168+Q1174),"")</f>
        <v/>
      </c>
      <c r="W1156" s="210" t="str">
        <f>IF(AND(COUNTBLANK(I1157:I1160)=0,M1157=M1158,M1158=M1160),(Q1181+Q1175)/(Q1180+Q1174),"")</f>
        <v/>
      </c>
      <c r="X1156" s="211"/>
      <c r="Y1156" s="169" t="s">
        <v>93</v>
      </c>
      <c r="Z1156" s="170" t="s">
        <v>107</v>
      </c>
      <c r="AA1156" s="169" t="s">
        <v>93</v>
      </c>
      <c r="AB1156" s="170" t="s">
        <v>107</v>
      </c>
      <c r="AC1156" s="192"/>
      <c r="AD1156" s="192"/>
      <c r="AE1156" s="192"/>
      <c r="AF1156" s="192"/>
      <c r="AG1156" s="192"/>
      <c r="AH1156" s="192"/>
      <c r="AI1156" s="192"/>
      <c r="AJ1156" s="192"/>
      <c r="AK1156" s="192"/>
      <c r="AL1156" s="192"/>
      <c r="AM1156" s="192"/>
      <c r="AN1156" s="192"/>
      <c r="AO1156" s="192"/>
      <c r="AP1156" s="192"/>
      <c r="AQ1156" s="192"/>
      <c r="AR1156" s="192"/>
      <c r="AS1156" s="192"/>
      <c r="AT1156" s="192"/>
      <c r="AU1156" s="192"/>
      <c r="AV1156" s="192"/>
      <c r="AW1156" s="192"/>
      <c r="AX1156" s="192"/>
    </row>
    <row r="1157" spans="2:50" ht="15" customHeight="1" thickTop="1" thickBot="1" x14ac:dyDescent="0.35">
      <c r="B1157" s="192"/>
      <c r="C1157" s="192"/>
      <c r="D1157" s="192"/>
      <c r="E1157" s="192"/>
      <c r="F1157" s="192" t="str">
        <f>IF(I1157="","",VLOOKUP(I1157,Siembra,2,FALSE))</f>
        <v/>
      </c>
      <c r="G1157" s="192" t="str">
        <f>O1157</f>
        <v/>
      </c>
      <c r="H1157" s="192">
        <v>1</v>
      </c>
      <c r="I1157" s="128" t="str">
        <f>IF(K1157="","",IF(ISNUMBER(Sorteo!$A$17),VLOOKUP(K1157,Draw,2,FALSE),""))</f>
        <v/>
      </c>
      <c r="J1157" s="129" t="str">
        <f>O1157</f>
        <v/>
      </c>
      <c r="K1157" s="130" t="str">
        <f>IF($K$9="","",IF(Group_players=4,IF(Tablas!CM$3="","",Tablas!CM$3),IF(Group_players=3,IF(Tablas!CM$11="","",Tablas!CM$11),"")))</f>
        <v/>
      </c>
      <c r="L1157" s="131" t="str">
        <f>IF(K1157="","",VLOOKUP(I1157,Siembra,3,FALSE))</f>
        <v/>
      </c>
      <c r="M1157" s="132" t="str">
        <f>IF(AND(Q1168="",Q1169=""),"",IF(I1157="","",SUMIFS(E1168:E1184,I1168:I1184,I1157)))</f>
        <v/>
      </c>
      <c r="N1157" s="132" t="str">
        <f>IF(M1157="","",IF(I1157="","",SUMIFS(F1168:F1184,I1168:I1184,I1157)))</f>
        <v/>
      </c>
      <c r="O1157" s="132" t="str">
        <f>IF(M1157="","",IF(COUNTBLANK(I1157:I1160)=1,IF(M1157=2,1,IF(M1157=0,3,IF(AND(M1157=1,M1158&lt;&gt;1),2,IF(COUNTIF(M1157:M1159,1)&gt;1,Z1157)))),IF(COUNTBLANK(I1157:I1160)=0,IF(COUNTIF(M1157:M1160,M1157)=1,IF(M1157=3,1,IF(M1157=2,2,IF(M1157=1,3,IF(M1157=0,4)))),IF(Group_players=3,Z1157,IF(COUNTIF(M1157:M1160,M1157)=2,AB1157,IF(AND(M1157=M1158,M1158=M1159),AB1161,IF(AND(M1157=M1159,M1159=M1160),AB1164,IF(AND(M1157=M1158,M1158=M1160),AB1167,"")))))),99)))</f>
        <v/>
      </c>
      <c r="P1157" s="133" t="str">
        <f>IF(COUNT(U1156:X1167)=3,IF(ISNUMBER(U1156),U1156,IF(ISNUMBER(V1156),V1156,IF(ISNUMBER(W1156),W1156,IF(X1156="","")))),IF(COUNT(U1156:X1167)=6,IF(ISNUMBER(U1164),U1164,IF(ISNUMBER(V1164),V1164,IF(ISNUMBER(W1164),W1164,IF(ISBLANK(X1156),"")))),""))</f>
        <v/>
      </c>
      <c r="Q1157" s="132" t="str">
        <f>IF(M1157="","",SUMIF(I1168:S1184,I1157,S1168:S1184))</f>
        <v/>
      </c>
      <c r="R1157" s="134" t="str">
        <f>IF(M1157="","",L1157+Q1157)</f>
        <v/>
      </c>
      <c r="S1157" s="203"/>
      <c r="T1157" s="208">
        <v>2</v>
      </c>
      <c r="U1157" s="209" t="str">
        <f>IF(M1158="","",IF(COUNTIF(M1157:M1159,M1158)=3,IF(COUNTBLANK(I1157:I1160)=1,(Q1172+Q1174)/(Q1171+Q1175),IF(COUNTBLANK(I1157:I1160)=0,(Q1178+Q1180)/(Q1177+Q1181),"")),""))</f>
        <v/>
      </c>
      <c r="V1157" s="135"/>
      <c r="W1157" s="212" t="str">
        <f>IF(AND(COUNTBLANK(I1157:I1160)=0,M1158=M1157,M1157=M1160),(Q1180+Q1172)/(Q1181+Q1171),"")</f>
        <v/>
      </c>
      <c r="X1157" s="213" t="str">
        <f>IF(AND(COUNTBLANK(I1157:I1160)=0,M1158=M1159,M1159=M1160),(Q1178+Q1172)/(Q1177+Q1171),"")</f>
        <v/>
      </c>
      <c r="Y1157" s="214">
        <v>1</v>
      </c>
      <c r="Z1157" s="215" t="str">
        <f>IF(U1156="","",IF(OR(Group_players=3,AND(Group_players=4,COUNTBLANK(I1157:I1160)=1)),IF(COUNTIF(M1157:M1159,M1157)=1,"",IF(AND(U1156=U1157,U1157=U1158),Z1161,IF(AND(U1156&lt;&gt;U1157,U1156&lt;&gt;U1158,U1157&lt;&gt;U1158),(IF(SMALL(U1156:U1158,1)=U1156,1,IF(SMALL(U1156:U1158,2)=U1156,2,IF(SMALL(U1156:U1158,3)=U1156,3)))),IF(AND(U1156&lt;U1157,U1157=U1158),1,IF(AND(U1156&gt;U1157,U1157=U1158),3,IF(AND(U1156=U1157,U1156&lt;U1158),(IF(Q1174=3,1,2)),IF(AND(U1156=U1157,U1156&gt;U1158),(IF(Q1174=3,2,3)),IF(AND(U1156=U1158,U1156&lt;U1157),(IF(Q1168=3,1,2)),IF(AND(U1156=U1158,U1156&gt;U1157),(IF(Q1168=3,2,3)),99))))))))),""))</f>
        <v/>
      </c>
      <c r="AA1157" s="216">
        <v>1</v>
      </c>
      <c r="AB1157" s="217" t="str">
        <f>IF(COUNTIF(M1157:M1160,M1157)&lt;&gt;2,"",IF(COUNTIF(M1157:M1160,M1157)=1,"",IF(AND(COUNTIF(M1157:M1160,M1157)=2,M1157=2),IF(M1157=M1158,IF(Q1180=3,1,2),IF(M1157=M1159,IF(Q1168=3,1,2),IF(M1157=M1160,IF(Q1174=3,1,2)))),IF(AND(COUNTIF(M1157:M1160,M1157)=2,M1157=1),IF(M1157=M1158,IF(Q1180=3,3,4),IF(M1157=M1159,IF(Q1168=3,3,4),IF(M1157=M1160,IF(Q1174=3,3,4)))),IF(COUNTIF(M1157:M1160,M1157)=3,AB1161)))))</f>
        <v/>
      </c>
      <c r="AC1157" s="192"/>
      <c r="AD1157" s="192"/>
      <c r="AE1157" s="192"/>
      <c r="AF1157" s="192"/>
      <c r="AG1157" s="192"/>
      <c r="AH1157" s="192"/>
      <c r="AI1157" s="192"/>
      <c r="AJ1157" s="192"/>
      <c r="AK1157" s="192"/>
      <c r="AL1157" s="192"/>
      <c r="AM1157" s="192"/>
      <c r="AN1157" s="192"/>
      <c r="AO1157" s="192"/>
      <c r="AP1157" s="192"/>
      <c r="AQ1157" s="192"/>
      <c r="AR1157" s="192"/>
      <c r="AS1157" s="192"/>
      <c r="AT1157" s="192"/>
      <c r="AU1157" s="192"/>
      <c r="AV1157" s="192"/>
      <c r="AW1157" s="192"/>
      <c r="AX1157" s="192"/>
    </row>
    <row r="1158" spans="2:50" ht="15" customHeight="1" thickTop="1" thickBot="1" x14ac:dyDescent="0.35">
      <c r="B1158" s="192"/>
      <c r="C1158" s="192"/>
      <c r="D1158" s="192"/>
      <c r="E1158" s="192"/>
      <c r="F1158" s="192" t="str">
        <f>IF(I1158="","",VLOOKUP(I1158,Siembra,2,FALSE))</f>
        <v/>
      </c>
      <c r="G1158" s="192" t="str">
        <f>O1158</f>
        <v/>
      </c>
      <c r="H1158" s="192">
        <v>2</v>
      </c>
      <c r="I1158" s="128" t="str">
        <f>IF(K1158="","",IF(ISNUMBER(Sorteo!$A$17),VLOOKUP(K1158,Draw,2,FALSE),""))</f>
        <v/>
      </c>
      <c r="J1158" s="129" t="str">
        <f>O1158</f>
        <v/>
      </c>
      <c r="K1158" s="136" t="str">
        <f>IF($K$9="","",IF(Group_players=4,IF(Tablas!CM$4="","",Tablas!CM$4),IF(Group_players=3,IF(Tablas!CM$12="","",Tablas!CM$12),"")))</f>
        <v/>
      </c>
      <c r="L1158" s="137" t="str">
        <f>IF(K1158="","",VLOOKUP(I1158,Siembra,3,FALSE))</f>
        <v/>
      </c>
      <c r="M1158" s="132" t="str">
        <f>IF(AND(L1168="",L1169=""),"",IF(I1158="","",SUMIFS(E1168:E1185,I1168:I1185,I1158)))</f>
        <v/>
      </c>
      <c r="N1158" s="138" t="str">
        <f>IF(M1158="","",IF(I1158="","",SUMIFS(F1168:F1184,I1168:I1184,I1158)))</f>
        <v/>
      </c>
      <c r="O1158" s="132" t="str">
        <f>IF(M1158="","",IF(COUNTBLANK(I1157:I1160)=1,IF(M1158=2,1,IF(M1158=0,3,IF(AND(M1158=1,M1159&lt;&gt;1),2,IF(COUNTIF(M1157:M1160,1)&gt;1,Z1158)))),IF(COUNTBLANK(I1157:I1160)=0,IF(COUNTIF(M1157:M1160,M1158)=1,IF(M1158=3,1,IF(M1158=2,2,IF(M1158=1,3,IF(M1158=0,4)))),IF(Group_players=3,Z1158,IF(COUNTIF(M1157:M1160,M1158)=2,AB1158,IF(AND(M1158=M1157,M1157=M1159),AB1162,IF(AND(M1158=M1157,M1157=M1160),AB1168,IF(AND(M1158=M1159,M1159=M1160),AB1170,"")))))))))</f>
        <v/>
      </c>
      <c r="P1158" s="133" t="str">
        <f>IF(COUNT(U1156:X1167)=3,IF(ISNUMBER(U1157),U1157,IF(ISNUMBER(W1157),W1157,IF(ISNUMBER(X1157),X1157,IF(X1157="","")))),IF(COUNT(U1156:X1167)=6,IF(ISNUMBER(U1165),U1165,IF(ISNUMBER(W1165),W1165,IF(ISNUMBER(X1165),X1165,IF(ISBLANK(X1164),"")))),""))</f>
        <v/>
      </c>
      <c r="Q1158" s="138" t="str">
        <f>IF(M1158="","",SUMIF(I1168:S1184,I1158,S1168:$S1184))</f>
        <v/>
      </c>
      <c r="R1158" s="139" t="str">
        <f>IF(M1158="","",L1158+Q1158)</f>
        <v/>
      </c>
      <c r="S1158" s="203"/>
      <c r="T1158" s="208">
        <v>3</v>
      </c>
      <c r="U1158" s="209" t="str">
        <f>IF(M1159="","",IF(COUNTIF(M1157:M1159,M1159)=3,IF(COUNTBLANK(I1157:I1160)=1,(Q1168+Q1171)/(Q1169+Q1172),IF(COUNTBLANK(I1157:I1160)=0,(Q1168+Q1177)/(Q1169+Q1178),"")),""))</f>
        <v/>
      </c>
      <c r="V1158" s="125" t="str">
        <f>IF(AND(COUNTBLANK(I1157:I1160)=0,M1159=M1160,M1160=M1157),(Q1168+Q1184)/(Q1169+Q1183),"")</f>
        <v/>
      </c>
      <c r="W1158" s="218"/>
      <c r="X1158" s="213" t="str">
        <f>IF(AND(COUNTBLANK(I1157:I1160)=0,M1159=M1160,M1160=M1158),(Q1177+Q1184)/(Q1178+Q1183),"")</f>
        <v/>
      </c>
      <c r="Y1158" s="219">
        <v>2</v>
      </c>
      <c r="Z1158" s="220" t="str">
        <f>IF(U1157="","",IF(OR(Group_players=3,AND(Group_players=4,COUNTBLANK(I1157:I1160)=1)),IF(COUNTIF(M1157:M1159,M1158)=1,"",IF(AND(U1157=U1156,U1157=U1158),Z1162,IF(AND(U1157&lt;&gt;U1156,U1157&lt;&gt;U1158,U1156&lt;&gt;U1158),(IF(SMALL(U1156:U1158,1)=U1157,1,IF(SMALL(U1156:U1158,2)=U1157,2,IF(SMALL(U1156:U1158,3)=U1157,3)))),IF(AND(U1157&lt;U1156,U1156=U1158),1,IF(AND(U1157&gt;U1156,U1156=U1158),3,IF(AND(U1157=U1156,U1157&lt;U1158),(IF(Q1175=3,1,2)),IF(AND(U1157=U1156,U1157&gt;U1158),(IF(Q1175=3,2,3)),IF(AND(U1157=U1158,U1157&lt;U1156),(IF(Q1171=3,1,2)),IF(AND(U1157=U1158,U1157&gt;U1156),(IF(Q1171=3,2,3)),99))))))))),""))</f>
        <v/>
      </c>
      <c r="AA1158" s="221">
        <v>2</v>
      </c>
      <c r="AB1158" s="222" t="str">
        <f>IF(COUNTIF(M1157:M1160,M1158)&lt;&gt;2,"",IF(COUNTIF(M1157:M1160,M1158)=1,"",IF(AND(COUNTIF(M1157:M1160,M1158)=2,M1158=2),IF(M1158=M1157,IF(Q1181=3,1,2),IF(M1158=M1159,IF(Q1177=3,1,2),IF(M1158=M1160,IF(Q1171=3,1,2)))),IF(AND(COUNTIF(M1157:M1160,M1158)=2,M1158=1),IF(M1158=M1157,IF(Q1181=3,3,4),IF(M1158=M1159,IF(Q1177=3,3,4),IF(M1158=M1160,IF(Q1171=3,3,4)))),AB1163))))</f>
        <v/>
      </c>
      <c r="AC1158" s="192"/>
      <c r="AD1158" s="192"/>
      <c r="AE1158" s="192"/>
      <c r="AF1158" s="192"/>
      <c r="AG1158" s="192"/>
      <c r="AH1158" s="192"/>
      <c r="AI1158" s="192"/>
      <c r="AJ1158" s="192"/>
      <c r="AK1158" s="192"/>
      <c r="AL1158" s="192"/>
      <c r="AM1158" s="192"/>
      <c r="AN1158" s="192"/>
      <c r="AO1158" s="192"/>
      <c r="AP1158" s="192"/>
      <c r="AQ1158" s="192"/>
      <c r="AR1158" s="192"/>
      <c r="AS1158" s="192"/>
      <c r="AT1158" s="192"/>
      <c r="AU1158" s="192"/>
      <c r="AV1158" s="192"/>
      <c r="AW1158" s="192"/>
      <c r="AX1158" s="192"/>
    </row>
    <row r="1159" spans="2:50" ht="15" customHeight="1" thickBot="1" x14ac:dyDescent="0.35">
      <c r="B1159" s="192"/>
      <c r="C1159" s="192"/>
      <c r="D1159" s="192"/>
      <c r="E1159" s="192"/>
      <c r="F1159" s="192" t="str">
        <f>IF(I1159="","",VLOOKUP(I1159,Siembra,2,FALSE))</f>
        <v/>
      </c>
      <c r="G1159" s="192" t="str">
        <f>O1159</f>
        <v/>
      </c>
      <c r="H1159" s="192">
        <v>3</v>
      </c>
      <c r="I1159" s="128" t="str">
        <f>IF(K1159="","",IF(ISNUMBER(Sorteo!$A$17),VLOOKUP(K1159,Draw,2,FALSE),""))</f>
        <v/>
      </c>
      <c r="J1159" s="129" t="str">
        <f>O1159</f>
        <v/>
      </c>
      <c r="K1159" s="136" t="str">
        <f>IF($K$9="","",IF(Group_players=4,IF(Tablas!CM$5="","",Tablas!CM$5),IF(Group_players=3,IF(Tablas!CM$13="","",Tablas!CM$13),"")))</f>
        <v/>
      </c>
      <c r="L1159" s="137" t="str">
        <f>IF(K1159="","",VLOOKUP(I1159,Siembra,3,FALSE))</f>
        <v/>
      </c>
      <c r="M1159" s="132" t="str">
        <f>IF(AND(L1169="",L1168=""),"",IF(I1159="","",SUMIFS(E1168:E1186,I1168:I1186,I1159)))</f>
        <v/>
      </c>
      <c r="N1159" s="138" t="str">
        <f>IF(M1159="","",IF(I1159="","",SUMIFS(F1168:F1184,I1168:I1184,I1159)))</f>
        <v/>
      </c>
      <c r="O1159" s="132" t="str">
        <f>IF(M1159="","",IF(COUNTBLANK(I1157:I1160)=1,IF(M1159=2,1,IF(M1159=0,3,IF(AND(M1159=1,M1159&lt;&gt;M1157),2,IF(COUNTIF(M1157:M1160,1)&gt;1,Z1159)))),IF(COUNTBLANK(I1157:I1160)=0,IF(COUNTIF(M1157:M1160,M1159)=1,IF(M1159=3,1,IF(M1159=2,2,IF(M1159=1,3,IF(M1159=0,4)))),IF(Group_players=3,Z1159,IF(COUNTIF(M1157:M1160,M1159)=2,AB1159,IF(AND(M1159=M1157,M1157=M1158),AB1163,IF(AND(M1159=M1157,M1157=M1160),AB1165,IF(AND(M1159=M1158,M1158=M1160),AB1171,"")))))))))</f>
        <v/>
      </c>
      <c r="P1159" s="133" t="str">
        <f>IF(COUNT(U1156:X1167)=3,IF(ISNUMBER(U1158),U1158,IF(ISNUMBER(V1158),V1158,IF(ISNUMBER(X1158),X1158,IF(W1158="","")))),IF(COUNT(U1156:X1167)=6,IF(ISNUMBER(U1166),U1166,IF(ISNUMBER(V1166),V1166,IF(ISNUMBER(X1166),X1166,""))),""))</f>
        <v/>
      </c>
      <c r="Q1159" s="138" t="str">
        <f>IF(M1159="","",SUMIF(I1168:S1184,I1159,S1168:S1184))</f>
        <v/>
      </c>
      <c r="R1159" s="139" t="str">
        <f>IF(M1159="","",L1159+Q1159)</f>
        <v/>
      </c>
      <c r="S1159" s="203"/>
      <c r="T1159" s="208">
        <v>4</v>
      </c>
      <c r="U1159" s="223"/>
      <c r="V1159" s="140" t="str">
        <f>IF(AND(COUNTBLANK(I1157:I1160)=0,M1160=M1157,M1157=M1159),(Q1174+Q1183)/(Q1175+Q1184),"")</f>
        <v/>
      </c>
      <c r="W1159" s="224" t="str">
        <f>IF(AND(COUNTBLANK(I1157:I1160)=0,M1160=M1157,M1157=M1158),(Q1174+Q1171)/(Q1175+Q1172),"")</f>
        <v/>
      </c>
      <c r="X1159" s="225" t="str">
        <f>IF(AND(COUNTBLANK(I1157:I1160)=0,M1160=M1158,M1158=M1159),(Q1171+Q1183)/(Q1172+Q1184),"")</f>
        <v/>
      </c>
      <c r="Y1159" s="226">
        <v>3</v>
      </c>
      <c r="Z1159" s="227" t="str">
        <f>IF(U1158="","",IF(OR(Group_players=3,AND(Group_players=4,COUNTBLANK(I1157:I1160)=1)),IF(COUNTIF(M1157:M1159,M1159)=1,"",IF(AND(U1158=U1156,U1158=U1157),Z1163,IF(AND(U1158&lt;&gt;U1157,U1157&lt;&gt;U1156,U1158&lt;&gt;U1156),(IF(SMALL(U1156:U1158,1)=U1158,1,IF(SMALL(U1156:U1158,2)=U1158,2,IF(SMALL(U1156:U1158,3)=U1158,3)))),IF(AND(U1158&lt;U1157,U1157=U1156),1,IF(AND(U1158&gt;U1157,U1157=U1156),3,IF(AND(U1158=U1157,U1158&lt;U1156),(IF(Q1172=3,1,2)),IF(AND(U1158=U1157,U1158&gt;U1156),(IF(Q1172=3,2,3)),IF(AND(U1158=U1156,U1158&lt;U1157),(IF(Q1169=3,1,2)),IF(AND(U1158=U1156,U1158&gt;U1157),(IF(Q1169=3,2,3)),99))))))))),""))</f>
        <v/>
      </c>
      <c r="AA1159" s="221">
        <v>3</v>
      </c>
      <c r="AB1159" s="222" t="str">
        <f>IF(COUNTIF(M1157:M1160,M1159)&lt;&gt;2,"",IF(COUNTIF(M1157:M1160,M1159)=1,"",IF(AND(COUNTIF(M1157:M1160,M1159)=2,M1159=2),IF(M1159=M1157,IF(Q1169=3,1,2),IF(M1159=M1158,IF(Q1178=3,1,2),IF(M1159=M1160,IF(Q1183=3,1,2)))),IF(AND(COUNTIF(M1157:M1160,M1159)=2,M1159=1),IF(M1159=M1157,IF(Q1169=3,3,4),IF(M1159=M1158,IF(Q1178=3,3,4),IF(M1159=M1160,IF(Q1183=3,3,4)))),AB1163))))</f>
        <v/>
      </c>
      <c r="AC1159" s="192"/>
      <c r="AD1159" s="192"/>
      <c r="AE1159" s="192"/>
      <c r="AF1159" s="192"/>
      <c r="AG1159" s="192"/>
      <c r="AH1159" s="192"/>
      <c r="AI1159" s="192"/>
      <c r="AJ1159" s="192"/>
      <c r="AK1159" s="192"/>
      <c r="AL1159" s="192"/>
      <c r="AM1159" s="192"/>
      <c r="AN1159" s="192"/>
      <c r="AO1159" s="192"/>
      <c r="AP1159" s="192"/>
      <c r="AQ1159" s="192"/>
      <c r="AR1159" s="192"/>
      <c r="AS1159" s="192"/>
      <c r="AT1159" s="192"/>
      <c r="AU1159" s="192"/>
      <c r="AV1159" s="192"/>
      <c r="AW1159" s="192"/>
      <c r="AX1159" s="192"/>
    </row>
    <row r="1160" spans="2:50" ht="15" customHeight="1" thickTop="1" thickBot="1" x14ac:dyDescent="0.35">
      <c r="B1160" s="192"/>
      <c r="C1160" s="192"/>
      <c r="D1160" s="192"/>
      <c r="E1160" s="192"/>
      <c r="F1160" s="192" t="str">
        <f>IF(I1160="","",VLOOKUP(I1160,Siembra,2,FALSE))</f>
        <v/>
      </c>
      <c r="G1160" s="192" t="str">
        <f>O1160</f>
        <v/>
      </c>
      <c r="H1160" s="192">
        <v>4</v>
      </c>
      <c r="I1160" s="141" t="str">
        <f>IF(K1160="","",IF(ISNUMBER(Sorteo!$A$17),VLOOKUP(K1160,Draw,2,FALSE),""))</f>
        <v/>
      </c>
      <c r="J1160" s="142" t="str">
        <f>O1160</f>
        <v/>
      </c>
      <c r="K1160" s="143" t="str">
        <f>IF($K$9="","",IF(Group_players=4,IF(Tablas!CM6="","",Tablas!CM6),""))</f>
        <v/>
      </c>
      <c r="L1160" s="144" t="str">
        <f>IF(K1160="","",VLOOKUP(I1160,Siembra,3,FALSE))</f>
        <v/>
      </c>
      <c r="M1160" s="145" t="str">
        <f>IF(AND(Q1171="",Q1172=""),"",IF(I1160="","",SUMIFS(E1168:E1187,I1168:I1187,I1160)))</f>
        <v/>
      </c>
      <c r="N1160" s="145" t="str">
        <f>IF(M1160="","",IF(I1160="","",SUMIFS(F1168:F1184,I1168:I1184,I1160)))</f>
        <v/>
      </c>
      <c r="O1160" s="145" t="str">
        <f>IF(M1160="","",IF(COUNTIF(M1157:M1160,M1160)=1,IF(M1160=3,1,IF(M1160=2,2,IF(M1160=1,3,IF(M1160=0,4)))),IF(COUNTIF(M1157:M1160,M1160)=2,AB1160,IF(AND(M1160=M1157,M1157=M1159),AB1166,IF(AND(M1160=M1157,M1157=M1158),AB1169,IF(AND(M1160=M1158,M1158=M1159),AB1172,""))))))</f>
        <v/>
      </c>
      <c r="P1160" s="146" t="str">
        <f>IF(COUNT(U1156:X1167)=3,IF(ISNUMBER(V1159),V1159,IF(ISNUMBER(W1159),W1159,IF(ISNUMBER(X1159),X1159,IF(X1159="","")))),IF(COUNT(U1156:X1167)=6,IF(ISNUMBER(V1167),V1167,IF(ISNUMBER(W1167),W1167,IF(ISNUMBER(X1167),X1167,""))),""))</f>
        <v/>
      </c>
      <c r="Q1160" s="145" t="str">
        <f>IF(M1160="","",SUMIF(I1168:S1184,I1160,S1168:$S1184))</f>
        <v/>
      </c>
      <c r="R1160" s="147" t="str">
        <f>IF(M1160="","",L1160+Q1160)</f>
        <v/>
      </c>
      <c r="S1160" s="203"/>
      <c r="T1160" s="192"/>
      <c r="U1160" s="192"/>
      <c r="V1160" s="192"/>
      <c r="W1160" s="192"/>
      <c r="X1160" s="192"/>
      <c r="Y1160" s="230" t="s">
        <v>93</v>
      </c>
      <c r="Z1160" s="231" t="s">
        <v>110</v>
      </c>
      <c r="AA1160" s="232">
        <v>4</v>
      </c>
      <c r="AB1160" s="233" t="str">
        <f>IF(COUNTIF(M1157:M1160,M1160)&lt;&gt;2,"",IF(COUNTIF(M1157:M1160,M1160)=1,"",IF(AND(COUNTIF(M1157:M1160,M1160)=2,M1160=2),IF(M1160=M1157,IF(Q1175=3,1,2),IF(M1160=M1158,IF(Q1172=3,1,2),IF(M1160=M1159,IF(Q1184=3,1,2)))),IF(AND(COUNTIF(M1157:M1160,M1160)=2,M1160=1),IF(M1160=M1157,IF(Q1175=3,3,4),IF(M1160=M1158,IF(Q1172=3,3,4),IF(M1160=M1159,IF(Q1184=3,3,4)))),AB1166))))</f>
        <v/>
      </c>
      <c r="AC1160" s="192"/>
      <c r="AD1160" s="192"/>
      <c r="AE1160" s="192"/>
      <c r="AF1160" s="192"/>
      <c r="AG1160" s="192"/>
      <c r="AH1160" s="192"/>
      <c r="AI1160" s="192"/>
      <c r="AJ1160" s="192"/>
      <c r="AK1160" s="192"/>
      <c r="AL1160" s="192"/>
      <c r="AM1160" s="192"/>
      <c r="AN1160" s="192"/>
      <c r="AO1160" s="192"/>
      <c r="AP1160" s="192"/>
      <c r="AQ1160" s="192"/>
      <c r="AR1160" s="192"/>
      <c r="AS1160" s="192"/>
      <c r="AT1160" s="192"/>
      <c r="AU1160" s="192"/>
      <c r="AV1160" s="192"/>
      <c r="AW1160" s="192"/>
      <c r="AX1160" s="192"/>
    </row>
    <row r="1161" spans="2:50" ht="15" customHeight="1" thickTop="1" x14ac:dyDescent="0.3">
      <c r="B1161" s="192"/>
      <c r="C1161" s="192"/>
      <c r="D1161" s="192"/>
      <c r="E1161" s="192"/>
      <c r="F1161" s="192"/>
      <c r="G1161" s="192"/>
      <c r="H1161" s="192"/>
      <c r="I1161" s="192"/>
      <c r="J1161" s="192"/>
      <c r="K1161" s="192"/>
      <c r="L1161" s="192"/>
      <c r="M1161" s="192"/>
      <c r="N1161" s="192"/>
      <c r="O1161" s="192"/>
      <c r="P1161" s="192"/>
      <c r="Q1161" s="192"/>
      <c r="R1161" s="192"/>
      <c r="S1161" s="192"/>
      <c r="T1161" s="208"/>
      <c r="U1161" s="192"/>
      <c r="V1161" s="148"/>
      <c r="W1161" s="148"/>
      <c r="X1161" s="234"/>
      <c r="Y1161" s="214">
        <v>1</v>
      </c>
      <c r="Z1161" s="215" t="str">
        <f>IF(U1164="","",IF(OR(Group_players=3,AND(Group_players=4,COUNTBLANK(I1157:I1160)=1)),IF(COUNTIF(M1157:M1159,M1157)=1,"",IF(COUNTIF(U1156:U1158,U1156)=3,IF(AND(U1164=U1165,U1165=U1166),"Tied",IF(AND(U1164&lt;&gt;U1165,U1164&lt;&gt;U1166,U1165&lt;&gt;U1166),(IF(SMALL(U1164:U1166,1)=U1164,1,IF(SMALL(U1164:U1166,2)=U1164,2,IF(SMALL(U1164:U1166,3)=U1164,3)))),IF(AND(U1164&lt;U1165,U1165=U1166),1,IF(AND(U1164&gt;U1165,U1165=U1166),3,IF(AND(U1164=U1165,U1164&lt;U1166),(IF(Q1174=3,1,2)),IF(AND(U1164=U1165,U1164&gt;U1166),(IF(Q1174=3,2,3)),IF(AND(U1164=U1166,U1164&lt;U1165),(IF(Q1168=3,1,2)),IF(AND(U1164=U1166,U1164&gt;U1165),(IF(Q1168=3,2,3)),99)))))))),"")),""))</f>
        <v/>
      </c>
      <c r="AA1161" s="208">
        <v>1</v>
      </c>
      <c r="AB1161" s="222" t="str">
        <f>IF(AND(COUNTBLANK(I1157:I1160)=0,Group_players=4,M1157=M1158,M1158=M1159),IF(COUNTIF(U1156:U1159,U1156)=3,AB1174,IF(AND(COUNTIF(U1156:U1159,U1156)=1,U1157&lt;&gt;U1158),IF(M1157=2,IF(SMALL(U1156:U1159,1)=U1156,1,IF(SMALL(U1156:U1159,2)=U1156,2,IF(SMALL(U1156:U1159,3)=U1156,3))),IF(M1157=1,IF(SMALL(U1156:U1159,1)=U1156,2,IF(SMALL(U1156:U1159,2)=U1156,3,IF(SMALL(U1156:U1159,3)=U1156,4))),"")),IF(COUNTIF(U1156:U1159,U1156)=1,IF(U1156&lt;U1157,IF(M1157=2,1,2),IF(M1157=2,3,4)),IF(COUNTIF(U1156:U1159,U1156)=2,IF(U1156=U1157,IF(U1156&lt;U1158,IF(M1157=2,IF(Q1180=3,1,2),IF(M1157=1,IF(Q1180=3,2,3))),IF(U1156&gt;U1158,IF(M1157=2,IF(Q1180=3,2,3),IF(M1157=1,IF(Q1180=3,3,4))))),IF(U1156=U1158,IF(U1156&lt;U1157,IF(M1157=2,IF(Q1168=3,1,2),IF(M1157=1,IF(Q1168=3,2,3))),IF(U1156&gt;U1157,IF(M1157=2,IF(Q1168=3,2,3),IF(M1157=1,IF(Q1168=3,3,4))))))),"")))),"")</f>
        <v/>
      </c>
      <c r="AC1161" s="192"/>
      <c r="AD1161" s="192"/>
      <c r="AE1161" s="269"/>
      <c r="AF1161" s="192"/>
      <c r="AG1161" s="192"/>
      <c r="AH1161" s="192"/>
      <c r="AI1161" s="192"/>
      <c r="AJ1161" s="192"/>
      <c r="AK1161" s="192"/>
      <c r="AL1161" s="192"/>
      <c r="AM1161" s="192"/>
      <c r="AN1161" s="192"/>
      <c r="AO1161" s="192"/>
      <c r="AP1161" s="192"/>
      <c r="AQ1161" s="192"/>
      <c r="AR1161" s="192"/>
      <c r="AS1161" s="192"/>
      <c r="AT1161" s="192"/>
      <c r="AU1161" s="192"/>
      <c r="AV1161" s="192"/>
      <c r="AW1161" s="192"/>
      <c r="AX1161" s="192"/>
    </row>
    <row r="1162" spans="2:50" ht="15" customHeight="1" thickBot="1" x14ac:dyDescent="0.35">
      <c r="B1162" s="192"/>
      <c r="C1162" s="192"/>
      <c r="D1162" s="192"/>
      <c r="E1162" s="192"/>
      <c r="F1162" s="192"/>
      <c r="G1162" s="192"/>
      <c r="H1162" s="192"/>
      <c r="I1162" s="269"/>
      <c r="J1162" s="269"/>
      <c r="K1162" s="192"/>
      <c r="L1162" s="192"/>
      <c r="M1162" s="192"/>
      <c r="N1162" s="192"/>
      <c r="O1162" s="192"/>
      <c r="P1162" s="192"/>
      <c r="Q1162" s="192"/>
      <c r="R1162" s="192"/>
      <c r="S1162" s="192"/>
      <c r="T1162" s="208"/>
      <c r="U1162" s="368" t="s">
        <v>111</v>
      </c>
      <c r="V1162" s="369"/>
      <c r="W1162" s="369"/>
      <c r="X1162" s="369"/>
      <c r="Y1162" s="236">
        <v>2</v>
      </c>
      <c r="Z1162" s="220" t="str">
        <f>IF(U1157="","",IF(OR(Group_players=3,AND(Group_players=4,COUNTBLANK(I1157:I1160)=1)),IF(COUNTIF(M1157:M1159,M1158)=1,"",IF(COUNTIF(U1156:U1158,U1157)=3,IF(AND(U1165=U1164,U1165=U1166),"Tied",IF(AND(U1165&lt;&gt;U1164,U1165&lt;&gt;U1166,U1164&lt;&gt;U1166),(IF(SMALL(U1164:U1166,1)=U1165,1,IF(SMALL(U1164:U1166,2)=U1165,2,IF(SMALL(U1164:U1166,3)=U1165,3)))),IF(AND(U1165&lt;U1164,U1164=U1166),1,IF(AND(U1165&gt;U1164,U1164=U1166),3,IF(AND(U1165=U1164,U1165&lt;U1166),(IF(Q1175=3,1,2)),IF(AND(U1165=U1164,U1165&gt;U1166),(IF(Q1175=3,2,3)),IF(AND(U1165=U1166,U1165&lt;U1164),(IF(Q1171=3,1,2)),IF(AND(U1165=U1166,U1165&gt;U1164),(IF(Q1171=3,2,3)),99)))))))),"")),""))</f>
        <v/>
      </c>
      <c r="AA1162" s="208">
        <v>2</v>
      </c>
      <c r="AB1162" s="222" t="str">
        <f>IF(AND(COUNTBLANK(I1157:I1160)=0,Group_players=4,M1157=M1158,M1158=M1159),IF(COUNTIF(U1156:U1159,U1157)=3,AB1175,IF(AND(COUNTIF(U1156:U1159,U1157)=1,U1156&lt;&gt;U1158),IF(M1158=2,IF(SMALL(U1156:U1159,1)=U1157,1,IF(SMALL(U1156:U1159,2)=U1157,2,IF(SMALL(U1156:U1159,3)=U1157,3))),IF(M1158=1,IF(SMALL(U1156:U1159,1)=U1157,2,IF(SMALL(U1156:U1159,2)=U1157,3,IF(SMALL(U1156:U1159,3)=U1157,4))),"")),IF(COUNTIF(U1156:U1158,U1157)=1,IF(U1157&lt;U1156,IF(M1158=2,1,2),IF(M1158=2,3,99)),IF(COUNTIF(U1156:U1159,U1157)=2,IF(U1157=U1156,IF(U1157&lt;U1158,IF(M1158=2,IF(Q1181=3,1,2),IF(M1158=1,IF(Q1181=3,2,3))),IF(U1157&gt;U1158,IF(M1158=2,IF(Q1181=3,2,3),IF(M1158=1,IF(Q1181=3,3,4))))),IF(U1157=U1158,IF(U1157&lt;U1156,IF(M1158=2,IF(Q1177=3,1,2),IF(M1158=1,IF(Q1177=3,2,3))),IF(U1157&gt;U1156,IF(M1158=2,IF(Q1177=3,2,3),IF(M1158=1,IF(Q1177=3,3,4))))))),"")))),"")</f>
        <v/>
      </c>
      <c r="AC1162" s="192"/>
      <c r="AD1162" s="192"/>
      <c r="AE1162" s="192"/>
      <c r="AF1162" s="192"/>
      <c r="AG1162" s="192"/>
      <c r="AH1162" s="192"/>
      <c r="AI1162" s="192"/>
      <c r="AJ1162" s="192"/>
      <c r="AK1162" s="192"/>
      <c r="AL1162" s="192"/>
      <c r="AM1162" s="192"/>
      <c r="AN1162" s="192"/>
      <c r="AO1162" s="192"/>
      <c r="AP1162" s="192"/>
      <c r="AQ1162" s="192"/>
      <c r="AR1162" s="192"/>
      <c r="AS1162" s="192"/>
      <c r="AT1162" s="192"/>
      <c r="AU1162" s="192"/>
      <c r="AV1162" s="192"/>
      <c r="AW1162" s="192"/>
      <c r="AX1162" s="192"/>
    </row>
    <row r="1163" spans="2:50" ht="15" customHeight="1" thickTop="1" thickBot="1" x14ac:dyDescent="0.35">
      <c r="B1163" s="192"/>
      <c r="C1163" s="192"/>
      <c r="D1163" s="192"/>
      <c r="E1163" s="192"/>
      <c r="F1163" s="192"/>
      <c r="G1163" s="192"/>
      <c r="H1163" s="192"/>
      <c r="I1163" s="192"/>
      <c r="J1163" s="192"/>
      <c r="K1163" s="192"/>
      <c r="L1163" s="192"/>
      <c r="M1163" s="192"/>
      <c r="N1163" s="192"/>
      <c r="O1163" s="192"/>
      <c r="P1163" s="192"/>
      <c r="Q1163" s="192"/>
      <c r="R1163" s="192"/>
      <c r="S1163" s="192"/>
      <c r="T1163" s="120"/>
      <c r="U1163" s="121" t="s">
        <v>101</v>
      </c>
      <c r="V1163" s="122" t="s">
        <v>102</v>
      </c>
      <c r="W1163" s="122" t="s">
        <v>103</v>
      </c>
      <c r="X1163" s="123" t="s">
        <v>104</v>
      </c>
      <c r="Y1163" s="238">
        <v>3</v>
      </c>
      <c r="Z1163" s="239" t="str">
        <f>IF(U1158="","",IF(OR(Group_players=3,AND(Group_players=4,COUNTBLANK(I1157:I1160)=1)),IF(COUNTIF(M1157:M1159,M1159)=1,"",IF(COUNTIF(U1156:U1158,U1158)=3,IF(AND(U1166=U1164,U1166=U1165),"Tied",IF(AND(U1166&lt;&gt;U1165,U1165&lt;&gt;U1164,U1166&lt;&gt;U1164),(IF(SMALL(U1164:U1166,1)=U1166,1,IF(SMALL(U1164:U1166,2)=U1166,2,IF(SMALL(U1164:U1166,3)=U1166,3)))),IF(AND(U1166&lt;U1165,U1165=U1164),1,IF(AND(U1166&gt;U1165,U1165=U1164),3,IF(AND(U1166=U1165,U1166&lt;U1164),(IF(Q1172=3,1,2)),IF(AND(U1166=U1165,U1166&gt;U1164),(IF(Q1172=3,2,3)),IF(AND(U1166=U1164,U1166&lt;U1165),(IF(Q1169=3,1,2)),IF(AND(U1166=U1164,U1166&gt;U1165),(IF(Q1169=3,2,3)),99)))))))),"")),""))</f>
        <v/>
      </c>
      <c r="AA1163" s="240">
        <v>3</v>
      </c>
      <c r="AB1163" s="241" t="str">
        <f>IF(AND(COUNTBLANK(I1157:I1160)=0,Group_players=4,M1157=M1158,M1158=M1159),IF(COUNTIF(U1156:U1159,U1158)=3,AB1176,IF(AND(COUNTIF(U1156:U1159,U1158)=1,U1156&lt;&gt;U1157),IF(M1157=2,IF(SMALL(U1156:U1159,1)=U1158,1,IF(SMALL(U1156:U1159,2)=U1158,2,IF(SMALL(U1156:U1159,3)=U1158,3))),IF(M1159=1,IF(SMALL(U1156:U1159,1)=U1158,2,IF(SMALL(U1156:U1159,2)=U1158,3,IF(SMALL(U1156:U1159,3)=U1158,4))),"")),IF(COUNTIF(U1156:U1159,U1158)=1,IF(U1158&lt;U1157,IF(M1159=2,1,2),IF(M1159=2,3,4)),IF(COUNTIF(U1156:U1159,U1158)=2,IF(U1158=U1157,IF(U1158&lt;U1156,IF(M1159=2,IF(Q1178=3,1,2),IF(M1159=1,IF(Q1178=3,2,3))),IF(U1158&gt;U1156,IF(M1159=2,IF(Q1178=3,2,3),IF(M1159=1,IF(Q1178=3,3,4))))),IF(U1158=U1156,IF(U1158&lt;U1157,IF(M1159=2,IF(Q1169=3,1,2),IF(M1159=1,IF(Q1169=3,2,3))),IF(U1158&gt;U1157,IF(M1159=2,IF(Q1169=3,2,3),IF(M1159=1,IF(Q1169=3,3,4))))))),"")))),"")</f>
        <v/>
      </c>
      <c r="AC1163" s="192"/>
      <c r="AD1163" s="192"/>
      <c r="AE1163" s="192"/>
      <c r="AF1163" s="192"/>
      <c r="AG1163" s="192"/>
      <c r="AH1163" s="192"/>
      <c r="AI1163" s="192"/>
      <c r="AJ1163" s="192"/>
      <c r="AK1163" s="192"/>
      <c r="AL1163" s="192"/>
      <c r="AM1163" s="192"/>
      <c r="AN1163" s="192"/>
      <c r="AO1163" s="192"/>
      <c r="AP1163" s="192"/>
      <c r="AQ1163" s="192"/>
      <c r="AR1163" s="192"/>
      <c r="AS1163" s="192"/>
      <c r="AT1163" s="192"/>
      <c r="AU1163" s="192"/>
      <c r="AV1163" s="192"/>
      <c r="AW1163" s="192"/>
      <c r="AX1163" s="192"/>
    </row>
    <row r="1164" spans="2:50" ht="15" customHeight="1" thickTop="1" thickBot="1" x14ac:dyDescent="0.35">
      <c r="B1164" s="192"/>
      <c r="C1164" s="192"/>
      <c r="D1164" s="192"/>
      <c r="E1164" s="192"/>
      <c r="F1164" s="192"/>
      <c r="G1164" s="192"/>
      <c r="H1164" s="192"/>
      <c r="I1164" s="192"/>
      <c r="J1164" s="192"/>
      <c r="K1164" s="192"/>
      <c r="L1164" s="192"/>
      <c r="M1164" s="192"/>
      <c r="N1164" s="192"/>
      <c r="O1164" s="192"/>
      <c r="P1164" s="192"/>
      <c r="Q1164" s="192"/>
      <c r="R1164" s="192"/>
      <c r="S1164" s="192"/>
      <c r="T1164" s="208">
        <v>1</v>
      </c>
      <c r="U1164" s="209" t="str">
        <f>IF(U1156="","",IF(OR(U1156&lt;&gt;U1157,U1156&lt;&gt;U1158),"",IF(COUNTIF(M1157:M1159,M1157)=1,"",IF(COUNTBLANK(I1157:I1160)=1,(SUM(L1169:P1169)+SUM(L1175:P1175))/(SUM(L1168:P1168)+SUM(L1174:P1174)),IF(COUNTBLANK(I1157:I1160)=0,(SUM(L1181:P1181)+SUM(L1169:P1169))/(SUM(L1180:P1180)+SUM(L1168:P1168)),"")))))</f>
        <v/>
      </c>
      <c r="V1164" s="125" t="str">
        <f>IF(V1156="","",IF(OR(V1156&lt;&gt;V1158,V1156&lt;&gt;V1159),"",IF(AND(COUNTBLANK(I1157:I1160)=0,M1157=M1159,M1159=M1160),(SUM(L1169:P1169)+SUM(L1175:P1175))/(SUM(L1168:P1168)+SUM(L1174:P1174)),"")))</f>
        <v/>
      </c>
      <c r="W1164" s="210" t="str">
        <f>IF(W1156="","",IF(OR(W1156&lt;&gt;W1157,W1156&lt;&gt;W1159),"",IF(AND(COUNTBLANK(I1157:I1160)=0,M1157=M1158,M1158=M1160),(SUM(L1181:P1181)+SUM(L1175:P1175))/(SUM(L1180:P1180)+SUM(L1174:P1174)),"")))</f>
        <v/>
      </c>
      <c r="X1164" s="211"/>
      <c r="Y1164" s="242"/>
      <c r="Z1164" s="242"/>
      <c r="AA1164" s="243">
        <v>1</v>
      </c>
      <c r="AB1164" s="244" t="str">
        <f>IF(AND(COUNTBLANK(I1157:I1160)=0,Group_players=4,M1157=M1159,M1159=M1160),IF(COUNTIF(V1156:V1159,V1156)=3,AB1177,IF(AND(COUNTIF(V1156:V1159,V1156)=1,V1158&lt;&gt;U1167),IF(M1157=2,IF(SMALL(V1156:V1159,1)=V1156,1,IF(SMALL(V1156:V1159,2)=V1156,2,IF(SMALL(V1156:V1159,3)=V1156,3))),IF(M1157=1,IF(SMALL(V1156:V1159,1)=V1156,2,IF(SMALL(V1156:V1159,2)=V1156,3,IF(SMALL(V1156:V1159,3)=V1156,4))),"")),IF(COUNTIF(V1156:V1159,V1156)=1,IF(V1156&lt;V1158,IF(M1157=2,1,2),IF(M1157=2,3,4)),IF(COUNTIF(V1156:V1159,V1156)=2,IF(V1156=V1158,IF(V1156&lt;V1159,IF(M1157=2,IF(Q1168=3,1,2),IF(M1157=1,IF(Q1168=3,2,3))),IF(V1156&gt;V1159,IF(M1157=2,IF(Q1168=3,2,3),IF(M1157=1,IF(Q1168=3,3,4))))),IF(V1156=V1159,IF(V1156&lt;V1158,IF(M1157=2,IF(Q1174=3,1,2),IF(M1157=1,IF(Q1174=3,2,3))),IF(V1156&gt;V1157,IF(M1157=2,IF(Q1174=3,2,3),IF(M1157=1,IF(Q1174=3,3,4))))))),"")))),"")</f>
        <v/>
      </c>
      <c r="AC1164" s="192"/>
      <c r="AD1164" s="192"/>
      <c r="AE1164" s="192"/>
      <c r="AF1164" s="192"/>
      <c r="AG1164" s="192"/>
      <c r="AH1164" s="192"/>
      <c r="AI1164" s="192"/>
      <c r="AJ1164" s="192"/>
      <c r="AK1164" s="192"/>
      <c r="AL1164" s="192"/>
      <c r="AM1164" s="192"/>
      <c r="AN1164" s="192"/>
      <c r="AO1164" s="192"/>
      <c r="AP1164" s="192"/>
      <c r="AQ1164" s="192"/>
      <c r="AR1164" s="192"/>
      <c r="AS1164" s="192"/>
      <c r="AT1164" s="192"/>
      <c r="AU1164" s="192"/>
      <c r="AV1164" s="192"/>
      <c r="AW1164" s="192"/>
      <c r="AX1164" s="192"/>
    </row>
    <row r="1165" spans="2:50" ht="15" customHeight="1" thickTop="1" thickBot="1" x14ac:dyDescent="0.35">
      <c r="B1165" s="192"/>
      <c r="C1165" s="192"/>
      <c r="D1165" s="192"/>
      <c r="E1165" s="117"/>
      <c r="F1165" s="117"/>
      <c r="G1165" s="117"/>
      <c r="H1165" s="192"/>
      <c r="I1165" s="192"/>
      <c r="J1165" s="192"/>
      <c r="K1165" s="192"/>
      <c r="L1165" s="192"/>
      <c r="M1165" s="192"/>
      <c r="N1165" s="192"/>
      <c r="O1165" s="192"/>
      <c r="P1165" s="192"/>
      <c r="Q1165" s="192"/>
      <c r="R1165" s="192"/>
      <c r="S1165" s="394" t="s">
        <v>112</v>
      </c>
      <c r="T1165" s="208">
        <v>2</v>
      </c>
      <c r="U1165" s="209" t="str">
        <f>IF(U1156="","",IF(OR(U1157&lt;&gt;U1156,U1157&lt;&gt;U1158),"",IF(COUNTIF(M1157:M1159,M1158)=1,"",IF(COUNTBLANK(I1157:I1160)=1,(SUM(L1172:P1172)+SUM(L1174:P1174))/(SUM(L1171:P1171)+SUM(L1175:P1175)),IF(COUNTBLANK(I1157:I1160)=0,(SUM(L1180:P1180)+SUM(L1178:P1178))/(SUM(L1181:P1181)+SUM(L1177:P1177)))))))</f>
        <v/>
      </c>
      <c r="V1165" s="135"/>
      <c r="W1165" s="212" t="str">
        <f>IF(W1156="","",IF(OR(W1157&lt;&gt;W1156,W1157&lt;&gt;W1159),"",IF(AND(COUNTBLANK(I1157:I1160)=0,M1157=M1158,M1158=M1160),(SUM(L1172:P1172)+SUM(L1180:P1180))/(SUM(L1181:P1181)+SUM(L1171:P1171)),"")))</f>
        <v/>
      </c>
      <c r="X1165" s="245" t="str">
        <f>IF(X1157="","",IF(OR(X1157&lt;&gt;X1158,X1157&lt;&gt;X1159),"",IF(AND(COUNTBLANK(I1157:I1160)=0,M1158=M1159,M1159=M1160),(SUM(L1178:P1178)+SUM(L1172:P1172))/(SUM(L1177:P1177)+SUM(L1171:P1171)),"")))</f>
        <v/>
      </c>
      <c r="Y1165" s="242"/>
      <c r="Z1165" s="203"/>
      <c r="AA1165" s="246">
        <v>3</v>
      </c>
      <c r="AB1165" s="222" t="str">
        <f>IF(AND(COUNTBLANK(I1157:I1160)=0,Group_players=4,M1157=M1159,M1159=M1160),IF(COUNTIF(V1156:V1159,V1158)=3,AB1178,IF(AND(COUNTIF(V1156:V1159,V1158)=1,V1156&lt;&gt;V1159),IF(M1159=2,IF(SMALL(V1156:V1159,1)=V1158,1,IF(SMALL(V1156:V1159,2)=V1158,2,IF(SMALL(V1156:V1159,3)=V1158,3))),IF(M1159=1,IF(SMALL(V1156:V1159,1)=V1158,2,IF(SMALL(V1156:V1159,2)=V1158,3,IF(SMALL(V1156:V1159,3)=V1158,4))),"")),IF(COUNTIF(V1156:V1159,V1158)=1,IF(V1158&lt;V1156,IF(M1159=2,1,2),IF(M1159=2,3,4)),IF(COUNTIF(V1156:V1159,V1158)=2,IF(V1158=V1156,IF(V1158&lt;V1159,IF(M1159=2,IF(Q1169=3,1,2),IF(M1159=1,IF(Q1169=3,2,3))),IF(V1158&gt;V1159,IF(M1159=2,IF(Q1169=3,2,3),IF(M1159=1,IF(Q1169=3,3,4))))),IF(V1158=V1159,IF(V1158&lt;V1156,IF(M1159=2,IF(Q1183=3,1,2),IF(M1159=1,IF(Q1183=3,2,3))),IF(V1158&gt;V1156,IF(M1159=2,IF(Q1183=3,2,3),IF(M1159=1,IF(Q1183=3,3,4))))))),"")))),"")</f>
        <v/>
      </c>
      <c r="AC1165" s="192"/>
      <c r="AD1165" s="192"/>
      <c r="AE1165" s="192"/>
      <c r="AF1165" s="192"/>
      <c r="AG1165" s="192"/>
      <c r="AH1165" s="192"/>
      <c r="AI1165" s="192"/>
      <c r="AJ1165" s="192"/>
      <c r="AK1165" s="192"/>
      <c r="AL1165" s="192"/>
      <c r="AM1165" s="192"/>
      <c r="AN1165" s="192"/>
      <c r="AO1165" s="192"/>
      <c r="AP1165" s="192"/>
      <c r="AQ1165" s="192"/>
      <c r="AR1165" s="192"/>
      <c r="AS1165" s="192"/>
      <c r="AT1165" s="192"/>
      <c r="AU1165" s="192"/>
      <c r="AV1165" s="192"/>
      <c r="AW1165" s="192"/>
      <c r="AX1165" s="192"/>
    </row>
    <row r="1166" spans="2:50" ht="15" customHeight="1" thickTop="1" thickBot="1" x14ac:dyDescent="0.35">
      <c r="B1166" s="192"/>
      <c r="C1166" s="192"/>
      <c r="D1166" s="192"/>
      <c r="E1166" s="117"/>
      <c r="F1166" s="117"/>
      <c r="G1166" s="117"/>
      <c r="H1166" s="192"/>
      <c r="I1166" s="192"/>
      <c r="J1166" s="192"/>
      <c r="K1166" s="192"/>
      <c r="L1166" s="192"/>
      <c r="M1166" s="192"/>
      <c r="N1166" s="192"/>
      <c r="O1166" s="192"/>
      <c r="P1166" s="192"/>
      <c r="Q1166" s="192"/>
      <c r="R1166" s="247"/>
      <c r="S1166" s="395"/>
      <c r="T1166" s="208">
        <v>3</v>
      </c>
      <c r="U1166" s="209" t="str">
        <f>IF(U1156="","",IF(OR(U1158&lt;&gt;U1156,U1158&lt;&gt;U1157),"",IF(COUNTIF(M1157:M1159,M1159)=1,"",IF(COUNTBLANK(I1157:I1160)=1,(SUM(L1168:P1168)+SUM(L1171:P1171))/(SUM(L1169:P1169)+SUM(L1172:P1172)),IF(COUNTBLANK(I1157:I1160)=0,(SUM(L1168:P1168)+SUM(L1177:P1177))/(SUM(L1169:P1169)+SUM(L1178:P1178)))))))</f>
        <v/>
      </c>
      <c r="V1166" s="125" t="str">
        <f>IF(V1156="","",IF(OR(V1158&lt;&gt;V1156,V1158&lt;&gt;V1159),"",IF(AND(COUNTBLANK(I1157:I1160)=0,M1157=M1159,M1159=M1160),(SUM(L1168:P1168)+SUM(L1184:P1184))/(SUM(L1169:P1169)+SUM(L1183:P1183)),"")))</f>
        <v/>
      </c>
      <c r="W1166" s="218"/>
      <c r="X1166" s="245" t="str">
        <f>IF(X1157="","",IF(OR(X1158&lt;&gt;X1157,X1158&lt;&gt;X1159),"",IF(AND(COUNTBLANK(I1157:I1160)=0,M1158=M1159,M1159=M1160),(SUM(L1177:P1177)+SUM(L1184:P1184))/(SUM(L1178:P1178)+SUM(L1183:P1183)),"")))</f>
        <v/>
      </c>
      <c r="Y1166" s="208"/>
      <c r="Z1166" s="203"/>
      <c r="AA1166" s="240">
        <v>4</v>
      </c>
      <c r="AB1166" s="222" t="str">
        <f>IF(AND(COUNTBLANK(I1157:I1160)=0,Group_players=4,M1157=M1159,M1159=M1160),IF(COUNTIF(V1156:V1159,V1159)=3,AB1179,IF(AND(COUNTIF(V1156:V1159,V1159)=1,V1158&lt;&gt;V1156),IF(M1160=2,IF(SMALL(V1156:V1159,1)=V1159,1,IF(SMALL(V1156:V1159,2)=V1159,2,IF(SMALL(V1156:V1159,3)=V1159,3))),IF(M1160=1,IF(SMALL(V1156:V1159,1)=V1159,2,IF(SMALL(V1156:V1159,2)=V1159,3,IF(SMALL(V1156:V1159,3)=V1159,4))),"")),IF(COUNTIF(V1156:V1159,V1159)=1,IF(V1159&lt;V1156,IF(M1160=2,1,2),IF(M1160=2,3,4)),IF(COUNTIF(V1156:V1159,V1159)=2,IF(V1159=V1156,IF(V1159&lt;V1158,IF(M1160=2,IF(Q1175=3,1,2),IF(M1160=1,IF(Q1175=3,2,3))),IF(V1159&gt;V1158,IF(M1160=2,IF(Q1175=3,2,3),IF(M1160=1,IF(Q1175=3,3,4))))),IF(V1159=V1158,IF(V1159&lt;V1156,IF(M1160=2,IF(Q1184=3,1,2),IF(M1160=1,IF(Q1184=3,2,3))),IF(V1159&gt;V1156,IF(M1160=2,IF(Q1184=3,2,3),IF(M1160=1,IF(Q1184=3,3,4))))))),"")))),"")</f>
        <v/>
      </c>
      <c r="AC1166" s="192"/>
      <c r="AD1166" s="192"/>
      <c r="AE1166" s="192"/>
      <c r="AF1166" s="192"/>
      <c r="AG1166" s="192"/>
      <c r="AH1166" s="192"/>
      <c r="AI1166" s="192"/>
      <c r="AJ1166" s="192"/>
      <c r="AK1166" s="192"/>
      <c r="AL1166" s="192"/>
      <c r="AM1166" s="192"/>
      <c r="AN1166" s="192"/>
      <c r="AO1166" s="192"/>
      <c r="AP1166" s="192"/>
      <c r="AQ1166" s="192"/>
      <c r="AR1166" s="192"/>
      <c r="AS1166" s="192"/>
      <c r="AT1166" s="192"/>
      <c r="AU1166" s="192"/>
      <c r="AV1166" s="192"/>
      <c r="AW1166" s="192"/>
      <c r="AX1166" s="192"/>
    </row>
    <row r="1167" spans="2:50" ht="15" customHeight="1" thickTop="1" thickBot="1" x14ac:dyDescent="0.35">
      <c r="B1167" s="192"/>
      <c r="C1167" s="192"/>
      <c r="D1167" s="192"/>
      <c r="E1167" s="168" t="s">
        <v>113</v>
      </c>
      <c r="F1167" s="168" t="s">
        <v>114</v>
      </c>
      <c r="G1167" s="117"/>
      <c r="H1167" s="192"/>
      <c r="I1167" s="249" t="s">
        <v>115</v>
      </c>
      <c r="J1167" s="249"/>
      <c r="K1167" s="249"/>
      <c r="L1167" s="250" t="s">
        <v>115</v>
      </c>
      <c r="M1167" s="250" t="s">
        <v>116</v>
      </c>
      <c r="N1167" s="250" t="s">
        <v>117</v>
      </c>
      <c r="O1167" s="250" t="s">
        <v>118</v>
      </c>
      <c r="P1167" s="250" t="s">
        <v>119</v>
      </c>
      <c r="Q1167" s="250" t="s">
        <v>120</v>
      </c>
      <c r="R1167" s="250"/>
      <c r="S1167" s="251"/>
      <c r="T1167" s="208">
        <v>4</v>
      </c>
      <c r="U1167" s="223"/>
      <c r="V1167" s="140" t="str">
        <f>IF(V1156="","",IF(OR(V1159&lt;&gt;V1156,V1159&lt;&gt;V1158),"",IF(AND(COUNTBLANK(I1157:I1160)=0,M1157=M1159,M1159=M1160),(SUM(L1174:P1174)+SUM(L1183:P1183))/(SUM(L1175:P1175)+SUM(L1184:P1184)),"")))</f>
        <v/>
      </c>
      <c r="W1167" s="224" t="str">
        <f>IF(W1156="","",IF(OR(W1159&lt;&gt;W1156,W1159&lt;&gt;W1157),"",IF(AND(COUNTBLANK(I1157:I1160)=0,M1157=M1158,M1158=M1160),(SUM(L1174:P1174)+SUM(L1171:P1171))/(SUM(L1175:P1175)+SUM(L1172:P1172)),"")))</f>
        <v/>
      </c>
      <c r="X1167" s="252" t="str">
        <f>IF(X1157="","",IF(OR(X1159&lt;&gt;X1157,X1159&lt;&gt;X1158),"",IF(AND(COUNTBLANK(I1157:I1160)=0,M1158=M1159,M1159=M1160),(SUM(L1171:P1171)+SUM(L1183:P1183))/(SUM(L1172:P1172)+SUM(L1184:P1184)),"")))</f>
        <v/>
      </c>
      <c r="Y1167" s="192"/>
      <c r="Z1167" s="203"/>
      <c r="AA1167" s="243">
        <v>1</v>
      </c>
      <c r="AB1167" s="151" t="str">
        <f>IF(AND(COUNTBLANK(I1157:I1160)=0,Group_players=4,M1157=M1158,M1158=M1160),IF(COUNTIF(W1156:W1159,W1156)=3,AB1180,IF(AND(COUNTIF(W1156:W1159,W1156)=1,W1157&lt;&gt;W1159),IF(M1157=2,IF(SMALL(W1156:W1159,1)=W1156,1,IF(SMALL(W1156:W1159,2)=W1156,2,IF(SMALL(W1156:W1159,3)=W1156,3))),IF(M1157=1,IF(SMALL(W1156:W1159,1)=W1156,2,IF(SMALL(W1156:W1159,2)=W1156,3,IF(SMALL(W1156:W1159,3)=W1156,4))),"")),IF(COUNTIF(W1156:W1159,W1156)=1,IF(W1156&lt;W1157,IF(M1157=2,1,2),IF(M1157=2,3,4)),IF(COUNTIF(W1156:W1159,W1156)=2,IF(W1156=W1157,IF(W1156&lt;W1159,IF(M1157=2,IF(Q1180=3,1,2),IF(M1157=1,IF(Q1180=3,2,3))),IF(W1156&gt;W1159,IF(M1157=2,IF(Q1180=3,2,3),IF(M1157=1,IF(Q1180=3,3,4))))),IF(W1156=W1159,IF(W1156&lt;W1157,IF(M1157=2,IF(Q1174=3,1,2),IF(M1157=1,IF(Q1174=3,2,3))),IF(W1156&gt;W1157,IF(M1157=2,IF(Q1174=3,2,3),IF(M1157=1,IF(Q1174=3,3,4))))))),"")))),"")</f>
        <v/>
      </c>
      <c r="AC1167" s="192"/>
      <c r="AD1167" s="192"/>
      <c r="AE1167" s="192"/>
      <c r="AF1167" s="192"/>
      <c r="AG1167" s="192"/>
      <c r="AH1167" s="192"/>
      <c r="AI1167" s="192"/>
      <c r="AJ1167" s="192"/>
      <c r="AK1167" s="192"/>
      <c r="AL1167" s="192"/>
      <c r="AM1167" s="192"/>
      <c r="AN1167" s="192"/>
      <c r="AO1167" s="192"/>
      <c r="AP1167" s="192"/>
      <c r="AQ1167" s="192"/>
      <c r="AR1167" s="192"/>
      <c r="AS1167" s="192"/>
      <c r="AT1167" s="192"/>
      <c r="AU1167" s="192"/>
      <c r="AV1167" s="192"/>
      <c r="AW1167" s="192"/>
      <c r="AX1167" s="192"/>
    </row>
    <row r="1168" spans="2:50" ht="15" customHeight="1" thickTop="1" x14ac:dyDescent="0.3">
      <c r="B1168" s="192"/>
      <c r="C1168" s="192"/>
      <c r="D1168" s="192"/>
      <c r="E1168" s="164" t="str">
        <f>IF(Q1168="","",IF(Q1168=3,1,0))</f>
        <v/>
      </c>
      <c r="F1168" s="164" t="str">
        <f>IF(Q1168="","",IF(Q1168&lt;3,1,0))</f>
        <v/>
      </c>
      <c r="G1168" s="192"/>
      <c r="H1168" s="192" t="str">
        <f>IF(I1157="","",1)</f>
        <v/>
      </c>
      <c r="I1168" s="192" t="str">
        <f>IF(ISNUMBER(H1168),VLOOKUP(H1168,H1157:I1160,2,TRUE),"")</f>
        <v/>
      </c>
      <c r="J1168" s="192"/>
      <c r="K1168" s="192" t="str">
        <f>VLOOKUP(I1168,I1157:L1160,3,FALSE)</f>
        <v/>
      </c>
      <c r="L1168" s="253"/>
      <c r="M1168" s="254"/>
      <c r="N1168" s="254"/>
      <c r="O1168" s="152"/>
      <c r="P1168" s="153"/>
      <c r="Q1168" s="255" t="str">
        <f>IF(L1168="","",IF(AND(L1168-L1169&gt;1,L1168&gt;10),1,0)+IF(AND(M1168-M1169&gt;1,M1168&gt;10),1,0)+IF(AND(N1168-N1169&gt;1,N1168&gt;10),1,0)+IF(AND(O1168-O1169&gt;1,O1168&gt;10),1,0)+IF(AND(P1168-P1169&gt;1,P1168&gt;10),1,0))</f>
        <v/>
      </c>
      <c r="R1168" s="203" t="str">
        <f>IF(AND(I1168="",I1169=""),"",ABS(VLOOKUP(I1168,I1157:L1160,4,FALSE)-VLOOKUP(I1169,I1157:L1160,4,FALSE)))</f>
        <v/>
      </c>
      <c r="S1168" s="256" t="str">
        <f>IF(R1169="","",IF(Q1168=3,+R1169,-R1169))</f>
        <v/>
      </c>
      <c r="T1168" s="257"/>
      <c r="U1168" s="258"/>
      <c r="V1168" s="258"/>
      <c r="W1168" s="258"/>
      <c r="X1168" s="258"/>
      <c r="Y1168" s="192"/>
      <c r="Z1168" s="203"/>
      <c r="AA1168" s="246">
        <v>2</v>
      </c>
      <c r="AB1168" s="154" t="str">
        <f>IF(AND(COUNTBLANK(I1157:I1160)=0,Group_players=4,M1157=M1158,M1158=M1160),IF(COUNTIF(W1156:W1159,W1157)=3,AB1181,IF(AND(COUNTIF(W1156:W1159,W1157)=1,W1156&lt;&gt;W1158),IF(M1158=2,IF(SMALL(W1156:W1159,1)=W1157,1,IF(SMALL(W1156:W1159,2)=W1157,2,IF(SMALL(W1156:W1159,3)=W1157,3))),IF(M1158=1,IF(SMALL(W1156:W1159,1)=W1157,2,IF(SMALL(W1156:W1159,2)=W1157,3,IF(SMALL(W1156:W1159,3)=W1157,4))),"")),IF(COUNTIF(W1156:W1159,W1157)=1,IF(W1157&lt;W1156,IF(M1158=2,1,2),IF(M1158=2,3,4)),IF(COUNTIF(W1156:W1159,W1157)=2,IF(W1157=W1156,IF(W1157&lt;W1159,IF(M1158=2,IF(Q1181=3,1,2),IF(M1158=1,IF(Q1181=3,2,3))),IF(W1157&gt;W1159,IF(M1158=2,IF(Q1181=3,2,3),IF(M1158=1,IF(Q1181=3,3,4))))),IF(W1157=W1159,IF(W1157&lt;W1156,IF(M1158=2,IF(Q1171=3,1,2),IF(M1158=1,IF(Q1171=3,2,3))),IF(W1157&gt;W1156,IF(M1158=2,IF(Q1171=3,2,3),IF(M1158=1,IF(Q1171=3,3,4))))))),"")))),"")</f>
        <v/>
      </c>
      <c r="AC1168" s="192"/>
      <c r="AD1168" s="192"/>
      <c r="AE1168" s="192"/>
      <c r="AF1168" s="192"/>
      <c r="AG1168" s="192"/>
      <c r="AH1168" s="192"/>
      <c r="AI1168" s="192"/>
      <c r="AJ1168" s="192"/>
      <c r="AK1168" s="192"/>
      <c r="AL1168" s="192"/>
      <c r="AM1168" s="192"/>
      <c r="AN1168" s="192"/>
      <c r="AO1168" s="192"/>
      <c r="AP1168" s="192"/>
      <c r="AQ1168" s="192"/>
      <c r="AR1168" s="192"/>
      <c r="AS1168" s="192"/>
      <c r="AT1168" s="192"/>
      <c r="AU1168" s="192"/>
      <c r="AV1168" s="192"/>
      <c r="AW1168" s="192"/>
      <c r="AX1168" s="192"/>
    </row>
    <row r="1169" spans="2:50" ht="15" customHeight="1" thickBot="1" x14ac:dyDescent="0.35">
      <c r="B1169" s="192"/>
      <c r="C1169" s="192"/>
      <c r="D1169" s="192"/>
      <c r="E1169" s="164" t="str">
        <f>IF(Q1169="","",IF(Q1169=3,1,0))</f>
        <v/>
      </c>
      <c r="F1169" s="164" t="str">
        <f>IF(Q1169="","",IF(Q1169&lt;3,1,0))</f>
        <v/>
      </c>
      <c r="G1169" s="192"/>
      <c r="H1169" s="192" t="str">
        <f>IF(I1158="","",IF(I1159="",2,3))</f>
        <v/>
      </c>
      <c r="I1169" s="192" t="str">
        <f>IF(ISNUMBER(H1169),VLOOKUP(H1169,H1157:I1160,2,TRUE),"")</f>
        <v/>
      </c>
      <c r="J1169" s="192"/>
      <c r="K1169" s="192" t="str">
        <f>VLOOKUP(I1169,I1157:L1160,3,FALSE)</f>
        <v/>
      </c>
      <c r="L1169" s="155"/>
      <c r="M1169" s="259"/>
      <c r="N1169" s="259"/>
      <c r="O1169" s="156"/>
      <c r="P1169" s="157"/>
      <c r="Q1169" s="260" t="str">
        <f>IF(L1169="","",IF(AND(L1169-L1168&gt;1,L1169&gt;10),1,0)+IF(AND(M1169-M1168&gt;1,M1169&gt;10),1,0)+IF(AND(N1169-N1168&gt;1,N1169&gt;10),1,0)+IF(AND(O1169-O1168&gt;1,O1169&gt;10),1,0)+IF(AND(P1169-P1168&gt;1,P1169&gt;10),1,0))</f>
        <v/>
      </c>
      <c r="R1169" s="203" t="str">
        <f>IF(AND(Q1168&lt;&gt;3,Q1169&lt;&gt;3),"",IF(Q1168=3,IF(VLOOKUP(I1168,I1157:L1160,4,FALSE)&gt;VLOOKUP(I1169,I1157:L1160,4,FALSE),VLOOKUP(R1168,Point_dif,2,FALSE),VLOOKUP(R1168,Point_dif,3,FALSE)),IF(Q1169=3,IF(VLOOKUP(I1169,I1157:L1160,4,FALSE)&gt;VLOOKUP(I1168,I1157:L1160,4,FALSE),VLOOKUP(R1168,Point_dif,2,FALSE),VLOOKUP(R1168,Point_dif,3,FALSE)))))</f>
        <v/>
      </c>
      <c r="S1169" s="256" t="str">
        <f>IF(R1169="","",IF(Q1169=3,+R1169,-R1169))</f>
        <v/>
      </c>
      <c r="T1169" s="192"/>
      <c r="U1169" s="235"/>
      <c r="V1169" s="235"/>
      <c r="W1169" s="235"/>
      <c r="X1169" s="235"/>
      <c r="Y1169" s="235"/>
      <c r="Z1169" s="235"/>
      <c r="AA1169" s="240">
        <v>4</v>
      </c>
      <c r="AB1169" s="158" t="str">
        <f>IF(AND(COUNTBLANK(I1157:I1160)=0,Group_players=4,M1157=M1158,M1158=M1160),IF(COUNTIF(W1156:W1159,W1159)=3,AB1182,IF(AND(COUNTIF(W1156:W1159,W1159)=1,W1156&lt;&gt;W1157),IF(M1160=2,IF(SMALL(W1156:W1159,1)=W1159,1,IF(SMALL(W1156:W1159,2)=W1159,2,IF(SMALL(W1156:W1159,3)=W1159,3))),IF(M1160=1,IF(SMALL(W1156:W1159,1)=W1159,2,IF(SMALL(W1156:W1159,2)=W1159,3,IF(SMALL(W1156:W1159,3)=W1159,4))),"")),IF(COUNTIF(W1156:W1159,W1159)=1,IF(W1159&lt;W1156,IF(M1160=2,1,2),IF(M1160=2,3,4)),IF(COUNTIF(W1156:W1159,W1159)=2,IF(W1159=W1156,IF(W1159&lt;W1157,IF(M1160=2,IF(Q1175=3,1,2),IF(M1160=1,IF(Q1175=3,2,3))),IF(W1159&gt;W1158,IF(M1160=2,IF(Q1175=3,2,3),IF(M1160=1,IF(Q1175=3,3,4))))),IF(W1159=W1157,IF(W1159&lt;W1156,IF(M1160=2,IF(Q1172=3,1,2),IF(M1160=1,IF(Q1172=3,2,3))),IF(W1159&gt;W1156,IF(M1160=2,IF(Q1172=3,2,3),IF(M1160=1,IF(Q1172=3,3,4))))))),"")))),"")</f>
        <v/>
      </c>
      <c r="AC1169" s="192"/>
      <c r="AD1169" s="192"/>
      <c r="AE1169" s="192"/>
      <c r="AF1169" s="192"/>
      <c r="AG1169" s="192"/>
      <c r="AH1169" s="192"/>
      <c r="AI1169" s="192"/>
      <c r="AJ1169" s="192"/>
      <c r="AK1169" s="192"/>
      <c r="AL1169" s="192"/>
      <c r="AM1169" s="192"/>
      <c r="AN1169" s="192"/>
      <c r="AO1169" s="192"/>
      <c r="AP1169" s="192"/>
      <c r="AQ1169" s="192"/>
      <c r="AR1169" s="192"/>
      <c r="AS1169" s="192"/>
      <c r="AT1169" s="192"/>
      <c r="AU1169" s="192"/>
      <c r="AV1169" s="192"/>
      <c r="AW1169" s="192"/>
      <c r="AX1169" s="192"/>
    </row>
    <row r="1170" spans="2:50" ht="15" customHeight="1" thickTop="1" thickBot="1" x14ac:dyDescent="0.35">
      <c r="B1170" s="192"/>
      <c r="C1170" s="192"/>
      <c r="D1170" s="192"/>
      <c r="E1170" s="164"/>
      <c r="F1170" s="164"/>
      <c r="G1170" s="192"/>
      <c r="H1170" s="192"/>
      <c r="I1170" s="249" t="s">
        <v>116</v>
      </c>
      <c r="J1170" s="249"/>
      <c r="K1170" s="249"/>
      <c r="L1170" s="250" t="s">
        <v>115</v>
      </c>
      <c r="M1170" s="250" t="s">
        <v>116</v>
      </c>
      <c r="N1170" s="250" t="s">
        <v>117</v>
      </c>
      <c r="O1170" s="250" t="s">
        <v>118</v>
      </c>
      <c r="P1170" s="250" t="s">
        <v>119</v>
      </c>
      <c r="Q1170" s="250" t="s">
        <v>120</v>
      </c>
      <c r="R1170" s="250"/>
      <c r="S1170" s="251"/>
      <c r="T1170" s="192"/>
      <c r="U1170" s="235"/>
      <c r="V1170" s="235"/>
      <c r="W1170" s="235"/>
      <c r="X1170" s="235"/>
      <c r="Y1170" s="235"/>
      <c r="Z1170" s="235"/>
      <c r="AA1170" s="243">
        <v>2</v>
      </c>
      <c r="AB1170" s="151" t="str">
        <f>IF(AND(COUNTBLANK(I1157:I1160)=0,Group_players=4,M1158=M1159,M1159=M1160),IF(COUNTIF(X1156:X1159,X1157)=3,AB1183,IF(AND(COUNTIF(X1156:X1159,X1157)=1,X1158&lt;&gt;X1159),IF(M1158=2,IF(SMALL(X1156:X1159,1)=X1157,1,IF(SMALL(X1156:X1159,2)=X1157,2,IF(SMALL(X1156:X1159,3)=X1157,3))),IF(M1158=1,IF(SMALL(X1156:X1159,1)=X1157,2,IF(SMALL(X1156:X1159,2)=X1157,3,IF(SMALL(X1156:X1159,3)=X1157,4))),"")),IF(COUNTIF(X1156:X1159,X1157)=1,IF(X1157&lt;X1159,IF(M1158=2,1,2),IF(M1158=1,3,3)),IF(COUNTIF(X1156:X1159,X1157)=2,IF(X1157=X1158,IF(X1157&lt;X1159,IF(M1158=2,IF(Q1177=3,1,2),IF(M1158=1,IF(Q1177=3,2,3))),IF(X1157&gt;X1159,IF(M1158=2,IF(Q1177=3,2,3),IF(M1158=1,IF(Q1177=3,3,4))))),IF(X1157=X1159,IF(X1157&lt;X1158,IF(M1158=2,IF(Q1171=3,1,2),IF(M1158=1,IF(Q1171=3,2,3))),IF(X1157&gt;X1158,IF(M1158=2,IF(Q1171=3,2,3),IF(M1158=1,IF(Q1171=3,3,4))))))),"")))),"")</f>
        <v/>
      </c>
      <c r="AC1170" s="192"/>
      <c r="AD1170" s="192"/>
      <c r="AE1170" s="192"/>
      <c r="AF1170" s="192"/>
      <c r="AG1170" s="192"/>
      <c r="AH1170" s="192"/>
      <c r="AI1170" s="192"/>
      <c r="AJ1170" s="192"/>
      <c r="AK1170" s="192"/>
      <c r="AL1170" s="192"/>
      <c r="AM1170" s="192"/>
      <c r="AN1170" s="192"/>
      <c r="AO1170" s="192"/>
      <c r="AP1170" s="192"/>
      <c r="AQ1170" s="192"/>
      <c r="AR1170" s="192"/>
      <c r="AS1170" s="192"/>
      <c r="AT1170" s="192"/>
      <c r="AU1170" s="192"/>
      <c r="AV1170" s="192"/>
      <c r="AW1170" s="192"/>
      <c r="AX1170" s="192"/>
    </row>
    <row r="1171" spans="2:50" ht="15" customHeight="1" thickTop="1" x14ac:dyDescent="0.3">
      <c r="B1171" s="192"/>
      <c r="C1171" s="192"/>
      <c r="D1171" s="192"/>
      <c r="E1171" s="164" t="str">
        <f>IF(Q1171="","",IF(Q1171=3,1,0))</f>
        <v/>
      </c>
      <c r="F1171" s="164" t="str">
        <f>IF(Q1171="","",IF(Q1171&lt;3,1,0))</f>
        <v/>
      </c>
      <c r="G1171" s="192"/>
      <c r="H1171" s="192" t="str">
        <f>IF(I1159="","",2)</f>
        <v/>
      </c>
      <c r="I1171" s="192" t="str">
        <f>IF(ISNUMBER(H1171),VLOOKUP(H1171,H1157:I1160,2,TRUE),"")</f>
        <v/>
      </c>
      <c r="J1171" s="192"/>
      <c r="K1171" s="192" t="str">
        <f>VLOOKUP(I1171,I1157:L1160,3,FALSE)</f>
        <v/>
      </c>
      <c r="L1171" s="253"/>
      <c r="M1171" s="254"/>
      <c r="N1171" s="254"/>
      <c r="O1171" s="152"/>
      <c r="P1171" s="153"/>
      <c r="Q1171" s="255" t="str">
        <f>IF(L1171="","",IF(AND(L1171-L1172&gt;1,L1171&gt;10),1,0)+IF(AND(M1171-M1172&gt;1,M1171&gt;10),1,0)+IF(AND(N1171-N1172&gt;1,N1171&gt;10),1,0)+IF(AND(O1171-O1172&gt;1,O1171&gt;10),1,0)+IF(AND(P1171-P1172&gt;1,P1171&gt;10),1,0))</f>
        <v/>
      </c>
      <c r="R1171" s="203" t="str">
        <f>IF(AND(I1171="",I1172=""),"",ABS(VLOOKUP(I1171,I1157:L1160,4,FALSE)-VLOOKUP(I1172,I1157:L1160,4,FALSE)))</f>
        <v/>
      </c>
      <c r="S1171" s="256" t="str">
        <f>IF(R1172="","",IF(Q1171=3,+R1172,-R1172))</f>
        <v/>
      </c>
      <c r="T1171" s="192"/>
      <c r="U1171" s="235"/>
      <c r="V1171" s="235"/>
      <c r="W1171" s="235"/>
      <c r="X1171" s="235"/>
      <c r="Y1171" s="235"/>
      <c r="Z1171" s="235"/>
      <c r="AA1171" s="246">
        <v>3</v>
      </c>
      <c r="AB1171" s="154" t="str">
        <f>IF(AND(COUNTBLANK(I1157:I1160)=0,Group_players=4,M1158=M1159,M1159=M1160),IF(COUNTIF(X1156:X1159,X1158)=3,AB1184,IF(AND(COUNTIF(X1156:X1159,X1158)=1,X1157&lt;&gt;X1159),IF(M1159=2,IF(SMALL(X1156:X1159,1)=X1158,1,IF(SMALL(X1156:X1159,2)=X1158,2,IF(SMALL(X1156:X1159,3)=X1158,3))),IF(M1159=1,IF(SMALL(X1156:X1159,1)=X1158,2,IF(SMALL(X1156:X1159,2)=X1158,3,IF(SMALL(X1156:X1159,3)=X1158,4))),"")),IF(COUNTIF(X1156:X1159,X1158)=1,IF(X1158&lt;X1157,IF(M1159=2,1,2),IF(M1159=2,3,4)),IF(COUNTIF(X1156:X1159,X1158)=2,IF(X1158=X1157,IF(X1158&lt;X1159,IF(M1159=2,IF(Q1178=3,1,2),IF(M1159=1,IF(Q1178=3,2,3))),IF(X1158&gt;X1159,IF(M1159=2,IF(Q1178=3,2,3),IF(M1159=1,IF(Q1178=3,3,4))))),IF(X1158=X1159,IF(X1158&lt;X1157,IF(M1159=2,IF(Q1183=3,1,2),IF(M1159=1,IF(Q1183=3,2,3))),IF(X1158&gt;X1157,IF(M1159=2,IF(Q1183=3,2,3),IF(M1159=1,IF(Q1183=3,3,4))))))),"")))),"")</f>
        <v/>
      </c>
      <c r="AC1171" s="192"/>
      <c r="AD1171" s="192"/>
      <c r="AE1171" s="192"/>
      <c r="AF1171" s="192"/>
      <c r="AG1171" s="192"/>
      <c r="AH1171" s="192"/>
      <c r="AI1171" s="192"/>
      <c r="AJ1171" s="192"/>
      <c r="AK1171" s="192"/>
      <c r="AL1171" s="192"/>
      <c r="AM1171" s="192"/>
      <c r="AN1171" s="192"/>
      <c r="AO1171" s="192"/>
      <c r="AP1171" s="192"/>
      <c r="AQ1171" s="192"/>
      <c r="AR1171" s="192"/>
      <c r="AS1171" s="192"/>
      <c r="AT1171" s="192"/>
      <c r="AU1171" s="192"/>
      <c r="AV1171" s="192"/>
      <c r="AW1171" s="192"/>
      <c r="AX1171" s="192"/>
    </row>
    <row r="1172" spans="2:50" ht="15" customHeight="1" thickBot="1" x14ac:dyDescent="0.35">
      <c r="B1172" s="192"/>
      <c r="C1172" s="192"/>
      <c r="D1172" s="192"/>
      <c r="E1172" s="164" t="str">
        <f>IF(Q1172="","",IF(Q1172=3,1,0))</f>
        <v/>
      </c>
      <c r="F1172" s="164" t="str">
        <f>IF(Q1172="","",IF(Q1172&lt;3,1,0))</f>
        <v/>
      </c>
      <c r="G1172" s="192"/>
      <c r="H1172" s="192" t="str">
        <f>IF(I1159="","",IF(I1160="",3,4))</f>
        <v/>
      </c>
      <c r="I1172" s="192" t="str">
        <f>IF(ISNUMBER(H1172),VLOOKUP(H1172,H1157:I1160,2,TRUE),"")</f>
        <v/>
      </c>
      <c r="J1172" s="192"/>
      <c r="K1172" s="192" t="str">
        <f>VLOOKUP(I1172,I1157:L1160,3,FALSE)</f>
        <v/>
      </c>
      <c r="L1172" s="155"/>
      <c r="M1172" s="259"/>
      <c r="N1172" s="259"/>
      <c r="O1172" s="156"/>
      <c r="P1172" s="157"/>
      <c r="Q1172" s="260" t="str">
        <f>IF(L1172="","",IF(AND(L1172-L1171&gt;1,L1172&gt;10),1,0)+IF(AND(M1172-M1171&gt;1,M1172&gt;10),1,0)+IF(AND(N1172-N1171&gt;1,N1172&gt;10),1,0)+IF(AND(O1172-O1171&gt;1,O1172&gt;10),1,0)+IF(AND(P1172-P1171&gt;1,P1172&gt;10),1,0))</f>
        <v/>
      </c>
      <c r="R1172" s="203" t="str">
        <f>IF(AND(Q1171&lt;&gt;3,Q1172&lt;&gt;3),"",IF(Q1171=3,IF(VLOOKUP(I1171,I1157:L1160,4,FALSE)&gt;VLOOKUP(I1172,I1157:L1160,4,FALSE),VLOOKUP(R1171,Point_dif,2,FALSE),VLOOKUP(R1171,Point_dif,3,FALSE)),IF(Q1172=3,IF(VLOOKUP(I1172,I1157:L1160,4,FALSE)&gt;VLOOKUP(I1171,I1157:L1160,4,FALSE),VLOOKUP(R1171,Point_dif,2,FALSE),VLOOKUP(R1171,Point_dif,3,FALSE)))))</f>
        <v/>
      </c>
      <c r="S1172" s="256" t="str">
        <f>IF(R1172="","",IF(Q1172=3,+R1172,-R1172))</f>
        <v/>
      </c>
      <c r="T1172" s="192"/>
      <c r="U1172" s="235"/>
      <c r="V1172" s="235"/>
      <c r="W1172" s="235"/>
      <c r="X1172" s="235"/>
      <c r="Y1172" s="235"/>
      <c r="Z1172" s="235"/>
      <c r="AA1172" s="261">
        <v>4</v>
      </c>
      <c r="AB1172" s="158" t="str">
        <f>IF(AND(COUNTBLANK(I1157:I1160)=0,Group_players=4,M1158=M1159,M1159=M1160),IF(COUNTIF(X1156:X1159,X1159)=3,AB1185,IF(AND(COUNTIF(X1156:X1159,X1159)=1,X1158&lt;&gt;X1157),IF(M1160=2,IF(SMALL(X1156:X1159,1)=X1159,1,IF(SMALL(X1156:X1159,2)=X1159,2,IF(SMALL(X1156:X1159,3)=X1159,3))),IF(M1160=1,IF(SMALL(X1156:X1159,1)=X1159,2,IF(SMALL(X1156:X1159,2)=X1159,3,IF(SMALL(X1156:X1159,3)=X1159,4))),"")),IF(COUNTIF(X1156:X1159,X1159)=1,IF(X1159&lt;X1157,IF(M1160=2,1,2),IF(M1160=2,3,4)),IF(COUNTIF(X1156:X1159,X1159)=2,IF(X1159=X1157,IF(X1159&lt;X1158,IF(M1160=2,IF(Q1172=3,1,2),IF(M1160=1,IF(Q1172=3,2,3))),IF(X1159&gt;X1158,IF(M1160=2,IF(Q1172=3,2,3),IF(M1160=1,IF(Q1172=3,3,4))))),IF(X1159=X1158,IF(X1159&lt;X1157,IF(M1160=2,IF(Q1184=3,1,2),IF(M1160=1,IF(Q1184=3,2,3))),IF(X1159&gt;X1157,IF(M1160=2,IF(Q1184=3,2,3),IF(M1160=1,IF(Q1184=3,3,4))))))),"")))),"")</f>
        <v/>
      </c>
      <c r="AC1172" s="192"/>
      <c r="AD1172" s="192"/>
      <c r="AE1172" s="192"/>
      <c r="AF1172" s="192"/>
      <c r="AG1172" s="192"/>
      <c r="AH1172" s="192"/>
      <c r="AI1172" s="192"/>
      <c r="AJ1172" s="192"/>
      <c r="AK1172" s="192"/>
      <c r="AL1172" s="192"/>
      <c r="AM1172" s="192"/>
      <c r="AN1172" s="192"/>
      <c r="AO1172" s="192"/>
      <c r="AP1172" s="192"/>
      <c r="AQ1172" s="192"/>
      <c r="AR1172" s="192"/>
      <c r="AS1172" s="192"/>
      <c r="AT1172" s="192"/>
      <c r="AU1172" s="192"/>
      <c r="AV1172" s="192"/>
      <c r="AW1172" s="192"/>
      <c r="AX1172" s="192"/>
    </row>
    <row r="1173" spans="2:50" ht="15" customHeight="1" thickTop="1" thickBot="1" x14ac:dyDescent="0.35">
      <c r="B1173" s="192"/>
      <c r="C1173" s="192"/>
      <c r="D1173" s="192"/>
      <c r="E1173" s="164"/>
      <c r="F1173" s="164"/>
      <c r="G1173" s="192"/>
      <c r="H1173" s="192"/>
      <c r="I1173" s="249" t="s">
        <v>117</v>
      </c>
      <c r="J1173" s="249"/>
      <c r="K1173" s="249"/>
      <c r="L1173" s="250" t="s">
        <v>115</v>
      </c>
      <c r="M1173" s="250" t="s">
        <v>116</v>
      </c>
      <c r="N1173" s="250" t="s">
        <v>117</v>
      </c>
      <c r="O1173" s="250" t="s">
        <v>118</v>
      </c>
      <c r="P1173" s="250" t="s">
        <v>119</v>
      </c>
      <c r="Q1173" s="250" t="s">
        <v>120</v>
      </c>
      <c r="R1173" s="250"/>
      <c r="S1173" s="251"/>
      <c r="T1173" s="263"/>
      <c r="U1173" s="264"/>
      <c r="V1173" s="242"/>
      <c r="W1173" s="242"/>
      <c r="X1173" s="264"/>
      <c r="Y1173" s="192"/>
      <c r="Z1173" s="203"/>
      <c r="AA1173" s="126" t="s">
        <v>93</v>
      </c>
      <c r="AB1173" s="265" t="s">
        <v>110</v>
      </c>
      <c r="AC1173" s="192"/>
      <c r="AD1173" s="192"/>
      <c r="AE1173" s="192"/>
      <c r="AF1173" s="192"/>
      <c r="AG1173" s="192"/>
      <c r="AH1173" s="192"/>
      <c r="AI1173" s="192"/>
      <c r="AJ1173" s="192"/>
      <c r="AK1173" s="192"/>
      <c r="AL1173" s="192"/>
      <c r="AM1173" s="192"/>
      <c r="AN1173" s="192"/>
      <c r="AO1173" s="192"/>
      <c r="AP1173" s="192"/>
      <c r="AQ1173" s="192"/>
      <c r="AR1173" s="192"/>
      <c r="AS1173" s="192"/>
      <c r="AT1173" s="192"/>
      <c r="AU1173" s="192"/>
      <c r="AV1173" s="192"/>
      <c r="AW1173" s="192"/>
      <c r="AX1173" s="192"/>
    </row>
    <row r="1174" spans="2:50" ht="15" customHeight="1" thickTop="1" x14ac:dyDescent="0.3">
      <c r="B1174" s="192"/>
      <c r="C1174" s="192"/>
      <c r="D1174" s="192"/>
      <c r="E1174" s="164" t="str">
        <f>IF(Q1174="","",IF(Q1174=3,1,0))</f>
        <v/>
      </c>
      <c r="F1174" s="164" t="str">
        <f>IF(Q1174="","",IF(Q1174&lt;3,1,0))</f>
        <v/>
      </c>
      <c r="G1174" s="192"/>
      <c r="H1174" s="192" t="str">
        <f>IF(I1159&lt;&gt;"",1,"")</f>
        <v/>
      </c>
      <c r="I1174" s="192" t="str">
        <f>IF(ISNUMBER(H1174),VLOOKUP(H1174,H1157:I1160,2,TRUE),"")</f>
        <v/>
      </c>
      <c r="J1174" s="192"/>
      <c r="K1174" s="192" t="str">
        <f>VLOOKUP(I1174,I1157:L1160,3,FALSE)</f>
        <v/>
      </c>
      <c r="L1174" s="253"/>
      <c r="M1174" s="254"/>
      <c r="N1174" s="254"/>
      <c r="O1174" s="152"/>
      <c r="P1174" s="153"/>
      <c r="Q1174" s="255" t="str">
        <f>IF(L1174="","",IF(AND(L1174-L1175&gt;1,L1174&gt;10),1,0)+IF(AND(M1174-M1175&gt;1,M1174&gt;10),1,0)+IF(AND(N1174-N1175&gt;1,N1174&gt;10),1,0)+IF(AND(O1174-O1175&gt;1,O1174&gt;10),1,0)+IF(AND(P1174-P1175&gt;1,P1174&gt;10),1,0))</f>
        <v/>
      </c>
      <c r="R1174" s="203" t="str">
        <f>IF(AND(I1174="",I1175=""),"",ABS(VLOOKUP(I1174,I1157:L1160,4,FALSE)-VLOOKUP(I1175,I1157:L1160,4,FALSE)))</f>
        <v/>
      </c>
      <c r="S1174" s="256" t="str">
        <f>IF(R1175="","",IF(Q1174=3,+R1175,-R1175))</f>
        <v/>
      </c>
      <c r="T1174" s="192"/>
      <c r="U1174" s="235"/>
      <c r="V1174" s="235"/>
      <c r="W1174" s="235"/>
      <c r="X1174" s="235"/>
      <c r="Y1174" s="235"/>
      <c r="Z1174" s="235"/>
      <c r="AA1174" s="243">
        <v>1</v>
      </c>
      <c r="AB1174" s="222" t="str">
        <f>IF(AND(COUNTBLANK(I1157:I1160)=0,Group_players=4,M1157=M1158,M1158=M1159),IF(U1164="","",IF(COUNTIF(U1164:U1167,U1164)=3,"Tied",IF(AND(COUNTIF(U1164:U1167,U1164)=1,U1165&lt;&gt;U1166),IF(M1157=2,IF(SMALL(U1164:U1167,1)=U1164,1,IF(SMALL(U1164:U1167,2)=U1164,2,IF(SMALL(U1164:U1167,3)=U1164,3))),IF(M1157=1,IF(SMALL(U1164:U1167,1)=U1164,2,IF(SMALL(U1164:U1167,2)=U1164,3,IF(SMALL(U1164:U1167,3)=U1164,4))),"")),IF(COUNTIF(U1164:U1167,U1164)=1,IF(U1164&lt;U1165,IF(M1157=2,1,2),IF(M1157=2,3,4)),IF(COUNTIF(U1164:U1167,U1164)=2,IF(U1164=U1165,IF(U1164&lt;U1166,IF(M1157=2,IF(Q1180=3,1,2),IF(M1157=1,IF(Q1180=3,2,3))),IF(U1164&gt;U1166,IF(M1157=2,IF(Q1180=3,2,3),IF(M1157=1,IF(Q1180=3,3,4))))),IF(U1164=U1166,IF(U1164&lt;U1165,IF(M1157=2,IF(Q1168=3,1,2),IF(M1157=1,IF(Q1168=3,2,3))),IF(U1164&gt;U1165,IF(M1157=2,IF(Q1168=3,2,3),IF(M1157=1,IF(Q1168=3,3,4)))))))))))),"")</f>
        <v/>
      </c>
      <c r="AC1174" s="192"/>
      <c r="AD1174" s="192"/>
      <c r="AE1174" s="192"/>
      <c r="AF1174" s="192"/>
      <c r="AG1174" s="192"/>
      <c r="AH1174" s="192"/>
      <c r="AI1174" s="192"/>
      <c r="AJ1174" s="192"/>
      <c r="AK1174" s="192"/>
      <c r="AL1174" s="192"/>
      <c r="AM1174" s="192"/>
      <c r="AN1174" s="192"/>
      <c r="AO1174" s="192"/>
      <c r="AP1174" s="192"/>
      <c r="AQ1174" s="192"/>
      <c r="AR1174" s="192"/>
      <c r="AS1174" s="192"/>
      <c r="AT1174" s="192"/>
      <c r="AU1174" s="192"/>
      <c r="AV1174" s="192"/>
      <c r="AW1174" s="192"/>
      <c r="AX1174" s="192"/>
    </row>
    <row r="1175" spans="2:50" ht="15" customHeight="1" thickBot="1" x14ac:dyDescent="0.35">
      <c r="B1175" s="192"/>
      <c r="C1175" s="192"/>
      <c r="D1175" s="192"/>
      <c r="E1175" s="164" t="str">
        <f>IF(Q1175="","",IF(Q1175=3,1,0))</f>
        <v/>
      </c>
      <c r="F1175" s="164" t="str">
        <f>IF(Q1175="","",IF(Q1175&lt;3,1,0))</f>
        <v/>
      </c>
      <c r="G1175" s="192"/>
      <c r="H1175" s="192" t="str">
        <f>IF(I1159="","",IF(I1160&lt;&gt;"",4,2))</f>
        <v/>
      </c>
      <c r="I1175" s="192" t="str">
        <f>IF(ISNUMBER(H1175),VLOOKUP(H1175,H1157:I1160,2,TRUE),"")</f>
        <v/>
      </c>
      <c r="J1175" s="192"/>
      <c r="K1175" s="192" t="str">
        <f>VLOOKUP(I1175,I1157:L1160,3,FALSE)</f>
        <v/>
      </c>
      <c r="L1175" s="155"/>
      <c r="M1175" s="259"/>
      <c r="N1175" s="259"/>
      <c r="O1175" s="156"/>
      <c r="P1175" s="157"/>
      <c r="Q1175" s="260" t="str">
        <f>IF(L1175="","",IF(AND(L1175-L1174&gt;1,L1175&gt;10),1,0)+IF(AND(M1175-M1174&gt;1,M1175&gt;10),1,0)+IF(AND(N1175-N1174&gt;1,N1175&gt;10),1,0)+IF(AND(O1175-O1174&gt;1,O1175&gt;10),1,0)+IF(AND(P1175-P1174&gt;1,P1175&gt;10),1,0))</f>
        <v/>
      </c>
      <c r="R1175" s="203" t="str">
        <f>IF(AND(Q1174&lt;&gt;3,Q1175&lt;&gt;3),"",IF(Q1174=3,IF(VLOOKUP(I1174,I1157:L1160,4,FALSE)&gt;VLOOKUP(I1175,I1157:L1160,4,FALSE),VLOOKUP(R1174,Point_dif,2,FALSE),VLOOKUP(R1174,Point_dif,3,FALSE)),IF(Q1175=3,IF(VLOOKUP(I1175,I1157:L1160,4,FALSE)&gt;VLOOKUP(I1174,I1157:L1160,4,FALSE),VLOOKUP(R1174,Point_dif,2,FALSE),VLOOKUP(R1174,Point_dif,3,FALSE)))))</f>
        <v/>
      </c>
      <c r="S1175" s="256" t="str">
        <f>IF(R1175="","",IF(Q1175=3,+R1175,-R1175))</f>
        <v/>
      </c>
      <c r="T1175" s="192"/>
      <c r="U1175" s="235"/>
      <c r="V1175" s="235"/>
      <c r="W1175" s="235"/>
      <c r="X1175" s="235"/>
      <c r="Y1175" s="235"/>
      <c r="Z1175" s="235"/>
      <c r="AA1175" s="246">
        <v>2</v>
      </c>
      <c r="AB1175" s="222" t="str">
        <f>IF(AND(COUNTBLANK(I1157:I1160)=0,Group_players=4,M1157=M1158,M1158=M1159),IF(U1165="","",IF(COUNTIF(U1164:U1167,U1165)=3,"Tied",IF(AND(COUNTIF(U1164:U1167,U1165)=1,U1164&lt;&gt;U1166),IF(M1158=2,IF(SMALL(U1164:U1167,1)=U1165,1,IF(SMALL(U1164:U1167,2)=U1165,2,IF(SMALL(U1164:U1167,3)=U1165,3))),IF(M1158=1,IF(SMALL(U1164:U1167,1)=U1165,2,IF(SMALL(U1164:U1167,2)=U1165,3,IF(SMALL(U1164:U1167,3)=U1165,4))),"")),IF(COUNTIF(U1164:U1167,U1165)=1,IF(U1165&lt;U1164,IF(M1158=2,1,2),IF(M1158=2,3,4)),IF(COUNTIF(U1164:U1167,U1165)=2,IF(U1165=U1164,IF(U1165&lt;U1166,IF(M1158=2,IF(Q1181=3,1,2),IF(M1158=1,IF(Q1181=3,2,3))),IF(U1165&gt;U1166,IF(M1158=2,IF(Q1181=3,2,3),IF(M1158=1,IF(Q1181=3,3,4))))),IF(U1165=U1166,IF(U1165&lt;U1164,IF(M1158=2,IF(Q1177=3,1,2),IF(M1158=1,IF(Q1177=3,2,3))),IF(U1165&gt;U1164,IF(M1158=2,IF(Q1177=3,2,3),IF(M1158=1,IF(Q1177=3,3,4)))))))))))),"")</f>
        <v/>
      </c>
      <c r="AC1175" s="192"/>
      <c r="AD1175" s="192"/>
      <c r="AE1175" s="192"/>
      <c r="AF1175" s="192"/>
      <c r="AG1175" s="192"/>
      <c r="AH1175" s="192"/>
      <c r="AI1175" s="192"/>
      <c r="AJ1175" s="192"/>
      <c r="AK1175" s="192"/>
      <c r="AL1175" s="192"/>
      <c r="AM1175" s="192"/>
      <c r="AN1175" s="192"/>
      <c r="AO1175" s="192"/>
      <c r="AP1175" s="192"/>
      <c r="AQ1175" s="192"/>
      <c r="AR1175" s="192"/>
      <c r="AS1175" s="192"/>
      <c r="AT1175" s="192"/>
      <c r="AU1175" s="192"/>
      <c r="AV1175" s="192"/>
      <c r="AW1175" s="192"/>
      <c r="AX1175" s="192"/>
    </row>
    <row r="1176" spans="2:50" ht="15" customHeight="1" thickTop="1" thickBot="1" x14ac:dyDescent="0.35">
      <c r="B1176" s="192"/>
      <c r="C1176" s="192"/>
      <c r="D1176" s="192"/>
      <c r="E1176" s="164"/>
      <c r="F1176" s="164"/>
      <c r="G1176" s="192"/>
      <c r="H1176" s="192"/>
      <c r="I1176" s="249" t="s">
        <v>118</v>
      </c>
      <c r="J1176" s="249"/>
      <c r="K1176" s="249"/>
      <c r="L1176" s="250" t="s">
        <v>115</v>
      </c>
      <c r="M1176" s="250" t="s">
        <v>116</v>
      </c>
      <c r="N1176" s="250" t="s">
        <v>117</v>
      </c>
      <c r="O1176" s="250" t="s">
        <v>118</v>
      </c>
      <c r="P1176" s="250" t="s">
        <v>119</v>
      </c>
      <c r="Q1176" s="250" t="s">
        <v>120</v>
      </c>
      <c r="R1176" s="250"/>
      <c r="S1176" s="251"/>
      <c r="T1176" s="192"/>
      <c r="U1176" s="235"/>
      <c r="V1176" s="235"/>
      <c r="W1176" s="235"/>
      <c r="X1176" s="235"/>
      <c r="Y1176" s="235"/>
      <c r="Z1176" s="235"/>
      <c r="AA1176" s="240">
        <v>3</v>
      </c>
      <c r="AB1176" s="241" t="str">
        <f>IF(AND(COUNTBLANK(I1157:I1160)=0,Group_players=4,M1157=M1158,M1158=M1159),IF(U1166="","",IF(COUNTIF(U1164:U1167,U1166)=3,"Tied",IF(AND(COUNTIF(U1164:U1167,U1166)=1,U1164&lt;&gt;U1165),IF(M1157=2,IF(SMALL(U1164:U1167,1)=U1166,1,IF(SMALL(U1164:U1167,2)=U1166,2,IF(SMALL(U1164:U1167,3)=U1166,3))),IF(M1159=1,IF(SMALL(U1164:U1167,1)=U1166,2,IF(SMALL(U1164:U1167,2)=U1166,3,IF(SMALL(U1164:U1167,3)=U1166,4))),"")),IF(COUNTIF(U1164:U1167,U1166)=1,IF(U1166&lt;U1165,IF(M1159=2,1,2),IF(M1159=2,3,4)),IF(COUNTIF(U1164:U1167,U1166)=2,IF(U1166=U1165,IF(U1166&lt;U1164,IF(M1159=2,IF(Q1178=3,1,2),IF(M1159=1,IF(Q1178=3,2,3))),IF(U1166&gt;U1164,IF(M1159=2,IF(Q1178=3,2,3),IF(M1159=1,IF(Q1178=3,3,4))))),IF(U1166=U1164,IF(U1166&lt;U1165,IF(M1159=2,IF(Q1169=3,1,2),IF(M1159=1,IF(Q1169=3,2,3))),IF(U1166&gt;U1165,IF(M1159=2,IF(Q1169=3,2,3),IF(M1159=1,IF(Q1169=3,3,4)))))))))))),"")</f>
        <v/>
      </c>
      <c r="AC1176" s="192"/>
      <c r="AD1176" s="192"/>
      <c r="AE1176" s="192"/>
      <c r="AF1176" s="192"/>
      <c r="AG1176" s="192"/>
      <c r="AH1176" s="192"/>
      <c r="AI1176" s="192"/>
      <c r="AJ1176" s="192"/>
      <c r="AK1176" s="192"/>
      <c r="AL1176" s="192"/>
      <c r="AM1176" s="192"/>
      <c r="AN1176" s="192"/>
      <c r="AO1176" s="192"/>
      <c r="AP1176" s="192"/>
      <c r="AQ1176" s="192"/>
      <c r="AR1176" s="192"/>
      <c r="AS1176" s="192"/>
      <c r="AT1176" s="192"/>
      <c r="AU1176" s="192"/>
      <c r="AV1176" s="192"/>
      <c r="AW1176" s="192"/>
      <c r="AX1176" s="192"/>
    </row>
    <row r="1177" spans="2:50" ht="15" customHeight="1" thickTop="1" x14ac:dyDescent="0.3">
      <c r="B1177" s="192"/>
      <c r="C1177" s="192"/>
      <c r="D1177" s="192"/>
      <c r="E1177" s="164" t="str">
        <f>IF(Q1177="","",IF(Q1177=3,1,0))</f>
        <v/>
      </c>
      <c r="F1177" s="164" t="str">
        <f>IF(Q1177="","",IF(Q1177&lt;3,1,0))</f>
        <v/>
      </c>
      <c r="G1177" s="192"/>
      <c r="H1177" s="192" t="str">
        <f>IF(I1160&lt;&gt;"",2,"")</f>
        <v/>
      </c>
      <c r="I1177" s="192" t="str">
        <f>IF(ISNUMBER(H1177),VLOOKUP(H1177,H1157:I1160,2,TRUE),"")</f>
        <v/>
      </c>
      <c r="J1177" s="192"/>
      <c r="K1177" s="192" t="str">
        <f>VLOOKUP(I1177,I1157:L1160,3,FALSE)</f>
        <v/>
      </c>
      <c r="L1177" s="253"/>
      <c r="M1177" s="254"/>
      <c r="N1177" s="254"/>
      <c r="O1177" s="152"/>
      <c r="P1177" s="153"/>
      <c r="Q1177" s="255" t="str">
        <f>IF(L1177="","",IF(AND(L1177-L1178&gt;1,L1177&gt;10),1,0)+IF(AND(M1177-M1178&gt;1,M1177&gt;10),1,0)+IF(AND(N1177-N1178&gt;1,N1177&gt;10),1,0)+IF(AND(O1177-O1178&gt;1,O1177&gt;10),1,0)+IF(AND(P1177-P1178&gt;1,P1177&gt;10),1,0))</f>
        <v/>
      </c>
      <c r="R1177" s="203" t="str">
        <f>IF(AND(I1177="",I1178=""),"",ABS(VLOOKUP(I1177,I1157:L1160,4,FALSE)-VLOOKUP(I1178,I1157:L1160,4,FALSE)))</f>
        <v/>
      </c>
      <c r="S1177" s="256" t="str">
        <f>IF(R1178="","",IF(Q1177=3,+R1178,-R1178))</f>
        <v/>
      </c>
      <c r="T1177" s="192"/>
      <c r="U1177" s="235"/>
      <c r="V1177" s="235"/>
      <c r="W1177" s="235"/>
      <c r="X1177" s="235"/>
      <c r="Y1177" s="235"/>
      <c r="Z1177" s="235"/>
      <c r="AA1177" s="243">
        <v>1</v>
      </c>
      <c r="AB1177" s="222" t="str">
        <f>IF(AND(COUNTBLANK(I1157:I1160)=0,Group_players=4,M1157=M1159,M1159=M1160),IF(V1164="","",IF(COUNTIF(V1164:V1167,V1164)=3,"Tied",IF(AND(COUNTIF(V1164:V1167,V1164)=1,V1166&lt;&gt;U1167),IF(M1157=2,IF(SMALL(V1164:V1167,1)=V1164,1,IF(SMALL(V1164:V1167,2)=V1164,2,IF(SMALL(V1164:V1167,3)=V1164,3))),IF(M1157=1,IF(SMALL(V1164:V1167,1)=V1164,2,IF(SMALL(V1164:V1167,2)=V1164,3,IF(SMALL(V1164:V1167,3)=V1164,4))),"")),IF(COUNTIF(V1164:V1167,V1164)=1,IF(V1164&lt;V1166,IF(M1157=2,1,2),IF(M1157=2,3,4)),IF(COUNTIF(V1164:V1167,V1164)=2,IF(V1164=V1166,IF(V1164&lt;V1167,IF(M1157=2,IF(Q1168=3,1,2),IF(M1157=1,IF(Q1168=3,2,3))),IF(V1164&gt;V1167,IF(M1157=2,IF(Q1168=3,2,3),IF(M1157=1,IF(Q1168=3,3,4))))),IF(V1164=V1167,IF(V1164&lt;V1166,IF(M1157=2,IF(Q1174=3,1,2),IF(M1157=1,IF(Q1174=3,2,3))),IF(V1164&gt;V1165,IF(M1157=2,IF(Q1174=3,2,3),IF(M1157=1,IF(Q1174=3,3,4)))))))))))),"")</f>
        <v/>
      </c>
      <c r="AC1177" s="192"/>
      <c r="AD1177" s="192"/>
      <c r="AE1177" s="192"/>
      <c r="AF1177" s="192"/>
      <c r="AG1177" s="192"/>
      <c r="AH1177" s="192"/>
      <c r="AI1177" s="192"/>
      <c r="AJ1177" s="192"/>
      <c r="AK1177" s="192"/>
      <c r="AL1177" s="192"/>
      <c r="AM1177" s="192"/>
      <c r="AN1177" s="192"/>
      <c r="AO1177" s="192"/>
      <c r="AP1177" s="192"/>
      <c r="AQ1177" s="192"/>
      <c r="AR1177" s="192"/>
      <c r="AS1177" s="192"/>
      <c r="AT1177" s="192"/>
      <c r="AU1177" s="192"/>
      <c r="AV1177" s="192"/>
      <c r="AW1177" s="192"/>
      <c r="AX1177" s="192"/>
    </row>
    <row r="1178" spans="2:50" ht="15" customHeight="1" thickBot="1" x14ac:dyDescent="0.35">
      <c r="B1178" s="192"/>
      <c r="C1178" s="192"/>
      <c r="D1178" s="192"/>
      <c r="E1178" s="164" t="str">
        <f>IF(Q1178="","",IF(Q1178=3,1,0))</f>
        <v/>
      </c>
      <c r="F1178" s="164" t="str">
        <f>IF(Q1178="","",IF(Q1178&lt;3,1,0))</f>
        <v/>
      </c>
      <c r="G1178" s="192"/>
      <c r="H1178" s="192" t="str">
        <f>IF(I1160&lt;&gt;"",3,"")</f>
        <v/>
      </c>
      <c r="I1178" s="192" t="str">
        <f>IF(ISNUMBER(H1178),VLOOKUP(H1178,H1157:I1160,2,TRUE),"")</f>
        <v/>
      </c>
      <c r="J1178" s="192"/>
      <c r="K1178" s="192" t="str">
        <f>VLOOKUP(I1178,I1157:L1160,3,FALSE)</f>
        <v/>
      </c>
      <c r="L1178" s="155"/>
      <c r="M1178" s="259"/>
      <c r="N1178" s="259"/>
      <c r="O1178" s="156"/>
      <c r="P1178" s="157"/>
      <c r="Q1178" s="260" t="str">
        <f>IF(L1178="","",IF(AND(L1178-L1177&gt;1,L1178&gt;10),1,0)+IF(AND(M1178-M1177&gt;1,M1178&gt;10),1,0)+IF(AND(N1178-N1177&gt;1,N1178&gt;10),1,0)+IF(AND(O1178-O1177&gt;1,O1178&gt;10),1,0)+IF(AND(P1178-P1177&gt;1,P1178&gt;10),1,0))</f>
        <v/>
      </c>
      <c r="R1178" s="203" t="str">
        <f>IF(AND(Q1177&lt;&gt;3,Q1178&lt;&gt;3),"",IF(Q1177=3,IF(VLOOKUP(I1177,I1157:L1160,4,FALSE)&gt;VLOOKUP(I1178,I1157:L1160,4,FALSE),VLOOKUP(R1177,Point_dif,2,FALSE),VLOOKUP(R1177,Point_dif,3,FALSE)),IF(Q1178=3,IF(VLOOKUP(I1178,I1157:L1160,4,FALSE)&gt;VLOOKUP(I1177,I1157:L1160,4,FALSE),VLOOKUP(R1177,Point_dif,2,FALSE),VLOOKUP(R1177,Point_dif,3,FALSE)))))</f>
        <v/>
      </c>
      <c r="S1178" s="256" t="str">
        <f>IF(R1178="","",IF(Q1178=3,+R1178,-R1178))</f>
        <v/>
      </c>
      <c r="T1178" s="192"/>
      <c r="U1178" s="159"/>
      <c r="V1178" s="266"/>
      <c r="W1178" s="266"/>
      <c r="X1178" s="266"/>
      <c r="Y1178" s="192"/>
      <c r="Z1178" s="203"/>
      <c r="AA1178" s="246">
        <v>3</v>
      </c>
      <c r="AB1178" s="222" t="str">
        <f>IF(AND(COUNTBLANK(I1157:I1160)=0,Group_players=4,M1157=M1159,M1159=M1160),IF(V1166="","",IF(COUNTIF(V1164:V1167,V1166)=3,"Tied",IF(AND(COUNTIF(V1164:V1167,V1166)=1,V1164&lt;&gt;V1167),IF(M1159=2,IF(SMALL(V1164:V1167,1)=V1166,1,IF(SMALL(V1164:V1167,2)=V1166,2,IF(SMALL(V1164:V1167,3)=V1166,3))),IF(M1159=1,IF(SMALL(V1164:V1167,1)=V1166,2,IF(SMALL(V1164:V1167,2)=V1166,3,IF(SMALL(V1164:V1167,3)=V1166,4))),"")),IF(COUNTIF(V1164:V1167,V1166)=1,IF(V1166&lt;V1164,IF(M1159=2,1,2),IF(M1159=2,3,4)),IF(COUNTIF(V1164:V1167,V1166)=2,IF(V1166=V1164,IF(V1166&lt;V1167,IF(M1159=2,IF(Q1169=3,1,2),IF(M1159=1,IF(Q1169=3,2,3))),IF(V1166&gt;V1167,IF(M1159=2,IF(Q1169=3,2,3),IF(M1159=1,IF(Q1169=3,3,4))))),IF(V1166=V1167,IF(V1166&lt;V1164,IF(M1159=2,IF(Q1183=3,1,2),IF(M1159=1,IF(Q1183=3,2,3))),IF(V1166&gt;V1164,IF(M1159=2,IF(Q1183=3,2,3),IF(M1159=1,IF(Q1183=3,3,4)))))))))))),"")</f>
        <v/>
      </c>
      <c r="AC1178" s="192"/>
      <c r="AD1178" s="192"/>
      <c r="AE1178" s="192"/>
      <c r="AF1178" s="192"/>
      <c r="AG1178" s="192"/>
      <c r="AH1178" s="192"/>
      <c r="AI1178" s="192"/>
      <c r="AJ1178" s="192"/>
      <c r="AK1178" s="192"/>
      <c r="AL1178" s="192"/>
      <c r="AM1178" s="192"/>
      <c r="AN1178" s="192"/>
      <c r="AO1178" s="192"/>
      <c r="AP1178" s="192"/>
      <c r="AQ1178" s="192"/>
      <c r="AR1178" s="192"/>
      <c r="AS1178" s="192"/>
      <c r="AT1178" s="192"/>
      <c r="AU1178" s="192"/>
      <c r="AV1178" s="192"/>
      <c r="AW1178" s="192"/>
      <c r="AX1178" s="192"/>
    </row>
    <row r="1179" spans="2:50" ht="15" customHeight="1" thickTop="1" thickBot="1" x14ac:dyDescent="0.35">
      <c r="B1179" s="192"/>
      <c r="C1179" s="192"/>
      <c r="D1179" s="192"/>
      <c r="E1179" s="164"/>
      <c r="F1179" s="164"/>
      <c r="G1179" s="192"/>
      <c r="H1179" s="192"/>
      <c r="I1179" s="249" t="s">
        <v>119</v>
      </c>
      <c r="J1179" s="249"/>
      <c r="K1179" s="249"/>
      <c r="L1179" s="250" t="s">
        <v>115</v>
      </c>
      <c r="M1179" s="250" t="s">
        <v>116</v>
      </c>
      <c r="N1179" s="250" t="s">
        <v>117</v>
      </c>
      <c r="O1179" s="250" t="s">
        <v>118</v>
      </c>
      <c r="P1179" s="250" t="s">
        <v>119</v>
      </c>
      <c r="Q1179" s="250" t="s">
        <v>120</v>
      </c>
      <c r="R1179" s="250"/>
      <c r="S1179" s="251"/>
      <c r="T1179" s="247"/>
      <c r="U1179" s="235"/>
      <c r="V1179" s="235"/>
      <c r="W1179" s="235"/>
      <c r="X1179" s="235"/>
      <c r="Y1179" s="235"/>
      <c r="Z1179" s="235"/>
      <c r="AA1179" s="240">
        <v>4</v>
      </c>
      <c r="AB1179" s="241" t="str">
        <f>IF(AND(COUNTBLANK(I1157:I1160)=0,Group_players=4,M1157=M1159,M1159=M1160),IF(V1167="","",IF(COUNTIF(V1164:V1167,V1167)=3,"Tied",IF(AND(COUNTIF(V1164:V1167,V1167)=1,V1166&lt;&gt;V1164),IF(M1160=2,IF(SMALL(V1164:V1167,1)=V1167,1,IF(SMALL(V1164:V1167,2)=V1167,2,IF(SMALL(V1164:V1167,3)=V1167,3))),IF(M1160=1,IF(SMALL(V1164:V1167,1)=V1167,2,IF(SMALL(V1164:V1167,2)=V1167,3,IF(SMALL(V1164:V1167,3)=V1167,4))),"")),IF(COUNTIF(V1164:V1167,V1167)=1,IF(V1167&lt;V1164,IF(M1160=2,1,2),IF(M1160=2,3,4)),IF(COUNTIF(V1164:V1167,V1167)=2,IF(V1167=V1164,IF(V1167&lt;V1166,IF(M1160=2,IF(Q1175=3,1,2),IF(M1160=1,IF(Q1175=3,2,3))),IF(V1167&gt;V1166,IF(M1160=2,IF(Q1175=3,2,3),IF(M1160=1,IF(Q1175=3,3,4))))),IF(V1167=V1166,IF(V1167&lt;V1164,IF(M1160=2,IF(Q1184=3,1,2),IF(M1160=1,IF(Q1184=3,2,3))),IF(V1167&gt;V1164,IF(M1160=2,IF(Q1184=3,2,3),IF(M1160=1,IF(Q1184=3,3,4)))))))))))),"")</f>
        <v/>
      </c>
      <c r="AC1179" s="192"/>
      <c r="AD1179" s="192"/>
      <c r="AE1179" s="192"/>
      <c r="AF1179" s="192"/>
      <c r="AG1179" s="192"/>
      <c r="AH1179" s="192"/>
      <c r="AI1179" s="192"/>
      <c r="AJ1179" s="192"/>
      <c r="AK1179" s="192"/>
      <c r="AL1179" s="192"/>
      <c r="AM1179" s="192"/>
      <c r="AN1179" s="192"/>
      <c r="AO1179" s="192"/>
      <c r="AP1179" s="192"/>
      <c r="AQ1179" s="192"/>
      <c r="AR1179" s="192"/>
      <c r="AS1179" s="192"/>
      <c r="AT1179" s="192"/>
      <c r="AU1179" s="192"/>
      <c r="AV1179" s="192"/>
      <c r="AW1179" s="192"/>
      <c r="AX1179" s="192"/>
    </row>
    <row r="1180" spans="2:50" ht="15" customHeight="1" thickTop="1" x14ac:dyDescent="0.3">
      <c r="B1180" s="192"/>
      <c r="C1180" s="192"/>
      <c r="D1180" s="192"/>
      <c r="E1180" s="164" t="str">
        <f>IF(Q1180="","",IF(Q1180=3,1,0))</f>
        <v/>
      </c>
      <c r="F1180" s="164" t="str">
        <f>IF(Q1180="","",IF(Q1180&lt;3,1,0))</f>
        <v/>
      </c>
      <c r="G1180" s="192"/>
      <c r="H1180" s="192" t="str">
        <f>IF(I1160&lt;&gt;"",1,"")</f>
        <v/>
      </c>
      <c r="I1180" s="192" t="str">
        <f>IF(ISNUMBER(H1180),VLOOKUP(H1180,H1157:I1160,2,TRUE),"")</f>
        <v/>
      </c>
      <c r="J1180" s="192"/>
      <c r="K1180" s="192" t="str">
        <f>VLOOKUP(I1180,I1157:L1160,3,FALSE)</f>
        <v/>
      </c>
      <c r="L1180" s="253"/>
      <c r="M1180" s="254"/>
      <c r="N1180" s="254"/>
      <c r="O1180" s="152"/>
      <c r="P1180" s="153"/>
      <c r="Q1180" s="255" t="str">
        <f>IF(L1180="","",IF(AND(L1180-L1181&gt;1,L1180&gt;10),1,0)+IF(AND(M1180-M1181&gt;1,M1180&gt;10),1,0)+IF(AND(N1180-N1181&gt;1,N1180&gt;10),1,0)+IF(AND(O1180-O1181&gt;1,O1180&gt;10),1,0)+IF(AND(P1180-P1181&gt;1,P1180&gt;10),1,0))</f>
        <v/>
      </c>
      <c r="R1180" s="203" t="str">
        <f>IF(AND(I1180="",I1181=""),"",ABS(VLOOKUP(I1180,I1157:L1160,4,FALSE)-VLOOKUP(I1181,I1157:L1160,4,FALSE)))</f>
        <v/>
      </c>
      <c r="S1180" s="256" t="str">
        <f>IF(R1181="","",IF(Q1180=3,+R1181,-R1181))</f>
        <v/>
      </c>
      <c r="T1180" s="247"/>
      <c r="U1180" s="235"/>
      <c r="V1180" s="235"/>
      <c r="W1180" s="235"/>
      <c r="X1180" s="235"/>
      <c r="Y1180" s="235"/>
      <c r="Z1180" s="235"/>
      <c r="AA1180" s="243">
        <v>1</v>
      </c>
      <c r="AB1180" s="222" t="str">
        <f>IF(AND(COUNTBLANK(I1157:I1160)=0,Group_players=4,M1157=M1158,M1158=M1160),IF(W1164="","",IF(COUNTIF(W1164:W1167,W1164)=3,"Tied",IF(AND(COUNTIF(W1164:W1167,W1164)=1,W1165&lt;&gt;W1166),IF(M1157=2,IF(SMALL(W1164:W1167,1)=W1164,1,IF(SMALL(W1164:W1167,2)=W1164,2,IF(SMALL(W1164:W1167,3)=W1164,3))),IF(M1157=1,IF(SMALL(W1164:W1167,1)=W1164,2,IF(SMALL(W1164:W1167,2)=W1164,3,IF(SMALL(W1164:W1167,3)=W1164,4))),"")),IF(COUNTIF(W1164:W1167,W1164)=1,IF(W1164&lt;W1165,IF(M1157=2,1,2),IF(M1157=2,3,4)),IF(COUNTIF(W1164:W1167,W1164)=2,IF(W1164=W1165,IF(W1164&lt;W1167,IF(M1157=2,IF(Q1180=3,1,2),IF(M1157=1,IF(Q1180=3,2,3))),IF(W1164&gt;W1167,IF(M1157=2,IF(Q1180=3,2,3),IF(M1157=1,IF(Q1180=3,3,4))))),IF(W1164=W1167,IF(W1164&lt;W1165,IF(M1157=2,IF(Q1174=3,1,2),IF(M1157=1,IF(Q1174=3,2,3))),IF(W1164&gt;W1165,IF(M1157=2,IF(Q1174=3,2,3),IF(M1157=1,IF(Q1174=3,3,4)))))))))))),"")</f>
        <v/>
      </c>
      <c r="AC1180" s="192"/>
      <c r="AD1180" s="192"/>
      <c r="AE1180" s="192"/>
      <c r="AF1180" s="192"/>
      <c r="AG1180" s="192"/>
      <c r="AH1180" s="192"/>
      <c r="AI1180" s="192"/>
      <c r="AJ1180" s="192"/>
      <c r="AK1180" s="192"/>
      <c r="AL1180" s="192"/>
      <c r="AM1180" s="192"/>
      <c r="AN1180" s="192"/>
      <c r="AO1180" s="192"/>
      <c r="AP1180" s="192"/>
      <c r="AQ1180" s="192"/>
      <c r="AR1180" s="192"/>
      <c r="AS1180" s="192"/>
      <c r="AT1180" s="192"/>
      <c r="AU1180" s="192"/>
      <c r="AV1180" s="192"/>
      <c r="AW1180" s="192"/>
      <c r="AX1180" s="192"/>
    </row>
    <row r="1181" spans="2:50" ht="15" customHeight="1" thickBot="1" x14ac:dyDescent="0.35">
      <c r="B1181" s="192"/>
      <c r="C1181" s="192"/>
      <c r="D1181" s="192"/>
      <c r="E1181" s="164" t="str">
        <f>IF(Q1181="","",IF(Q1181=3,1,0))</f>
        <v/>
      </c>
      <c r="F1181" s="164" t="str">
        <f>IF(Q1181="","",IF(Q1181&lt;3,1,0))</f>
        <v/>
      </c>
      <c r="G1181" s="192"/>
      <c r="H1181" s="192" t="str">
        <f>IF(I1160&lt;&gt;"",2,"")</f>
        <v/>
      </c>
      <c r="I1181" s="192" t="str">
        <f>IF(ISNUMBER(H1181),VLOOKUP(H1181,H1157:I1160,2,TRUE),"")</f>
        <v/>
      </c>
      <c r="J1181" s="192"/>
      <c r="K1181" s="192" t="str">
        <f>VLOOKUP(I1181,I1157:L1160,3,FALSE)</f>
        <v/>
      </c>
      <c r="L1181" s="155"/>
      <c r="M1181" s="259"/>
      <c r="N1181" s="259"/>
      <c r="O1181" s="156"/>
      <c r="P1181" s="157"/>
      <c r="Q1181" s="260" t="str">
        <f>IF(L1181="","",IF(AND(L1181-L1180&gt;1,L1181&gt;10),1,0)+IF(AND(M1181-M1180&gt;1,M1181&gt;10),1,0)+IF(AND(N1181-N1180&gt;1,N1181&gt;10),1,0)+IF(AND(O1181-O1180&gt;1,O1181&gt;10),1,0)+IF(AND(P1181-P1180&gt;1,P1181&gt;10),1,0))</f>
        <v/>
      </c>
      <c r="R1181" s="203" t="str">
        <f>IF(AND(Q1180&lt;&gt;3,Q1181&lt;&gt;3),"",IF(Q1180=3,IF(VLOOKUP(I1180,I1157:L1160,4,FALSE)&gt;VLOOKUP(I1181,I1157:L1160,4,FALSE),VLOOKUP(R1180,Point_dif,2,FALSE),VLOOKUP(R1180,Point_dif,3,FALSE)),IF(Q1181=3,IF(VLOOKUP(I1181,I1157:L1160,4,FALSE)&gt;VLOOKUP(I1181,I1157:L1160,4,FALSE),VLOOKUP(R1180,Point_dif,2,FALSE),VLOOKUP(R1180,Point_dif,3,FALSE)))))</f>
        <v/>
      </c>
      <c r="S1181" s="256" t="str">
        <f>IF(R1181="","",IF(Q1181=3,+R1181,-R1181))</f>
        <v/>
      </c>
      <c r="T1181" s="247"/>
      <c r="U1181" s="235"/>
      <c r="V1181" s="235"/>
      <c r="W1181" s="235"/>
      <c r="X1181" s="235"/>
      <c r="Y1181" s="235"/>
      <c r="Z1181" s="235"/>
      <c r="AA1181" s="246">
        <v>2</v>
      </c>
      <c r="AB1181" s="222" t="str">
        <f>IF(AND(COUNTBLANK(I1157:I1160)=0,Group_players=4,M1157=M1158,M1158=M1160),IF(W1165="","",IF(COUNTIF(W1164:W1167,W1165)=3,"Tied",IF(AND(COUNTIF(W1164:W1167,W1165)=1,W1164&lt;&gt;W1166),IF(M1158=2,IF(SMALL(W1164:W1167,1)=W1165,1,IF(SMALL(W1164:W1167,2)=W1165,2,IF(SMALL(W1164:W1167,3)=W1165,3))),IF(M1158=1,IF(SMALL(W1164:W1167,1)=W1165,2,IF(SMALL(W1164:W1167,2)=W1165,3,IF(SMALL(W1164:W1167,3)=W1165,4))),"")),IF(COUNTIF(W1164:W1167,W1165)=1,IF(W1165&lt;W1164,IF(M1158=2,1,2),IF(M1158=2,3,4)),IF(COUNTIF(W1164:W1167,W1165)=2,IF(W1165=W1164,IF(W1165&lt;W1167,IF(M1158=2,IF(Q1181=3,1,2),IF(M1158=1,IF(Q1181=3,2,3))),IF(W1165&gt;W1167,IF(M1158=2,IF(Q1181=3,2,3),IF(M1158=1,IF(Q1181=3,3,4))))),IF(W1165=W1167,IF(W1165&lt;W1164,IF(M1158=2,IF(Q1171=3,1,2),IF(M1158=1,IF(Q1171=3,2,3))),IF(W1165&gt;W1164,IF(M1158=2,IF(Q1171=3,2,3),IF(M1158=1,IF(Q1171=3,3,4)))))))))))),"")</f>
        <v/>
      </c>
      <c r="AC1181" s="192"/>
      <c r="AD1181" s="192"/>
      <c r="AE1181" s="192"/>
      <c r="AF1181" s="192"/>
      <c r="AG1181" s="192"/>
      <c r="AH1181" s="192"/>
      <c r="AI1181" s="192"/>
      <c r="AJ1181" s="192"/>
      <c r="AK1181" s="192"/>
      <c r="AL1181" s="192"/>
      <c r="AM1181" s="192"/>
      <c r="AN1181" s="192"/>
      <c r="AO1181" s="192"/>
      <c r="AP1181" s="192"/>
      <c r="AQ1181" s="192"/>
      <c r="AR1181" s="192"/>
      <c r="AS1181" s="192"/>
      <c r="AT1181" s="192"/>
      <c r="AU1181" s="192"/>
      <c r="AV1181" s="192"/>
      <c r="AW1181" s="192"/>
      <c r="AX1181" s="192"/>
    </row>
    <row r="1182" spans="2:50" ht="15" customHeight="1" thickTop="1" thickBot="1" x14ac:dyDescent="0.35">
      <c r="B1182" s="192"/>
      <c r="C1182" s="192"/>
      <c r="D1182" s="192"/>
      <c r="E1182" s="164"/>
      <c r="F1182" s="164"/>
      <c r="G1182" s="192"/>
      <c r="H1182" s="192"/>
      <c r="I1182" s="249" t="s">
        <v>121</v>
      </c>
      <c r="J1182" s="249"/>
      <c r="K1182" s="249"/>
      <c r="L1182" s="250" t="s">
        <v>115</v>
      </c>
      <c r="M1182" s="250" t="s">
        <v>116</v>
      </c>
      <c r="N1182" s="250" t="s">
        <v>117</v>
      </c>
      <c r="O1182" s="250" t="s">
        <v>118</v>
      </c>
      <c r="P1182" s="250" t="s">
        <v>119</v>
      </c>
      <c r="Q1182" s="250" t="s">
        <v>120</v>
      </c>
      <c r="R1182" s="250"/>
      <c r="S1182" s="251"/>
      <c r="T1182" s="247"/>
      <c r="U1182" s="235"/>
      <c r="V1182" s="235"/>
      <c r="W1182" s="235"/>
      <c r="X1182" s="235"/>
      <c r="Y1182" s="235"/>
      <c r="Z1182" s="235"/>
      <c r="AA1182" s="240">
        <v>4</v>
      </c>
      <c r="AB1182" s="241" t="str">
        <f>IF(AND(COUNTBLANK(I1157:I1160)=0,Group_players=4,M1157=M1158,M1158=M1160),IF(W1167="","",IF(COUNTIF(W1164:W1167,W1167)=3,"Tied",IF(AND(COUNTIF(W1164:W1167,W1167)=1,W1164&lt;&gt;W1165),IF(M1160=2,IF(SMALL(W1164:W1167,1)=W1167,1,IF(SMALL(W1164:W1167,2)=W1167,2,IF(SMALL(W1164:W1167,3)=W1167,3))),IF(M1160=1,IF(SMALL(W1164:W1167,1)=W1167,2,IF(SMALL(W1164:W1167,2)=W1167,3,IF(SMALL(W1164:W1167,3)=W1167,4))),"")),IF(COUNTIF(W1164:W1167,W1167)=1,IF(W1167&lt;W1164,IF(M1160=2,1,2),IF(M1160=2,3,4)),IF(COUNTIF(W1164:W1167,W1167)=2,IF(W1167=W1164,IF(W1167&lt;W1165,IF(M1160=2,IF(Q1175=3,1,2),IF(M1160=1,IF(Q1175=3,2,3))),IF(W1167&gt;W1166,IF(M1160=2,IF(Q1175=3,2,3),IF(M1160=1,IF(Q1175=3,3,4))))),IF(W1167=W1165,IF(W1167&lt;W1164,IF(M1160=2,IF(Q1172=3,1,2),IF(M1160=1,IF(Q1172=3,2,3))),IF(W1167&gt;W1164,IF(M1160=2,IF(Q1172=3,2,3),IF(M1160=1,IF(Q1172=3,3,4)))))))))))),"")</f>
        <v/>
      </c>
      <c r="AC1182" s="192"/>
      <c r="AD1182" s="192"/>
      <c r="AE1182" s="192"/>
      <c r="AF1182" s="192"/>
      <c r="AG1182" s="192"/>
      <c r="AH1182" s="192"/>
      <c r="AI1182" s="192"/>
      <c r="AJ1182" s="192"/>
      <c r="AK1182" s="192"/>
      <c r="AL1182" s="192"/>
      <c r="AM1182" s="192"/>
      <c r="AN1182" s="192"/>
      <c r="AO1182" s="192"/>
      <c r="AP1182" s="192"/>
      <c r="AQ1182" s="192"/>
      <c r="AR1182" s="192"/>
      <c r="AS1182" s="192"/>
      <c r="AT1182" s="192"/>
      <c r="AU1182" s="192"/>
      <c r="AV1182" s="192"/>
      <c r="AW1182" s="192"/>
      <c r="AX1182" s="192"/>
    </row>
    <row r="1183" spans="2:50" ht="15" customHeight="1" thickTop="1" x14ac:dyDescent="0.3">
      <c r="B1183" s="192"/>
      <c r="C1183" s="192"/>
      <c r="D1183" s="192"/>
      <c r="E1183" s="164" t="str">
        <f>IF(Q1183="","",IF(Q1183=3,1,0))</f>
        <v/>
      </c>
      <c r="F1183" s="164" t="str">
        <f>IF(Q1183="","",IF(Q1183&lt;3,1,0))</f>
        <v/>
      </c>
      <c r="G1183" s="192"/>
      <c r="H1183" s="192" t="str">
        <f>IF(I1160&lt;&gt;"",3,"")</f>
        <v/>
      </c>
      <c r="I1183" s="192" t="str">
        <f>IF(ISNUMBER(H1183),VLOOKUP(H1183,H1157:I1160,2,TRUE),"")</f>
        <v/>
      </c>
      <c r="J1183" s="192"/>
      <c r="K1183" s="192" t="str">
        <f>VLOOKUP(I1183,I1157:L1160,3,FALSE)</f>
        <v/>
      </c>
      <c r="L1183" s="253"/>
      <c r="M1183" s="254"/>
      <c r="N1183" s="254"/>
      <c r="O1183" s="152"/>
      <c r="P1183" s="153"/>
      <c r="Q1183" s="255" t="str">
        <f>IF(L1183="","",IF(AND(L1183-L1184&gt;1,L1183&gt;10),1,0)+IF(AND(M1183-M1184&gt;1,M1183&gt;10),1,0)+IF(AND(N1183-N1184&gt;1,N1183&gt;10),1,0)+IF(AND(O1183-O1184&gt;1,O1183&gt;10),1,0)+IF(AND(P1183-P1184&gt;1,P1183&gt;10),1,0))</f>
        <v/>
      </c>
      <c r="R1183" s="203" t="str">
        <f>IF(AND(I1183="",I1184=""),"",ABS(VLOOKUP(I1183,I1157:L1160,4,FALSE)-VLOOKUP(I1184,I1157:L1160,4,FALSE)))</f>
        <v/>
      </c>
      <c r="S1183" s="256" t="str">
        <f>IF(R1184="","",IF(Q1183=3,+R1184,-R1184))</f>
        <v/>
      </c>
      <c r="T1183" s="247"/>
      <c r="U1183" s="264"/>
      <c r="V1183" s="242"/>
      <c r="W1183" s="192"/>
      <c r="X1183" s="264"/>
      <c r="Y1183" s="192"/>
      <c r="Z1183" s="192"/>
      <c r="AA1183" s="243">
        <v>2</v>
      </c>
      <c r="AB1183" s="222" t="str">
        <f>IF(AND(COUNTBLANK(I1157:I1160)=0,Group_players=4,M1158=M1159,M1159=M1160),IF(X1165="","",IF(COUNTIF(X1164:X1167,X1165)=3,"Tied",IF(AND(COUNTIF(X1164:X1167,X1165)=1,X1166&lt;&gt;X1167),IF(M1158=2,IF(SMALL(X1164:X1167,1)=X1165,1,IF(SMALL(X1164:X1167,2)=X1165,2,IF(SMALL(X1164:X1167,3)=X1165,3))),IF(M1158=1,IF(SMALL(X1164:X1167,1)=X1165,2,IF(SMALL(X1164:X1167,2)=X1165,3,IF(SMALL(X1164:X1167,3)=X1165,4))),"")),IF(COUNTIF(X1164:X1167,X1165)=1,IF(X1165&lt;X1167,IF(M1158=2,1,2),IF(M1158=1,4)),IF(COUNTIF(X1164:X1167,X1165)=2,IF(X1165=X1166,IF(X1165&lt;X1167,IF(M1158=2,IF(Q1177=3,1,2),IF(M1158=1,IF(Q1177=3,2,3))),IF(X1165&gt;X1167,IF(M1158=2,IF(Q1177=3,2,3),IF(M1158=1,IF(Q1177=3,3,4))))),IF(X1165=X1167,IF(X1165&lt;X1166,IF(M1158=2,IF(Q1171=3,1,2),IF(M1158=1,IF(Q1171=3,2,3))),IF(X1165&gt;X1166,IF(M1158=2,IF(Q1171=3,2,3),IF(M1158=1,IF(Q1171=3,3,4)))))))))))),"")</f>
        <v/>
      </c>
      <c r="AC1183" s="192"/>
      <c r="AD1183" s="192"/>
      <c r="AE1183" s="192"/>
      <c r="AF1183" s="192"/>
      <c r="AG1183" s="192"/>
      <c r="AH1183" s="192"/>
      <c r="AI1183" s="192"/>
      <c r="AJ1183" s="192"/>
      <c r="AK1183" s="192"/>
      <c r="AL1183" s="192"/>
      <c r="AM1183" s="192"/>
      <c r="AN1183" s="192"/>
      <c r="AO1183" s="192"/>
      <c r="AP1183" s="192"/>
      <c r="AQ1183" s="192"/>
      <c r="AR1183" s="192"/>
      <c r="AS1183" s="192"/>
      <c r="AT1183" s="192"/>
      <c r="AU1183" s="192"/>
      <c r="AV1183" s="192"/>
      <c r="AW1183" s="192"/>
      <c r="AX1183" s="192"/>
    </row>
    <row r="1184" spans="2:50" ht="15" customHeight="1" thickBot="1" x14ac:dyDescent="0.35">
      <c r="B1184" s="192"/>
      <c r="C1184" s="192"/>
      <c r="D1184" s="192"/>
      <c r="E1184" s="164" t="str">
        <f>IF(Q1184="","",IF(Q1184=3,1,0))</f>
        <v/>
      </c>
      <c r="F1184" s="164" t="str">
        <f>IF(Q1184="","",IF(Q1184&lt;3,1,0))</f>
        <v/>
      </c>
      <c r="G1184" s="192"/>
      <c r="H1184" s="192" t="str">
        <f>IF(I1160&lt;&gt;"",4,"")</f>
        <v/>
      </c>
      <c r="I1184" s="192" t="str">
        <f>IF(ISNUMBER(H1184),VLOOKUP(H1184,H1157:I1160,2,TRUE),"")</f>
        <v/>
      </c>
      <c r="J1184" s="192"/>
      <c r="K1184" s="192" t="str">
        <f>VLOOKUP(I1184,I1157:L1160,3,FALSE)</f>
        <v/>
      </c>
      <c r="L1184" s="155"/>
      <c r="M1184" s="259"/>
      <c r="N1184" s="259"/>
      <c r="O1184" s="156"/>
      <c r="P1184" s="157"/>
      <c r="Q1184" s="260" t="str">
        <f>IF(L1184="","",IF(AND(L1184-L1183&gt;1,L1184&gt;10),1,0)+IF(AND(M1184-M1183&gt;1,M1184&gt;10),1,0)+IF(AND(N1184-N1183&gt;1,N1184&gt;10),1,0)+IF(AND(O1184-O1183&gt;1,O1184&gt;10),1,0)+IF(AND(P1184-P1183&gt;1,P1184&gt;10),1,0))</f>
        <v/>
      </c>
      <c r="R1184" s="203" t="str">
        <f>IF(AND(Q1183&lt;&gt;3,Q1184&lt;&gt;3),"",IF(Q1183=3,IF(VLOOKUP(I1183,I1157:L1160,4,FALSE)&gt;VLOOKUP(I1184,I1157:L1160,4,FALSE),VLOOKUP(R1183,Point_dif,2,FALSE),VLOOKUP(R1183,Point_dif,3,FALSE)),IF(Q1184=3,IF(VLOOKUP(I1184,I1157:L1160,4,FALSE)&gt;VLOOKUP(I1183,I1157:L1160,4,FALSE),VLOOKUP(R1183,Point_dif,2,FALSE),VLOOKUP(R1183,Point_dif,3,FALSE)))))</f>
        <v/>
      </c>
      <c r="S1184" s="260" t="str">
        <f>IF(R1184="","",IF(Q1184=3,+R1184,-R1184))</f>
        <v/>
      </c>
      <c r="T1184" s="247"/>
      <c r="U1184" s="235"/>
      <c r="V1184" s="235"/>
      <c r="W1184" s="235"/>
      <c r="X1184" s="235"/>
      <c r="Y1184" s="235"/>
      <c r="Z1184" s="235"/>
      <c r="AA1184" s="246">
        <v>3</v>
      </c>
      <c r="AB1184" s="222" t="str">
        <f>IF(AND(COUNTBLANK(I1157:I1160)=0,Group_players=4,Group_players=4,M1158=M1159,M1159=M1160),IF(X1166="","",IF(COUNTIF(X1164:X1167,X1166)=3,"Tied",IF(AND(COUNTIF(X1164:X1167,X1166)=1,X1165&lt;&gt;X1167),IF(M1159=2,IF(SMALL(X1164:X1167,1)=X1166,1,IF(SMALL(X1164:X1167,2)=X1166,2,IF(SMALL(X1164:X1167,3)=X1166,3))),IF(M1159=1,IF(SMALL(X1164:X1167,1)=X1166,2,IF(SMALL(X1164:X1167,2)=X1166,3,IF(SMALL(X1164:X1167,3)=X1166,4))),"")),IF(COUNTIF(X1164:X1167,X1166)=1,IF(X1166&lt;X1165,IF(M1159=2,1,2),IF(M1159=2,3,4)),IF(COUNTIF(X1164:X1167,X1166)=2,IF(X1166=X1165,IF(X1166&lt;X1167,IF(M1159=2,IF(Q1178=3,1,2),IF(M1159=1,IF(Q1178=3,2,3))),IF(X1166&gt;X1167,IF(M1159=2,IF(Q1178=3,2,3),IF(M1159=1,IF(Q1178=3,3,4))))),IF(X1166=X1167,IF(X1166&lt;X1165,IF(M1159=2,IF(Q1183=3,1,2),IF(M1159=1,IF(Q1183=3,2,3))),IF(X1166&gt;X1165,IF(M1159=2,IF(Q1183=3,2,3),IF(M1159=1,IF(Q1183=3,3,4)))))))))))),"")</f>
        <v/>
      </c>
      <c r="AC1184" s="192"/>
      <c r="AD1184" s="192"/>
      <c r="AE1184" s="192"/>
      <c r="AF1184" s="192"/>
      <c r="AG1184" s="192"/>
      <c r="AH1184" s="192"/>
      <c r="AI1184" s="192"/>
      <c r="AJ1184" s="192"/>
      <c r="AK1184" s="192"/>
      <c r="AL1184" s="192"/>
      <c r="AM1184" s="192"/>
      <c r="AN1184" s="192"/>
      <c r="AO1184" s="192"/>
      <c r="AP1184" s="192"/>
      <c r="AQ1184" s="192"/>
      <c r="AR1184" s="192"/>
      <c r="AS1184" s="192"/>
      <c r="AT1184" s="192"/>
      <c r="AU1184" s="192"/>
      <c r="AV1184" s="192"/>
      <c r="AW1184" s="192"/>
      <c r="AX1184" s="192"/>
    </row>
    <row r="1185" spans="2:50" ht="15" customHeight="1" thickTop="1" thickBot="1" x14ac:dyDescent="0.35">
      <c r="B1185" s="192"/>
      <c r="C1185" s="192"/>
      <c r="D1185" s="192"/>
      <c r="E1185" s="192"/>
      <c r="F1185" s="192"/>
      <c r="G1185" s="192"/>
      <c r="H1185" s="192"/>
      <c r="I1185" s="192"/>
      <c r="J1185" s="192"/>
      <c r="K1185" s="192"/>
      <c r="L1185" s="192"/>
      <c r="M1185" s="192"/>
      <c r="N1185" s="192"/>
      <c r="O1185" s="268"/>
      <c r="P1185" s="192"/>
      <c r="Q1185" s="192"/>
      <c r="R1185" s="247"/>
      <c r="S1185" s="247"/>
      <c r="T1185" s="247"/>
      <c r="U1185" s="235"/>
      <c r="V1185" s="235"/>
      <c r="W1185" s="235"/>
      <c r="X1185" s="235"/>
      <c r="Y1185" s="235"/>
      <c r="Z1185" s="235"/>
      <c r="AA1185" s="261">
        <v>4</v>
      </c>
      <c r="AB1185" s="233" t="str">
        <f>IF(AND(COUNTBLANK(I1157:I1160)=0,Group_players=4,M1158=M1159,M1159=M1160),IF(X1167="","",IF(COUNTIF(X1164:X1167,X1167)=3,"Tied",IF(AND(COUNTIF(X1164:X1167,X1167)=1,X1166&lt;&gt;X1165),IF(M1160=2,IF(SMALL(X1164:X1167,1)=X1167,1,IF(SMALL(X1164:X1167,2)=X1167,2,IF(SMALL(X1164:X1167,3)=X1167,3))),IF(M1160=1,IF(SMALL(X1164:X1167,1)=X1167,2,IF(SMALL(X1164:X1167,2)=X1167,3,IF(SMALL(X1164:X1167,3)=X1167,4))),"")),IF(COUNTIF(X1164:X1167,X1167)=1,IF(X1167&lt;X1165,IF(M1160=2,1,2),IF(M1160=2,3,4)),IF(COUNTIF(X1164:X1167,X1167)=2,IF(X1167=X1165,IF(X1167&lt;X1166,IF(M1160=2,IF(Q1172=3,1,2),IF(M1160=1,IF(Q1172=3,2,3))),IF(X1167&gt;X1166,IF(M1160=2,IF(Q1172=3,2,3),IF(M1160=1,IF(Q1172=3,3,4))))),IF(X1167=X1166,IF(X1167&lt;X1165,IF(M1160=2,IF(Q1184=3,1,2),IF(M1160=1,IF(Q1184=3,2,3))),IF(X1167&gt;X1165,IF(M1160=2,IF(Q1184=3,2,3),IF(M1160=1,IF(Q1184=3,3,4)))))))))))),"")</f>
        <v/>
      </c>
      <c r="AC1185" s="192"/>
      <c r="AD1185" s="192"/>
      <c r="AE1185" s="192"/>
      <c r="AF1185" s="192"/>
      <c r="AG1185" s="192"/>
      <c r="AH1185" s="192"/>
      <c r="AI1185" s="192"/>
      <c r="AJ1185" s="192"/>
      <c r="AK1185" s="192"/>
      <c r="AL1185" s="192"/>
      <c r="AM1185" s="192"/>
      <c r="AN1185" s="192"/>
      <c r="AO1185" s="192"/>
      <c r="AP1185" s="192"/>
      <c r="AQ1185" s="192"/>
      <c r="AR1185" s="192"/>
      <c r="AS1185" s="192"/>
      <c r="AT1185" s="192"/>
      <c r="AU1185" s="192"/>
      <c r="AV1185" s="192"/>
      <c r="AW1185" s="192"/>
      <c r="AX1185" s="192"/>
    </row>
    <row r="1186" spans="2:50" ht="15" customHeight="1" thickTop="1" x14ac:dyDescent="0.3">
      <c r="B1186" s="192"/>
      <c r="C1186" s="192"/>
      <c r="D1186" s="192"/>
      <c r="E1186" s="192"/>
      <c r="F1186" s="192"/>
      <c r="G1186" s="192"/>
      <c r="H1186" s="192"/>
      <c r="I1186" s="192"/>
      <c r="J1186" s="192"/>
      <c r="K1186" s="192"/>
      <c r="L1186" s="192"/>
      <c r="M1186" s="192"/>
      <c r="N1186" s="192"/>
      <c r="O1186" s="192"/>
      <c r="P1186" s="192"/>
      <c r="Q1186" s="192"/>
      <c r="R1186" s="192"/>
      <c r="S1186" s="192"/>
      <c r="T1186" s="203"/>
      <c r="U1186" s="192"/>
      <c r="V1186" s="192"/>
      <c r="W1186" s="192"/>
      <c r="X1186" s="192"/>
      <c r="Y1186" s="192"/>
      <c r="Z1186" s="192"/>
      <c r="AA1186" s="192"/>
      <c r="AB1186" s="192"/>
      <c r="AC1186" s="192"/>
      <c r="AD1186" s="192"/>
      <c r="AE1186" s="192"/>
      <c r="AF1186" s="192"/>
      <c r="AG1186" s="192"/>
      <c r="AH1186" s="192"/>
      <c r="AI1186" s="192"/>
      <c r="AJ1186" s="192"/>
      <c r="AK1186" s="192"/>
      <c r="AL1186" s="192"/>
      <c r="AM1186" s="192"/>
      <c r="AN1186" s="192"/>
      <c r="AO1186" s="192"/>
      <c r="AP1186" s="192"/>
      <c r="AQ1186" s="192"/>
      <c r="AR1186" s="192"/>
      <c r="AS1186" s="192"/>
      <c r="AT1186" s="192"/>
      <c r="AU1186" s="192"/>
      <c r="AV1186" s="192"/>
      <c r="AW1186" s="192"/>
      <c r="AX1186" s="192"/>
    </row>
    <row r="1187" spans="2:50" ht="15" customHeight="1" x14ac:dyDescent="0.3">
      <c r="B1187" s="192"/>
      <c r="C1187" s="192"/>
      <c r="D1187" s="192"/>
      <c r="E1187" s="192"/>
      <c r="F1187" s="192"/>
      <c r="G1187" s="192"/>
      <c r="H1187" s="192"/>
      <c r="I1187" s="192"/>
      <c r="J1187" s="192"/>
      <c r="K1187" s="192"/>
      <c r="L1187" s="192"/>
      <c r="M1187" s="192"/>
      <c r="N1187" s="192"/>
      <c r="O1187" s="192"/>
      <c r="P1187" s="192"/>
      <c r="Q1187" s="192"/>
      <c r="R1187" s="192"/>
      <c r="S1187" s="192"/>
      <c r="T1187" s="192"/>
      <c r="U1187" s="192"/>
      <c r="V1187" s="192"/>
      <c r="W1187" s="192"/>
      <c r="X1187" s="192"/>
      <c r="Y1187" s="192"/>
      <c r="Z1187" s="192"/>
      <c r="AA1187" s="192"/>
      <c r="AB1187" s="192"/>
      <c r="AC1187" s="192"/>
      <c r="AD1187" s="192"/>
      <c r="AE1187" s="192"/>
      <c r="AF1187" s="192"/>
      <c r="AG1187" s="192"/>
      <c r="AH1187" s="192"/>
      <c r="AI1187" s="192"/>
      <c r="AJ1187" s="192"/>
      <c r="AK1187" s="192"/>
      <c r="AL1187" s="192"/>
      <c r="AM1187" s="192"/>
      <c r="AN1187" s="192"/>
      <c r="AO1187" s="192"/>
      <c r="AP1187" s="192"/>
      <c r="AQ1187" s="192"/>
      <c r="AR1187" s="192"/>
      <c r="AS1187" s="192"/>
      <c r="AT1187" s="192"/>
      <c r="AU1187" s="192"/>
      <c r="AV1187" s="192"/>
      <c r="AW1187" s="192"/>
      <c r="AX1187" s="192"/>
    </row>
    <row r="1188" spans="2:50" ht="15" customHeight="1" x14ac:dyDescent="0.3">
      <c r="B1188" s="192"/>
      <c r="C1188" s="192"/>
      <c r="D1188" s="192"/>
      <c r="E1188" s="192"/>
      <c r="F1188" s="192"/>
      <c r="G1188" s="192"/>
      <c r="H1188" s="192"/>
      <c r="I1188" s="192"/>
      <c r="J1188" s="192"/>
      <c r="K1188" s="192"/>
      <c r="L1188" s="192"/>
      <c r="M1188" s="192"/>
      <c r="N1188" s="192"/>
      <c r="O1188" s="192"/>
      <c r="P1188" s="192"/>
      <c r="Q1188" s="192"/>
      <c r="R1188" s="192"/>
      <c r="S1188" s="192"/>
      <c r="T1188" s="192"/>
      <c r="U1188" s="192"/>
      <c r="V1188" s="192"/>
      <c r="W1188" s="192"/>
      <c r="X1188" s="192"/>
      <c r="Y1188" s="192"/>
      <c r="Z1188" s="269"/>
      <c r="AA1188" s="192"/>
      <c r="AB1188" s="192"/>
      <c r="AC1188" s="192"/>
      <c r="AD1188" s="192"/>
      <c r="AE1188" s="192"/>
      <c r="AF1188" s="192"/>
      <c r="AG1188" s="192"/>
      <c r="AH1188" s="192"/>
      <c r="AI1188" s="192"/>
      <c r="AJ1188" s="192"/>
      <c r="AK1188" s="192"/>
      <c r="AL1188" s="192"/>
      <c r="AM1188" s="192"/>
      <c r="AN1188" s="192"/>
      <c r="AO1188" s="192"/>
      <c r="AP1188" s="192"/>
      <c r="AQ1188" s="192"/>
      <c r="AR1188" s="192"/>
      <c r="AS1188" s="192"/>
      <c r="AT1188" s="192"/>
      <c r="AU1188" s="192"/>
      <c r="AV1188" s="192"/>
      <c r="AW1188" s="192"/>
      <c r="AX1188" s="192"/>
    </row>
    <row r="1189" spans="2:50" ht="15" customHeight="1" x14ac:dyDescent="0.3">
      <c r="B1189" s="192"/>
      <c r="C1189" s="192"/>
      <c r="D1189" s="192"/>
      <c r="E1189" s="192"/>
      <c r="F1189" s="192"/>
      <c r="G1189" s="192"/>
      <c r="H1189" s="192"/>
      <c r="I1189" s="192"/>
      <c r="J1189" s="192"/>
      <c r="K1189" s="192"/>
      <c r="L1189" s="192"/>
      <c r="M1189" s="192"/>
      <c r="N1189" s="192"/>
      <c r="O1189" s="192"/>
      <c r="P1189" s="192"/>
      <c r="Q1189" s="192"/>
      <c r="R1189" s="192"/>
      <c r="S1189" s="192"/>
      <c r="T1189" s="192"/>
      <c r="U1189" s="192"/>
      <c r="V1189" s="192"/>
      <c r="W1189" s="192"/>
      <c r="X1189" s="192"/>
      <c r="Y1189" s="192"/>
      <c r="Z1189" s="192"/>
      <c r="AA1189" s="192"/>
      <c r="AB1189" s="192"/>
      <c r="AC1189" s="192"/>
      <c r="AD1189" s="192"/>
      <c r="AE1189" s="192"/>
      <c r="AF1189" s="192"/>
      <c r="AG1189" s="192"/>
      <c r="AH1189" s="192"/>
      <c r="AI1189" s="192"/>
      <c r="AJ1189" s="192"/>
      <c r="AK1189" s="192"/>
      <c r="AL1189" s="192"/>
      <c r="AM1189" s="192"/>
      <c r="AN1189" s="192"/>
      <c r="AO1189" s="192"/>
      <c r="AP1189" s="192"/>
      <c r="AQ1189" s="192"/>
      <c r="AR1189" s="192"/>
      <c r="AS1189" s="192"/>
      <c r="AT1189" s="192"/>
      <c r="AU1189" s="192"/>
      <c r="AV1189" s="192"/>
      <c r="AW1189" s="192"/>
      <c r="AX1189" s="192"/>
    </row>
    <row r="1190" spans="2:50" ht="15" customHeight="1" x14ac:dyDescent="0.3">
      <c r="B1190" s="192"/>
      <c r="C1190" s="192"/>
      <c r="D1190" s="192"/>
      <c r="E1190" s="192"/>
      <c r="F1190" s="192"/>
      <c r="G1190" s="192"/>
      <c r="H1190" s="192"/>
      <c r="I1190" s="192"/>
      <c r="J1190" s="192"/>
      <c r="K1190" s="192"/>
      <c r="L1190" s="192"/>
      <c r="M1190" s="192"/>
      <c r="N1190" s="192"/>
      <c r="O1190" s="192"/>
      <c r="P1190" s="192"/>
      <c r="Q1190" s="192"/>
      <c r="R1190" s="192"/>
      <c r="S1190" s="192"/>
      <c r="T1190" s="192"/>
      <c r="U1190" s="192"/>
      <c r="V1190" s="192"/>
      <c r="W1190" s="192"/>
      <c r="X1190" s="192"/>
      <c r="Y1190" s="192"/>
      <c r="Z1190" s="192"/>
      <c r="AA1190" s="192"/>
      <c r="AB1190" s="192"/>
      <c r="AC1190" s="192"/>
      <c r="AD1190" s="192"/>
      <c r="AE1190" s="192"/>
      <c r="AF1190" s="192"/>
      <c r="AG1190" s="192"/>
      <c r="AH1190" s="192"/>
      <c r="AI1190" s="192"/>
      <c r="AJ1190" s="192"/>
      <c r="AK1190" s="192"/>
      <c r="AL1190" s="192"/>
      <c r="AM1190" s="192"/>
      <c r="AN1190" s="192"/>
      <c r="AO1190" s="192"/>
      <c r="AP1190" s="192"/>
      <c r="AQ1190" s="192"/>
      <c r="AR1190" s="192"/>
      <c r="AS1190" s="192"/>
      <c r="AT1190" s="192"/>
      <c r="AU1190" s="192"/>
      <c r="AV1190" s="192"/>
      <c r="AW1190" s="192"/>
      <c r="AX1190" s="192"/>
    </row>
    <row r="1191" spans="2:50" ht="15" customHeight="1" thickBot="1" x14ac:dyDescent="0.4">
      <c r="B1191" s="192"/>
      <c r="C1191" s="192"/>
      <c r="D1191" s="192"/>
      <c r="E1191" s="192"/>
      <c r="F1191" s="192"/>
      <c r="G1191" s="192"/>
      <c r="H1191" s="192"/>
      <c r="I1191" s="383" t="s">
        <v>155</v>
      </c>
      <c r="J1191" s="383"/>
      <c r="K1191" s="383"/>
      <c r="L1191" s="383"/>
      <c r="M1191" s="383"/>
      <c r="N1191" s="383"/>
      <c r="O1191" s="383"/>
      <c r="P1191" s="383"/>
      <c r="Q1191" s="383"/>
      <c r="R1191" s="383"/>
      <c r="S1191" s="192"/>
      <c r="T1191" s="192"/>
      <c r="U1191" s="370" t="s">
        <v>92</v>
      </c>
      <c r="V1191" s="371"/>
      <c r="W1191" s="371"/>
      <c r="X1191" s="372"/>
      <c r="Y1191" s="192"/>
      <c r="Z1191" s="192"/>
      <c r="AA1191" s="192"/>
      <c r="AB1191" s="192"/>
      <c r="AC1191" s="192"/>
      <c r="AD1191" s="192"/>
      <c r="AE1191" s="192"/>
      <c r="AF1191" s="192"/>
      <c r="AG1191" s="192"/>
      <c r="AH1191" s="192"/>
      <c r="AI1191" s="192"/>
      <c r="AJ1191" s="192"/>
      <c r="AK1191" s="192"/>
      <c r="AL1191" s="192"/>
      <c r="AM1191" s="192"/>
      <c r="AN1191" s="192"/>
      <c r="AO1191" s="192"/>
      <c r="AP1191" s="192"/>
      <c r="AQ1191" s="192"/>
      <c r="AR1191" s="192"/>
      <c r="AS1191" s="192"/>
      <c r="AT1191" s="192"/>
      <c r="AU1191" s="192"/>
      <c r="AV1191" s="192"/>
      <c r="AW1191" s="192"/>
      <c r="AX1191" s="192"/>
    </row>
    <row r="1192" spans="2:50" ht="15" customHeight="1" thickTop="1" thickBot="1" x14ac:dyDescent="0.35">
      <c r="B1192" s="192"/>
      <c r="C1192" s="192"/>
      <c r="D1192" s="192"/>
      <c r="E1192" s="192"/>
      <c r="F1192" s="192"/>
      <c r="G1192" s="192"/>
      <c r="H1192" s="192"/>
      <c r="I1192" s="400" t="s">
        <v>93</v>
      </c>
      <c r="J1192" s="160"/>
      <c r="K1192" s="396" t="s">
        <v>94</v>
      </c>
      <c r="L1192" s="398" t="s">
        <v>95</v>
      </c>
      <c r="M1192" s="390" t="s">
        <v>96</v>
      </c>
      <c r="N1192" s="390" t="s">
        <v>97</v>
      </c>
      <c r="O1192" s="373" t="s">
        <v>98</v>
      </c>
      <c r="P1192" s="373" t="str">
        <f>IF(COUNT(U1193:X1204)=3,"LM/WM Ratio",IF(COUNT(U1193:X1204)=6,"LP/WP Ratio",""))</f>
        <v/>
      </c>
      <c r="Q1192" s="390" t="s">
        <v>99</v>
      </c>
      <c r="R1192" s="392" t="s">
        <v>100</v>
      </c>
      <c r="S1192" s="192"/>
      <c r="T1192" s="120"/>
      <c r="U1192" s="121" t="s">
        <v>101</v>
      </c>
      <c r="V1192" s="122" t="s">
        <v>102</v>
      </c>
      <c r="W1192" s="122" t="s">
        <v>103</v>
      </c>
      <c r="X1192" s="123" t="s">
        <v>104</v>
      </c>
      <c r="Y1192" s="380" t="s">
        <v>105</v>
      </c>
      <c r="Z1192" s="379"/>
      <c r="AA1192" s="378" t="s">
        <v>106</v>
      </c>
      <c r="AB1192" s="379"/>
      <c r="AC1192" s="192"/>
      <c r="AD1192" s="192"/>
      <c r="AE1192" s="192"/>
      <c r="AF1192" s="192"/>
      <c r="AG1192" s="192"/>
      <c r="AH1192" s="192"/>
      <c r="AI1192" s="192"/>
      <c r="AJ1192" s="192"/>
      <c r="AK1192" s="192"/>
      <c r="AL1192" s="192"/>
      <c r="AM1192" s="192"/>
      <c r="AN1192" s="192"/>
      <c r="AO1192" s="192"/>
      <c r="AP1192" s="192"/>
      <c r="AQ1192" s="192"/>
      <c r="AR1192" s="192"/>
      <c r="AS1192" s="192"/>
      <c r="AT1192" s="192"/>
      <c r="AU1192" s="192"/>
      <c r="AV1192" s="192"/>
      <c r="AW1192" s="192"/>
      <c r="AX1192" s="192"/>
    </row>
    <row r="1193" spans="2:50" ht="15" customHeight="1" thickTop="1" thickBot="1" x14ac:dyDescent="0.35">
      <c r="B1193" s="192"/>
      <c r="C1193" s="192"/>
      <c r="D1193" s="192"/>
      <c r="E1193" s="192"/>
      <c r="F1193" s="192"/>
      <c r="G1193" s="192"/>
      <c r="H1193" s="192"/>
      <c r="I1193" s="401"/>
      <c r="J1193" s="161"/>
      <c r="K1193" s="397"/>
      <c r="L1193" s="399"/>
      <c r="M1193" s="391"/>
      <c r="N1193" s="391"/>
      <c r="O1193" s="374"/>
      <c r="P1193" s="374"/>
      <c r="Q1193" s="391"/>
      <c r="R1193" s="393"/>
      <c r="S1193" s="192"/>
      <c r="T1193" s="208">
        <v>1</v>
      </c>
      <c r="U1193" s="209" t="str">
        <f>IF(M1194="","",IF(COUNTIF(M1194:M1196,M1194)=3,IF(COUNTBLANK(I1194:I1197)=1,(Q1206+Q1212)/(Q1205+Q1211),IF(COUNTBLANK(I1194:I1197)=0,(Q1218+Q1206)/(Q1217+Q1205),"")),""))</f>
        <v/>
      </c>
      <c r="V1193" s="125" t="str">
        <f>IF(AND(COUNTBLANK(I1194:I1197)=0,M1194=M1196,M1196=M1197),(Q1206+Q1212)/(Q1205+Q1211),"")</f>
        <v/>
      </c>
      <c r="W1193" s="210" t="str">
        <f>IF(AND(COUNTBLANK(I1194:I1197)=0,M1194=M1195,M1195=M1197),(Q1218+Q1212)/(Q1217+Q1211),"")</f>
        <v/>
      </c>
      <c r="X1193" s="211"/>
      <c r="Y1193" s="169" t="s">
        <v>93</v>
      </c>
      <c r="Z1193" s="170" t="s">
        <v>107</v>
      </c>
      <c r="AA1193" s="169" t="s">
        <v>93</v>
      </c>
      <c r="AB1193" s="170" t="s">
        <v>107</v>
      </c>
      <c r="AC1193" s="192"/>
      <c r="AD1193" s="192"/>
      <c r="AE1193" s="192"/>
      <c r="AF1193" s="192"/>
      <c r="AG1193" s="192"/>
      <c r="AH1193" s="192"/>
      <c r="AI1193" s="192"/>
      <c r="AJ1193" s="192"/>
      <c r="AK1193" s="192"/>
      <c r="AL1193" s="192"/>
      <c r="AM1193" s="192"/>
      <c r="AN1193" s="192"/>
      <c r="AO1193" s="192"/>
      <c r="AP1193" s="192"/>
      <c r="AQ1193" s="192"/>
      <c r="AR1193" s="192"/>
      <c r="AS1193" s="192"/>
      <c r="AT1193" s="192"/>
      <c r="AU1193" s="192"/>
      <c r="AV1193" s="192"/>
      <c r="AW1193" s="192"/>
      <c r="AX1193" s="192"/>
    </row>
    <row r="1194" spans="2:50" ht="15" customHeight="1" thickTop="1" thickBot="1" x14ac:dyDescent="0.35">
      <c r="B1194" s="192"/>
      <c r="C1194" s="192"/>
      <c r="D1194" s="192"/>
      <c r="E1194" s="192"/>
      <c r="F1194" s="192" t="str">
        <f>IF(I1194="","",VLOOKUP(I1194,Siembra,2,FALSE))</f>
        <v/>
      </c>
      <c r="G1194" s="192" t="str">
        <f>O1194</f>
        <v/>
      </c>
      <c r="H1194" s="192">
        <v>1</v>
      </c>
      <c r="I1194" s="128" t="str">
        <f>IF(K1194="","",IF(ISNUMBER(Sorteo!$A$17),VLOOKUP(K1194,Draw,2,FALSE),""))</f>
        <v/>
      </c>
      <c r="J1194" s="129" t="str">
        <f>O1194</f>
        <v/>
      </c>
      <c r="K1194" s="130" t="str">
        <f>IF($K$9="","",IF(Group_players=4,IF(Tablas!CN$3="","",Tablas!CN$3),IF(Group_players=3,IF(Tablas!CN$11="","",Tablas!CN$11),"")))</f>
        <v/>
      </c>
      <c r="L1194" s="131" t="str">
        <f>IF(K1194="","",VLOOKUP(I1194,Siembra,3,FALSE))</f>
        <v/>
      </c>
      <c r="M1194" s="132" t="str">
        <f>IF(AND(Q1205="",Q1206=""),"",IF(I1194="","",SUMIFS(E1205:E1221,I1205:I1221,I1194)))</f>
        <v/>
      </c>
      <c r="N1194" s="132" t="str">
        <f>IF(M1194="","",IF(I1194="","",SUMIFS(F1205:F1221,I1205:I1221,I1194)))</f>
        <v/>
      </c>
      <c r="O1194" s="132" t="str">
        <f>IF(M1194="","",IF(COUNTBLANK(I1194:I1197)=1,IF(M1194=2,1,IF(M1194=0,3,IF(AND(M1194=1,M1195&lt;&gt;1),2,IF(COUNTIF(M1194:M1196,1)&gt;1,Z1194)))),IF(COUNTBLANK(I1194:I1197)=0,IF(COUNTIF(M1194:M1197,M1194)=1,IF(M1194=3,1,IF(M1194=2,2,IF(M1194=1,3,IF(M1194=0,4)))),IF(Group_players=3,Z1194,IF(COUNTIF(M1194:M1197,M1194)=2,AB1194,IF(AND(M1194=M1195,M1195=M1196),AB1198,IF(AND(M1194=M1196,M1196=M1197),AB1201,IF(AND(M1194=M1195,M1195=M1197),AB1204,"")))))),99)))</f>
        <v/>
      </c>
      <c r="P1194" s="133" t="str">
        <f>IF(COUNT(U1193:X1204)=3,IF(ISNUMBER(U1193),U1193,IF(ISNUMBER(V1193),V1193,IF(ISNUMBER(W1193),W1193,IF(X1193="","")))),IF(COUNT(U1193:X1204)=6,IF(ISNUMBER(U1201),U1201,IF(ISNUMBER(V1201),V1201,IF(ISNUMBER(W1201),W1201,IF(ISBLANK(X1193),"")))),""))</f>
        <v/>
      </c>
      <c r="Q1194" s="132" t="str">
        <f>IF(M1194="","",SUMIF(I1205:S1221,I1194,S1205:S1221))</f>
        <v/>
      </c>
      <c r="R1194" s="134" t="str">
        <f>IF(M1194="","",L1194+Q1194)</f>
        <v/>
      </c>
      <c r="S1194" s="203"/>
      <c r="T1194" s="208">
        <v>2</v>
      </c>
      <c r="U1194" s="209" t="str">
        <f>IF(M1195="","",IF(COUNTIF(M1194:M1196,M1195)=3,IF(COUNTBLANK(I1194:I1197)=1,(Q1209+Q1211)/(Q1208+Q1212),IF(COUNTBLANK(I1194:I1197)=0,(Q1215+Q1217)/(Q1214+Q1218),"")),""))</f>
        <v/>
      </c>
      <c r="V1194" s="135"/>
      <c r="W1194" s="212" t="str">
        <f>IF(AND(COUNTBLANK(I1194:I1197)=0,M1195=M1194,M1194=M1197),(Q1217+Q1209)/(Q1218+Q1208),"")</f>
        <v/>
      </c>
      <c r="X1194" s="213" t="str">
        <f>IF(AND(COUNTBLANK(I1194:I1197)=0,M1195=M1196,M1196=M1197),(Q1215+Q1209)/(Q1214+Q1208),"")</f>
        <v/>
      </c>
      <c r="Y1194" s="214">
        <v>1</v>
      </c>
      <c r="Z1194" s="215" t="str">
        <f>IF(U1193="","",IF(OR(Group_players=3,AND(Group_players=4,COUNTBLANK(I1194:I1197)=1)),IF(COUNTIF(M1194:M1196,M1194)=1,"",IF(AND(U1193=U1194,U1194=U1195),Z1198,IF(AND(U1193&lt;&gt;U1194,U1193&lt;&gt;U1195,U1194&lt;&gt;U1195),(IF(SMALL(U1193:U1195,1)=U1193,1,IF(SMALL(U1193:U1195,2)=U1193,2,IF(SMALL(U1193:U1195,3)=U1193,3)))),IF(AND(U1193&lt;U1194,U1194=U1195),1,IF(AND(U1193&gt;U1194,U1194=U1195),3,IF(AND(U1193=U1194,U1193&lt;U1195),(IF(Q1211=3,1,2)),IF(AND(U1193=U1194,U1193&gt;U1195),(IF(Q1211=3,2,3)),IF(AND(U1193=U1195,U1193&lt;U1194),(IF(Q1205=3,1,2)),IF(AND(U1193=U1195,U1193&gt;U1194),(IF(Q1205=3,2,3)),99))))))))),""))</f>
        <v/>
      </c>
      <c r="AA1194" s="216">
        <v>1</v>
      </c>
      <c r="AB1194" s="217" t="str">
        <f>IF(COUNTIF(M1194:M1197,M1194)&lt;&gt;2,"",IF(COUNTIF(M1194:M1197,M1194)=1,"",IF(AND(COUNTIF(M1194:M1197,M1194)=2,M1194=2),IF(M1194=M1195,IF(Q1217=3,1,2),IF(M1194=M1196,IF(Q1205=3,1,2),IF(M1194=M1197,IF(Q1211=3,1,2)))),IF(AND(COUNTIF(M1194:M1197,M1194)=2,M1194=1),IF(M1194=M1195,IF(Q1217=3,3,4),IF(M1194=M1196,IF(Q1205=3,3,4),IF(M1194=M1197,IF(Q1211=3,3,4)))),IF(COUNTIF(M1194:M1197,M1194)=3,AB1198)))))</f>
        <v/>
      </c>
      <c r="AC1194" s="192"/>
      <c r="AD1194" s="192"/>
      <c r="AE1194" s="192"/>
      <c r="AF1194" s="192"/>
      <c r="AG1194" s="192"/>
      <c r="AH1194" s="192"/>
      <c r="AI1194" s="192"/>
      <c r="AJ1194" s="192"/>
      <c r="AK1194" s="192"/>
      <c r="AL1194" s="192"/>
      <c r="AM1194" s="192"/>
      <c r="AN1194" s="192"/>
      <c r="AO1194" s="192"/>
      <c r="AP1194" s="192"/>
      <c r="AQ1194" s="192"/>
      <c r="AR1194" s="192"/>
      <c r="AS1194" s="192"/>
      <c r="AT1194" s="192"/>
      <c r="AU1194" s="192"/>
      <c r="AV1194" s="192"/>
      <c r="AW1194" s="192"/>
      <c r="AX1194" s="192"/>
    </row>
    <row r="1195" spans="2:50" ht="15" customHeight="1" thickTop="1" thickBot="1" x14ac:dyDescent="0.35">
      <c r="B1195" s="192"/>
      <c r="C1195" s="192"/>
      <c r="D1195" s="192"/>
      <c r="E1195" s="192"/>
      <c r="F1195" s="192" t="str">
        <f>IF(I1195="","",VLOOKUP(I1195,Siembra,2,FALSE))</f>
        <v/>
      </c>
      <c r="G1195" s="192" t="str">
        <f>O1195</f>
        <v/>
      </c>
      <c r="H1195" s="192">
        <v>2</v>
      </c>
      <c r="I1195" s="128" t="str">
        <f>IF(K1195="","",IF(ISNUMBER(Sorteo!$A$17),VLOOKUP(K1195,Draw,2,FALSE),""))</f>
        <v/>
      </c>
      <c r="J1195" s="129" t="str">
        <f>O1195</f>
        <v/>
      </c>
      <c r="K1195" s="136" t="str">
        <f>IF($K$9="","",IF(Group_players=4,IF(Tablas!CN$4="","",Tablas!CN$4),IF(Group_players=3,IF(Tablas!CN$12="","",Tablas!CN$12),"")))</f>
        <v/>
      </c>
      <c r="L1195" s="137" t="str">
        <f>IF(K1195="","",VLOOKUP(I1195,Siembra,3,FALSE))</f>
        <v/>
      </c>
      <c r="M1195" s="132" t="str">
        <f>IF(AND(L1205="",L1206=""),"",IF(I1195="","",SUMIFS(E1205:E1222,I1205:I1222,I1195)))</f>
        <v/>
      </c>
      <c r="N1195" s="138" t="str">
        <f>IF(M1195="","",IF(I1195="","",SUMIFS(F1205:F1221,I1205:I1221,I1195)))</f>
        <v/>
      </c>
      <c r="O1195" s="132" t="str">
        <f>IF(M1195="","",IF(COUNTBLANK(I1194:I1197)=1,IF(M1195=2,1,IF(M1195=0,3,IF(AND(M1195=1,M1196&lt;&gt;1),2,IF(COUNTIF(M1194:M1197,1)&gt;1,Z1195)))),IF(COUNTBLANK(I1194:I1197)=0,IF(COUNTIF(M1194:M1197,M1195)=1,IF(M1195=3,1,IF(M1195=2,2,IF(M1195=1,3,IF(M1195=0,4)))),IF(Group_players=3,Z1195,IF(COUNTIF(M1194:M1197,M1195)=2,AB1195,IF(AND(M1195=M1194,M1194=M1196),AB1199,IF(AND(M1195=M1194,M1194=M1197),AB1205,IF(AND(M1195=M1196,M1196=M1197),AB1207,"")))))))))</f>
        <v/>
      </c>
      <c r="P1195" s="133" t="str">
        <f>IF(COUNT(U1193:X1204)=3,IF(ISNUMBER(U1194),U1194,IF(ISNUMBER(W1194),W1194,IF(ISNUMBER(X1194),X1194,IF(X1194="","")))),IF(COUNT(U1193:X1204)=6,IF(ISNUMBER(U1202),U1202,IF(ISNUMBER(W1202),W1202,IF(ISNUMBER(X1202),X1202,IF(ISBLANK(X1201),"")))),""))</f>
        <v/>
      </c>
      <c r="Q1195" s="138" t="str">
        <f>IF(M1195="","",SUMIF(I1205:S1221,I1195,S1205:$S1221))</f>
        <v/>
      </c>
      <c r="R1195" s="139" t="str">
        <f>IF(M1195="","",L1195+Q1195)</f>
        <v/>
      </c>
      <c r="S1195" s="203"/>
      <c r="T1195" s="208">
        <v>3</v>
      </c>
      <c r="U1195" s="209" t="str">
        <f>IF(M1196="","",IF(COUNTIF(M1194:M1196,M1196)=3,IF(COUNTBLANK(I1194:I1197)=1,(Q1205+Q1208)/(Q1206+Q1209),IF(COUNTBLANK(I1194:I1197)=0,(Q1205+Q1214)/(Q1206+Q1215),"")),""))</f>
        <v/>
      </c>
      <c r="V1195" s="125" t="str">
        <f>IF(AND(COUNTBLANK(I1194:I1197)=0,M1196=M1197,M1197=M1194),(Q1205+Q1221)/(Q1206+Q1220),"")</f>
        <v/>
      </c>
      <c r="W1195" s="218"/>
      <c r="X1195" s="213" t="str">
        <f>IF(AND(COUNTBLANK(I1194:I1197)=0,M1196=M1197,M1197=M1195),(Q1214+Q1221)/(Q1215+Q1220),"")</f>
        <v/>
      </c>
      <c r="Y1195" s="219">
        <v>2</v>
      </c>
      <c r="Z1195" s="220" t="str">
        <f>IF(U1194="","",IF(OR(Group_players=3,AND(Group_players=4,COUNTBLANK(I1194:I1197)=1)),IF(COUNTIF(M1194:M1196,M1195)=1,"",IF(AND(U1194=U1193,U1194=U1195),Z1199,IF(AND(U1194&lt;&gt;U1193,U1194&lt;&gt;U1195,U1193&lt;&gt;U1195),(IF(SMALL(U1193:U1195,1)=U1194,1,IF(SMALL(U1193:U1195,2)=U1194,2,IF(SMALL(U1193:U1195,3)=U1194,3)))),IF(AND(U1194&lt;U1193,U1193=U1195),1,IF(AND(U1194&gt;U1193,U1193=U1195),3,IF(AND(U1194=U1193,U1194&lt;U1195),(IF(Q1212=3,1,2)),IF(AND(U1194=U1193,U1194&gt;U1195),(IF(Q1212=3,2,3)),IF(AND(U1194=U1195,U1194&lt;U1193),(IF(Q1208=3,1,2)),IF(AND(U1194=U1195,U1194&gt;U1193),(IF(Q1208=3,2,3)),99))))))))),""))</f>
        <v/>
      </c>
      <c r="AA1195" s="221">
        <v>2</v>
      </c>
      <c r="AB1195" s="222" t="str">
        <f>IF(COUNTIF(M1194:M1197,M1195)&lt;&gt;2,"",IF(COUNTIF(M1194:M1197,M1195)=1,"",IF(AND(COUNTIF(M1194:M1197,M1195)=2,M1195=2),IF(M1195=M1194,IF(Q1218=3,1,2),IF(M1195=M1196,IF(Q1214=3,1,2),IF(M1195=M1197,IF(Q1208=3,1,2)))),IF(AND(COUNTIF(M1194:M1197,M1195)=2,M1195=1),IF(M1195=M1194,IF(Q1218=3,3,4),IF(M1195=M1196,IF(Q1214=3,3,4),IF(M1195=M1197,IF(Q1208=3,3,4)))),AB1200))))</f>
        <v/>
      </c>
      <c r="AC1195" s="192"/>
      <c r="AD1195" s="192"/>
      <c r="AE1195" s="192"/>
      <c r="AF1195" s="192"/>
      <c r="AG1195" s="192"/>
      <c r="AH1195" s="192"/>
      <c r="AI1195" s="192"/>
      <c r="AJ1195" s="192"/>
      <c r="AK1195" s="192"/>
      <c r="AL1195" s="192"/>
      <c r="AM1195" s="192"/>
      <c r="AN1195" s="192"/>
      <c r="AO1195" s="192"/>
      <c r="AP1195" s="192"/>
      <c r="AQ1195" s="192"/>
      <c r="AR1195" s="192"/>
      <c r="AS1195" s="192"/>
      <c r="AT1195" s="192"/>
      <c r="AU1195" s="192"/>
      <c r="AV1195" s="192"/>
      <c r="AW1195" s="192"/>
      <c r="AX1195" s="192"/>
    </row>
    <row r="1196" spans="2:50" ht="15" customHeight="1" thickBot="1" x14ac:dyDescent="0.35">
      <c r="B1196" s="192"/>
      <c r="C1196" s="192"/>
      <c r="D1196" s="192"/>
      <c r="E1196" s="192"/>
      <c r="F1196" s="192" t="str">
        <f>IF(I1196="","",VLOOKUP(I1196,Siembra,2,FALSE))</f>
        <v/>
      </c>
      <c r="G1196" s="192" t="str">
        <f>O1196</f>
        <v/>
      </c>
      <c r="H1196" s="192">
        <v>3</v>
      </c>
      <c r="I1196" s="128" t="str">
        <f>IF(K1196="","",IF(ISNUMBER(Sorteo!$A$17),VLOOKUP(K1196,Draw,2,FALSE),""))</f>
        <v/>
      </c>
      <c r="J1196" s="129" t="str">
        <f>O1196</f>
        <v/>
      </c>
      <c r="K1196" s="136" t="str">
        <f>IF($K$9="","",IF(Group_players=4,IF(Tablas!CN$5="","",Tablas!CN$5),IF(Group_players=3,IF(Tablas!CN$13="","",Tablas!CN$13),"")))</f>
        <v/>
      </c>
      <c r="L1196" s="137" t="str">
        <f>IF(K1196="","",VLOOKUP(I1196,Siembra,3,FALSE))</f>
        <v/>
      </c>
      <c r="M1196" s="132" t="str">
        <f>IF(AND(L1206="",L1205=""),"",IF(I1196="","",SUMIFS(E1205:E1223,I1205:I1223,I1196)))</f>
        <v/>
      </c>
      <c r="N1196" s="138" t="str">
        <f>IF(M1196="","",IF(I1196="","",SUMIFS(F1205:F1221,I1205:I1221,I1196)))</f>
        <v/>
      </c>
      <c r="O1196" s="132" t="str">
        <f>IF(M1196="","",IF(COUNTBLANK(I1194:I1197)=1,IF(M1196=2,1,IF(M1196=0,3,IF(AND(M1196=1,M1196&lt;&gt;M1194),2,IF(COUNTIF(M1194:M1197,1)&gt;1,Z1196)))),IF(COUNTBLANK(I1194:I1197)=0,IF(COUNTIF(M1194:M1197,M1196)=1,IF(M1196=3,1,IF(M1196=2,2,IF(M1196=1,3,IF(M1196=0,4)))),IF(Group_players=3,Z1196,IF(COUNTIF(M1194:M1197,M1196)=2,AB1196,IF(AND(M1196=M1194,M1194=M1195),AB1200,IF(AND(M1196=M1194,M1194=M1197),AB1202,IF(AND(M1196=M1195,M1195=M1197),AB1208,"")))))))))</f>
        <v/>
      </c>
      <c r="P1196" s="133" t="str">
        <f>IF(COUNT(U1193:X1204)=3,IF(ISNUMBER(U1195),U1195,IF(ISNUMBER(V1195),V1195,IF(ISNUMBER(X1195),X1195,IF(W1195="","")))),IF(COUNT(U1193:X1204)=6,IF(ISNUMBER(U1203),U1203,IF(ISNUMBER(V1203),V1203,IF(ISNUMBER(X1203),X1203,""))),""))</f>
        <v/>
      </c>
      <c r="Q1196" s="138" t="str">
        <f>IF(M1196="","",SUMIF(I1205:S1221,I1196,S1205:S1221))</f>
        <v/>
      </c>
      <c r="R1196" s="139" t="str">
        <f>IF(M1196="","",L1196+Q1196)</f>
        <v/>
      </c>
      <c r="S1196" s="203"/>
      <c r="T1196" s="208">
        <v>4</v>
      </c>
      <c r="U1196" s="223"/>
      <c r="V1196" s="140" t="str">
        <f>IF(AND(COUNTBLANK(I1194:I1197)=0,M1197=M1194,M1194=M1196),(Q1211+Q1220)/(Q1212+Q1221),"")</f>
        <v/>
      </c>
      <c r="W1196" s="224" t="str">
        <f>IF(AND(COUNTBLANK(I1194:I1197)=0,M1197=M1194,M1194=M1195),(Q1211+Q1208)/(Q1212+Q1209),"")</f>
        <v/>
      </c>
      <c r="X1196" s="225" t="str">
        <f>IF(AND(COUNTBLANK(I1194:I1197)=0,M1197=M1195,M1195=M1196),(Q1208+Q1220)/(Q1209+Q1221),"")</f>
        <v/>
      </c>
      <c r="Y1196" s="226">
        <v>3</v>
      </c>
      <c r="Z1196" s="227" t="str">
        <f>IF(U1195="","",IF(OR(Group_players=3,AND(Group_players=4,COUNTBLANK(I1194:I1197)=1)),IF(COUNTIF(M1194:M1196,M1196)=1,"",IF(AND(U1195=U1193,U1195=U1194),Z1200,IF(AND(U1195&lt;&gt;U1194,U1194&lt;&gt;U1193,U1195&lt;&gt;U1193),(IF(SMALL(U1193:U1195,1)=U1195,1,IF(SMALL(U1193:U1195,2)=U1195,2,IF(SMALL(U1193:U1195,3)=U1195,3)))),IF(AND(U1195&lt;U1194,U1194=U1193),1,IF(AND(U1195&gt;U1194,U1194=U1193),3,IF(AND(U1195=U1194,U1195&lt;U1193),(IF(Q1209=3,1,2)),IF(AND(U1195=U1194,U1195&gt;U1193),(IF(Q1209=3,2,3)),IF(AND(U1195=U1193,U1195&lt;U1194),(IF(Q1206=3,1,2)),IF(AND(U1195=U1193,U1195&gt;U1194),(IF(Q1206=3,2,3)),99))))))))),""))</f>
        <v/>
      </c>
      <c r="AA1196" s="221">
        <v>3</v>
      </c>
      <c r="AB1196" s="222" t="str">
        <f>IF(COUNTIF(M1194:M1197,M1196)&lt;&gt;2,"",IF(COUNTIF(M1194:M1197,M1196)=1,"",IF(AND(COUNTIF(M1194:M1197,M1196)=2,M1196=2),IF(M1196=M1194,IF(Q1206=3,1,2),IF(M1196=M1195,IF(Q1215=3,1,2),IF(M1196=M1197,IF(Q1220=3,1,2)))),IF(AND(COUNTIF(M1194:M1197,M1196)=2,M1196=1),IF(M1196=M1194,IF(Q1206=3,3,4),IF(M1196=M1195,IF(Q1215=3,3,4),IF(M1196=M1197,IF(Q1220=3,3,4)))),AB1200))))</f>
        <v/>
      </c>
      <c r="AC1196" s="192"/>
      <c r="AD1196" s="192"/>
      <c r="AE1196" s="192"/>
      <c r="AF1196" s="192"/>
      <c r="AG1196" s="192"/>
      <c r="AH1196" s="192"/>
      <c r="AI1196" s="192"/>
      <c r="AJ1196" s="192"/>
      <c r="AK1196" s="192"/>
      <c r="AL1196" s="192"/>
      <c r="AM1196" s="192"/>
      <c r="AN1196" s="192"/>
      <c r="AO1196" s="192"/>
      <c r="AP1196" s="192"/>
      <c r="AQ1196" s="192"/>
      <c r="AR1196" s="192"/>
      <c r="AS1196" s="192"/>
      <c r="AT1196" s="192"/>
      <c r="AU1196" s="192"/>
      <c r="AV1196" s="192"/>
      <c r="AW1196" s="192"/>
      <c r="AX1196" s="192"/>
    </row>
    <row r="1197" spans="2:50" ht="15" customHeight="1" thickTop="1" thickBot="1" x14ac:dyDescent="0.35">
      <c r="B1197" s="192"/>
      <c r="C1197" s="192"/>
      <c r="D1197" s="192"/>
      <c r="E1197" s="192"/>
      <c r="F1197" s="192" t="str">
        <f>IF(I1197="","",VLOOKUP(I1197,Siembra,2,FALSE))</f>
        <v/>
      </c>
      <c r="G1197" s="192" t="str">
        <f>O1197</f>
        <v/>
      </c>
      <c r="H1197" s="192">
        <v>4</v>
      </c>
      <c r="I1197" s="141" t="str">
        <f>IF(K1197="","",IF(ISNUMBER(Sorteo!$A$17),VLOOKUP(K1197,Draw,2,FALSE),""))</f>
        <v/>
      </c>
      <c r="J1197" s="142" t="str">
        <f>O1197</f>
        <v/>
      </c>
      <c r="K1197" s="143" t="str">
        <f>IF($K$9="","",IF(Group_players=4,IF(Tablas!CN6="","",Tablas!CN6),""))</f>
        <v/>
      </c>
      <c r="L1197" s="144" t="str">
        <f>IF(K1197="","",VLOOKUP(I1197,Siembra,3,FALSE))</f>
        <v/>
      </c>
      <c r="M1197" s="145" t="str">
        <f>IF(AND(Q1208="",Q1209=""),"",IF(I1197="","",SUMIFS(E1205:E1224,I1205:I1224,I1197)))</f>
        <v/>
      </c>
      <c r="N1197" s="145" t="str">
        <f>IF(M1197="","",IF(I1197="","",SUMIFS(F1205:F1221,I1205:I1221,I1197)))</f>
        <v/>
      </c>
      <c r="O1197" s="145" t="str">
        <f>IF(M1197="","",IF(COUNTIF(M1194:M1197,M1197)=1,IF(M1197=3,1,IF(M1197=2,2,IF(M1197=1,3,IF(M1197=0,4)))),IF(COUNTIF(M1194:M1197,M1197)=2,AB1197,IF(AND(M1197=M1194,M1194=M1196),AB1203,IF(AND(M1197=M1194,M1194=M1195),AB1206,IF(AND(M1197=M1195,M1195=M1196),AB1209,""))))))</f>
        <v/>
      </c>
      <c r="P1197" s="146" t="str">
        <f>IF(COUNT(U1193:X1204)=3,IF(ISNUMBER(V1196),V1196,IF(ISNUMBER(W1196),W1196,IF(ISNUMBER(X1196),X1196,IF(X1196="","")))),IF(COUNT(U1193:X1204)=6,IF(ISNUMBER(V1204),V1204,IF(ISNUMBER(W1204),W1204,IF(ISNUMBER(X1204),X1204,""))),""))</f>
        <v/>
      </c>
      <c r="Q1197" s="145" t="str">
        <f>IF(M1197="","",SUMIF(I1205:S1221,I1197,S1205:$S1221))</f>
        <v/>
      </c>
      <c r="R1197" s="147" t="str">
        <f>IF(M1197="","",L1197+Q1197)</f>
        <v/>
      </c>
      <c r="S1197" s="203"/>
      <c r="T1197" s="192"/>
      <c r="U1197" s="192"/>
      <c r="V1197" s="192"/>
      <c r="W1197" s="192"/>
      <c r="X1197" s="192"/>
      <c r="Y1197" s="230" t="s">
        <v>93</v>
      </c>
      <c r="Z1197" s="231" t="s">
        <v>110</v>
      </c>
      <c r="AA1197" s="232">
        <v>4</v>
      </c>
      <c r="AB1197" s="233" t="str">
        <f>IF(COUNTIF(M1194:M1197,M1197)&lt;&gt;2,"",IF(COUNTIF(M1194:M1197,M1197)=1,"",IF(AND(COUNTIF(M1194:M1197,M1197)=2,M1197=2),IF(M1197=M1194,IF(Q1212=3,1,2),IF(M1197=M1195,IF(Q1209=3,1,2),IF(M1197=M1196,IF(Q1221=3,1,2)))),IF(AND(COUNTIF(M1194:M1197,M1197)=2,M1197=1),IF(M1197=M1194,IF(Q1212=3,3,4),IF(M1197=M1195,IF(Q1209=3,3,4),IF(M1197=M1196,IF(Q1221=3,3,4)))),AB1203))))</f>
        <v/>
      </c>
      <c r="AC1197" s="192"/>
      <c r="AD1197" s="192"/>
      <c r="AE1197" s="192"/>
      <c r="AF1197" s="192"/>
      <c r="AG1197" s="192"/>
      <c r="AH1197" s="192"/>
      <c r="AI1197" s="192"/>
      <c r="AJ1197" s="192"/>
      <c r="AK1197" s="192"/>
      <c r="AL1197" s="192"/>
      <c r="AM1197" s="192"/>
      <c r="AN1197" s="192"/>
      <c r="AO1197" s="192"/>
      <c r="AP1197" s="192"/>
      <c r="AQ1197" s="192"/>
      <c r="AR1197" s="192"/>
      <c r="AS1197" s="192"/>
      <c r="AT1197" s="192"/>
      <c r="AU1197" s="192"/>
      <c r="AV1197" s="192"/>
      <c r="AW1197" s="192"/>
      <c r="AX1197" s="192"/>
    </row>
    <row r="1198" spans="2:50" ht="15" customHeight="1" thickTop="1" x14ac:dyDescent="0.3">
      <c r="B1198" s="192"/>
      <c r="C1198" s="192"/>
      <c r="D1198" s="192"/>
      <c r="E1198" s="192"/>
      <c r="F1198" s="192"/>
      <c r="G1198" s="192"/>
      <c r="H1198" s="192"/>
      <c r="I1198" s="192"/>
      <c r="J1198" s="192"/>
      <c r="K1198" s="192"/>
      <c r="L1198" s="192"/>
      <c r="M1198" s="192"/>
      <c r="N1198" s="192"/>
      <c r="O1198" s="192"/>
      <c r="P1198" s="192"/>
      <c r="Q1198" s="192"/>
      <c r="R1198" s="192"/>
      <c r="S1198" s="192"/>
      <c r="T1198" s="208"/>
      <c r="U1198" s="192"/>
      <c r="V1198" s="148"/>
      <c r="W1198" s="148"/>
      <c r="X1198" s="234"/>
      <c r="Y1198" s="214">
        <v>1</v>
      </c>
      <c r="Z1198" s="215" t="str">
        <f>IF(U1201="","",IF(OR(Group_players=3,AND(Group_players=4,COUNTBLANK(I1194:I1197)=1)),IF(COUNTIF(M1194:M1196,M1194)=1,"",IF(COUNTIF(U1193:U1195,U1193)=3,IF(AND(U1201=U1202,U1202=U1203),"Tied",IF(AND(U1201&lt;&gt;U1202,U1201&lt;&gt;U1203,U1202&lt;&gt;U1203),(IF(SMALL(U1201:U1203,1)=U1201,1,IF(SMALL(U1201:U1203,2)=U1201,2,IF(SMALL(U1201:U1203,3)=U1201,3)))),IF(AND(U1201&lt;U1202,U1202=U1203),1,IF(AND(U1201&gt;U1202,U1202=U1203),3,IF(AND(U1201=U1202,U1201&lt;U1203),(IF(Q1211=3,1,2)),IF(AND(U1201=U1202,U1201&gt;U1203),(IF(Q1211=3,2,3)),IF(AND(U1201=U1203,U1201&lt;U1202),(IF(Q1205=3,1,2)),IF(AND(U1201=U1203,U1201&gt;U1202),(IF(Q1205=3,2,3)),99)))))))),"")),""))</f>
        <v/>
      </c>
      <c r="AA1198" s="208">
        <v>1</v>
      </c>
      <c r="AB1198" s="222" t="str">
        <f>IF(AND(COUNTBLANK(I1194:I1197)=0,Group_players=4,M1194=M1195,M1195=M1196),IF(COUNTIF(U1193:U1196,U1193)=3,AB1211,IF(AND(COUNTIF(U1193:U1196,U1193)=1,U1194&lt;&gt;U1195),IF(M1194=2,IF(SMALL(U1193:U1196,1)=U1193,1,IF(SMALL(U1193:U1196,2)=U1193,2,IF(SMALL(U1193:U1196,3)=U1193,3))),IF(M1194=1,IF(SMALL(U1193:U1196,1)=U1193,2,IF(SMALL(U1193:U1196,2)=U1193,3,IF(SMALL(U1193:U1196,3)=U1193,4))),"")),IF(COUNTIF(U1193:U1196,U1193)=1,IF(U1193&lt;U1194,IF(M1194=2,1,2),IF(M1194=2,3,4)),IF(COUNTIF(U1193:U1196,U1193)=2,IF(U1193=U1194,IF(U1193&lt;U1195,IF(M1194=2,IF(Q1217=3,1,2),IF(M1194=1,IF(Q1217=3,2,3))),IF(U1193&gt;U1195,IF(M1194=2,IF(Q1217=3,2,3),IF(M1194=1,IF(Q1217=3,3,4))))),IF(U1193=U1195,IF(U1193&lt;U1194,IF(M1194=2,IF(Q1205=3,1,2),IF(M1194=1,IF(Q1205=3,2,3))),IF(U1193&gt;U1194,IF(M1194=2,IF(Q1205=3,2,3),IF(M1194=1,IF(Q1205=3,3,4))))))),"")))),"")</f>
        <v/>
      </c>
      <c r="AC1198" s="192"/>
      <c r="AD1198" s="192"/>
      <c r="AE1198" s="192"/>
      <c r="AF1198" s="192"/>
      <c r="AG1198" s="192"/>
      <c r="AH1198" s="192"/>
      <c r="AI1198" s="192"/>
      <c r="AJ1198" s="192"/>
      <c r="AK1198" s="192"/>
      <c r="AL1198" s="192"/>
      <c r="AM1198" s="192"/>
      <c r="AN1198" s="192"/>
      <c r="AO1198" s="192"/>
      <c r="AP1198" s="192"/>
      <c r="AQ1198" s="192"/>
      <c r="AR1198" s="192"/>
      <c r="AS1198" s="192"/>
      <c r="AT1198" s="192"/>
      <c r="AU1198" s="192"/>
      <c r="AV1198" s="192"/>
      <c r="AW1198" s="192"/>
      <c r="AX1198" s="192"/>
    </row>
    <row r="1199" spans="2:50" ht="15" customHeight="1" thickBot="1" x14ac:dyDescent="0.35">
      <c r="B1199" s="192"/>
      <c r="C1199" s="192"/>
      <c r="D1199" s="192"/>
      <c r="E1199" s="192"/>
      <c r="F1199" s="192"/>
      <c r="G1199" s="192"/>
      <c r="H1199" s="192"/>
      <c r="I1199" s="269"/>
      <c r="J1199" s="269"/>
      <c r="K1199" s="192"/>
      <c r="L1199" s="192"/>
      <c r="M1199" s="192"/>
      <c r="N1199" s="192"/>
      <c r="O1199" s="192"/>
      <c r="P1199" s="192"/>
      <c r="Q1199" s="192"/>
      <c r="R1199" s="192"/>
      <c r="S1199" s="192"/>
      <c r="T1199" s="208"/>
      <c r="U1199" s="368" t="s">
        <v>111</v>
      </c>
      <c r="V1199" s="369"/>
      <c r="W1199" s="369"/>
      <c r="X1199" s="369"/>
      <c r="Y1199" s="236">
        <v>2</v>
      </c>
      <c r="Z1199" s="220" t="str">
        <f>IF(U1194="","",IF(OR(Group_players=3,AND(Group_players=4,COUNTBLANK(I1194:I1197)=1)),IF(COUNTIF(M1194:M1196,M1195)=1,"",IF(COUNTIF(U1193:U1195,U1194)=3,IF(AND(U1202=U1201,U1202=U1203),"Tied",IF(AND(U1202&lt;&gt;U1201,U1202&lt;&gt;U1203,U1201&lt;&gt;U1203),(IF(SMALL(U1201:U1203,1)=U1202,1,IF(SMALL(U1201:U1203,2)=U1202,2,IF(SMALL(U1201:U1203,3)=U1202,3)))),IF(AND(U1202&lt;U1201,U1201=U1203),1,IF(AND(U1202&gt;U1201,U1201=U1203),3,IF(AND(U1202=U1201,U1202&lt;U1203),(IF(Q1212=3,1,2)),IF(AND(U1202=U1201,U1202&gt;U1203),(IF(Q1212=3,2,3)),IF(AND(U1202=U1203,U1202&lt;U1201),(IF(Q1208=3,1,2)),IF(AND(U1202=U1203,U1202&gt;U1201),(IF(Q1208=3,2,3)),99)))))))),"")),""))</f>
        <v/>
      </c>
      <c r="AA1199" s="208">
        <v>2</v>
      </c>
      <c r="AB1199" s="222" t="str">
        <f>IF(AND(COUNTBLANK(I1194:I1197)=0,Group_players=4,M1194=M1195,M1195=M1196),IF(COUNTIF(U1193:U1196,U1194)=3,AB1212,IF(AND(COUNTIF(U1193:U1196,U1194)=1,U1193&lt;&gt;U1195),IF(M1195=2,IF(SMALL(U1193:U1196,1)=U1194,1,IF(SMALL(U1193:U1196,2)=U1194,2,IF(SMALL(U1193:U1196,3)=U1194,3))),IF(M1195=1,IF(SMALL(U1193:U1196,1)=U1194,2,IF(SMALL(U1193:U1196,2)=U1194,3,IF(SMALL(U1193:U1196,3)=U1194,4))),"")),IF(COUNTIF(U1193:U1195,U1194)=1,IF(U1194&lt;U1193,IF(M1195=2,1,2),IF(M1195=2,3,99)),IF(COUNTIF(U1193:U1196,U1194)=2,IF(U1194=U1193,IF(U1194&lt;U1195,IF(M1195=2,IF(Q1218=3,1,2),IF(M1195=1,IF(Q1218=3,2,3))),IF(U1194&gt;U1195,IF(M1195=2,IF(Q1218=3,2,3),IF(M1195=1,IF(Q1218=3,3,4))))),IF(U1194=U1195,IF(U1194&lt;U1193,IF(M1195=2,IF(Q1214=3,1,2),IF(M1195=1,IF(Q1214=3,2,3))),IF(U1194&gt;U1193,IF(M1195=2,IF(Q1214=3,2,3),IF(M1195=1,IF(Q1214=3,3,4))))))),"")))),"")</f>
        <v/>
      </c>
      <c r="AC1199" s="192"/>
      <c r="AD1199" s="192"/>
      <c r="AE1199" s="192"/>
      <c r="AF1199" s="192"/>
      <c r="AG1199" s="192"/>
      <c r="AH1199" s="192"/>
      <c r="AI1199" s="192"/>
      <c r="AJ1199" s="192"/>
      <c r="AK1199" s="192"/>
      <c r="AL1199" s="192"/>
      <c r="AM1199" s="192"/>
      <c r="AN1199" s="192"/>
      <c r="AO1199" s="192"/>
      <c r="AP1199" s="192"/>
      <c r="AQ1199" s="192"/>
      <c r="AR1199" s="192"/>
      <c r="AS1199" s="192"/>
      <c r="AT1199" s="192"/>
      <c r="AU1199" s="192"/>
      <c r="AV1199" s="192"/>
      <c r="AW1199" s="192"/>
      <c r="AX1199" s="192"/>
    </row>
    <row r="1200" spans="2:50" ht="15" customHeight="1" thickTop="1" thickBot="1" x14ac:dyDescent="0.35">
      <c r="B1200" s="192"/>
      <c r="C1200" s="192"/>
      <c r="D1200" s="192"/>
      <c r="E1200" s="192"/>
      <c r="F1200" s="192"/>
      <c r="G1200" s="192"/>
      <c r="H1200" s="192"/>
      <c r="I1200" s="192"/>
      <c r="J1200" s="192"/>
      <c r="K1200" s="192"/>
      <c r="L1200" s="192"/>
      <c r="M1200" s="192"/>
      <c r="N1200" s="192"/>
      <c r="O1200" s="192"/>
      <c r="P1200" s="192"/>
      <c r="Q1200" s="192"/>
      <c r="R1200" s="192"/>
      <c r="S1200" s="192"/>
      <c r="T1200" s="120"/>
      <c r="U1200" s="121" t="s">
        <v>101</v>
      </c>
      <c r="V1200" s="122" t="s">
        <v>102</v>
      </c>
      <c r="W1200" s="122" t="s">
        <v>103</v>
      </c>
      <c r="X1200" s="123" t="s">
        <v>104</v>
      </c>
      <c r="Y1200" s="238">
        <v>3</v>
      </c>
      <c r="Z1200" s="239" t="str">
        <f>IF(U1195="","",IF(OR(Group_players=3,AND(Group_players=4,COUNTBLANK(I1194:I1197)=1)),IF(COUNTIF(M1194:M1196,M1196)=1,"",IF(COUNTIF(U1193:U1195,U1195)=3,IF(AND(U1203=U1201,U1203=U1202),"Tied",IF(AND(U1203&lt;&gt;U1202,U1202&lt;&gt;U1201,U1203&lt;&gt;U1201),(IF(SMALL(U1201:U1203,1)=U1203,1,IF(SMALL(U1201:U1203,2)=U1203,2,IF(SMALL(U1201:U1203,3)=U1203,3)))),IF(AND(U1203&lt;U1202,U1202=U1201),1,IF(AND(U1203&gt;U1202,U1202=U1201),3,IF(AND(U1203=U1202,U1203&lt;U1201),(IF(Q1209=3,1,2)),IF(AND(U1203=U1202,U1203&gt;U1201),(IF(Q1209=3,2,3)),IF(AND(U1203=U1201,U1203&lt;U1202),(IF(Q1206=3,1,2)),IF(AND(U1203=U1201,U1203&gt;U1202),(IF(Q1206=3,2,3)),99)))))))),"")),""))</f>
        <v/>
      </c>
      <c r="AA1200" s="240">
        <v>3</v>
      </c>
      <c r="AB1200" s="241" t="str">
        <f>IF(AND(COUNTBLANK(I1194:I1197)=0,Group_players=4,M1194=M1195,M1195=M1196),IF(COUNTIF(U1193:U1196,U1195)=3,AB1213,IF(AND(COUNTIF(U1193:U1196,U1195)=1,U1193&lt;&gt;U1194),IF(M1194=2,IF(SMALL(U1193:U1196,1)=U1195,1,IF(SMALL(U1193:U1196,2)=U1195,2,IF(SMALL(U1193:U1196,3)=U1195,3))),IF(M1196=1,IF(SMALL(U1193:U1196,1)=U1195,2,IF(SMALL(U1193:U1196,2)=U1195,3,IF(SMALL(U1193:U1196,3)=U1195,4))),"")),IF(COUNTIF(U1193:U1196,U1195)=1,IF(U1195&lt;U1194,IF(M1196=2,1,2),IF(M1196=2,3,4)),IF(COUNTIF(U1193:U1196,U1195)=2,IF(U1195=U1194,IF(U1195&lt;U1193,IF(M1196=2,IF(Q1215=3,1,2),IF(M1196=1,IF(Q1215=3,2,3))),IF(U1195&gt;U1193,IF(M1196=2,IF(Q1215=3,2,3),IF(M1196=1,IF(Q1215=3,3,4))))),IF(U1195=U1193,IF(U1195&lt;U1194,IF(M1196=2,IF(Q1206=3,1,2),IF(M1196=1,IF(Q1206=3,2,3))),IF(U1195&gt;U1194,IF(M1196=2,IF(Q1206=3,2,3),IF(M1196=1,IF(Q1206=3,3,4))))))),"")))),"")</f>
        <v/>
      </c>
      <c r="AC1200" s="192"/>
      <c r="AD1200" s="192"/>
      <c r="AE1200" s="192"/>
      <c r="AF1200" s="192"/>
      <c r="AG1200" s="192"/>
      <c r="AH1200" s="192"/>
      <c r="AI1200" s="192"/>
      <c r="AJ1200" s="192"/>
      <c r="AK1200" s="192"/>
      <c r="AL1200" s="192"/>
      <c r="AM1200" s="192"/>
      <c r="AN1200" s="192"/>
      <c r="AO1200" s="192"/>
      <c r="AP1200" s="192"/>
      <c r="AQ1200" s="192"/>
      <c r="AR1200" s="192"/>
      <c r="AS1200" s="192"/>
      <c r="AT1200" s="192"/>
      <c r="AU1200" s="192"/>
      <c r="AV1200" s="192"/>
      <c r="AW1200" s="192"/>
      <c r="AX1200" s="192"/>
    </row>
    <row r="1201" spans="2:50" ht="15" customHeight="1" thickTop="1" thickBot="1" x14ac:dyDescent="0.35">
      <c r="B1201" s="192"/>
      <c r="C1201" s="192"/>
      <c r="D1201" s="192"/>
      <c r="E1201" s="192"/>
      <c r="F1201" s="192"/>
      <c r="G1201" s="192"/>
      <c r="H1201" s="192"/>
      <c r="I1201" s="192"/>
      <c r="J1201" s="192"/>
      <c r="K1201" s="192"/>
      <c r="L1201" s="192"/>
      <c r="M1201" s="192"/>
      <c r="N1201" s="192"/>
      <c r="O1201" s="192"/>
      <c r="P1201" s="192"/>
      <c r="Q1201" s="192"/>
      <c r="R1201" s="192"/>
      <c r="S1201" s="192"/>
      <c r="T1201" s="208">
        <v>1</v>
      </c>
      <c r="U1201" s="209" t="str">
        <f>IF(U1193="","",IF(OR(U1193&lt;&gt;U1194,U1193&lt;&gt;U1195),"",IF(COUNTIF(M1194:M1196,M1194)=1,"",IF(COUNTBLANK(I1194:I1197)=1,(SUM(L1206:P1206)+SUM(L1212:P1212))/(SUM(L1205:P1205)+SUM(L1211:P1211)),IF(COUNTBLANK(I1194:I1197)=0,(SUM(L1218:P1218)+SUM(L1206:P1206))/(SUM(L1217:P1217)+SUM(L1205:P1205)),"")))))</f>
        <v/>
      </c>
      <c r="V1201" s="125" t="str">
        <f>IF(V1193="","",IF(OR(V1193&lt;&gt;V1195,V1193&lt;&gt;V1196),"",IF(AND(COUNTBLANK(I1194:I1197)=0,M1194=M1196,M1196=M1197),(SUM(L1206:P1206)+SUM(L1212:P1212))/(SUM(L1205:P1205)+SUM(L1211:P1211)),"")))</f>
        <v/>
      </c>
      <c r="W1201" s="210" t="str">
        <f>IF(W1193="","",IF(OR(W1193&lt;&gt;W1194,W1193&lt;&gt;W1196),"",IF(AND(COUNTBLANK(I1194:I1197)=0,M1194=M1195,M1195=M1197),(SUM(L1218:P1218)+SUM(L1212:P1212))/(SUM(L1217:P1217)+SUM(L1211:P1211)),"")))</f>
        <v/>
      </c>
      <c r="X1201" s="211"/>
      <c r="Y1201" s="242"/>
      <c r="Z1201" s="242"/>
      <c r="AA1201" s="243">
        <v>1</v>
      </c>
      <c r="AB1201" s="244" t="str">
        <f>IF(AND(COUNTBLANK(I1194:I1197)=0,Group_players=4,M1194=M1196,M1196=M1197),IF(COUNTIF(V1193:V1196,V1193)=3,AB1214,IF(AND(COUNTIF(V1193:V1196,V1193)=1,V1195&lt;&gt;U1204),IF(M1194=2,IF(SMALL(V1193:V1196,1)=V1193,1,IF(SMALL(V1193:V1196,2)=V1193,2,IF(SMALL(V1193:V1196,3)=V1193,3))),IF(M1194=1,IF(SMALL(V1193:V1196,1)=V1193,2,IF(SMALL(V1193:V1196,2)=V1193,3,IF(SMALL(V1193:V1196,3)=V1193,4))),"")),IF(COUNTIF(V1193:V1196,V1193)=1,IF(V1193&lt;V1195,IF(M1194=2,1,2),IF(M1194=2,3,4)),IF(COUNTIF(V1193:V1196,V1193)=2,IF(V1193=V1195,IF(V1193&lt;V1196,IF(M1194=2,IF(Q1205=3,1,2),IF(M1194=1,IF(Q1205=3,2,3))),IF(V1193&gt;V1196,IF(M1194=2,IF(Q1205=3,2,3),IF(M1194=1,IF(Q1205=3,3,4))))),IF(V1193=V1196,IF(V1193&lt;V1195,IF(M1194=2,IF(Q1211=3,1,2),IF(M1194=1,IF(Q1211=3,2,3))),IF(V1193&gt;V1194,IF(M1194=2,IF(Q1211=3,2,3),IF(M1194=1,IF(Q1211=3,3,4))))))),"")))),"")</f>
        <v/>
      </c>
      <c r="AC1201" s="192"/>
      <c r="AD1201" s="192"/>
      <c r="AE1201" s="192"/>
      <c r="AF1201" s="192"/>
      <c r="AG1201" s="192"/>
      <c r="AH1201" s="192"/>
      <c r="AI1201" s="192"/>
      <c r="AJ1201" s="192"/>
      <c r="AK1201" s="192"/>
      <c r="AL1201" s="192"/>
      <c r="AM1201" s="192"/>
      <c r="AN1201" s="192"/>
      <c r="AO1201" s="192"/>
      <c r="AP1201" s="192"/>
      <c r="AQ1201" s="192"/>
      <c r="AR1201" s="192"/>
      <c r="AS1201" s="192"/>
      <c r="AT1201" s="192"/>
      <c r="AU1201" s="192"/>
      <c r="AV1201" s="192"/>
      <c r="AW1201" s="192"/>
      <c r="AX1201" s="192"/>
    </row>
    <row r="1202" spans="2:50" ht="15" customHeight="1" thickTop="1" thickBot="1" x14ac:dyDescent="0.35">
      <c r="B1202" s="192"/>
      <c r="C1202" s="192"/>
      <c r="D1202" s="192"/>
      <c r="E1202" s="117"/>
      <c r="F1202" s="117"/>
      <c r="G1202" s="117"/>
      <c r="H1202" s="192"/>
      <c r="I1202" s="192"/>
      <c r="J1202" s="192"/>
      <c r="K1202" s="192"/>
      <c r="L1202" s="192"/>
      <c r="M1202" s="192"/>
      <c r="N1202" s="192"/>
      <c r="O1202" s="192"/>
      <c r="P1202" s="192"/>
      <c r="Q1202" s="192"/>
      <c r="R1202" s="192"/>
      <c r="S1202" s="394" t="s">
        <v>112</v>
      </c>
      <c r="T1202" s="208">
        <v>2</v>
      </c>
      <c r="U1202" s="209" t="str">
        <f>IF(U1193="","",IF(OR(U1194&lt;&gt;U1193,U1194&lt;&gt;U1195),"",IF(COUNTIF(M1194:M1196,M1195)=1,"",IF(COUNTBLANK(I1194:I1197)=1,(SUM(L1209:P1209)+SUM(L1211:P1211))/(SUM(L1208:P1208)+SUM(L1212:P1212)),IF(COUNTBLANK(I1194:I1197)=0,(SUM(L1217:P1217)+SUM(L1215:P1215))/(SUM(L1218:P1218)+SUM(L1214:P1214)))))))</f>
        <v/>
      </c>
      <c r="V1202" s="135"/>
      <c r="W1202" s="212" t="str">
        <f>IF(W1193="","",IF(OR(W1194&lt;&gt;W1193,W1194&lt;&gt;W1196),"",IF(AND(COUNTBLANK(I1194:I1197)=0,M1194=M1195,M1195=M1197),(SUM(L1209:P1209)+SUM(L1217:P1217))/(SUM(L1218:P1218)+SUM(L1208:P1208)),"")))</f>
        <v/>
      </c>
      <c r="X1202" s="245" t="str">
        <f>IF(X1194="","",IF(OR(X1194&lt;&gt;X1195,X1194&lt;&gt;X1196),"",IF(AND(COUNTBLANK(I1194:I1197)=0,M1195=M1196,M1196=M1197),(SUM(L1215:P1215)+SUM(L1209:P1209))/(SUM(L1214:P1214)+SUM(L1208:P1208)),"")))</f>
        <v/>
      </c>
      <c r="Y1202" s="242"/>
      <c r="Z1202" s="203"/>
      <c r="AA1202" s="246">
        <v>3</v>
      </c>
      <c r="AB1202" s="222" t="str">
        <f>IF(AND(COUNTBLANK(I1194:I1197)=0,Group_players=4,M1194=M1196,M1196=M1197),IF(COUNTIF(V1193:V1196,V1195)=3,AB1215,IF(AND(COUNTIF(V1193:V1196,V1195)=1,V1193&lt;&gt;V1196),IF(M1196=2,IF(SMALL(V1193:V1196,1)=V1195,1,IF(SMALL(V1193:V1196,2)=V1195,2,IF(SMALL(V1193:V1196,3)=V1195,3))),IF(M1196=1,IF(SMALL(V1193:V1196,1)=V1195,2,IF(SMALL(V1193:V1196,2)=V1195,3,IF(SMALL(V1193:V1196,3)=V1195,4))),"")),IF(COUNTIF(V1193:V1196,V1195)=1,IF(V1195&lt;V1193,IF(M1196=2,1,2),IF(M1196=2,3,4)),IF(COUNTIF(V1193:V1196,V1195)=2,IF(V1195=V1193,IF(V1195&lt;V1196,IF(M1196=2,IF(Q1206=3,1,2),IF(M1196=1,IF(Q1206=3,2,3))),IF(V1195&gt;V1196,IF(M1196=2,IF(Q1206=3,2,3),IF(M1196=1,IF(Q1206=3,3,4))))),IF(V1195=V1196,IF(V1195&lt;V1193,IF(M1196=2,IF(Q1220=3,1,2),IF(M1196=1,IF(Q1220=3,2,3))),IF(V1195&gt;V1193,IF(M1196=2,IF(Q1220=3,2,3),IF(M1196=1,IF(Q1220=3,3,4))))))),"")))),"")</f>
        <v/>
      </c>
      <c r="AC1202" s="192"/>
      <c r="AD1202" s="192"/>
      <c r="AE1202" s="192"/>
      <c r="AF1202" s="192"/>
      <c r="AG1202" s="192"/>
      <c r="AH1202" s="192"/>
      <c r="AI1202" s="192"/>
      <c r="AJ1202" s="192"/>
      <c r="AK1202" s="192"/>
      <c r="AL1202" s="192"/>
      <c r="AM1202" s="192"/>
      <c r="AN1202" s="192"/>
      <c r="AO1202" s="192"/>
      <c r="AP1202" s="192"/>
      <c r="AQ1202" s="192"/>
      <c r="AR1202" s="192"/>
      <c r="AS1202" s="192"/>
      <c r="AT1202" s="192"/>
      <c r="AU1202" s="192"/>
      <c r="AV1202" s="192"/>
      <c r="AW1202" s="192"/>
      <c r="AX1202" s="192"/>
    </row>
    <row r="1203" spans="2:50" ht="15" customHeight="1" thickTop="1" thickBot="1" x14ac:dyDescent="0.35">
      <c r="B1203" s="192"/>
      <c r="C1203" s="192"/>
      <c r="D1203" s="192"/>
      <c r="E1203" s="117"/>
      <c r="F1203" s="117"/>
      <c r="G1203" s="117"/>
      <c r="H1203" s="192"/>
      <c r="I1203" s="192"/>
      <c r="J1203" s="192"/>
      <c r="K1203" s="192"/>
      <c r="L1203" s="192"/>
      <c r="M1203" s="192"/>
      <c r="N1203" s="192"/>
      <c r="O1203" s="192"/>
      <c r="P1203" s="192"/>
      <c r="Q1203" s="192"/>
      <c r="R1203" s="247"/>
      <c r="S1203" s="395"/>
      <c r="T1203" s="208">
        <v>3</v>
      </c>
      <c r="U1203" s="209" t="str">
        <f>IF(U1193="","",IF(OR(U1195&lt;&gt;U1193,U1195&lt;&gt;U1194),"",IF(COUNTIF(M1194:M1196,M1196)=1,"",IF(COUNTBLANK(I1194:I1197)=1,(SUM(L1205:P1205)+SUM(L1208:P1208))/(SUM(L1206:P1206)+SUM(L1209:P1209)),IF(COUNTBLANK(I1194:I1197)=0,(SUM(L1205:P1205)+SUM(L1214:P1214))/(SUM(L1206:P1206)+SUM(L1215:P1215)))))))</f>
        <v/>
      </c>
      <c r="V1203" s="125" t="str">
        <f>IF(V1193="","",IF(OR(V1195&lt;&gt;V1193,V1195&lt;&gt;V1196),"",IF(AND(COUNTBLANK(I1194:I1197)=0,M1194=M1196,M1196=M1197),(SUM(L1205:P1205)+SUM(L1221:P1221))/(SUM(L1206:P1206)+SUM(L1220:P1220)),"")))</f>
        <v/>
      </c>
      <c r="W1203" s="218"/>
      <c r="X1203" s="245" t="str">
        <f>IF(X1194="","",IF(OR(X1195&lt;&gt;X1194,X1195&lt;&gt;X1196),"",IF(AND(COUNTBLANK(I1194:I1197)=0,M1195=M1196,M1196=M1197),(SUM(L1214:P1214)+SUM(L1221:P1221))/(SUM(L1215:P1215)+SUM(L1220:P1220)),"")))</f>
        <v/>
      </c>
      <c r="Y1203" s="208"/>
      <c r="Z1203" s="203"/>
      <c r="AA1203" s="240">
        <v>4</v>
      </c>
      <c r="AB1203" s="222" t="str">
        <f>IF(AND(COUNTBLANK(I1194:I1197)=0,Group_players=4,M1194=M1196,M1196=M1197),IF(COUNTIF(V1193:V1196,V1196)=3,AB1216,IF(AND(COUNTIF(V1193:V1196,V1196)=1,V1195&lt;&gt;V1193),IF(M1197=2,IF(SMALL(V1193:V1196,1)=V1196,1,IF(SMALL(V1193:V1196,2)=V1196,2,IF(SMALL(V1193:V1196,3)=V1196,3))),IF(M1197=1,IF(SMALL(V1193:V1196,1)=V1196,2,IF(SMALL(V1193:V1196,2)=V1196,3,IF(SMALL(V1193:V1196,3)=V1196,4))),"")),IF(COUNTIF(V1193:V1196,V1196)=1,IF(V1196&lt;V1193,IF(M1197=2,1,2),IF(M1197=2,3,4)),IF(COUNTIF(V1193:V1196,V1196)=2,IF(V1196=V1193,IF(V1196&lt;V1195,IF(M1197=2,IF(Q1212=3,1,2),IF(M1197=1,IF(Q1212=3,2,3))),IF(V1196&gt;V1195,IF(M1197=2,IF(Q1212=3,2,3),IF(M1197=1,IF(Q1212=3,3,4))))),IF(V1196=V1195,IF(V1196&lt;V1193,IF(M1197=2,IF(Q1221=3,1,2),IF(M1197=1,IF(Q1221=3,2,3))),IF(V1196&gt;V1193,IF(M1197=2,IF(Q1221=3,2,3),IF(M1197=1,IF(Q1221=3,3,4))))))),"")))),"")</f>
        <v/>
      </c>
      <c r="AC1203" s="192"/>
      <c r="AD1203" s="192"/>
      <c r="AE1203" s="192"/>
      <c r="AF1203" s="192"/>
      <c r="AG1203" s="192"/>
      <c r="AH1203" s="192"/>
      <c r="AI1203" s="192"/>
      <c r="AJ1203" s="192"/>
      <c r="AK1203" s="192"/>
      <c r="AL1203" s="192"/>
      <c r="AM1203" s="192"/>
      <c r="AN1203" s="192"/>
      <c r="AO1203" s="192"/>
      <c r="AP1203" s="192"/>
      <c r="AQ1203" s="192"/>
      <c r="AR1203" s="192"/>
      <c r="AS1203" s="192"/>
      <c r="AT1203" s="192"/>
      <c r="AU1203" s="192"/>
      <c r="AV1203" s="192"/>
      <c r="AW1203" s="192"/>
      <c r="AX1203" s="192"/>
    </row>
    <row r="1204" spans="2:50" ht="15" customHeight="1" thickTop="1" thickBot="1" x14ac:dyDescent="0.35">
      <c r="B1204" s="192"/>
      <c r="C1204" s="192"/>
      <c r="D1204" s="192"/>
      <c r="E1204" s="168" t="s">
        <v>113</v>
      </c>
      <c r="F1204" s="168" t="s">
        <v>114</v>
      </c>
      <c r="G1204" s="117"/>
      <c r="H1204" s="192"/>
      <c r="I1204" s="249" t="s">
        <v>115</v>
      </c>
      <c r="J1204" s="249"/>
      <c r="K1204" s="249"/>
      <c r="L1204" s="250" t="s">
        <v>115</v>
      </c>
      <c r="M1204" s="250" t="s">
        <v>116</v>
      </c>
      <c r="N1204" s="250" t="s">
        <v>117</v>
      </c>
      <c r="O1204" s="250" t="s">
        <v>118</v>
      </c>
      <c r="P1204" s="250" t="s">
        <v>119</v>
      </c>
      <c r="Q1204" s="250" t="s">
        <v>120</v>
      </c>
      <c r="R1204" s="250"/>
      <c r="S1204" s="251"/>
      <c r="T1204" s="208">
        <v>4</v>
      </c>
      <c r="U1204" s="223"/>
      <c r="V1204" s="140" t="str">
        <f>IF(V1193="","",IF(OR(V1196&lt;&gt;V1193,V1196&lt;&gt;V1195),"",IF(AND(COUNTBLANK(I1194:I1197)=0,M1194=M1196,M1196=M1197),(SUM(L1211:P1211)+SUM(L1220:P1220))/(SUM(L1212:P1212)+SUM(L1221:P1221)),"")))</f>
        <v/>
      </c>
      <c r="W1204" s="224" t="str">
        <f>IF(W1193="","",IF(OR(W1196&lt;&gt;W1193,W1196&lt;&gt;W1194),"",IF(AND(COUNTBLANK(I1194:I1197)=0,M1194=M1195,M1195=M1197),(SUM(L1211:P1211)+SUM(L1208:P1208))/(SUM(L1212:P1212)+SUM(L1209:P1209)),"")))</f>
        <v/>
      </c>
      <c r="X1204" s="252" t="str">
        <f>IF(X1194="","",IF(OR(X1196&lt;&gt;X1194,X1196&lt;&gt;X1195),"",IF(AND(COUNTBLANK(I1194:I1197)=0,M1195=M1196,M1196=M1197),(SUM(L1208:P1208)+SUM(L1220:P1220))/(SUM(L1209:P1209)+SUM(L1221:P1221)),"")))</f>
        <v/>
      </c>
      <c r="Y1204" s="192"/>
      <c r="Z1204" s="203"/>
      <c r="AA1204" s="243">
        <v>1</v>
      </c>
      <c r="AB1204" s="151" t="str">
        <f>IF(AND(COUNTBLANK(I1194:I1197)=0,Group_players=4,M1194=M1195,M1195=M1197),IF(COUNTIF(W1193:W1196,W1193)=3,AB1217,IF(AND(COUNTIF(W1193:W1196,W1193)=1,W1194&lt;&gt;W1196),IF(M1194=2,IF(SMALL(W1193:W1196,1)=W1193,1,IF(SMALL(W1193:W1196,2)=W1193,2,IF(SMALL(W1193:W1196,3)=W1193,3))),IF(M1194=1,IF(SMALL(W1193:W1196,1)=W1193,2,IF(SMALL(W1193:W1196,2)=W1193,3,IF(SMALL(W1193:W1196,3)=W1193,4))),"")),IF(COUNTIF(W1193:W1196,W1193)=1,IF(W1193&lt;W1194,IF(M1194=2,1,2),IF(M1194=2,3,4)),IF(COUNTIF(W1193:W1196,W1193)=2,IF(W1193=W1194,IF(W1193&lt;W1196,IF(M1194=2,IF(Q1217=3,1,2),IF(M1194=1,IF(Q1217=3,2,3))),IF(W1193&gt;W1196,IF(M1194=2,IF(Q1217=3,2,3),IF(M1194=1,IF(Q1217=3,3,4))))),IF(W1193=W1196,IF(W1193&lt;W1194,IF(M1194=2,IF(Q1211=3,1,2),IF(M1194=1,IF(Q1211=3,2,3))),IF(W1193&gt;W1194,IF(M1194=2,IF(Q1211=3,2,3),IF(M1194=1,IF(Q1211=3,3,4))))))),"")))),"")</f>
        <v/>
      </c>
      <c r="AC1204" s="192"/>
      <c r="AD1204" s="192"/>
      <c r="AE1204" s="192"/>
      <c r="AF1204" s="192"/>
      <c r="AG1204" s="192"/>
      <c r="AH1204" s="192"/>
      <c r="AI1204" s="192"/>
      <c r="AJ1204" s="192"/>
      <c r="AK1204" s="192"/>
      <c r="AL1204" s="192"/>
      <c r="AM1204" s="192"/>
      <c r="AN1204" s="192"/>
      <c r="AO1204" s="192"/>
      <c r="AP1204" s="192"/>
      <c r="AQ1204" s="192"/>
      <c r="AR1204" s="192"/>
      <c r="AS1204" s="192"/>
      <c r="AT1204" s="192"/>
      <c r="AU1204" s="192"/>
      <c r="AV1204" s="192"/>
      <c r="AW1204" s="192"/>
      <c r="AX1204" s="192"/>
    </row>
    <row r="1205" spans="2:50" ht="15" customHeight="1" thickTop="1" x14ac:dyDescent="0.3">
      <c r="B1205" s="192"/>
      <c r="C1205" s="192"/>
      <c r="D1205" s="192"/>
      <c r="E1205" s="164" t="str">
        <f>IF(Q1205="","",IF(Q1205=3,1,0))</f>
        <v/>
      </c>
      <c r="F1205" s="164" t="str">
        <f>IF(Q1205="","",IF(Q1205&lt;3,1,0))</f>
        <v/>
      </c>
      <c r="G1205" s="192"/>
      <c r="H1205" s="192" t="str">
        <f>IF(I1194="","",1)</f>
        <v/>
      </c>
      <c r="I1205" s="192" t="str">
        <f>IF(ISNUMBER(H1205),VLOOKUP(H1205,H1194:I1197,2,TRUE),"")</f>
        <v/>
      </c>
      <c r="J1205" s="192"/>
      <c r="K1205" s="192" t="str">
        <f>VLOOKUP(I1205,I1194:L1197,3,FALSE)</f>
        <v/>
      </c>
      <c r="L1205" s="253"/>
      <c r="M1205" s="254"/>
      <c r="N1205" s="254"/>
      <c r="O1205" s="152"/>
      <c r="P1205" s="153"/>
      <c r="Q1205" s="255" t="str">
        <f>IF(L1205="","",IF(AND(L1205-L1206&gt;1,L1205&gt;10),1,0)+IF(AND(M1205-M1206&gt;1,M1205&gt;10),1,0)+IF(AND(N1205-N1206&gt;1,N1205&gt;10),1,0)+IF(AND(O1205-O1206&gt;1,O1205&gt;10),1,0)+IF(AND(P1205-P1206&gt;1,P1205&gt;10),1,0))</f>
        <v/>
      </c>
      <c r="R1205" s="203" t="str">
        <f>IF(AND(I1205="",I1206=""),"",ABS(VLOOKUP(I1205,I1194:L1197,4,FALSE)-VLOOKUP(I1206,I1194:L1197,4,FALSE)))</f>
        <v/>
      </c>
      <c r="S1205" s="256" t="str">
        <f>IF(R1206="","",IF(Q1205=3,+R1206,-R1206))</f>
        <v/>
      </c>
      <c r="T1205" s="257"/>
      <c r="U1205" s="258"/>
      <c r="V1205" s="258"/>
      <c r="W1205" s="258"/>
      <c r="X1205" s="258"/>
      <c r="Y1205" s="192"/>
      <c r="Z1205" s="203"/>
      <c r="AA1205" s="246">
        <v>2</v>
      </c>
      <c r="AB1205" s="154" t="str">
        <f>IF(AND(COUNTBLANK(I1194:I1197)=0,Group_players=4,M1194=M1195,M1195=M1197),IF(COUNTIF(W1193:W1196,W1194)=3,AB1218,IF(AND(COUNTIF(W1193:W1196,W1194)=1,W1193&lt;&gt;W1195),IF(M1195=2,IF(SMALL(W1193:W1196,1)=W1194,1,IF(SMALL(W1193:W1196,2)=W1194,2,IF(SMALL(W1193:W1196,3)=W1194,3))),IF(M1195=1,IF(SMALL(W1193:W1196,1)=W1194,2,IF(SMALL(W1193:W1196,2)=W1194,3,IF(SMALL(W1193:W1196,3)=W1194,4))),"")),IF(COUNTIF(W1193:W1196,W1194)=1,IF(W1194&lt;W1193,IF(M1195=2,1,2),IF(M1195=2,3,4)),IF(COUNTIF(W1193:W1196,W1194)=2,IF(W1194=W1193,IF(W1194&lt;W1196,IF(M1195=2,IF(Q1218=3,1,2),IF(M1195=1,IF(Q1218=3,2,3))),IF(W1194&gt;W1196,IF(M1195=2,IF(Q1218=3,2,3),IF(M1195=1,IF(Q1218=3,3,4))))),IF(W1194=W1196,IF(W1194&lt;W1193,IF(M1195=2,IF(Q1208=3,1,2),IF(M1195=1,IF(Q1208=3,2,3))),IF(W1194&gt;W1193,IF(M1195=2,IF(Q1208=3,2,3),IF(M1195=1,IF(Q1208=3,3,4))))))),"")))),"")</f>
        <v/>
      </c>
      <c r="AC1205" s="192"/>
      <c r="AD1205" s="192"/>
      <c r="AE1205" s="192"/>
      <c r="AF1205" s="192"/>
      <c r="AG1205" s="192"/>
      <c r="AH1205" s="192"/>
      <c r="AI1205" s="192"/>
      <c r="AJ1205" s="192"/>
      <c r="AK1205" s="192"/>
      <c r="AL1205" s="192"/>
      <c r="AM1205" s="192"/>
      <c r="AN1205" s="192"/>
      <c r="AO1205" s="192"/>
      <c r="AP1205" s="192"/>
      <c r="AQ1205" s="192"/>
      <c r="AR1205" s="192"/>
      <c r="AS1205" s="192"/>
      <c r="AT1205" s="192"/>
      <c r="AU1205" s="192"/>
      <c r="AV1205" s="192"/>
      <c r="AW1205" s="192"/>
      <c r="AX1205" s="192"/>
    </row>
    <row r="1206" spans="2:50" ht="15" customHeight="1" thickBot="1" x14ac:dyDescent="0.35">
      <c r="B1206" s="192"/>
      <c r="C1206" s="192"/>
      <c r="D1206" s="192"/>
      <c r="E1206" s="164" t="str">
        <f>IF(Q1206="","",IF(Q1206=3,1,0))</f>
        <v/>
      </c>
      <c r="F1206" s="164" t="str">
        <f>IF(Q1206="","",IF(Q1206&lt;3,1,0))</f>
        <v/>
      </c>
      <c r="G1206" s="192"/>
      <c r="H1206" s="192" t="str">
        <f>IF(I1195="","",IF(I1196="",2,3))</f>
        <v/>
      </c>
      <c r="I1206" s="192" t="str">
        <f>IF(ISNUMBER(H1206),VLOOKUP(H1206,H1194:I1197,2,TRUE),"")</f>
        <v/>
      </c>
      <c r="J1206" s="192"/>
      <c r="K1206" s="192" t="str">
        <f>VLOOKUP(I1206,I1194:L1197,3,FALSE)</f>
        <v/>
      </c>
      <c r="L1206" s="155"/>
      <c r="M1206" s="259"/>
      <c r="N1206" s="259"/>
      <c r="O1206" s="156"/>
      <c r="P1206" s="157"/>
      <c r="Q1206" s="260" t="str">
        <f>IF(L1206="","",IF(AND(L1206-L1205&gt;1,L1206&gt;10),1,0)+IF(AND(M1206-M1205&gt;1,M1206&gt;10),1,0)+IF(AND(N1206-N1205&gt;1,N1206&gt;10),1,0)+IF(AND(O1206-O1205&gt;1,O1206&gt;10),1,0)+IF(AND(P1206-P1205&gt;1,P1206&gt;10),1,0))</f>
        <v/>
      </c>
      <c r="R1206" s="203" t="str">
        <f>IF(AND(Q1205&lt;&gt;3,Q1206&lt;&gt;3),"",IF(Q1205=3,IF(VLOOKUP(I1205,I1194:L1197,4,FALSE)&gt;VLOOKUP(I1206,I1194:L1197,4,FALSE),VLOOKUP(R1205,Point_dif,2,FALSE),VLOOKUP(R1205,Point_dif,3,FALSE)),IF(Q1206=3,IF(VLOOKUP(I1206,I1194:L1197,4,FALSE)&gt;VLOOKUP(I1205,I1194:L1197,4,FALSE),VLOOKUP(R1205,Point_dif,2,FALSE),VLOOKUP(R1205,Point_dif,3,FALSE)))))</f>
        <v/>
      </c>
      <c r="S1206" s="256" t="str">
        <f>IF(R1206="","",IF(Q1206=3,+R1206,-R1206))</f>
        <v/>
      </c>
      <c r="T1206" s="192"/>
      <c r="U1206" s="235"/>
      <c r="V1206" s="235"/>
      <c r="W1206" s="235"/>
      <c r="X1206" s="235"/>
      <c r="Y1206" s="235"/>
      <c r="Z1206" s="235"/>
      <c r="AA1206" s="240">
        <v>4</v>
      </c>
      <c r="AB1206" s="158" t="str">
        <f>IF(AND(COUNTBLANK(I1194:I1197)=0,Group_players=4,M1194=M1195,M1195=M1197),IF(COUNTIF(W1193:W1196,W1196)=3,AB1219,IF(AND(COUNTIF(W1193:W1196,W1196)=1,W1193&lt;&gt;W1194),IF(M1197=2,IF(SMALL(W1193:W1196,1)=W1196,1,IF(SMALL(W1193:W1196,2)=W1196,2,IF(SMALL(W1193:W1196,3)=W1196,3))),IF(M1197=1,IF(SMALL(W1193:W1196,1)=W1196,2,IF(SMALL(W1193:W1196,2)=W1196,3,IF(SMALL(W1193:W1196,3)=W1196,4))),"")),IF(COUNTIF(W1193:W1196,W1196)=1,IF(W1196&lt;W1193,IF(M1197=2,1,2),IF(M1197=2,3,4)),IF(COUNTIF(W1193:W1196,W1196)=2,IF(W1196=W1193,IF(W1196&lt;W1194,IF(M1197=2,IF(Q1212=3,1,2),IF(M1197=1,IF(Q1212=3,2,3))),IF(W1196&gt;W1195,IF(M1197=2,IF(Q1212=3,2,3),IF(M1197=1,IF(Q1212=3,3,4))))),IF(W1196=W1194,IF(W1196&lt;W1193,IF(M1197=2,IF(Q1209=3,1,2),IF(M1197=1,IF(Q1209=3,2,3))),IF(W1196&gt;W1193,IF(M1197=2,IF(Q1209=3,2,3),IF(M1197=1,IF(Q1209=3,3,4))))))),"")))),"")</f>
        <v/>
      </c>
      <c r="AC1206" s="192"/>
      <c r="AD1206" s="192"/>
      <c r="AE1206" s="192"/>
      <c r="AF1206" s="192"/>
      <c r="AG1206" s="192"/>
      <c r="AH1206" s="192"/>
      <c r="AI1206" s="192"/>
      <c r="AJ1206" s="192"/>
      <c r="AK1206" s="192"/>
      <c r="AL1206" s="192"/>
      <c r="AM1206" s="192"/>
      <c r="AN1206" s="192"/>
      <c r="AO1206" s="192"/>
      <c r="AP1206" s="192"/>
      <c r="AQ1206" s="192"/>
      <c r="AR1206" s="192"/>
      <c r="AS1206" s="192"/>
      <c r="AT1206" s="192"/>
      <c r="AU1206" s="192"/>
      <c r="AV1206" s="192"/>
      <c r="AW1206" s="192"/>
      <c r="AX1206" s="192"/>
    </row>
    <row r="1207" spans="2:50" ht="15" customHeight="1" thickTop="1" thickBot="1" x14ac:dyDescent="0.35">
      <c r="B1207" s="192"/>
      <c r="C1207" s="192"/>
      <c r="D1207" s="192"/>
      <c r="E1207" s="164"/>
      <c r="F1207" s="164"/>
      <c r="G1207" s="192"/>
      <c r="H1207" s="192"/>
      <c r="I1207" s="249" t="s">
        <v>116</v>
      </c>
      <c r="J1207" s="249"/>
      <c r="K1207" s="249"/>
      <c r="L1207" s="250" t="s">
        <v>115</v>
      </c>
      <c r="M1207" s="250" t="s">
        <v>116</v>
      </c>
      <c r="N1207" s="250" t="s">
        <v>117</v>
      </c>
      <c r="O1207" s="250" t="s">
        <v>118</v>
      </c>
      <c r="P1207" s="250" t="s">
        <v>119</v>
      </c>
      <c r="Q1207" s="250" t="s">
        <v>120</v>
      </c>
      <c r="R1207" s="250"/>
      <c r="S1207" s="251"/>
      <c r="T1207" s="192"/>
      <c r="U1207" s="235"/>
      <c r="V1207" s="235"/>
      <c r="W1207" s="235"/>
      <c r="X1207" s="235"/>
      <c r="Y1207" s="235"/>
      <c r="Z1207" s="235"/>
      <c r="AA1207" s="243">
        <v>2</v>
      </c>
      <c r="AB1207" s="151" t="str">
        <f>IF(AND(COUNTBLANK(I1194:I1197)=0,Group_players=4,M1195=M1196,M1196=M1197),IF(COUNTIF(X1193:X1196,X1194)=3,AB1220,IF(AND(COUNTIF(X1193:X1196,X1194)=1,X1195&lt;&gt;X1196),IF(M1195=2,IF(SMALL(X1193:X1196,1)=X1194,1,IF(SMALL(X1193:X1196,2)=X1194,2,IF(SMALL(X1193:X1196,3)=X1194,3))),IF(M1195=1,IF(SMALL(X1193:X1196,1)=X1194,2,IF(SMALL(X1193:X1196,2)=X1194,3,IF(SMALL(X1193:X1196,3)=X1194,4))),"")),IF(COUNTIF(X1193:X1196,X1194)=1,IF(X1194&lt;X1196,IF(M1195=2,1,2),IF(M1195=1,3,3)),IF(COUNTIF(X1193:X1196,X1194)=2,IF(X1194=X1195,IF(X1194&lt;X1196,IF(M1195=2,IF(Q1214=3,1,2),IF(M1195=1,IF(Q1214=3,2,3))),IF(X1194&gt;X1196,IF(M1195=2,IF(Q1214=3,2,3),IF(M1195=1,IF(Q1214=3,3,4))))),IF(X1194=X1196,IF(X1194&lt;X1195,IF(M1195=2,IF(Q1208=3,1,2),IF(M1195=1,IF(Q1208=3,2,3))),IF(X1194&gt;X1195,IF(M1195=2,IF(Q1208=3,2,3),IF(M1195=1,IF(Q1208=3,3,4))))))),"")))),"")</f>
        <v/>
      </c>
      <c r="AC1207" s="192"/>
      <c r="AD1207" s="192"/>
      <c r="AE1207" s="192"/>
      <c r="AF1207" s="192"/>
      <c r="AG1207" s="192"/>
      <c r="AH1207" s="192"/>
      <c r="AI1207" s="192"/>
      <c r="AJ1207" s="192"/>
      <c r="AK1207" s="192"/>
      <c r="AL1207" s="192"/>
      <c r="AM1207" s="192"/>
      <c r="AN1207" s="192"/>
      <c r="AO1207" s="192"/>
      <c r="AP1207" s="192"/>
      <c r="AQ1207" s="192"/>
      <c r="AR1207" s="192"/>
      <c r="AS1207" s="192"/>
      <c r="AT1207" s="192"/>
      <c r="AU1207" s="192"/>
      <c r="AV1207" s="192"/>
      <c r="AW1207" s="192"/>
      <c r="AX1207" s="192"/>
    </row>
    <row r="1208" spans="2:50" ht="15" customHeight="1" thickTop="1" x14ac:dyDescent="0.3">
      <c r="B1208" s="192"/>
      <c r="C1208" s="192"/>
      <c r="D1208" s="192"/>
      <c r="E1208" s="164" t="str">
        <f>IF(Q1208="","",IF(Q1208=3,1,0))</f>
        <v/>
      </c>
      <c r="F1208" s="164" t="str">
        <f>IF(Q1208="","",IF(Q1208&lt;3,1,0))</f>
        <v/>
      </c>
      <c r="G1208" s="192"/>
      <c r="H1208" s="192" t="str">
        <f>IF(I1196="","",2)</f>
        <v/>
      </c>
      <c r="I1208" s="192" t="str">
        <f>IF(ISNUMBER(H1208),VLOOKUP(H1208,H1194:I1197,2,TRUE),"")</f>
        <v/>
      </c>
      <c r="J1208" s="192"/>
      <c r="K1208" s="192" t="str">
        <f>VLOOKUP(I1208,I1194:L1197,3,FALSE)</f>
        <v/>
      </c>
      <c r="L1208" s="253"/>
      <c r="M1208" s="254"/>
      <c r="N1208" s="254"/>
      <c r="O1208" s="152"/>
      <c r="P1208" s="153"/>
      <c r="Q1208" s="255" t="str">
        <f>IF(L1208="","",IF(AND(L1208-L1209&gt;1,L1208&gt;10),1,0)+IF(AND(M1208-M1209&gt;1,M1208&gt;10),1,0)+IF(AND(N1208-N1209&gt;1,N1208&gt;10),1,0)+IF(AND(O1208-O1209&gt;1,O1208&gt;10),1,0)+IF(AND(P1208-P1209&gt;1,P1208&gt;10),1,0))</f>
        <v/>
      </c>
      <c r="R1208" s="203" t="str">
        <f>IF(AND(I1208="",I1209=""),"",ABS(VLOOKUP(I1208,I1194:L1197,4,FALSE)-VLOOKUP(I1209,I1194:L1197,4,FALSE)))</f>
        <v/>
      </c>
      <c r="S1208" s="256" t="str">
        <f>IF(R1209="","",IF(Q1208=3,+R1209,-R1209))</f>
        <v/>
      </c>
      <c r="T1208" s="192"/>
      <c r="U1208" s="235"/>
      <c r="V1208" s="235"/>
      <c r="W1208" s="235"/>
      <c r="X1208" s="235"/>
      <c r="Y1208" s="235"/>
      <c r="Z1208" s="235"/>
      <c r="AA1208" s="246">
        <v>3</v>
      </c>
      <c r="AB1208" s="154" t="str">
        <f>IF(AND(COUNTBLANK(I1194:I1197)=0,Group_players=4,M1195=M1196,M1196=M1197),IF(COUNTIF(X1193:X1196,X1195)=3,AB1221,IF(AND(COUNTIF(X1193:X1196,X1195)=1,X1194&lt;&gt;X1196),IF(M1196=2,IF(SMALL(X1193:X1196,1)=X1195,1,IF(SMALL(X1193:X1196,2)=X1195,2,IF(SMALL(X1193:X1196,3)=X1195,3))),IF(M1196=1,IF(SMALL(X1193:X1196,1)=X1195,2,IF(SMALL(X1193:X1196,2)=X1195,3,IF(SMALL(X1193:X1196,3)=X1195,4))),"")),IF(COUNTIF(X1193:X1196,X1195)=1,IF(X1195&lt;X1194,IF(M1196=2,1,2),IF(M1196=2,3,4)),IF(COUNTIF(X1193:X1196,X1195)=2,IF(X1195=X1194,IF(X1195&lt;X1196,IF(M1196=2,IF(Q1215=3,1,2),IF(M1196=1,IF(Q1215=3,2,3))),IF(X1195&gt;X1196,IF(M1196=2,IF(Q1215=3,2,3),IF(M1196=1,IF(Q1215=3,3,4))))),IF(X1195=X1196,IF(X1195&lt;X1194,IF(M1196=2,IF(Q1220=3,1,2),IF(M1196=1,IF(Q1220=3,2,3))),IF(X1195&gt;X1194,IF(M1196=2,IF(Q1220=3,2,3),IF(M1196=1,IF(Q1220=3,3,4))))))),"")))),"")</f>
        <v/>
      </c>
      <c r="AC1208" s="192"/>
      <c r="AD1208" s="192"/>
      <c r="AE1208" s="192"/>
      <c r="AF1208" s="192"/>
      <c r="AG1208" s="192"/>
      <c r="AH1208" s="192"/>
      <c r="AI1208" s="192"/>
      <c r="AJ1208" s="192"/>
      <c r="AK1208" s="192"/>
      <c r="AL1208" s="192"/>
      <c r="AM1208" s="192"/>
      <c r="AN1208" s="192"/>
      <c r="AO1208" s="192"/>
      <c r="AP1208" s="192"/>
      <c r="AQ1208" s="192"/>
      <c r="AR1208" s="192"/>
      <c r="AS1208" s="192"/>
      <c r="AT1208" s="192"/>
      <c r="AU1208" s="192"/>
      <c r="AV1208" s="192"/>
      <c r="AW1208" s="192"/>
      <c r="AX1208" s="192"/>
    </row>
    <row r="1209" spans="2:50" ht="15" customHeight="1" thickBot="1" x14ac:dyDescent="0.35">
      <c r="B1209" s="192"/>
      <c r="C1209" s="192"/>
      <c r="D1209" s="192"/>
      <c r="E1209" s="164" t="str">
        <f>IF(Q1209="","",IF(Q1209=3,1,0))</f>
        <v/>
      </c>
      <c r="F1209" s="164" t="str">
        <f>IF(Q1209="","",IF(Q1209&lt;3,1,0))</f>
        <v/>
      </c>
      <c r="G1209" s="192"/>
      <c r="H1209" s="192" t="str">
        <f>IF(I1196="","",IF(I1197="",3,4))</f>
        <v/>
      </c>
      <c r="I1209" s="192" t="str">
        <f>IF(ISNUMBER(H1209),VLOOKUP(H1209,H1194:I1197,2,TRUE),"")</f>
        <v/>
      </c>
      <c r="J1209" s="192"/>
      <c r="K1209" s="192" t="str">
        <f>VLOOKUP(I1209,I1194:L1197,3,FALSE)</f>
        <v/>
      </c>
      <c r="L1209" s="155"/>
      <c r="M1209" s="259"/>
      <c r="N1209" s="259"/>
      <c r="O1209" s="156"/>
      <c r="P1209" s="157"/>
      <c r="Q1209" s="260" t="str">
        <f>IF(L1209="","",IF(AND(L1209-L1208&gt;1,L1209&gt;10),1,0)+IF(AND(M1209-M1208&gt;1,M1209&gt;10),1,0)+IF(AND(N1209-N1208&gt;1,N1209&gt;10),1,0)+IF(AND(O1209-O1208&gt;1,O1209&gt;10),1,0)+IF(AND(P1209-P1208&gt;1,P1209&gt;10),1,0))</f>
        <v/>
      </c>
      <c r="R1209" s="203" t="str">
        <f>IF(AND(Q1208&lt;&gt;3,Q1209&lt;&gt;3),"",IF(Q1208=3,IF(VLOOKUP(I1208,I1194:L1197,4,FALSE)&gt;VLOOKUP(I1209,I1194:L1197,4,FALSE),VLOOKUP(R1208,Point_dif,2,FALSE),VLOOKUP(R1208,Point_dif,3,FALSE)),IF(Q1209=3,IF(VLOOKUP(I1209,I1194:L1197,4,FALSE)&gt;VLOOKUP(I1208,I1194:L1197,4,FALSE),VLOOKUP(R1208,Point_dif,2,FALSE),VLOOKUP(R1208,Point_dif,3,FALSE)))))</f>
        <v/>
      </c>
      <c r="S1209" s="256" t="str">
        <f>IF(R1209="","",IF(Q1209=3,+R1209,-R1209))</f>
        <v/>
      </c>
      <c r="T1209" s="192"/>
      <c r="U1209" s="235"/>
      <c r="V1209" s="235"/>
      <c r="W1209" s="235"/>
      <c r="X1209" s="235"/>
      <c r="Y1209" s="235"/>
      <c r="Z1209" s="235"/>
      <c r="AA1209" s="261">
        <v>4</v>
      </c>
      <c r="AB1209" s="158" t="str">
        <f>IF(AND(COUNTBLANK(I1194:I1197)=0,Group_players=4,M1195=M1196,M1196=M1197),IF(COUNTIF(X1193:X1196,X1196)=3,AB1222,IF(AND(COUNTIF(X1193:X1196,X1196)=1,X1195&lt;&gt;X1194),IF(M1197=2,IF(SMALL(X1193:X1196,1)=X1196,1,IF(SMALL(X1193:X1196,2)=X1196,2,IF(SMALL(X1193:X1196,3)=X1196,3))),IF(M1197=1,IF(SMALL(X1193:X1196,1)=X1196,2,IF(SMALL(X1193:X1196,2)=X1196,3,IF(SMALL(X1193:X1196,3)=X1196,4))),"")),IF(COUNTIF(X1193:X1196,X1196)=1,IF(X1196&lt;X1194,IF(M1197=2,1,2),IF(M1197=2,3,4)),IF(COUNTIF(X1193:X1196,X1196)=2,IF(X1196=X1194,IF(X1196&lt;X1195,IF(M1197=2,IF(Q1209=3,1,2),IF(M1197=1,IF(Q1209=3,2,3))),IF(X1196&gt;X1195,IF(M1197=2,IF(Q1209=3,2,3),IF(M1197=1,IF(Q1209=3,3,4))))),IF(X1196=X1195,IF(X1196&lt;X1194,IF(M1197=2,IF(Q1221=3,1,2),IF(M1197=1,IF(Q1221=3,2,3))),IF(X1196&gt;X1194,IF(M1197=2,IF(Q1221=3,2,3),IF(M1197=1,IF(Q1221=3,3,4))))))),"")))),"")</f>
        <v/>
      </c>
      <c r="AC1209" s="192"/>
      <c r="AD1209" s="192"/>
      <c r="AE1209" s="192"/>
      <c r="AF1209" s="192"/>
      <c r="AG1209" s="192"/>
      <c r="AH1209" s="192"/>
      <c r="AI1209" s="192"/>
      <c r="AJ1209" s="192"/>
      <c r="AK1209" s="192"/>
      <c r="AL1209" s="192"/>
      <c r="AM1209" s="192"/>
      <c r="AN1209" s="192"/>
      <c r="AO1209" s="192"/>
      <c r="AP1209" s="192"/>
      <c r="AQ1209" s="192"/>
      <c r="AR1209" s="192"/>
      <c r="AS1209" s="192"/>
      <c r="AT1209" s="192"/>
      <c r="AU1209" s="192"/>
      <c r="AV1209" s="192"/>
      <c r="AW1209" s="192"/>
      <c r="AX1209" s="192"/>
    </row>
    <row r="1210" spans="2:50" ht="15" customHeight="1" thickTop="1" thickBot="1" x14ac:dyDescent="0.35">
      <c r="B1210" s="192"/>
      <c r="C1210" s="192"/>
      <c r="D1210" s="192"/>
      <c r="E1210" s="164"/>
      <c r="F1210" s="164"/>
      <c r="G1210" s="192"/>
      <c r="H1210" s="192"/>
      <c r="I1210" s="249" t="s">
        <v>117</v>
      </c>
      <c r="J1210" s="249"/>
      <c r="K1210" s="249"/>
      <c r="L1210" s="250" t="s">
        <v>115</v>
      </c>
      <c r="M1210" s="250" t="s">
        <v>116</v>
      </c>
      <c r="N1210" s="250" t="s">
        <v>117</v>
      </c>
      <c r="O1210" s="250" t="s">
        <v>118</v>
      </c>
      <c r="P1210" s="250" t="s">
        <v>119</v>
      </c>
      <c r="Q1210" s="250" t="s">
        <v>120</v>
      </c>
      <c r="R1210" s="250"/>
      <c r="S1210" s="251"/>
      <c r="T1210" s="263"/>
      <c r="U1210" s="264"/>
      <c r="V1210" s="242"/>
      <c r="W1210" s="242"/>
      <c r="X1210" s="264"/>
      <c r="Y1210" s="192"/>
      <c r="Z1210" s="203"/>
      <c r="AA1210" s="126" t="s">
        <v>93</v>
      </c>
      <c r="AB1210" s="265" t="s">
        <v>110</v>
      </c>
      <c r="AC1210" s="192"/>
      <c r="AD1210" s="192"/>
      <c r="AE1210" s="192"/>
      <c r="AF1210" s="192"/>
      <c r="AG1210" s="192"/>
      <c r="AH1210" s="192"/>
      <c r="AI1210" s="192"/>
      <c r="AJ1210" s="192"/>
      <c r="AK1210" s="192"/>
      <c r="AL1210" s="192"/>
      <c r="AM1210" s="192"/>
      <c r="AN1210" s="192"/>
      <c r="AO1210" s="192"/>
      <c r="AP1210" s="192"/>
      <c r="AQ1210" s="192"/>
      <c r="AR1210" s="192"/>
      <c r="AS1210" s="192"/>
      <c r="AT1210" s="192"/>
      <c r="AU1210" s="192"/>
      <c r="AV1210" s="192"/>
      <c r="AW1210" s="192"/>
      <c r="AX1210" s="192"/>
    </row>
    <row r="1211" spans="2:50" ht="15" customHeight="1" thickTop="1" x14ac:dyDescent="0.3">
      <c r="B1211" s="192"/>
      <c r="C1211" s="192"/>
      <c r="D1211" s="192"/>
      <c r="E1211" s="164" t="str">
        <f>IF(Q1211="","",IF(Q1211=3,1,0))</f>
        <v/>
      </c>
      <c r="F1211" s="164" t="str">
        <f>IF(Q1211="","",IF(Q1211&lt;3,1,0))</f>
        <v/>
      </c>
      <c r="G1211" s="192"/>
      <c r="H1211" s="192" t="str">
        <f>IF(I1196&lt;&gt;"",1,"")</f>
        <v/>
      </c>
      <c r="I1211" s="192" t="str">
        <f>IF(ISNUMBER(H1211),VLOOKUP(H1211,H1194:I1197,2,TRUE),"")</f>
        <v/>
      </c>
      <c r="J1211" s="192"/>
      <c r="K1211" s="192" t="str">
        <f>VLOOKUP(I1211,I1194:L1197,3,FALSE)</f>
        <v/>
      </c>
      <c r="L1211" s="253"/>
      <c r="M1211" s="254"/>
      <c r="N1211" s="254"/>
      <c r="O1211" s="152"/>
      <c r="P1211" s="153"/>
      <c r="Q1211" s="255" t="str">
        <f>IF(L1211="","",IF(AND(L1211-L1212&gt;1,L1211&gt;10),1,0)+IF(AND(M1211-M1212&gt;1,M1211&gt;10),1,0)+IF(AND(N1211-N1212&gt;1,N1211&gt;10),1,0)+IF(AND(O1211-O1212&gt;1,O1211&gt;10),1,0)+IF(AND(P1211-P1212&gt;1,P1211&gt;10),1,0))</f>
        <v/>
      </c>
      <c r="R1211" s="203" t="str">
        <f>IF(AND(I1211="",I1212=""),"",ABS(VLOOKUP(I1211,I1194:L1197,4,FALSE)-VLOOKUP(I1212,I1194:L1197,4,FALSE)))</f>
        <v/>
      </c>
      <c r="S1211" s="256" t="str">
        <f>IF(R1212="","",IF(Q1211=3,+R1212,-R1212))</f>
        <v/>
      </c>
      <c r="T1211" s="192"/>
      <c r="U1211" s="235"/>
      <c r="V1211" s="235"/>
      <c r="W1211" s="235"/>
      <c r="X1211" s="235"/>
      <c r="Y1211" s="235"/>
      <c r="Z1211" s="235"/>
      <c r="AA1211" s="243">
        <v>1</v>
      </c>
      <c r="AB1211" s="222" t="str">
        <f>IF(AND(COUNTBLANK(I1194:I1197)=0,Group_players=4,M1194=M1195,M1195=M1196),IF(U1201="","",IF(COUNTIF(U1201:U1204,U1201)=3,"Tied",IF(AND(COUNTIF(U1201:U1204,U1201)=1,U1202&lt;&gt;U1203),IF(M1194=2,IF(SMALL(U1201:U1204,1)=U1201,1,IF(SMALL(U1201:U1204,2)=U1201,2,IF(SMALL(U1201:U1204,3)=U1201,3))),IF(M1194=1,IF(SMALL(U1201:U1204,1)=U1201,2,IF(SMALL(U1201:U1204,2)=U1201,3,IF(SMALL(U1201:U1204,3)=U1201,4))),"")),IF(COUNTIF(U1201:U1204,U1201)=1,IF(U1201&lt;U1202,IF(M1194=2,1,2),IF(M1194=2,3,4)),IF(COUNTIF(U1201:U1204,U1201)=2,IF(U1201=U1202,IF(U1201&lt;U1203,IF(M1194=2,IF(Q1217=3,1,2),IF(M1194=1,IF(Q1217=3,2,3))),IF(U1201&gt;U1203,IF(M1194=2,IF(Q1217=3,2,3),IF(M1194=1,IF(Q1217=3,3,4))))),IF(U1201=U1203,IF(U1201&lt;U1202,IF(M1194=2,IF(Q1205=3,1,2),IF(M1194=1,IF(Q1205=3,2,3))),IF(U1201&gt;U1202,IF(M1194=2,IF(Q1205=3,2,3),IF(M1194=1,IF(Q1205=3,3,4)))))))))))),"")</f>
        <v/>
      </c>
      <c r="AC1211" s="192"/>
      <c r="AD1211" s="192"/>
      <c r="AE1211" s="192"/>
      <c r="AF1211" s="192"/>
      <c r="AG1211" s="192"/>
      <c r="AH1211" s="192"/>
      <c r="AI1211" s="192"/>
      <c r="AJ1211" s="192"/>
      <c r="AK1211" s="192"/>
      <c r="AL1211" s="192"/>
      <c r="AM1211" s="192"/>
      <c r="AN1211" s="192"/>
      <c r="AO1211" s="192"/>
      <c r="AP1211" s="192"/>
      <c r="AQ1211" s="192"/>
      <c r="AR1211" s="192"/>
      <c r="AS1211" s="192"/>
      <c r="AT1211" s="192"/>
      <c r="AU1211" s="192"/>
      <c r="AV1211" s="192"/>
      <c r="AW1211" s="192"/>
      <c r="AX1211" s="192"/>
    </row>
    <row r="1212" spans="2:50" ht="15" customHeight="1" thickBot="1" x14ac:dyDescent="0.35">
      <c r="B1212" s="192"/>
      <c r="C1212" s="192"/>
      <c r="D1212" s="192"/>
      <c r="E1212" s="164" t="str">
        <f>IF(Q1212="","",IF(Q1212=3,1,0))</f>
        <v/>
      </c>
      <c r="F1212" s="164" t="str">
        <f>IF(Q1212="","",IF(Q1212&lt;3,1,0))</f>
        <v/>
      </c>
      <c r="G1212" s="192"/>
      <c r="H1212" s="192" t="str">
        <f>IF(I1196="","",IF(I1197&lt;&gt;"",4,2))</f>
        <v/>
      </c>
      <c r="I1212" s="192" t="str">
        <f>IF(ISNUMBER(H1212),VLOOKUP(H1212,H1194:I1197,2,TRUE),"")</f>
        <v/>
      </c>
      <c r="J1212" s="192"/>
      <c r="K1212" s="192" t="str">
        <f>VLOOKUP(I1212,I1194:L1197,3,FALSE)</f>
        <v/>
      </c>
      <c r="L1212" s="155"/>
      <c r="M1212" s="259"/>
      <c r="N1212" s="259"/>
      <c r="O1212" s="156"/>
      <c r="P1212" s="157"/>
      <c r="Q1212" s="260" t="str">
        <f>IF(L1212="","",IF(AND(L1212-L1211&gt;1,L1212&gt;10),1,0)+IF(AND(M1212-M1211&gt;1,M1212&gt;10),1,0)+IF(AND(N1212-N1211&gt;1,N1212&gt;10),1,0)+IF(AND(O1212-O1211&gt;1,O1212&gt;10),1,0)+IF(AND(P1212-P1211&gt;1,P1212&gt;10),1,0))</f>
        <v/>
      </c>
      <c r="R1212" s="203" t="str">
        <f>IF(AND(Q1211&lt;&gt;3,Q1212&lt;&gt;3),"",IF(Q1211=3,IF(VLOOKUP(I1211,I1194:L1197,4,FALSE)&gt;VLOOKUP(I1212,I1194:L1197,4,FALSE),VLOOKUP(R1211,Point_dif,2,FALSE),VLOOKUP(R1211,Point_dif,3,FALSE)),IF(Q1212=3,IF(VLOOKUP(I1212,I1194:L1197,4,FALSE)&gt;VLOOKUP(I1211,I1194:L1197,4,FALSE),VLOOKUP(R1211,Point_dif,2,FALSE),VLOOKUP(R1211,Point_dif,3,FALSE)))))</f>
        <v/>
      </c>
      <c r="S1212" s="256" t="str">
        <f>IF(R1212="","",IF(Q1212=3,+R1212,-R1212))</f>
        <v/>
      </c>
      <c r="T1212" s="192"/>
      <c r="U1212" s="235"/>
      <c r="V1212" s="235"/>
      <c r="W1212" s="235"/>
      <c r="X1212" s="235"/>
      <c r="Y1212" s="235"/>
      <c r="Z1212" s="235"/>
      <c r="AA1212" s="246">
        <v>2</v>
      </c>
      <c r="AB1212" s="222" t="str">
        <f>IF(AND(COUNTBLANK(I1194:I1197)=0,Group_players=4,M1194=M1195,M1195=M1196),IF(U1202="","",IF(COUNTIF(U1201:U1204,U1202)=3,"Tied",IF(AND(COUNTIF(U1201:U1204,U1202)=1,U1201&lt;&gt;U1203),IF(M1195=2,IF(SMALL(U1201:U1204,1)=U1202,1,IF(SMALL(U1201:U1204,2)=U1202,2,IF(SMALL(U1201:U1204,3)=U1202,3))),IF(M1195=1,IF(SMALL(U1201:U1204,1)=U1202,2,IF(SMALL(U1201:U1204,2)=U1202,3,IF(SMALL(U1201:U1204,3)=U1202,4))),"")),IF(COUNTIF(U1201:U1204,U1202)=1,IF(U1202&lt;U1201,IF(M1195=2,1,2),IF(M1195=2,3,4)),IF(COUNTIF(U1201:U1204,U1202)=2,IF(U1202=U1201,IF(U1202&lt;U1203,IF(M1195=2,IF(Q1218=3,1,2),IF(M1195=1,IF(Q1218=3,2,3))),IF(U1202&gt;U1203,IF(M1195=2,IF(Q1218=3,2,3),IF(M1195=1,IF(Q1218=3,3,4))))),IF(U1202=U1203,IF(U1202&lt;U1201,IF(M1195=2,IF(Q1214=3,1,2),IF(M1195=1,IF(Q1214=3,2,3))),IF(U1202&gt;U1201,IF(M1195=2,IF(Q1214=3,2,3),IF(M1195=1,IF(Q1214=3,3,4)))))))))))),"")</f>
        <v/>
      </c>
      <c r="AC1212" s="192"/>
      <c r="AD1212" s="192"/>
      <c r="AE1212" s="192"/>
      <c r="AF1212" s="192"/>
      <c r="AG1212" s="192"/>
      <c r="AH1212" s="192"/>
      <c r="AI1212" s="192"/>
      <c r="AJ1212" s="192"/>
      <c r="AK1212" s="192"/>
      <c r="AL1212" s="192"/>
      <c r="AM1212" s="192"/>
      <c r="AN1212" s="192"/>
      <c r="AO1212" s="192"/>
      <c r="AP1212" s="192"/>
      <c r="AQ1212" s="192"/>
      <c r="AR1212" s="192"/>
      <c r="AS1212" s="192"/>
      <c r="AT1212" s="192"/>
      <c r="AU1212" s="192"/>
      <c r="AV1212" s="192"/>
      <c r="AW1212" s="192"/>
      <c r="AX1212" s="192"/>
    </row>
    <row r="1213" spans="2:50" ht="15" customHeight="1" thickTop="1" thickBot="1" x14ac:dyDescent="0.35">
      <c r="B1213" s="192"/>
      <c r="C1213" s="192"/>
      <c r="D1213" s="192"/>
      <c r="E1213" s="164"/>
      <c r="F1213" s="164"/>
      <c r="G1213" s="192"/>
      <c r="H1213" s="192"/>
      <c r="I1213" s="249" t="s">
        <v>118</v>
      </c>
      <c r="J1213" s="249"/>
      <c r="K1213" s="249"/>
      <c r="L1213" s="250" t="s">
        <v>115</v>
      </c>
      <c r="M1213" s="250" t="s">
        <v>116</v>
      </c>
      <c r="N1213" s="250" t="s">
        <v>117</v>
      </c>
      <c r="O1213" s="250" t="s">
        <v>118</v>
      </c>
      <c r="P1213" s="250" t="s">
        <v>119</v>
      </c>
      <c r="Q1213" s="250" t="s">
        <v>120</v>
      </c>
      <c r="R1213" s="250"/>
      <c r="S1213" s="251"/>
      <c r="T1213" s="192"/>
      <c r="U1213" s="235"/>
      <c r="V1213" s="235"/>
      <c r="W1213" s="235"/>
      <c r="X1213" s="235"/>
      <c r="Y1213" s="235"/>
      <c r="Z1213" s="235"/>
      <c r="AA1213" s="240">
        <v>3</v>
      </c>
      <c r="AB1213" s="241" t="str">
        <f>IF(AND(COUNTBLANK(I1194:I1197)=0,Group_players=4,M1194=M1195,M1195=M1196),IF(U1203="","",IF(COUNTIF(U1201:U1204,U1203)=3,"Tied",IF(AND(COUNTIF(U1201:U1204,U1203)=1,U1201&lt;&gt;U1202),IF(M1194=2,IF(SMALL(U1201:U1204,1)=U1203,1,IF(SMALL(U1201:U1204,2)=U1203,2,IF(SMALL(U1201:U1204,3)=U1203,3))),IF(M1196=1,IF(SMALL(U1201:U1204,1)=U1203,2,IF(SMALL(U1201:U1204,2)=U1203,3,IF(SMALL(U1201:U1204,3)=U1203,4))),"")),IF(COUNTIF(U1201:U1204,U1203)=1,IF(U1203&lt;U1202,IF(M1196=2,1,2),IF(M1196=2,3,4)),IF(COUNTIF(U1201:U1204,U1203)=2,IF(U1203=U1202,IF(U1203&lt;U1201,IF(M1196=2,IF(Q1215=3,1,2),IF(M1196=1,IF(Q1215=3,2,3))),IF(U1203&gt;U1201,IF(M1196=2,IF(Q1215=3,2,3),IF(M1196=1,IF(Q1215=3,3,4))))),IF(U1203=U1201,IF(U1203&lt;U1202,IF(M1196=2,IF(Q1206=3,1,2),IF(M1196=1,IF(Q1206=3,2,3))),IF(U1203&gt;U1202,IF(M1196=2,IF(Q1206=3,2,3),IF(M1196=1,IF(Q1206=3,3,4)))))))))))),"")</f>
        <v/>
      </c>
      <c r="AC1213" s="192"/>
      <c r="AD1213" s="192"/>
      <c r="AE1213" s="192"/>
      <c r="AF1213" s="192"/>
      <c r="AG1213" s="192"/>
      <c r="AH1213" s="192"/>
      <c r="AI1213" s="192"/>
      <c r="AJ1213" s="192"/>
      <c r="AK1213" s="192"/>
      <c r="AL1213" s="192"/>
      <c r="AM1213" s="192"/>
      <c r="AN1213" s="192"/>
      <c r="AO1213" s="192"/>
      <c r="AP1213" s="192"/>
      <c r="AQ1213" s="192"/>
      <c r="AR1213" s="192"/>
      <c r="AS1213" s="192"/>
      <c r="AT1213" s="192"/>
      <c r="AU1213" s="192"/>
      <c r="AV1213" s="192"/>
      <c r="AW1213" s="192"/>
      <c r="AX1213" s="192"/>
    </row>
    <row r="1214" spans="2:50" ht="15" customHeight="1" thickTop="1" x14ac:dyDescent="0.3">
      <c r="B1214" s="192"/>
      <c r="C1214" s="192"/>
      <c r="D1214" s="192"/>
      <c r="E1214" s="164" t="str">
        <f>IF(Q1214="","",IF(Q1214=3,1,0))</f>
        <v/>
      </c>
      <c r="F1214" s="164" t="str">
        <f>IF(Q1214="","",IF(Q1214&lt;3,1,0))</f>
        <v/>
      </c>
      <c r="G1214" s="192"/>
      <c r="H1214" s="192" t="str">
        <f>IF(I1197&lt;&gt;"",2,"")</f>
        <v/>
      </c>
      <c r="I1214" s="192" t="str">
        <f>IF(ISNUMBER(H1214),VLOOKUP(H1214,H1194:I1197,2,TRUE),"")</f>
        <v/>
      </c>
      <c r="J1214" s="192"/>
      <c r="K1214" s="192" t="str">
        <f>VLOOKUP(I1214,I1194:L1197,3,FALSE)</f>
        <v/>
      </c>
      <c r="L1214" s="253"/>
      <c r="M1214" s="254"/>
      <c r="N1214" s="254"/>
      <c r="O1214" s="152"/>
      <c r="P1214" s="153"/>
      <c r="Q1214" s="255" t="str">
        <f>IF(L1214="","",IF(AND(L1214-L1215&gt;1,L1214&gt;10),1,0)+IF(AND(M1214-M1215&gt;1,M1214&gt;10),1,0)+IF(AND(N1214-N1215&gt;1,N1214&gt;10),1,0)+IF(AND(O1214-O1215&gt;1,O1214&gt;10),1,0)+IF(AND(P1214-P1215&gt;1,P1214&gt;10),1,0))</f>
        <v/>
      </c>
      <c r="R1214" s="203" t="str">
        <f>IF(AND(I1214="",I1215=""),"",ABS(VLOOKUP(I1214,I1194:L1197,4,FALSE)-VLOOKUP(I1215,I1194:L1197,4,FALSE)))</f>
        <v/>
      </c>
      <c r="S1214" s="256" t="str">
        <f>IF(R1215="","",IF(Q1214=3,+R1215,-R1215))</f>
        <v/>
      </c>
      <c r="T1214" s="192"/>
      <c r="U1214" s="235"/>
      <c r="V1214" s="235"/>
      <c r="W1214" s="235"/>
      <c r="X1214" s="235"/>
      <c r="Y1214" s="235"/>
      <c r="Z1214" s="235"/>
      <c r="AA1214" s="243">
        <v>1</v>
      </c>
      <c r="AB1214" s="222" t="str">
        <f>IF(AND(COUNTBLANK(I1194:I1197)=0,Group_players=4,M1194=M1196,M1196=M1197),IF(V1201="","",IF(COUNTIF(V1201:V1204,V1201)=3,"Tied",IF(AND(COUNTIF(V1201:V1204,V1201)=1,V1203&lt;&gt;U1204),IF(M1194=2,IF(SMALL(V1201:V1204,1)=V1201,1,IF(SMALL(V1201:V1204,2)=V1201,2,IF(SMALL(V1201:V1204,3)=V1201,3))),IF(M1194=1,IF(SMALL(V1201:V1204,1)=V1201,2,IF(SMALL(V1201:V1204,2)=V1201,3,IF(SMALL(V1201:V1204,3)=V1201,4))),"")),IF(COUNTIF(V1201:V1204,V1201)=1,IF(V1201&lt;V1203,IF(M1194=2,1,2),IF(M1194=2,3,4)),IF(COUNTIF(V1201:V1204,V1201)=2,IF(V1201=V1203,IF(V1201&lt;V1204,IF(M1194=2,IF(Q1205=3,1,2),IF(M1194=1,IF(Q1205=3,2,3))),IF(V1201&gt;V1204,IF(M1194=2,IF(Q1205=3,2,3),IF(M1194=1,IF(Q1205=3,3,4))))),IF(V1201=V1204,IF(V1201&lt;V1203,IF(M1194=2,IF(Q1211=3,1,2),IF(M1194=1,IF(Q1211=3,2,3))),IF(V1201&gt;V1202,IF(M1194=2,IF(Q1211=3,2,3),IF(M1194=1,IF(Q1211=3,3,4)))))))))))),"")</f>
        <v/>
      </c>
      <c r="AC1214" s="192"/>
      <c r="AD1214" s="192"/>
      <c r="AE1214" s="192"/>
      <c r="AF1214" s="192"/>
      <c r="AG1214" s="192"/>
      <c r="AH1214" s="192"/>
      <c r="AI1214" s="192"/>
      <c r="AJ1214" s="192"/>
      <c r="AK1214" s="192"/>
      <c r="AL1214" s="192"/>
      <c r="AM1214" s="192"/>
      <c r="AN1214" s="192"/>
      <c r="AO1214" s="192"/>
      <c r="AP1214" s="192"/>
      <c r="AQ1214" s="192"/>
      <c r="AR1214" s="192"/>
      <c r="AS1214" s="192"/>
      <c r="AT1214" s="192"/>
      <c r="AU1214" s="192"/>
      <c r="AV1214" s="192"/>
      <c r="AW1214" s="192"/>
      <c r="AX1214" s="192"/>
    </row>
    <row r="1215" spans="2:50" ht="15" customHeight="1" thickBot="1" x14ac:dyDescent="0.35">
      <c r="B1215" s="192"/>
      <c r="C1215" s="192"/>
      <c r="D1215" s="192"/>
      <c r="E1215" s="164" t="str">
        <f>IF(Q1215="","",IF(Q1215=3,1,0))</f>
        <v/>
      </c>
      <c r="F1215" s="164" t="str">
        <f>IF(Q1215="","",IF(Q1215&lt;3,1,0))</f>
        <v/>
      </c>
      <c r="G1215" s="192"/>
      <c r="H1215" s="192" t="str">
        <f>IF(I1197&lt;&gt;"",3,"")</f>
        <v/>
      </c>
      <c r="I1215" s="192" t="str">
        <f>IF(ISNUMBER(H1215),VLOOKUP(H1215,H1194:I1197,2,TRUE),"")</f>
        <v/>
      </c>
      <c r="J1215" s="192"/>
      <c r="K1215" s="192" t="str">
        <f>VLOOKUP(I1215,I1194:L1197,3,FALSE)</f>
        <v/>
      </c>
      <c r="L1215" s="155"/>
      <c r="M1215" s="259"/>
      <c r="N1215" s="259"/>
      <c r="O1215" s="156"/>
      <c r="P1215" s="157"/>
      <c r="Q1215" s="260" t="str">
        <f>IF(L1215="","",IF(AND(L1215-L1214&gt;1,L1215&gt;10),1,0)+IF(AND(M1215-M1214&gt;1,M1215&gt;10),1,0)+IF(AND(N1215-N1214&gt;1,N1215&gt;10),1,0)+IF(AND(O1215-O1214&gt;1,O1215&gt;10),1,0)+IF(AND(P1215-P1214&gt;1,P1215&gt;10),1,0))</f>
        <v/>
      </c>
      <c r="R1215" s="203" t="str">
        <f>IF(AND(Q1214&lt;&gt;3,Q1215&lt;&gt;3),"",IF(Q1214=3,IF(VLOOKUP(I1214,I1194:L1197,4,FALSE)&gt;VLOOKUP(I1215,I1194:L1197,4,FALSE),VLOOKUP(R1214,Point_dif,2,FALSE),VLOOKUP(R1214,Point_dif,3,FALSE)),IF(Q1215=3,IF(VLOOKUP(I1215,I1194:L1197,4,FALSE)&gt;VLOOKUP(I1214,I1194:L1197,4,FALSE),VLOOKUP(R1214,Point_dif,2,FALSE),VLOOKUP(R1214,Point_dif,3,FALSE)))))</f>
        <v/>
      </c>
      <c r="S1215" s="256" t="str">
        <f>IF(R1215="","",IF(Q1215=3,+R1215,-R1215))</f>
        <v/>
      </c>
      <c r="T1215" s="192"/>
      <c r="U1215" s="159"/>
      <c r="V1215" s="266"/>
      <c r="W1215" s="266"/>
      <c r="X1215" s="266"/>
      <c r="Y1215" s="192"/>
      <c r="Z1215" s="203"/>
      <c r="AA1215" s="246">
        <v>3</v>
      </c>
      <c r="AB1215" s="222" t="str">
        <f>IF(AND(COUNTBLANK(I1194:I1197)=0,Group_players=4,M1194=M1196,M1196=M1197),IF(V1203="","",IF(COUNTIF(V1201:V1204,V1203)=3,"Tied",IF(AND(COUNTIF(V1201:V1204,V1203)=1,V1201&lt;&gt;V1204),IF(M1196=2,IF(SMALL(V1201:V1204,1)=V1203,1,IF(SMALL(V1201:V1204,2)=V1203,2,IF(SMALL(V1201:V1204,3)=V1203,3))),IF(M1196=1,IF(SMALL(V1201:V1204,1)=V1203,2,IF(SMALL(V1201:V1204,2)=V1203,3,IF(SMALL(V1201:V1204,3)=V1203,4))),"")),IF(COUNTIF(V1201:V1204,V1203)=1,IF(V1203&lt;V1201,IF(M1196=2,1,2),IF(M1196=2,3,4)),IF(COUNTIF(V1201:V1204,V1203)=2,IF(V1203=V1201,IF(V1203&lt;V1204,IF(M1196=2,IF(Q1206=3,1,2),IF(M1196=1,IF(Q1206=3,2,3))),IF(V1203&gt;V1204,IF(M1196=2,IF(Q1206=3,2,3),IF(M1196=1,IF(Q1206=3,3,4))))),IF(V1203=V1204,IF(V1203&lt;V1201,IF(M1196=2,IF(Q1220=3,1,2),IF(M1196=1,IF(Q1220=3,2,3))),IF(V1203&gt;V1201,IF(M1196=2,IF(Q1220=3,2,3),IF(M1196=1,IF(Q1220=3,3,4)))))))))))),"")</f>
        <v/>
      </c>
      <c r="AC1215" s="192"/>
      <c r="AD1215" s="192"/>
      <c r="AE1215" s="192"/>
      <c r="AF1215" s="192"/>
      <c r="AG1215" s="192"/>
      <c r="AH1215" s="192"/>
      <c r="AI1215" s="192"/>
      <c r="AJ1215" s="192"/>
      <c r="AK1215" s="192"/>
      <c r="AL1215" s="192"/>
      <c r="AM1215" s="192"/>
      <c r="AN1215" s="192"/>
      <c r="AO1215" s="192"/>
      <c r="AP1215" s="192"/>
      <c r="AQ1215" s="192"/>
      <c r="AR1215" s="192"/>
      <c r="AS1215" s="192"/>
      <c r="AT1215" s="192"/>
      <c r="AU1215" s="192"/>
      <c r="AV1215" s="192"/>
      <c r="AW1215" s="192"/>
      <c r="AX1215" s="192"/>
    </row>
    <row r="1216" spans="2:50" ht="15" customHeight="1" thickTop="1" thickBot="1" x14ac:dyDescent="0.35">
      <c r="B1216" s="192"/>
      <c r="C1216" s="192"/>
      <c r="D1216" s="192"/>
      <c r="E1216" s="164"/>
      <c r="F1216" s="164"/>
      <c r="G1216" s="192"/>
      <c r="H1216" s="192"/>
      <c r="I1216" s="249" t="s">
        <v>119</v>
      </c>
      <c r="J1216" s="249"/>
      <c r="K1216" s="249"/>
      <c r="L1216" s="250" t="s">
        <v>115</v>
      </c>
      <c r="M1216" s="250" t="s">
        <v>116</v>
      </c>
      <c r="N1216" s="250" t="s">
        <v>117</v>
      </c>
      <c r="O1216" s="250" t="s">
        <v>118</v>
      </c>
      <c r="P1216" s="250" t="s">
        <v>119</v>
      </c>
      <c r="Q1216" s="250" t="s">
        <v>120</v>
      </c>
      <c r="R1216" s="250"/>
      <c r="S1216" s="251"/>
      <c r="T1216" s="247"/>
      <c r="U1216" s="235"/>
      <c r="V1216" s="235"/>
      <c r="W1216" s="235"/>
      <c r="X1216" s="235"/>
      <c r="Y1216" s="235"/>
      <c r="Z1216" s="235"/>
      <c r="AA1216" s="240">
        <v>4</v>
      </c>
      <c r="AB1216" s="241" t="str">
        <f>IF(AND(COUNTBLANK(I1194:I1197)=0,Group_players=4,M1194=M1196,M1196=M1197),IF(V1204="","",IF(COUNTIF(V1201:V1204,V1204)=3,"Tied",IF(AND(COUNTIF(V1201:V1204,V1204)=1,V1203&lt;&gt;V1201),IF(M1197=2,IF(SMALL(V1201:V1204,1)=V1204,1,IF(SMALL(V1201:V1204,2)=V1204,2,IF(SMALL(V1201:V1204,3)=V1204,3))),IF(M1197=1,IF(SMALL(V1201:V1204,1)=V1204,2,IF(SMALL(V1201:V1204,2)=V1204,3,IF(SMALL(V1201:V1204,3)=V1204,4))),"")),IF(COUNTIF(V1201:V1204,V1204)=1,IF(V1204&lt;V1201,IF(M1197=2,1,2),IF(M1197=2,3,4)),IF(COUNTIF(V1201:V1204,V1204)=2,IF(V1204=V1201,IF(V1204&lt;V1203,IF(M1197=2,IF(Q1212=3,1,2),IF(M1197=1,IF(Q1212=3,2,3))),IF(V1204&gt;V1203,IF(M1197=2,IF(Q1212=3,2,3),IF(M1197=1,IF(Q1212=3,3,4))))),IF(V1204=V1203,IF(V1204&lt;V1201,IF(M1197=2,IF(Q1221=3,1,2),IF(M1197=1,IF(Q1221=3,2,3))),IF(V1204&gt;V1201,IF(M1197=2,IF(Q1221=3,2,3),IF(M1197=1,IF(Q1221=3,3,4)))))))))))),"")</f>
        <v/>
      </c>
      <c r="AC1216" s="192"/>
      <c r="AD1216" s="192"/>
      <c r="AE1216" s="192"/>
      <c r="AF1216" s="192"/>
      <c r="AG1216" s="192"/>
      <c r="AH1216" s="192"/>
      <c r="AI1216" s="192"/>
      <c r="AJ1216" s="192"/>
      <c r="AK1216" s="192"/>
      <c r="AL1216" s="192"/>
      <c r="AM1216" s="192"/>
      <c r="AN1216" s="192"/>
      <c r="AO1216" s="192"/>
      <c r="AP1216" s="192"/>
      <c r="AQ1216" s="192"/>
      <c r="AR1216" s="192"/>
      <c r="AS1216" s="192"/>
      <c r="AT1216" s="192"/>
      <c r="AU1216" s="192"/>
      <c r="AV1216" s="192"/>
      <c r="AW1216" s="192"/>
      <c r="AX1216" s="192"/>
    </row>
    <row r="1217" spans="2:50" ht="15" customHeight="1" thickTop="1" x14ac:dyDescent="0.3">
      <c r="B1217" s="192"/>
      <c r="C1217" s="192"/>
      <c r="D1217" s="192"/>
      <c r="E1217" s="164" t="str">
        <f>IF(Q1217="","",IF(Q1217=3,1,0))</f>
        <v/>
      </c>
      <c r="F1217" s="164" t="str">
        <f>IF(Q1217="","",IF(Q1217&lt;3,1,0))</f>
        <v/>
      </c>
      <c r="G1217" s="192"/>
      <c r="H1217" s="192" t="str">
        <f>IF(I1197&lt;&gt;"",1,"")</f>
        <v/>
      </c>
      <c r="I1217" s="192" t="str">
        <f>IF(ISNUMBER(H1217),VLOOKUP(H1217,H1194:I1197,2,TRUE),"")</f>
        <v/>
      </c>
      <c r="J1217" s="192"/>
      <c r="K1217" s="192" t="str">
        <f>VLOOKUP(I1217,I1194:L1197,3,FALSE)</f>
        <v/>
      </c>
      <c r="L1217" s="253"/>
      <c r="M1217" s="254"/>
      <c r="N1217" s="254"/>
      <c r="O1217" s="152"/>
      <c r="P1217" s="153"/>
      <c r="Q1217" s="255" t="str">
        <f>IF(L1217="","",IF(AND(L1217-L1218&gt;1,L1217&gt;10),1,0)+IF(AND(M1217-M1218&gt;1,M1217&gt;10),1,0)+IF(AND(N1217-N1218&gt;1,N1217&gt;10),1,0)+IF(AND(O1217-O1218&gt;1,O1217&gt;10),1,0)+IF(AND(P1217-P1218&gt;1,P1217&gt;10),1,0))</f>
        <v/>
      </c>
      <c r="R1217" s="203" t="str">
        <f>IF(AND(I1217="",I1218=""),"",ABS(VLOOKUP(I1217,I1194:L1197,4,FALSE)-VLOOKUP(I1218,I1194:L1197,4,FALSE)))</f>
        <v/>
      </c>
      <c r="S1217" s="256" t="str">
        <f>IF(R1218="","",IF(Q1217=3,+R1218,-R1218))</f>
        <v/>
      </c>
      <c r="T1217" s="247"/>
      <c r="U1217" s="235"/>
      <c r="V1217" s="235"/>
      <c r="W1217" s="235"/>
      <c r="X1217" s="235"/>
      <c r="Y1217" s="235"/>
      <c r="Z1217" s="235"/>
      <c r="AA1217" s="243">
        <v>1</v>
      </c>
      <c r="AB1217" s="222" t="str">
        <f>IF(AND(COUNTBLANK(I1194:I1197)=0,Group_players=4,M1194=M1195,M1195=M1197),IF(W1201="","",IF(COUNTIF(W1201:W1204,W1201)=3,"Tied",IF(AND(COUNTIF(W1201:W1204,W1201)=1,W1202&lt;&gt;W1203),IF(M1194=2,IF(SMALL(W1201:W1204,1)=W1201,1,IF(SMALL(W1201:W1204,2)=W1201,2,IF(SMALL(W1201:W1204,3)=W1201,3))),IF(M1194=1,IF(SMALL(W1201:W1204,1)=W1201,2,IF(SMALL(W1201:W1204,2)=W1201,3,IF(SMALL(W1201:W1204,3)=W1201,4))),"")),IF(COUNTIF(W1201:W1204,W1201)=1,IF(W1201&lt;W1202,IF(M1194=2,1,2),IF(M1194=2,3,4)),IF(COUNTIF(W1201:W1204,W1201)=2,IF(W1201=W1202,IF(W1201&lt;W1204,IF(M1194=2,IF(Q1217=3,1,2),IF(M1194=1,IF(Q1217=3,2,3))),IF(W1201&gt;W1204,IF(M1194=2,IF(Q1217=3,2,3),IF(M1194=1,IF(Q1217=3,3,4))))),IF(W1201=W1204,IF(W1201&lt;W1202,IF(M1194=2,IF(Q1211=3,1,2),IF(M1194=1,IF(Q1211=3,2,3))),IF(W1201&gt;W1202,IF(M1194=2,IF(Q1211=3,2,3),IF(M1194=1,IF(Q1211=3,3,4)))))))))))),"")</f>
        <v/>
      </c>
      <c r="AC1217" s="192"/>
      <c r="AD1217" s="192"/>
      <c r="AE1217" s="192"/>
      <c r="AF1217" s="192"/>
      <c r="AG1217" s="192"/>
      <c r="AH1217" s="192"/>
      <c r="AI1217" s="192"/>
      <c r="AJ1217" s="192"/>
      <c r="AK1217" s="192"/>
      <c r="AL1217" s="192"/>
      <c r="AM1217" s="192"/>
      <c r="AN1217" s="192"/>
      <c r="AO1217" s="192"/>
      <c r="AP1217" s="192"/>
      <c r="AQ1217" s="192"/>
      <c r="AR1217" s="192"/>
      <c r="AS1217" s="192"/>
      <c r="AT1217" s="192"/>
      <c r="AU1217" s="192"/>
      <c r="AV1217" s="192"/>
      <c r="AW1217" s="192"/>
      <c r="AX1217" s="192"/>
    </row>
    <row r="1218" spans="2:50" ht="15" customHeight="1" thickBot="1" x14ac:dyDescent="0.35">
      <c r="B1218" s="192"/>
      <c r="C1218" s="192"/>
      <c r="D1218" s="192"/>
      <c r="E1218" s="164" t="str">
        <f>IF(Q1218="","",IF(Q1218=3,1,0))</f>
        <v/>
      </c>
      <c r="F1218" s="164" t="str">
        <f>IF(Q1218="","",IF(Q1218&lt;3,1,0))</f>
        <v/>
      </c>
      <c r="G1218" s="192"/>
      <c r="H1218" s="192" t="str">
        <f>IF(I1197&lt;&gt;"",2,"")</f>
        <v/>
      </c>
      <c r="I1218" s="192" t="str">
        <f>IF(ISNUMBER(H1218),VLOOKUP(H1218,H1194:I1197,2,TRUE),"")</f>
        <v/>
      </c>
      <c r="J1218" s="192"/>
      <c r="K1218" s="192" t="str">
        <f>VLOOKUP(I1218,I1194:L1197,3,FALSE)</f>
        <v/>
      </c>
      <c r="L1218" s="155"/>
      <c r="M1218" s="259"/>
      <c r="N1218" s="259"/>
      <c r="O1218" s="156"/>
      <c r="P1218" s="157"/>
      <c r="Q1218" s="260" t="str">
        <f>IF(L1218="","",IF(AND(L1218-L1217&gt;1,L1218&gt;10),1,0)+IF(AND(M1218-M1217&gt;1,M1218&gt;10),1,0)+IF(AND(N1218-N1217&gt;1,N1218&gt;10),1,0)+IF(AND(O1218-O1217&gt;1,O1218&gt;10),1,0)+IF(AND(P1218-P1217&gt;1,P1218&gt;10),1,0))</f>
        <v/>
      </c>
      <c r="R1218" s="203" t="str">
        <f>IF(AND(Q1217&lt;&gt;3,Q1218&lt;&gt;3),"",IF(Q1217=3,IF(VLOOKUP(I1217,I1194:L1197,4,FALSE)&gt;VLOOKUP(I1218,I1194:L1197,4,FALSE),VLOOKUP(R1217,Point_dif,2,FALSE),VLOOKUP(R1217,Point_dif,3,FALSE)),IF(Q1218=3,IF(VLOOKUP(I1218,I1194:L1197,4,FALSE)&gt;VLOOKUP(I1218,I1194:L1197,4,FALSE),VLOOKUP(R1217,Point_dif,2,FALSE),VLOOKUP(R1217,Point_dif,3,FALSE)))))</f>
        <v/>
      </c>
      <c r="S1218" s="256" t="str">
        <f>IF(R1218="","",IF(Q1218=3,+R1218,-R1218))</f>
        <v/>
      </c>
      <c r="T1218" s="247"/>
      <c r="U1218" s="235"/>
      <c r="V1218" s="235"/>
      <c r="W1218" s="235"/>
      <c r="X1218" s="235"/>
      <c r="Y1218" s="235"/>
      <c r="Z1218" s="235"/>
      <c r="AA1218" s="246">
        <v>2</v>
      </c>
      <c r="AB1218" s="222" t="str">
        <f>IF(AND(COUNTBLANK(I1194:I1197)=0,Group_players=4,M1194=M1195,M1195=M1197),IF(W1202="","",IF(COUNTIF(W1201:W1204,W1202)=3,"Tied",IF(AND(COUNTIF(W1201:W1204,W1202)=1,W1201&lt;&gt;W1203),IF(M1195=2,IF(SMALL(W1201:W1204,1)=W1202,1,IF(SMALL(W1201:W1204,2)=W1202,2,IF(SMALL(W1201:W1204,3)=W1202,3))),IF(M1195=1,IF(SMALL(W1201:W1204,1)=W1202,2,IF(SMALL(W1201:W1204,2)=W1202,3,IF(SMALL(W1201:W1204,3)=W1202,4))),"")),IF(COUNTIF(W1201:W1204,W1202)=1,IF(W1202&lt;W1201,IF(M1195=2,1,2),IF(M1195=2,3,4)),IF(COUNTIF(W1201:W1204,W1202)=2,IF(W1202=W1201,IF(W1202&lt;W1204,IF(M1195=2,IF(Q1218=3,1,2),IF(M1195=1,IF(Q1218=3,2,3))),IF(W1202&gt;W1204,IF(M1195=2,IF(Q1218=3,2,3),IF(M1195=1,IF(Q1218=3,3,4))))),IF(W1202=W1204,IF(W1202&lt;W1201,IF(M1195=2,IF(Q1208=3,1,2),IF(M1195=1,IF(Q1208=3,2,3))),IF(W1202&gt;W1201,IF(M1195=2,IF(Q1208=3,2,3),IF(M1195=1,IF(Q1208=3,3,4)))))))))))),"")</f>
        <v/>
      </c>
      <c r="AC1218" s="192"/>
      <c r="AD1218" s="192"/>
      <c r="AE1218" s="192"/>
      <c r="AF1218" s="192"/>
      <c r="AG1218" s="192"/>
      <c r="AH1218" s="192"/>
      <c r="AI1218" s="192"/>
      <c r="AJ1218" s="192"/>
      <c r="AK1218" s="192"/>
      <c r="AL1218" s="192"/>
      <c r="AM1218" s="192"/>
      <c r="AN1218" s="192"/>
      <c r="AO1218" s="192"/>
      <c r="AP1218" s="192"/>
      <c r="AQ1218" s="192"/>
      <c r="AR1218" s="192"/>
      <c r="AS1218" s="192"/>
      <c r="AT1218" s="192"/>
      <c r="AU1218" s="192"/>
      <c r="AV1218" s="192"/>
      <c r="AW1218" s="192"/>
      <c r="AX1218" s="192"/>
    </row>
    <row r="1219" spans="2:50" ht="15" customHeight="1" thickTop="1" thickBot="1" x14ac:dyDescent="0.35">
      <c r="B1219" s="192"/>
      <c r="C1219" s="192"/>
      <c r="D1219" s="192"/>
      <c r="E1219" s="164"/>
      <c r="F1219" s="164"/>
      <c r="G1219" s="192"/>
      <c r="H1219" s="192"/>
      <c r="I1219" s="249" t="s">
        <v>121</v>
      </c>
      <c r="J1219" s="249"/>
      <c r="K1219" s="249"/>
      <c r="L1219" s="250" t="s">
        <v>115</v>
      </c>
      <c r="M1219" s="250" t="s">
        <v>116</v>
      </c>
      <c r="N1219" s="250" t="s">
        <v>117</v>
      </c>
      <c r="O1219" s="250" t="s">
        <v>118</v>
      </c>
      <c r="P1219" s="250" t="s">
        <v>119</v>
      </c>
      <c r="Q1219" s="250" t="s">
        <v>120</v>
      </c>
      <c r="R1219" s="250"/>
      <c r="S1219" s="251"/>
      <c r="T1219" s="247"/>
      <c r="U1219" s="235"/>
      <c r="V1219" s="235"/>
      <c r="W1219" s="235"/>
      <c r="X1219" s="235"/>
      <c r="Y1219" s="235"/>
      <c r="Z1219" s="235"/>
      <c r="AA1219" s="240">
        <v>4</v>
      </c>
      <c r="AB1219" s="241" t="str">
        <f>IF(AND(COUNTBLANK(I1194:I1197)=0,Group_players=4,M1194=M1195,M1195=M1197),IF(W1204="","",IF(COUNTIF(W1201:W1204,W1204)=3,"Tied",IF(AND(COUNTIF(W1201:W1204,W1204)=1,W1201&lt;&gt;W1202),IF(M1197=2,IF(SMALL(W1201:W1204,1)=W1204,1,IF(SMALL(W1201:W1204,2)=W1204,2,IF(SMALL(W1201:W1204,3)=W1204,3))),IF(M1197=1,IF(SMALL(W1201:W1204,1)=W1204,2,IF(SMALL(W1201:W1204,2)=W1204,3,IF(SMALL(W1201:W1204,3)=W1204,4))),"")),IF(COUNTIF(W1201:W1204,W1204)=1,IF(W1204&lt;W1201,IF(M1197=2,1,2),IF(M1197=2,3,4)),IF(COUNTIF(W1201:W1204,W1204)=2,IF(W1204=W1201,IF(W1204&lt;W1202,IF(M1197=2,IF(Q1212=3,1,2),IF(M1197=1,IF(Q1212=3,2,3))),IF(W1204&gt;W1203,IF(M1197=2,IF(Q1212=3,2,3),IF(M1197=1,IF(Q1212=3,3,4))))),IF(W1204=W1202,IF(W1204&lt;W1201,IF(M1197=2,IF(Q1209=3,1,2),IF(M1197=1,IF(Q1209=3,2,3))),IF(W1204&gt;W1201,IF(M1197=2,IF(Q1209=3,2,3),IF(M1197=1,IF(Q1209=3,3,4)))))))))))),"")</f>
        <v/>
      </c>
      <c r="AC1219" s="192"/>
      <c r="AD1219" s="192"/>
      <c r="AE1219" s="192"/>
      <c r="AF1219" s="192"/>
      <c r="AG1219" s="192"/>
      <c r="AH1219" s="192"/>
      <c r="AI1219" s="192"/>
      <c r="AJ1219" s="192"/>
      <c r="AK1219" s="192"/>
      <c r="AL1219" s="192"/>
      <c r="AM1219" s="192"/>
      <c r="AN1219" s="192"/>
      <c r="AO1219" s="192"/>
      <c r="AP1219" s="192"/>
      <c r="AQ1219" s="192"/>
      <c r="AR1219" s="192"/>
      <c r="AS1219" s="192"/>
      <c r="AT1219" s="192"/>
      <c r="AU1219" s="192"/>
      <c r="AV1219" s="192"/>
      <c r="AW1219" s="192"/>
      <c r="AX1219" s="192"/>
    </row>
    <row r="1220" spans="2:50" ht="15" customHeight="1" thickTop="1" x14ac:dyDescent="0.3">
      <c r="B1220" s="192"/>
      <c r="C1220" s="192"/>
      <c r="D1220" s="192"/>
      <c r="E1220" s="164" t="str">
        <f>IF(Q1220="","",IF(Q1220=3,1,0))</f>
        <v/>
      </c>
      <c r="F1220" s="164" t="str">
        <f>IF(Q1220="","",IF(Q1220&lt;3,1,0))</f>
        <v/>
      </c>
      <c r="G1220" s="192"/>
      <c r="H1220" s="192" t="str">
        <f>IF(I1197&lt;&gt;"",3,"")</f>
        <v/>
      </c>
      <c r="I1220" s="192" t="str">
        <f>IF(ISNUMBER(H1220),VLOOKUP(H1220,H1194:I1197,2,TRUE),"")</f>
        <v/>
      </c>
      <c r="J1220" s="192"/>
      <c r="K1220" s="192" t="str">
        <f>VLOOKUP(I1220,I1194:L1197,3,FALSE)</f>
        <v/>
      </c>
      <c r="L1220" s="253"/>
      <c r="M1220" s="254"/>
      <c r="N1220" s="254"/>
      <c r="O1220" s="152"/>
      <c r="P1220" s="153"/>
      <c r="Q1220" s="255" t="str">
        <f>IF(L1220="","",IF(AND(L1220-L1221&gt;1,L1220&gt;10),1,0)+IF(AND(M1220-M1221&gt;1,M1220&gt;10),1,0)+IF(AND(N1220-N1221&gt;1,N1220&gt;10),1,0)+IF(AND(O1220-O1221&gt;1,O1220&gt;10),1,0)+IF(AND(P1220-P1221&gt;1,P1220&gt;10),1,0))</f>
        <v/>
      </c>
      <c r="R1220" s="203" t="str">
        <f>IF(AND(I1220="",I1221=""),"",ABS(VLOOKUP(I1220,I1194:L1197,4,FALSE)-VLOOKUP(I1221,I1194:L1197,4,FALSE)))</f>
        <v/>
      </c>
      <c r="S1220" s="256" t="str">
        <f>IF(R1221="","",IF(Q1220=3,+R1221,-R1221))</f>
        <v/>
      </c>
      <c r="T1220" s="247"/>
      <c r="U1220" s="264"/>
      <c r="V1220" s="242"/>
      <c r="W1220" s="192"/>
      <c r="X1220" s="264"/>
      <c r="Y1220" s="192"/>
      <c r="Z1220" s="192"/>
      <c r="AA1220" s="243">
        <v>2</v>
      </c>
      <c r="AB1220" s="222" t="str">
        <f>IF(AND(COUNTBLANK(I1194:I1197)=0,Group_players=4,M1195=M1196,M1196=M1197),IF(X1202="","",IF(COUNTIF(X1201:X1204,X1202)=3,"Tied",IF(AND(COUNTIF(X1201:X1204,X1202)=1,X1203&lt;&gt;X1204),IF(M1195=2,IF(SMALL(X1201:X1204,1)=X1202,1,IF(SMALL(X1201:X1204,2)=X1202,2,IF(SMALL(X1201:X1204,3)=X1202,3))),IF(M1195=1,IF(SMALL(X1201:X1204,1)=X1202,2,IF(SMALL(X1201:X1204,2)=X1202,3,IF(SMALL(X1201:X1204,3)=X1202,4))),"")),IF(COUNTIF(X1201:X1204,X1202)=1,IF(X1202&lt;X1204,IF(M1195=2,1,2),IF(M1195=1,4)),IF(COUNTIF(X1201:X1204,X1202)=2,IF(X1202=X1203,IF(X1202&lt;X1204,IF(M1195=2,IF(Q1214=3,1,2),IF(M1195=1,IF(Q1214=3,2,3))),IF(X1202&gt;X1204,IF(M1195=2,IF(Q1214=3,2,3),IF(M1195=1,IF(Q1214=3,3,4))))),IF(X1202=X1204,IF(X1202&lt;X1203,IF(M1195=2,IF(Q1208=3,1,2),IF(M1195=1,IF(Q1208=3,2,3))),IF(X1202&gt;X1203,IF(M1195=2,IF(Q1208=3,2,3),IF(M1195=1,IF(Q1208=3,3,4)))))))))))),"")</f>
        <v/>
      </c>
      <c r="AC1220" s="192"/>
      <c r="AD1220" s="192"/>
      <c r="AE1220" s="192"/>
      <c r="AF1220" s="192"/>
      <c r="AG1220" s="192"/>
      <c r="AH1220" s="192"/>
      <c r="AI1220" s="192"/>
      <c r="AJ1220" s="192"/>
      <c r="AK1220" s="192"/>
      <c r="AL1220" s="192"/>
      <c r="AM1220" s="192"/>
      <c r="AN1220" s="192"/>
      <c r="AO1220" s="192"/>
      <c r="AP1220" s="192"/>
      <c r="AQ1220" s="192"/>
      <c r="AR1220" s="192"/>
      <c r="AS1220" s="192"/>
      <c r="AT1220" s="192"/>
      <c r="AU1220" s="192"/>
      <c r="AV1220" s="192"/>
      <c r="AW1220" s="192"/>
      <c r="AX1220" s="192"/>
    </row>
    <row r="1221" spans="2:50" ht="15" customHeight="1" thickBot="1" x14ac:dyDescent="0.35">
      <c r="B1221" s="192"/>
      <c r="C1221" s="192"/>
      <c r="D1221" s="192"/>
      <c r="E1221" s="164" t="str">
        <f>IF(Q1221="","",IF(Q1221=3,1,0))</f>
        <v/>
      </c>
      <c r="F1221" s="164" t="str">
        <f>IF(Q1221="","",IF(Q1221&lt;3,1,0))</f>
        <v/>
      </c>
      <c r="G1221" s="192"/>
      <c r="H1221" s="192" t="str">
        <f>IF(I1197&lt;&gt;"",4,"")</f>
        <v/>
      </c>
      <c r="I1221" s="192" t="str">
        <f>IF(ISNUMBER(H1221),VLOOKUP(H1221,H1194:I1197,2,TRUE),"")</f>
        <v/>
      </c>
      <c r="J1221" s="192"/>
      <c r="K1221" s="192" t="str">
        <f>VLOOKUP(I1221,I1194:L1197,3,FALSE)</f>
        <v/>
      </c>
      <c r="L1221" s="155"/>
      <c r="M1221" s="259"/>
      <c r="N1221" s="259"/>
      <c r="O1221" s="156"/>
      <c r="P1221" s="157"/>
      <c r="Q1221" s="260" t="str">
        <f>IF(L1221="","",IF(AND(L1221-L1220&gt;1,L1221&gt;10),1,0)+IF(AND(M1221-M1220&gt;1,M1221&gt;10),1,0)+IF(AND(N1221-N1220&gt;1,N1221&gt;10),1,0)+IF(AND(O1221-O1220&gt;1,O1221&gt;10),1,0)+IF(AND(P1221-P1220&gt;1,P1221&gt;10),1,0))</f>
        <v/>
      </c>
      <c r="R1221" s="203" t="str">
        <f>IF(AND(Q1220&lt;&gt;3,Q1221&lt;&gt;3),"",IF(Q1220=3,IF(VLOOKUP(I1220,I1194:L1197,4,FALSE)&gt;VLOOKUP(I1221,I1194:L1197,4,FALSE),VLOOKUP(R1220,Point_dif,2,FALSE),VLOOKUP(R1220,Point_dif,3,FALSE)),IF(Q1221=3,IF(VLOOKUP(I1221,I1194:L1197,4,FALSE)&gt;VLOOKUP(I1220,I1194:L1197,4,FALSE),VLOOKUP(R1220,Point_dif,2,FALSE),VLOOKUP(R1220,Point_dif,3,FALSE)))))</f>
        <v/>
      </c>
      <c r="S1221" s="260" t="str">
        <f>IF(R1221="","",IF(Q1221=3,+R1221,-R1221))</f>
        <v/>
      </c>
      <c r="T1221" s="247"/>
      <c r="U1221" s="235"/>
      <c r="V1221" s="235"/>
      <c r="W1221" s="235"/>
      <c r="X1221" s="235"/>
      <c r="Y1221" s="235"/>
      <c r="Z1221" s="235"/>
      <c r="AA1221" s="246">
        <v>3</v>
      </c>
      <c r="AB1221" s="222" t="str">
        <f>IF(AND(COUNTBLANK(I1194:I1197)=0,Group_players=4,Group_players=4,M1195=M1196,M1196=M1197),IF(X1203="","",IF(COUNTIF(X1201:X1204,X1203)=3,"Tied",IF(AND(COUNTIF(X1201:X1204,X1203)=1,X1202&lt;&gt;X1204),IF(M1196=2,IF(SMALL(X1201:X1204,1)=X1203,1,IF(SMALL(X1201:X1204,2)=X1203,2,IF(SMALL(X1201:X1204,3)=X1203,3))),IF(M1196=1,IF(SMALL(X1201:X1204,1)=X1203,2,IF(SMALL(X1201:X1204,2)=X1203,3,IF(SMALL(X1201:X1204,3)=X1203,4))),"")),IF(COUNTIF(X1201:X1204,X1203)=1,IF(X1203&lt;X1202,IF(M1196=2,1,2),IF(M1196=2,3,4)),IF(COUNTIF(X1201:X1204,X1203)=2,IF(X1203=X1202,IF(X1203&lt;X1204,IF(M1196=2,IF(Q1215=3,1,2),IF(M1196=1,IF(Q1215=3,2,3))),IF(X1203&gt;X1204,IF(M1196=2,IF(Q1215=3,2,3),IF(M1196=1,IF(Q1215=3,3,4))))),IF(X1203=X1204,IF(X1203&lt;X1202,IF(M1196=2,IF(Q1220=3,1,2),IF(M1196=1,IF(Q1220=3,2,3))),IF(X1203&gt;X1202,IF(M1196=2,IF(Q1220=3,2,3),IF(M1196=1,IF(Q1220=3,3,4)))))))))))),"")</f>
        <v/>
      </c>
      <c r="AC1221" s="192"/>
      <c r="AD1221" s="192"/>
      <c r="AE1221" s="192"/>
      <c r="AF1221" s="192"/>
      <c r="AG1221" s="192"/>
      <c r="AH1221" s="192"/>
      <c r="AI1221" s="192"/>
      <c r="AJ1221" s="192"/>
      <c r="AK1221" s="192"/>
      <c r="AL1221" s="192"/>
      <c r="AM1221" s="192"/>
      <c r="AN1221" s="192"/>
      <c r="AO1221" s="192"/>
      <c r="AP1221" s="192"/>
      <c r="AQ1221" s="192"/>
      <c r="AR1221" s="192"/>
      <c r="AS1221" s="192"/>
      <c r="AT1221" s="192"/>
      <c r="AU1221" s="192"/>
      <c r="AV1221" s="192"/>
      <c r="AW1221" s="192"/>
      <c r="AX1221" s="192"/>
    </row>
    <row r="1222" spans="2:50" ht="15" customHeight="1" thickTop="1" thickBot="1" x14ac:dyDescent="0.35">
      <c r="B1222" s="192"/>
      <c r="C1222" s="192"/>
      <c r="D1222" s="192"/>
      <c r="E1222" s="192"/>
      <c r="F1222" s="192"/>
      <c r="G1222" s="192"/>
      <c r="H1222" s="192"/>
      <c r="I1222" s="192"/>
      <c r="J1222" s="192"/>
      <c r="K1222" s="192"/>
      <c r="L1222" s="192"/>
      <c r="M1222" s="192"/>
      <c r="N1222" s="192"/>
      <c r="O1222" s="192"/>
      <c r="P1222" s="192"/>
      <c r="Q1222" s="192"/>
      <c r="R1222" s="192"/>
      <c r="S1222" s="192"/>
      <c r="T1222" s="247"/>
      <c r="U1222" s="235"/>
      <c r="V1222" s="235"/>
      <c r="W1222" s="235"/>
      <c r="X1222" s="235"/>
      <c r="Y1222" s="235"/>
      <c r="Z1222" s="235"/>
      <c r="AA1222" s="261">
        <v>4</v>
      </c>
      <c r="AB1222" s="233" t="str">
        <f>IF(AND(COUNTBLANK(I1194:I1197)=0,Group_players=4,M1195=M1196,M1196=M1197),IF(X1204="","",IF(COUNTIF(X1201:X1204,X1204)=3,"Tied",IF(AND(COUNTIF(X1201:X1204,X1204)=1,X1203&lt;&gt;X1202),IF(M1197=2,IF(SMALL(X1201:X1204,1)=X1204,1,IF(SMALL(X1201:X1204,2)=X1204,2,IF(SMALL(X1201:X1204,3)=X1204,3))),IF(M1197=1,IF(SMALL(X1201:X1204,1)=X1204,2,IF(SMALL(X1201:X1204,2)=X1204,3,IF(SMALL(X1201:X1204,3)=X1204,4))),"")),IF(COUNTIF(X1201:X1204,X1204)=1,IF(X1204&lt;X1202,IF(M1197=2,1,2),IF(M1197=2,3,4)),IF(COUNTIF(X1201:X1204,X1204)=2,IF(X1204=X1202,IF(X1204&lt;X1203,IF(M1197=2,IF(Q1209=3,1,2),IF(M1197=1,IF(Q1209=3,2,3))),IF(X1204&gt;X1203,IF(M1197=2,IF(Q1209=3,2,3),IF(M1197=1,IF(Q1209=3,3,4))))),IF(X1204=X1203,IF(X1204&lt;X1202,IF(M1197=2,IF(Q1221=3,1,2),IF(M1197=1,IF(Q1221=3,2,3))),IF(X1204&gt;X1202,IF(M1197=2,IF(Q1221=3,2,3),IF(M1197=1,IF(Q1221=3,3,4)))))))))))),"")</f>
        <v/>
      </c>
      <c r="AC1222" s="192"/>
      <c r="AD1222" s="192"/>
      <c r="AE1222" s="192"/>
      <c r="AF1222" s="192"/>
      <c r="AG1222" s="192"/>
      <c r="AH1222" s="192"/>
      <c r="AI1222" s="192"/>
      <c r="AJ1222" s="192"/>
      <c r="AK1222" s="192"/>
      <c r="AL1222" s="192"/>
      <c r="AM1222" s="192"/>
      <c r="AN1222" s="192"/>
      <c r="AO1222" s="192"/>
      <c r="AP1222" s="192"/>
      <c r="AQ1222" s="192"/>
      <c r="AR1222" s="192"/>
      <c r="AS1222" s="192"/>
      <c r="AT1222" s="192"/>
      <c r="AU1222" s="192"/>
      <c r="AV1222" s="192"/>
      <c r="AW1222" s="192"/>
      <c r="AX1222" s="192"/>
    </row>
    <row r="1223" spans="2:50" ht="15" customHeight="1" thickTop="1" x14ac:dyDescent="0.3">
      <c r="B1223" s="192"/>
      <c r="C1223" s="192"/>
      <c r="D1223" s="192"/>
      <c r="E1223" s="192"/>
      <c r="F1223" s="192"/>
      <c r="G1223" s="192"/>
      <c r="H1223" s="192"/>
      <c r="I1223" s="192"/>
      <c r="J1223" s="192"/>
      <c r="K1223" s="192"/>
      <c r="L1223" s="192"/>
      <c r="M1223" s="192"/>
      <c r="N1223" s="192"/>
      <c r="O1223" s="192"/>
      <c r="P1223" s="192"/>
      <c r="Q1223" s="192"/>
      <c r="R1223" s="192"/>
      <c r="S1223" s="192"/>
      <c r="T1223" s="203"/>
      <c r="U1223" s="192"/>
      <c r="V1223" s="192"/>
      <c r="W1223" s="192"/>
      <c r="X1223" s="192"/>
      <c r="Y1223" s="192"/>
      <c r="Z1223" s="192"/>
      <c r="AA1223" s="192"/>
      <c r="AB1223" s="192"/>
      <c r="AC1223" s="192"/>
      <c r="AD1223" s="192"/>
      <c r="AE1223" s="192"/>
      <c r="AF1223" s="192"/>
      <c r="AG1223" s="192"/>
      <c r="AH1223" s="192"/>
      <c r="AI1223" s="192"/>
      <c r="AJ1223" s="192"/>
      <c r="AK1223" s="192"/>
      <c r="AL1223" s="192"/>
      <c r="AM1223" s="192"/>
      <c r="AN1223" s="192"/>
      <c r="AO1223" s="192"/>
      <c r="AP1223" s="192"/>
      <c r="AQ1223" s="192"/>
      <c r="AR1223" s="192"/>
      <c r="AS1223" s="192"/>
      <c r="AT1223" s="192"/>
      <c r="AU1223" s="192"/>
      <c r="AV1223" s="192"/>
      <c r="AW1223" s="192"/>
      <c r="AX1223" s="192"/>
    </row>
    <row r="1224" spans="2:50" ht="15" customHeight="1" x14ac:dyDescent="0.3">
      <c r="B1224" s="192"/>
      <c r="C1224" s="192"/>
      <c r="D1224" s="192"/>
      <c r="E1224" s="192"/>
      <c r="F1224" s="192"/>
      <c r="G1224" s="192"/>
      <c r="H1224" s="192"/>
      <c r="I1224" s="192"/>
      <c r="J1224" s="192"/>
      <c r="K1224" s="192"/>
      <c r="L1224" s="192"/>
      <c r="M1224" s="192"/>
      <c r="N1224" s="192"/>
      <c r="O1224" s="192"/>
      <c r="P1224" s="192"/>
      <c r="Q1224" s="192"/>
      <c r="R1224" s="192"/>
      <c r="S1224" s="192"/>
      <c r="T1224" s="192"/>
      <c r="U1224" s="192"/>
      <c r="V1224" s="192"/>
      <c r="W1224" s="192"/>
      <c r="X1224" s="192"/>
      <c r="Y1224" s="192"/>
      <c r="Z1224" s="192"/>
      <c r="AA1224" s="192"/>
      <c r="AB1224" s="192"/>
      <c r="AC1224" s="192"/>
      <c r="AD1224" s="192"/>
      <c r="AE1224" s="192"/>
      <c r="AF1224" s="192"/>
      <c r="AG1224" s="192"/>
      <c r="AH1224" s="192"/>
      <c r="AI1224" s="192"/>
      <c r="AJ1224" s="192"/>
      <c r="AK1224" s="192"/>
      <c r="AL1224" s="192"/>
      <c r="AM1224" s="192"/>
      <c r="AN1224" s="192"/>
      <c r="AO1224" s="192"/>
      <c r="AP1224" s="192"/>
      <c r="AQ1224" s="192"/>
      <c r="AR1224" s="192"/>
      <c r="AS1224" s="192"/>
      <c r="AT1224" s="192"/>
      <c r="AU1224" s="192"/>
      <c r="AV1224" s="192"/>
      <c r="AW1224" s="192"/>
      <c r="AX1224" s="192"/>
    </row>
    <row r="1225" spans="2:50" ht="15" customHeight="1" x14ac:dyDescent="0.3">
      <c r="B1225" s="192"/>
      <c r="C1225" s="192"/>
      <c r="D1225" s="192"/>
      <c r="E1225" s="192"/>
      <c r="F1225" s="192"/>
      <c r="G1225" s="192"/>
      <c r="H1225" s="192"/>
      <c r="I1225" s="192"/>
      <c r="J1225" s="192"/>
      <c r="K1225" s="192"/>
      <c r="L1225" s="192"/>
      <c r="M1225" s="192"/>
      <c r="N1225" s="192"/>
      <c r="O1225" s="192"/>
      <c r="P1225" s="192"/>
      <c r="Q1225" s="192"/>
      <c r="R1225" s="192"/>
      <c r="S1225" s="192"/>
      <c r="T1225" s="192"/>
      <c r="U1225" s="192"/>
      <c r="V1225" s="192"/>
      <c r="W1225" s="192"/>
      <c r="X1225" s="192"/>
      <c r="Y1225" s="192"/>
      <c r="Z1225" s="269"/>
      <c r="AA1225" s="192"/>
      <c r="AB1225" s="192"/>
      <c r="AC1225" s="192"/>
      <c r="AD1225" s="192"/>
      <c r="AE1225" s="192"/>
      <c r="AF1225" s="192"/>
      <c r="AG1225" s="192"/>
      <c r="AH1225" s="192"/>
      <c r="AI1225" s="192"/>
      <c r="AJ1225" s="192"/>
      <c r="AK1225" s="192"/>
      <c r="AL1225" s="192"/>
      <c r="AM1225" s="192"/>
      <c r="AN1225" s="192"/>
      <c r="AO1225" s="192"/>
      <c r="AP1225" s="192"/>
      <c r="AQ1225" s="192"/>
      <c r="AR1225" s="192"/>
      <c r="AS1225" s="192"/>
      <c r="AT1225" s="192"/>
      <c r="AU1225" s="192"/>
      <c r="AV1225" s="192"/>
      <c r="AW1225" s="192"/>
      <c r="AX1225" s="192"/>
    </row>
    <row r="1226" spans="2:50" ht="15" customHeight="1" x14ac:dyDescent="0.3">
      <c r="B1226" s="192"/>
      <c r="C1226" s="192"/>
      <c r="D1226" s="192"/>
      <c r="E1226" s="192"/>
      <c r="F1226" s="192"/>
      <c r="G1226" s="192"/>
      <c r="H1226" s="192"/>
      <c r="I1226" s="192"/>
      <c r="J1226" s="192"/>
      <c r="K1226" s="192"/>
      <c r="L1226" s="192"/>
      <c r="M1226" s="192"/>
      <c r="N1226" s="192"/>
      <c r="O1226" s="192"/>
      <c r="P1226" s="192"/>
      <c r="Q1226" s="192"/>
      <c r="R1226" s="192"/>
      <c r="S1226" s="192"/>
      <c r="T1226" s="192"/>
      <c r="U1226" s="192"/>
      <c r="V1226" s="192"/>
      <c r="W1226" s="192"/>
      <c r="X1226" s="192"/>
      <c r="Y1226" s="192"/>
      <c r="Z1226" s="192"/>
      <c r="AA1226" s="192"/>
      <c r="AB1226" s="192"/>
      <c r="AC1226" s="192"/>
      <c r="AD1226" s="192"/>
      <c r="AE1226" s="192"/>
      <c r="AF1226" s="192"/>
      <c r="AG1226" s="192"/>
      <c r="AH1226" s="192"/>
      <c r="AI1226" s="192"/>
      <c r="AJ1226" s="192"/>
      <c r="AK1226" s="192"/>
      <c r="AL1226" s="192"/>
      <c r="AM1226" s="192"/>
      <c r="AN1226" s="192"/>
      <c r="AO1226" s="192"/>
      <c r="AP1226" s="192"/>
      <c r="AQ1226" s="192"/>
      <c r="AR1226" s="192"/>
      <c r="AS1226" s="192"/>
      <c r="AT1226" s="192"/>
      <c r="AU1226" s="192"/>
      <c r="AV1226" s="192"/>
      <c r="AW1226" s="192"/>
      <c r="AX1226" s="192"/>
    </row>
    <row r="1227" spans="2:50" ht="15" customHeight="1" x14ac:dyDescent="0.3">
      <c r="B1227" s="192"/>
      <c r="C1227" s="192"/>
      <c r="D1227" s="192"/>
      <c r="E1227" s="192"/>
      <c r="F1227" s="192"/>
      <c r="G1227" s="192"/>
      <c r="H1227" s="192"/>
      <c r="I1227" s="192"/>
      <c r="J1227" s="192"/>
      <c r="K1227" s="192"/>
      <c r="L1227" s="192"/>
      <c r="M1227" s="192"/>
      <c r="N1227" s="192"/>
      <c r="O1227" s="192"/>
      <c r="P1227" s="192"/>
      <c r="Q1227" s="192"/>
      <c r="R1227" s="192"/>
      <c r="S1227" s="192"/>
      <c r="T1227" s="192"/>
      <c r="U1227" s="192"/>
      <c r="V1227" s="192"/>
      <c r="W1227" s="192"/>
      <c r="X1227" s="192"/>
      <c r="Y1227" s="192"/>
      <c r="Z1227" s="192"/>
      <c r="AA1227" s="192"/>
      <c r="AB1227" s="192"/>
      <c r="AC1227" s="192"/>
      <c r="AD1227" s="192"/>
      <c r="AE1227" s="192"/>
      <c r="AF1227" s="192"/>
      <c r="AG1227" s="192"/>
      <c r="AH1227" s="192"/>
      <c r="AI1227" s="192"/>
      <c r="AJ1227" s="192"/>
      <c r="AK1227" s="192"/>
      <c r="AL1227" s="192"/>
      <c r="AM1227" s="192"/>
      <c r="AN1227" s="192"/>
      <c r="AO1227" s="192"/>
      <c r="AP1227" s="192"/>
      <c r="AQ1227" s="192"/>
      <c r="AR1227" s="192"/>
      <c r="AS1227" s="192"/>
      <c r="AT1227" s="192"/>
      <c r="AU1227" s="192"/>
      <c r="AV1227" s="192"/>
      <c r="AW1227" s="192"/>
      <c r="AX1227" s="192"/>
    </row>
    <row r="1228" spans="2:50" ht="15" customHeight="1" thickBot="1" x14ac:dyDescent="0.4">
      <c r="B1228" s="192"/>
      <c r="C1228" s="192"/>
      <c r="D1228" s="192"/>
      <c r="E1228" s="192"/>
      <c r="F1228" s="192"/>
      <c r="G1228" s="192"/>
      <c r="H1228" s="192"/>
      <c r="I1228" s="383" t="s">
        <v>156</v>
      </c>
      <c r="J1228" s="383"/>
      <c r="K1228" s="383"/>
      <c r="L1228" s="383"/>
      <c r="M1228" s="383"/>
      <c r="N1228" s="383"/>
      <c r="O1228" s="383"/>
      <c r="P1228" s="383"/>
      <c r="Q1228" s="383"/>
      <c r="R1228" s="383"/>
      <c r="S1228" s="192"/>
      <c r="T1228" s="192"/>
      <c r="U1228" s="370" t="s">
        <v>92</v>
      </c>
      <c r="V1228" s="371"/>
      <c r="W1228" s="371"/>
      <c r="X1228" s="372"/>
      <c r="Y1228" s="192"/>
      <c r="Z1228" s="192"/>
      <c r="AA1228" s="192"/>
      <c r="AB1228" s="192"/>
      <c r="AC1228" s="192"/>
      <c r="AD1228" s="192"/>
      <c r="AE1228" s="192"/>
      <c r="AF1228" s="192"/>
      <c r="AG1228" s="192"/>
      <c r="AH1228" s="192"/>
      <c r="AI1228" s="192"/>
      <c r="AJ1228" s="192"/>
      <c r="AK1228" s="192"/>
      <c r="AL1228" s="192"/>
      <c r="AM1228" s="192"/>
      <c r="AN1228" s="192"/>
      <c r="AO1228" s="192"/>
      <c r="AP1228" s="192"/>
      <c r="AQ1228" s="192"/>
      <c r="AR1228" s="192"/>
      <c r="AS1228" s="192"/>
      <c r="AT1228" s="192"/>
      <c r="AU1228" s="192"/>
      <c r="AV1228" s="192"/>
      <c r="AW1228" s="192"/>
      <c r="AX1228" s="192"/>
    </row>
    <row r="1229" spans="2:50" ht="15" customHeight="1" thickTop="1" thickBot="1" x14ac:dyDescent="0.35">
      <c r="B1229" s="192"/>
      <c r="C1229" s="192"/>
      <c r="D1229" s="192"/>
      <c r="E1229" s="192"/>
      <c r="F1229" s="192"/>
      <c r="G1229" s="192"/>
      <c r="H1229" s="192"/>
      <c r="I1229" s="400" t="s">
        <v>93</v>
      </c>
      <c r="J1229" s="160"/>
      <c r="K1229" s="396" t="s">
        <v>94</v>
      </c>
      <c r="L1229" s="398" t="s">
        <v>95</v>
      </c>
      <c r="M1229" s="390" t="s">
        <v>96</v>
      </c>
      <c r="N1229" s="390" t="s">
        <v>97</v>
      </c>
      <c r="O1229" s="373" t="s">
        <v>98</v>
      </c>
      <c r="P1229" s="373" t="str">
        <f>IF(COUNT(U1230:X1241)=3,"LM/WM Ratio",IF(COUNT(U1230:X1241)=6,"LP/WP Ratio",""))</f>
        <v/>
      </c>
      <c r="Q1229" s="390" t="s">
        <v>99</v>
      </c>
      <c r="R1229" s="392" t="s">
        <v>100</v>
      </c>
      <c r="S1229" s="192"/>
      <c r="T1229" s="120"/>
      <c r="U1229" s="121" t="s">
        <v>101</v>
      </c>
      <c r="V1229" s="122" t="s">
        <v>102</v>
      </c>
      <c r="W1229" s="122" t="s">
        <v>103</v>
      </c>
      <c r="X1229" s="123" t="s">
        <v>104</v>
      </c>
      <c r="Y1229" s="380" t="s">
        <v>105</v>
      </c>
      <c r="Z1229" s="379"/>
      <c r="AA1229" s="378" t="s">
        <v>106</v>
      </c>
      <c r="AB1229" s="379"/>
      <c r="AC1229" s="192"/>
      <c r="AD1229" s="192"/>
      <c r="AE1229" s="192"/>
      <c r="AF1229" s="192"/>
      <c r="AG1229" s="192"/>
      <c r="AH1229" s="192"/>
      <c r="AI1229" s="192"/>
      <c r="AJ1229" s="192"/>
      <c r="AK1229" s="192"/>
      <c r="AL1229" s="192"/>
      <c r="AM1229" s="192"/>
      <c r="AN1229" s="192"/>
      <c r="AO1229" s="192"/>
      <c r="AP1229" s="192"/>
      <c r="AQ1229" s="192"/>
      <c r="AR1229" s="192"/>
      <c r="AS1229" s="192"/>
      <c r="AT1229" s="192"/>
      <c r="AU1229" s="192"/>
      <c r="AV1229" s="192"/>
      <c r="AW1229" s="192"/>
      <c r="AX1229" s="192"/>
    </row>
    <row r="1230" spans="2:50" ht="15" customHeight="1" thickTop="1" thickBot="1" x14ac:dyDescent="0.35">
      <c r="B1230" s="192"/>
      <c r="C1230" s="192"/>
      <c r="D1230" s="192"/>
      <c r="E1230" s="192"/>
      <c r="F1230" s="192"/>
      <c r="G1230" s="192"/>
      <c r="H1230" s="192"/>
      <c r="I1230" s="401"/>
      <c r="J1230" s="161"/>
      <c r="K1230" s="397"/>
      <c r="L1230" s="399"/>
      <c r="M1230" s="391"/>
      <c r="N1230" s="391"/>
      <c r="O1230" s="374"/>
      <c r="P1230" s="374"/>
      <c r="Q1230" s="391"/>
      <c r="R1230" s="393"/>
      <c r="S1230" s="192"/>
      <c r="T1230" s="208">
        <v>1</v>
      </c>
      <c r="U1230" s="209" t="str">
        <f>IF(M1231="","",IF(COUNTIF(M1231:M1233,M1231)=3,IF(COUNTBLANK(I1231:I1234)=1,(Q1243+Q1249)/(Q1242+Q1248),IF(COUNTBLANK(I1231:I1234)=0,(Q1255+Q1243)/(Q1254+Q1242),"")),""))</f>
        <v/>
      </c>
      <c r="V1230" s="125" t="str">
        <f>IF(AND(COUNTBLANK(I1231:I1234)=0,M1231=M1233,M1233=M1234),(Q1243+Q1249)/(Q1242+Q1248),"")</f>
        <v/>
      </c>
      <c r="W1230" s="210" t="str">
        <f>IF(AND(COUNTBLANK(I1231:I1234)=0,M1231=M1232,M1232=M1234),(Q1255+Q1249)/(Q1254+Q1248),"")</f>
        <v/>
      </c>
      <c r="X1230" s="211"/>
      <c r="Y1230" s="169" t="s">
        <v>93</v>
      </c>
      <c r="Z1230" s="170" t="s">
        <v>107</v>
      </c>
      <c r="AA1230" s="169" t="s">
        <v>93</v>
      </c>
      <c r="AB1230" s="170" t="s">
        <v>107</v>
      </c>
      <c r="AC1230" s="192"/>
      <c r="AD1230" s="192"/>
      <c r="AE1230" s="192"/>
      <c r="AF1230" s="192"/>
      <c r="AG1230" s="192"/>
      <c r="AH1230" s="192"/>
      <c r="AI1230" s="192"/>
      <c r="AJ1230" s="192"/>
      <c r="AK1230" s="192"/>
      <c r="AL1230" s="192"/>
      <c r="AM1230" s="192"/>
      <c r="AN1230" s="192"/>
      <c r="AO1230" s="192"/>
      <c r="AP1230" s="192"/>
      <c r="AQ1230" s="192"/>
      <c r="AR1230" s="192"/>
      <c r="AS1230" s="192"/>
      <c r="AT1230" s="192"/>
      <c r="AU1230" s="192"/>
      <c r="AV1230" s="192"/>
      <c r="AW1230" s="192"/>
      <c r="AX1230" s="192"/>
    </row>
    <row r="1231" spans="2:50" ht="15" customHeight="1" thickTop="1" thickBot="1" x14ac:dyDescent="0.35">
      <c r="B1231" s="192"/>
      <c r="C1231" s="192"/>
      <c r="D1231" s="192"/>
      <c r="E1231" s="192"/>
      <c r="F1231" s="192" t="str">
        <f>IF(I1231="","",VLOOKUP(I1231,Siembra,2,FALSE))</f>
        <v/>
      </c>
      <c r="G1231" s="192" t="str">
        <f>O1231</f>
        <v/>
      </c>
      <c r="H1231" s="192">
        <v>1</v>
      </c>
      <c r="I1231" s="128" t="str">
        <f>IF(K1231="","",IF(ISNUMBER(Sorteo!$A$17),VLOOKUP(K1231,Draw,2,FALSE),""))</f>
        <v/>
      </c>
      <c r="J1231" s="129" t="str">
        <f>O1231</f>
        <v/>
      </c>
      <c r="K1231" s="130" t="str">
        <f>IF($K$9="","",IF(Group_players=4,IF(Tablas!CO$3="","",Tablas!CO$3),IF(Group_players=3,IF(Tablas!CO$11="","",Tablas!CO$11),"")))</f>
        <v/>
      </c>
      <c r="L1231" s="131" t="str">
        <f>IF(K1231="","",VLOOKUP(I1231,Siembra,3,FALSE))</f>
        <v/>
      </c>
      <c r="M1231" s="132" t="str">
        <f>IF(AND(Q1242="",Q1243=""),"",IF(I1231="","",SUMIFS(E1242:E1258,I1242:I1258,I1231)))</f>
        <v/>
      </c>
      <c r="N1231" s="132" t="str">
        <f>IF(M1231="","",IF(I1231="","",SUMIFS(F1242:F1258,I1242:I1258,I1231)))</f>
        <v/>
      </c>
      <c r="O1231" s="132" t="str">
        <f>IF(M1231="","",IF(COUNTBLANK(I1231:I1234)=1,IF(M1231=2,1,IF(M1231=0,3,IF(AND(M1231=1,M1232&lt;&gt;1),2,IF(COUNTIF(M1231:M1233,1)&gt;1,Z1231)))),IF(COUNTBLANK(I1231:I1234)=0,IF(COUNTIF(M1231:M1234,M1231)=1,IF(M1231=3,1,IF(M1231=2,2,IF(M1231=1,3,IF(M1231=0,4)))),IF(Group_players=3,Z1231,IF(COUNTIF(M1231:M1234,M1231)=2,AB1231,IF(AND(M1231=M1232,M1232=M1233),AB1235,IF(AND(M1231=M1233,M1233=M1234),AB1238,IF(AND(M1231=M1232,M1232=M1234),AB1241,"")))))),99)))</f>
        <v/>
      </c>
      <c r="P1231" s="133" t="str">
        <f>IF(COUNT(U1230:X1241)=3,IF(ISNUMBER(U1230),U1230,IF(ISNUMBER(V1230),V1230,IF(ISNUMBER(W1230),W1230,IF(X1230="","")))),IF(COUNT(U1230:X1241)=6,IF(ISNUMBER(U1238),U1238,IF(ISNUMBER(V1238),V1238,IF(ISNUMBER(W1238),W1238,IF(ISBLANK(X1230),"")))),""))</f>
        <v/>
      </c>
      <c r="Q1231" s="132" t="str">
        <f>IF(M1231="","",SUMIF(I1242:S1258,I1231,S1242:S1258))</f>
        <v/>
      </c>
      <c r="R1231" s="134" t="str">
        <f>IF(M1231="","",L1231+Q1231)</f>
        <v/>
      </c>
      <c r="S1231" s="203"/>
      <c r="T1231" s="208">
        <v>2</v>
      </c>
      <c r="U1231" s="209" t="str">
        <f>IF(M1232="","",IF(COUNTIF(M1231:M1233,M1232)=3,IF(COUNTBLANK(I1231:I1234)=1,(Q1246+Q1248)/(Q1245+Q1249),IF(COUNTBLANK(I1231:I1234)=0,(Q1252+Q1254)/(Q1251+Q1255),"")),""))</f>
        <v/>
      </c>
      <c r="V1231" s="135"/>
      <c r="W1231" s="212" t="str">
        <f>IF(AND(COUNTBLANK(I1231:I1234)=0,M1232=M1231,M1231=M1234),(Q1254+Q1246)/(Q1255+Q1245),"")</f>
        <v/>
      </c>
      <c r="X1231" s="213" t="str">
        <f>IF(AND(COUNTBLANK(I1231:I1234)=0,M1232=M1233,M1233=M1234),(Q1252+Q1246)/(Q1251+Q1245),"")</f>
        <v/>
      </c>
      <c r="Y1231" s="214">
        <v>1</v>
      </c>
      <c r="Z1231" s="215" t="str">
        <f>IF(U1230="","",IF(OR(Group_players=3,AND(Group_players=4,COUNTBLANK(I1231:I1234)=1)),IF(COUNTIF(M1231:M1233,M1231)=1,"",IF(AND(U1230=U1231,U1231=U1232),Z1235,IF(AND(U1230&lt;&gt;U1231,U1230&lt;&gt;U1232,U1231&lt;&gt;U1232),(IF(SMALL(U1230:U1232,1)=U1230,1,IF(SMALL(U1230:U1232,2)=U1230,2,IF(SMALL(U1230:U1232,3)=U1230,3)))),IF(AND(U1230&lt;U1231,U1231=U1232),1,IF(AND(U1230&gt;U1231,U1231=U1232),3,IF(AND(U1230=U1231,U1230&lt;U1232),(IF(Q1248=3,1,2)),IF(AND(U1230=U1231,U1230&gt;U1232),(IF(Q1248=3,2,3)),IF(AND(U1230=U1232,U1230&lt;U1231),(IF(Q1242=3,1,2)),IF(AND(U1230=U1232,U1230&gt;U1231),(IF(Q1242=3,2,3)),99))))))))),""))</f>
        <v/>
      </c>
      <c r="AA1231" s="216">
        <v>1</v>
      </c>
      <c r="AB1231" s="217" t="str">
        <f>IF(COUNTIF(M1231:M1234,M1231)&lt;&gt;2,"",IF(COUNTIF(M1231:M1234,M1231)=1,"",IF(AND(COUNTIF(M1231:M1234,M1231)=2,M1231=2),IF(M1231=M1232,IF(Q1254=3,1,2),IF(M1231=M1233,IF(Q1242=3,1,2),IF(M1231=M1234,IF(Q1248=3,1,2)))),IF(AND(COUNTIF(M1231:M1234,M1231)=2,M1231=1),IF(M1231=M1232,IF(Q1254=3,3,4),IF(M1231=M1233,IF(Q1242=3,3,4),IF(M1231=M1234,IF(Q1248=3,3,4)))),IF(COUNTIF(M1231:M1234,M1231)=3,AB1235)))))</f>
        <v/>
      </c>
      <c r="AC1231" s="192"/>
      <c r="AD1231" s="192"/>
      <c r="AE1231" s="192"/>
      <c r="AF1231" s="192"/>
      <c r="AG1231" s="192"/>
      <c r="AH1231" s="192"/>
      <c r="AI1231" s="192"/>
      <c r="AJ1231" s="192"/>
      <c r="AK1231" s="192"/>
      <c r="AL1231" s="192"/>
      <c r="AM1231" s="192"/>
      <c r="AN1231" s="192"/>
      <c r="AO1231" s="192"/>
      <c r="AP1231" s="192"/>
      <c r="AQ1231" s="192"/>
      <c r="AR1231" s="192"/>
      <c r="AS1231" s="192"/>
      <c r="AT1231" s="192"/>
      <c r="AU1231" s="192"/>
      <c r="AV1231" s="192"/>
      <c r="AW1231" s="192"/>
      <c r="AX1231" s="192"/>
    </row>
    <row r="1232" spans="2:50" ht="15" customHeight="1" thickTop="1" thickBot="1" x14ac:dyDescent="0.35">
      <c r="B1232" s="192"/>
      <c r="C1232" s="192"/>
      <c r="D1232" s="192"/>
      <c r="E1232" s="192"/>
      <c r="F1232" s="192" t="str">
        <f>IF(I1232="","",VLOOKUP(I1232,Siembra,2,FALSE))</f>
        <v/>
      </c>
      <c r="G1232" s="192" t="str">
        <f>O1232</f>
        <v/>
      </c>
      <c r="H1232" s="192">
        <v>2</v>
      </c>
      <c r="I1232" s="128" t="str">
        <f>IF(K1232="","",IF(ISNUMBER(Sorteo!$A$17),VLOOKUP(K1232,Draw,2,FALSE),""))</f>
        <v/>
      </c>
      <c r="J1232" s="129" t="str">
        <f>O1232</f>
        <v/>
      </c>
      <c r="K1232" s="136" t="str">
        <f>IF($K$9="","",IF(Group_players=4,IF(Tablas!CO$4="","",Tablas!CO$4),IF(Group_players=3,IF(Tablas!CO$12="","",Tablas!CO$12),"")))</f>
        <v/>
      </c>
      <c r="L1232" s="137" t="str">
        <f>IF(K1232="","",VLOOKUP(I1232,Siembra,3,FALSE))</f>
        <v/>
      </c>
      <c r="M1232" s="132" t="str">
        <f>IF(AND(L1242="",L1243=""),"",IF(I1232="","",SUMIFS(E1242:E1259,I1242:I1259,I1232)))</f>
        <v/>
      </c>
      <c r="N1232" s="138" t="str">
        <f>IF(M1232="","",IF(I1232="","",SUMIFS(F1242:F1258,I1242:I1258,I1232)))</f>
        <v/>
      </c>
      <c r="O1232" s="132" t="str">
        <f>IF(M1232="","",IF(COUNTBLANK(I1231:I1234)=1,IF(M1232=2,1,IF(M1232=0,3,IF(AND(M1232=1,M1233&lt;&gt;1),2,IF(COUNTIF(M1231:M1234,1)&gt;1,Z1232)))),IF(COUNTBLANK(I1231:I1234)=0,IF(COUNTIF(M1231:M1234,M1232)=1,IF(M1232=3,1,IF(M1232=2,2,IF(M1232=1,3,IF(M1232=0,4)))),IF(Group_players=3,Z1232,IF(COUNTIF(M1231:M1234,M1232)=2,AB1232,IF(AND(M1232=M1231,M1231=M1233),AB1236,IF(AND(M1232=M1231,M1231=M1234),AB1242,IF(AND(M1232=M1233,M1233=M1234),AB1244,"")))))))))</f>
        <v/>
      </c>
      <c r="P1232" s="133" t="str">
        <f>IF(COUNT(U1230:X1241)=3,IF(ISNUMBER(U1231),U1231,IF(ISNUMBER(W1231),W1231,IF(ISNUMBER(X1231),X1231,IF(X1231="","")))),IF(COUNT(U1230:X1241)=6,IF(ISNUMBER(U1239),U1239,IF(ISNUMBER(W1239),W1239,IF(ISNUMBER(X1239),X1239,IF(ISBLANK(X1238),"")))),""))</f>
        <v/>
      </c>
      <c r="Q1232" s="138" t="str">
        <f>IF(M1232="","",SUMIF(I1242:S1258,I1232,S1242:$S1258))</f>
        <v/>
      </c>
      <c r="R1232" s="139" t="str">
        <f>IF(M1232="","",L1232+Q1232)</f>
        <v/>
      </c>
      <c r="S1232" s="203"/>
      <c r="T1232" s="208">
        <v>3</v>
      </c>
      <c r="U1232" s="209" t="str">
        <f>IF(M1233="","",IF(COUNTIF(M1231:M1233,M1233)=3,IF(COUNTBLANK(I1231:I1234)=1,(Q1242+Q1245)/(Q1243+Q1246),IF(COUNTBLANK(I1231:I1234)=0,(Q1242+Q1251)/(Q1243+Q1252),"")),""))</f>
        <v/>
      </c>
      <c r="V1232" s="125" t="str">
        <f>IF(AND(COUNTBLANK(I1231:I1234)=0,M1233=M1234,M1234=M1231),(Q1242+Q1258)/(Q1243+Q1257),"")</f>
        <v/>
      </c>
      <c r="W1232" s="218"/>
      <c r="X1232" s="213" t="str">
        <f>IF(AND(COUNTBLANK(I1231:I1234)=0,M1233=M1234,M1234=M1232),(Q1251+Q1258)/(Q1252+Q1257),"")</f>
        <v/>
      </c>
      <c r="Y1232" s="219">
        <v>2</v>
      </c>
      <c r="Z1232" s="220" t="str">
        <f>IF(U1231="","",IF(OR(Group_players=3,AND(Group_players=4,COUNTBLANK(I1231:I1234)=1)),IF(COUNTIF(M1231:M1233,M1232)=1,"",IF(AND(U1231=U1230,U1231=U1232),Z1236,IF(AND(U1231&lt;&gt;U1230,U1231&lt;&gt;U1232,U1230&lt;&gt;U1232),(IF(SMALL(U1230:U1232,1)=U1231,1,IF(SMALL(U1230:U1232,2)=U1231,2,IF(SMALL(U1230:U1232,3)=U1231,3)))),IF(AND(U1231&lt;U1230,U1230=U1232),1,IF(AND(U1231&gt;U1230,U1230=U1232),3,IF(AND(U1231=U1230,U1231&lt;U1232),(IF(Q1249=3,1,2)),IF(AND(U1231=U1230,U1231&gt;U1232),(IF(Q1249=3,2,3)),IF(AND(U1231=U1232,U1231&lt;U1230),(IF(Q1245=3,1,2)),IF(AND(U1231=U1232,U1231&gt;U1230),(IF(Q1245=3,2,3)),99))))))))),""))</f>
        <v/>
      </c>
      <c r="AA1232" s="221">
        <v>2</v>
      </c>
      <c r="AB1232" s="222" t="str">
        <f>IF(COUNTIF(M1231:M1234,M1232)&lt;&gt;2,"",IF(COUNTIF(M1231:M1234,M1232)=1,"",IF(AND(COUNTIF(M1231:M1234,M1232)=2,M1232=2),IF(M1232=M1231,IF(Q1255=3,1,2),IF(M1232=M1233,IF(Q1251=3,1,2),IF(M1232=M1234,IF(Q1245=3,1,2)))),IF(AND(COUNTIF(M1231:M1234,M1232)=2,M1232=1),IF(M1232=M1231,IF(Q1255=3,3,4),IF(M1232=M1233,IF(Q1251=3,3,4),IF(M1232=M1234,IF(Q1245=3,3,4)))),AB1237))))</f>
        <v/>
      </c>
      <c r="AC1232" s="192"/>
      <c r="AD1232" s="192"/>
      <c r="AE1232" s="192"/>
      <c r="AF1232" s="192"/>
      <c r="AG1232" s="192"/>
      <c r="AH1232" s="192"/>
      <c r="AI1232" s="192"/>
      <c r="AJ1232" s="192"/>
      <c r="AK1232" s="192"/>
      <c r="AL1232" s="192"/>
      <c r="AM1232" s="192"/>
      <c r="AN1232" s="192"/>
      <c r="AO1232" s="192"/>
      <c r="AP1232" s="192"/>
      <c r="AQ1232" s="192"/>
      <c r="AR1232" s="192"/>
      <c r="AS1232" s="192"/>
      <c r="AT1232" s="192"/>
      <c r="AU1232" s="192"/>
      <c r="AV1232" s="192"/>
      <c r="AW1232" s="192"/>
      <c r="AX1232" s="192"/>
    </row>
    <row r="1233" spans="2:50" ht="15" customHeight="1" thickBot="1" x14ac:dyDescent="0.35">
      <c r="B1233" s="192"/>
      <c r="C1233" s="192"/>
      <c r="D1233" s="192"/>
      <c r="E1233" s="192"/>
      <c r="F1233" s="192" t="str">
        <f>IF(I1233="","",VLOOKUP(I1233,Siembra,2,FALSE))</f>
        <v/>
      </c>
      <c r="G1233" s="192" t="str">
        <f>O1233</f>
        <v/>
      </c>
      <c r="H1233" s="192">
        <v>3</v>
      </c>
      <c r="I1233" s="128" t="str">
        <f>IF(K1233="","",IF(ISNUMBER(Sorteo!$A$17),VLOOKUP(K1233,Draw,2,FALSE),""))</f>
        <v/>
      </c>
      <c r="J1233" s="129" t="str">
        <f>O1233</f>
        <v/>
      </c>
      <c r="K1233" s="136" t="str">
        <f>IF($K$9="","",IF(Group_players=4,IF(Tablas!CO$5="","",Tablas!CO$5),IF(Group_players=3,IF(Tablas!CO$13="","",Tablas!CO$13),"")))</f>
        <v/>
      </c>
      <c r="L1233" s="137" t="str">
        <f>IF(K1233="","",VLOOKUP(I1233,Siembra,3,FALSE))</f>
        <v/>
      </c>
      <c r="M1233" s="132" t="str">
        <f>IF(AND(L1243="",L1242=""),"",IF(I1233="","",SUMIFS(E1242:E1260,I1242:I1260,I1233)))</f>
        <v/>
      </c>
      <c r="N1233" s="138" t="str">
        <f>IF(M1233="","",IF(I1233="","",SUMIFS(F1242:F1258,I1242:I1258,I1233)))</f>
        <v/>
      </c>
      <c r="O1233" s="132" t="str">
        <f>IF(M1233="","",IF(COUNTBLANK(I1231:I1234)=1,IF(M1233=2,1,IF(M1233=0,3,IF(AND(M1233=1,M1233&lt;&gt;M1231),2,IF(COUNTIF(M1231:M1234,1)&gt;1,Z1233)))),IF(COUNTBLANK(I1231:I1234)=0,IF(COUNTIF(M1231:M1234,M1233)=1,IF(M1233=3,1,IF(M1233=2,2,IF(M1233=1,3,IF(M1233=0,4)))),IF(Group_players=3,Z1233,IF(COUNTIF(M1231:M1234,M1233)=2,AB1233,IF(AND(M1233=M1231,M1231=M1232),AB1237,IF(AND(M1233=M1231,M1231=M1234),AB1239,IF(AND(M1233=M1232,M1232=M1234),AB1245,"")))))))))</f>
        <v/>
      </c>
      <c r="P1233" s="133" t="str">
        <f>IF(COUNT(U1230:X1241)=3,IF(ISNUMBER(U1232),U1232,IF(ISNUMBER(V1232),V1232,IF(ISNUMBER(X1232),X1232,IF(W1232="","")))),IF(COUNT(U1230:X1241)=6,IF(ISNUMBER(U1240),U1240,IF(ISNUMBER(V1240),V1240,IF(ISNUMBER(X1240),X1240,""))),""))</f>
        <v/>
      </c>
      <c r="Q1233" s="138" t="str">
        <f>IF(M1233="","",SUMIF(I1242:S1258,I1233,S1242:S1258))</f>
        <v/>
      </c>
      <c r="R1233" s="139" t="str">
        <f>IF(M1233="","",L1233+Q1233)</f>
        <v/>
      </c>
      <c r="S1233" s="203"/>
      <c r="T1233" s="208">
        <v>4</v>
      </c>
      <c r="U1233" s="223"/>
      <c r="V1233" s="140" t="str">
        <f>IF(AND(COUNTBLANK(I1231:I1234)=0,M1234=M1231,M1231=M1233),(Q1248+Q1257)/(Q1249+Q1258),"")</f>
        <v/>
      </c>
      <c r="W1233" s="224" t="str">
        <f>IF(AND(COUNTBLANK(I1231:I1234)=0,M1234=M1231,M1231=M1232),(Q1248+Q1245)/(Q1249+Q1246),"")</f>
        <v/>
      </c>
      <c r="X1233" s="225" t="str">
        <f>IF(AND(COUNTBLANK(I1231:I1234)=0,M1234=M1232,M1232=M1233),(Q1245+Q1257)/(Q1246+Q1258),"")</f>
        <v/>
      </c>
      <c r="Y1233" s="226">
        <v>3</v>
      </c>
      <c r="Z1233" s="227" t="str">
        <f>IF(U1232="","",IF(OR(Group_players=3,AND(Group_players=4,COUNTBLANK(I1231:I1234)=1)),IF(COUNTIF(M1231:M1233,M1233)=1,"",IF(AND(U1232=U1230,U1232=U1231),Z1237,IF(AND(U1232&lt;&gt;U1231,U1231&lt;&gt;U1230,U1232&lt;&gt;U1230),(IF(SMALL(U1230:U1232,1)=U1232,1,IF(SMALL(U1230:U1232,2)=U1232,2,IF(SMALL(U1230:U1232,3)=U1232,3)))),IF(AND(U1232&lt;U1231,U1231=U1230),1,IF(AND(U1232&gt;U1231,U1231=U1230),3,IF(AND(U1232=U1231,U1232&lt;U1230),(IF(Q1246=3,1,2)),IF(AND(U1232=U1231,U1232&gt;U1230),(IF(Q1246=3,2,3)),IF(AND(U1232=U1230,U1232&lt;U1231),(IF(Q1243=3,1,2)),IF(AND(U1232=U1230,U1232&gt;U1231),(IF(Q1243=3,2,3)),99))))))))),""))</f>
        <v/>
      </c>
      <c r="AA1233" s="221">
        <v>3</v>
      </c>
      <c r="AB1233" s="222" t="str">
        <f>IF(COUNTIF(M1231:M1234,M1233)&lt;&gt;2,"",IF(COUNTIF(M1231:M1234,M1233)=1,"",IF(AND(COUNTIF(M1231:M1234,M1233)=2,M1233=2),IF(M1233=M1231,IF(Q1243=3,1,2),IF(M1233=M1232,IF(Q1252=3,1,2),IF(M1233=M1234,IF(Q1257=3,1,2)))),IF(AND(COUNTIF(M1231:M1234,M1233)=2,M1233=1),IF(M1233=M1231,IF(Q1243=3,3,4),IF(M1233=M1232,IF(Q1252=3,3,4),IF(M1233=M1234,IF(Q1257=3,3,4)))),AB1237))))</f>
        <v/>
      </c>
      <c r="AC1233" s="192"/>
      <c r="AD1233" s="192"/>
      <c r="AE1233" s="192"/>
      <c r="AF1233" s="192"/>
      <c r="AG1233" s="192"/>
      <c r="AH1233" s="192"/>
      <c r="AI1233" s="192"/>
      <c r="AJ1233" s="192"/>
      <c r="AK1233" s="192"/>
      <c r="AL1233" s="192"/>
      <c r="AM1233" s="192"/>
      <c r="AN1233" s="192"/>
      <c r="AO1233" s="192"/>
      <c r="AP1233" s="192"/>
      <c r="AQ1233" s="192"/>
      <c r="AR1233" s="192"/>
      <c r="AS1233" s="192"/>
      <c r="AT1233" s="192"/>
      <c r="AU1233" s="192"/>
      <c r="AV1233" s="192"/>
      <c r="AW1233" s="192"/>
      <c r="AX1233" s="192"/>
    </row>
    <row r="1234" spans="2:50" ht="15" customHeight="1" thickTop="1" thickBot="1" x14ac:dyDescent="0.35">
      <c r="B1234" s="192"/>
      <c r="C1234" s="192"/>
      <c r="D1234" s="192"/>
      <c r="E1234" s="192"/>
      <c r="F1234" s="192" t="str">
        <f>IF(I1234="","",VLOOKUP(I1234,Siembra,2,FALSE))</f>
        <v/>
      </c>
      <c r="G1234" s="192" t="str">
        <f>O1234</f>
        <v/>
      </c>
      <c r="H1234" s="192">
        <v>4</v>
      </c>
      <c r="I1234" s="141" t="str">
        <f>IF(K1234="","",IF(ISNUMBER(Sorteo!$A$17),VLOOKUP(K1234,Draw,2,FALSE),""))</f>
        <v/>
      </c>
      <c r="J1234" s="142" t="str">
        <f>O1234</f>
        <v/>
      </c>
      <c r="K1234" s="143" t="str">
        <f>IF($K$9="","",IF(Group_players=4,IF(Tablas!CO6="","",Tablas!CO6),""))</f>
        <v/>
      </c>
      <c r="L1234" s="144" t="str">
        <f>IF(K1234="","",VLOOKUP(I1234,Siembra,3,FALSE))</f>
        <v/>
      </c>
      <c r="M1234" s="145" t="str">
        <f>IF(AND(Q1245="",Q1246=""),"",IF(I1234="","",SUMIFS(E1242:E1261,I1242:I1261,I1234)))</f>
        <v/>
      </c>
      <c r="N1234" s="145" t="str">
        <f>IF(M1234="","",IF(I1234="","",SUMIFS(F1242:F1258,I1242:I1258,I1234)))</f>
        <v/>
      </c>
      <c r="O1234" s="145" t="str">
        <f>IF(M1234="","",IF(COUNTIF(M1231:M1234,M1234)=1,IF(M1234=3,1,IF(M1234=2,2,IF(M1234=1,3,IF(M1234=0,4)))),IF(COUNTIF(M1231:M1234,M1234)=2,AB1234,IF(AND(M1234=M1231,M1231=M1233),AB1240,IF(AND(M1234=M1231,M1231=M1232),AB1243,IF(AND(M1234=M1232,M1232=M1233),AB1246,""))))))</f>
        <v/>
      </c>
      <c r="P1234" s="146" t="str">
        <f>IF(COUNT(U1230:X1241)=3,IF(ISNUMBER(V1233),V1233,IF(ISNUMBER(W1233),W1233,IF(ISNUMBER(X1233),X1233,IF(X1233="","")))),IF(COUNT(U1230:X1241)=6,IF(ISNUMBER(V1241),V1241,IF(ISNUMBER(W1241),W1241,IF(ISNUMBER(X1241),X1241,""))),""))</f>
        <v/>
      </c>
      <c r="Q1234" s="145" t="str">
        <f>IF(M1234="","",SUMIF(I1242:S1258,I1234,S1242:$S1258))</f>
        <v/>
      </c>
      <c r="R1234" s="147" t="str">
        <f>IF(M1234="","",L1234+Q1234)</f>
        <v/>
      </c>
      <c r="S1234" s="203"/>
      <c r="T1234" s="192"/>
      <c r="U1234" s="192"/>
      <c r="V1234" s="192"/>
      <c r="W1234" s="192"/>
      <c r="X1234" s="192"/>
      <c r="Y1234" s="230" t="s">
        <v>93</v>
      </c>
      <c r="Z1234" s="231" t="s">
        <v>110</v>
      </c>
      <c r="AA1234" s="232">
        <v>4</v>
      </c>
      <c r="AB1234" s="233" t="str">
        <f>IF(COUNTIF(M1231:M1234,M1234)&lt;&gt;2,"",IF(COUNTIF(M1231:M1234,M1234)=1,"",IF(AND(COUNTIF(M1231:M1234,M1234)=2,M1234=2),IF(M1234=M1231,IF(Q1249=3,1,2),IF(M1234=M1232,IF(Q1246=3,1,2),IF(M1234=M1233,IF(Q1258=3,1,2)))),IF(AND(COUNTIF(M1231:M1234,M1234)=2,M1234=1),IF(M1234=M1231,IF(Q1249=3,3,4),IF(M1234=M1232,IF(Q1246=3,3,4),IF(M1234=M1233,IF(Q1258=3,3,4)))),AB1240))))</f>
        <v/>
      </c>
      <c r="AC1234" s="192"/>
      <c r="AD1234" s="192"/>
      <c r="AE1234" s="192"/>
      <c r="AF1234" s="192"/>
      <c r="AG1234" s="192"/>
      <c r="AH1234" s="192"/>
      <c r="AI1234" s="192"/>
      <c r="AJ1234" s="192"/>
      <c r="AK1234" s="192"/>
      <c r="AL1234" s="192"/>
      <c r="AM1234" s="192"/>
      <c r="AN1234" s="192"/>
      <c r="AO1234" s="192"/>
      <c r="AP1234" s="192"/>
      <c r="AQ1234" s="192"/>
      <c r="AR1234" s="192"/>
      <c r="AS1234" s="192"/>
      <c r="AT1234" s="192"/>
      <c r="AU1234" s="192"/>
      <c r="AV1234" s="192"/>
      <c r="AW1234" s="192"/>
      <c r="AX1234" s="192"/>
    </row>
    <row r="1235" spans="2:50" ht="15" customHeight="1" thickTop="1" x14ac:dyDescent="0.3">
      <c r="B1235" s="192"/>
      <c r="C1235" s="192"/>
      <c r="D1235" s="192"/>
      <c r="E1235" s="192"/>
      <c r="F1235" s="192"/>
      <c r="G1235" s="192"/>
      <c r="H1235" s="192"/>
      <c r="I1235" s="192"/>
      <c r="J1235" s="192"/>
      <c r="K1235" s="192"/>
      <c r="L1235" s="192"/>
      <c r="M1235" s="192"/>
      <c r="N1235" s="192"/>
      <c r="O1235" s="192"/>
      <c r="P1235" s="192"/>
      <c r="Q1235" s="192"/>
      <c r="R1235" s="192"/>
      <c r="S1235" s="192"/>
      <c r="T1235" s="208"/>
      <c r="U1235" s="192"/>
      <c r="V1235" s="148"/>
      <c r="W1235" s="148"/>
      <c r="X1235" s="234"/>
      <c r="Y1235" s="214">
        <v>1</v>
      </c>
      <c r="Z1235" s="215" t="str">
        <f>IF(U1238="","",IF(OR(Group_players=3,AND(Group_players=4,COUNTBLANK(I1231:I1234)=1)),IF(COUNTIF(M1231:M1233,M1231)=1,"",IF(COUNTIF(U1230:U1232,U1230)=3,IF(AND(U1238=U1239,U1239=U1240),"Tied",IF(AND(U1238&lt;&gt;U1239,U1238&lt;&gt;U1240,U1239&lt;&gt;U1240),(IF(SMALL(U1238:U1240,1)=U1238,1,IF(SMALL(U1238:U1240,2)=U1238,2,IF(SMALL(U1238:U1240,3)=U1238,3)))),IF(AND(U1238&lt;U1239,U1239=U1240),1,IF(AND(U1238&gt;U1239,U1239=U1240),3,IF(AND(U1238=U1239,U1238&lt;U1240),(IF(Q1248=3,1,2)),IF(AND(U1238=U1239,U1238&gt;U1240),(IF(Q1248=3,2,3)),IF(AND(U1238=U1240,U1238&lt;U1239),(IF(Q1242=3,1,2)),IF(AND(U1238=U1240,U1238&gt;U1239),(IF(Q1242=3,2,3)),99)))))))),"")),""))</f>
        <v/>
      </c>
      <c r="AA1235" s="208">
        <v>1</v>
      </c>
      <c r="AB1235" s="222" t="str">
        <f>IF(AND(COUNTBLANK(I1231:I1234)=0,Group_players=4,M1231=M1232,M1232=M1233),IF(COUNTIF(U1230:U1233,U1230)=3,AB1248,IF(AND(COUNTIF(U1230:U1233,U1230)=1,U1231&lt;&gt;U1232),IF(M1231=2,IF(SMALL(U1230:U1233,1)=U1230,1,IF(SMALL(U1230:U1233,2)=U1230,2,IF(SMALL(U1230:U1233,3)=U1230,3))),IF(M1231=1,IF(SMALL(U1230:U1233,1)=U1230,2,IF(SMALL(U1230:U1233,2)=U1230,3,IF(SMALL(U1230:U1233,3)=U1230,4))),"")),IF(COUNTIF(U1230:U1233,U1230)=1,IF(U1230&lt;U1231,IF(M1231=2,1,2),IF(M1231=2,3,4)),IF(COUNTIF(U1230:U1233,U1230)=2,IF(U1230=U1231,IF(U1230&lt;U1232,IF(M1231=2,IF(Q1254=3,1,2),IF(M1231=1,IF(Q1254=3,2,3))),IF(U1230&gt;U1232,IF(M1231=2,IF(Q1254=3,2,3),IF(M1231=1,IF(Q1254=3,3,4))))),IF(U1230=U1232,IF(U1230&lt;U1231,IF(M1231=2,IF(Q1242=3,1,2),IF(M1231=1,IF(Q1242=3,2,3))),IF(U1230&gt;U1231,IF(M1231=2,IF(Q1242=3,2,3),IF(M1231=1,IF(Q1242=3,3,4))))))),"")))),"")</f>
        <v/>
      </c>
      <c r="AC1235" s="192"/>
      <c r="AD1235" s="192"/>
      <c r="AE1235" s="192"/>
      <c r="AF1235" s="192"/>
      <c r="AG1235" s="192"/>
      <c r="AH1235" s="192"/>
      <c r="AI1235" s="192"/>
      <c r="AJ1235" s="192"/>
      <c r="AK1235" s="192"/>
      <c r="AL1235" s="192"/>
      <c r="AM1235" s="192"/>
      <c r="AN1235" s="192"/>
      <c r="AO1235" s="192"/>
      <c r="AP1235" s="192"/>
      <c r="AQ1235" s="192"/>
      <c r="AR1235" s="192"/>
      <c r="AS1235" s="192"/>
      <c r="AT1235" s="192"/>
      <c r="AU1235" s="192"/>
      <c r="AV1235" s="192"/>
      <c r="AW1235" s="192"/>
      <c r="AX1235" s="192"/>
    </row>
    <row r="1236" spans="2:50" ht="15" customHeight="1" thickBot="1" x14ac:dyDescent="0.35">
      <c r="B1236" s="192"/>
      <c r="C1236" s="192"/>
      <c r="D1236" s="192"/>
      <c r="E1236" s="192"/>
      <c r="F1236" s="192"/>
      <c r="G1236" s="192"/>
      <c r="H1236" s="192"/>
      <c r="I1236" s="269"/>
      <c r="J1236" s="269"/>
      <c r="K1236" s="192"/>
      <c r="L1236" s="192"/>
      <c r="M1236" s="192"/>
      <c r="N1236" s="192"/>
      <c r="O1236" s="192"/>
      <c r="P1236" s="192"/>
      <c r="Q1236" s="192"/>
      <c r="R1236" s="192"/>
      <c r="S1236" s="192"/>
      <c r="T1236" s="208"/>
      <c r="U1236" s="368" t="s">
        <v>111</v>
      </c>
      <c r="V1236" s="369"/>
      <c r="W1236" s="369"/>
      <c r="X1236" s="369"/>
      <c r="Y1236" s="236">
        <v>2</v>
      </c>
      <c r="Z1236" s="220" t="str">
        <f>IF(U1231="","",IF(OR(Group_players=3,AND(Group_players=4,COUNTBLANK(I1231:I1234)=1)),IF(COUNTIF(M1231:M1233,M1232)=1,"",IF(COUNTIF(U1230:U1232,U1231)=3,IF(AND(U1239=U1238,U1239=U1240),"Tied",IF(AND(U1239&lt;&gt;U1238,U1239&lt;&gt;U1240,U1238&lt;&gt;U1240),(IF(SMALL(U1238:U1240,1)=U1239,1,IF(SMALL(U1238:U1240,2)=U1239,2,IF(SMALL(U1238:U1240,3)=U1239,3)))),IF(AND(U1239&lt;U1238,U1238=U1240),1,IF(AND(U1239&gt;U1238,U1238=U1240),3,IF(AND(U1239=U1238,U1239&lt;U1240),(IF(Q1249=3,1,2)),IF(AND(U1239=U1238,U1239&gt;U1240),(IF(Q1249=3,2,3)),IF(AND(U1239=U1240,U1239&lt;U1238),(IF(Q1245=3,1,2)),IF(AND(U1239=U1240,U1239&gt;U1238),(IF(Q1245=3,2,3)),99)))))))),"")),""))</f>
        <v/>
      </c>
      <c r="AA1236" s="208">
        <v>2</v>
      </c>
      <c r="AB1236" s="222" t="str">
        <f>IF(AND(COUNTBLANK(I1231:I1234)=0,Group_players=4,M1231=M1232,M1232=M1233),IF(COUNTIF(U1230:U1233,U1231)=3,AB1249,IF(AND(COUNTIF(U1230:U1233,U1231)=1,U1230&lt;&gt;U1232),IF(M1232=2,IF(SMALL(U1230:U1233,1)=U1231,1,IF(SMALL(U1230:U1233,2)=U1231,2,IF(SMALL(U1230:U1233,3)=U1231,3))),IF(M1232=1,IF(SMALL(U1230:U1233,1)=U1231,2,IF(SMALL(U1230:U1233,2)=U1231,3,IF(SMALL(U1230:U1233,3)=U1231,4))),"")),IF(COUNTIF(U1230:U1232,U1231)=1,IF(U1231&lt;U1230,IF(M1232=2,1,2),IF(M1232=2,3,99)),IF(COUNTIF(U1230:U1233,U1231)=2,IF(U1231=U1230,IF(U1231&lt;U1232,IF(M1232=2,IF(Q1255=3,1,2),IF(M1232=1,IF(Q1255=3,2,3))),IF(U1231&gt;U1232,IF(M1232=2,IF(Q1255=3,2,3),IF(M1232=1,IF(Q1255=3,3,4))))),IF(U1231=U1232,IF(U1231&lt;U1230,IF(M1232=2,IF(Q1251=3,1,2),IF(M1232=1,IF(Q1251=3,2,3))),IF(U1231&gt;U1230,IF(M1232=2,IF(Q1251=3,2,3),IF(M1232=1,IF(Q1251=3,3,4))))))),"")))),"")</f>
        <v/>
      </c>
      <c r="AC1236" s="192"/>
      <c r="AD1236" s="192"/>
      <c r="AE1236" s="192"/>
      <c r="AF1236" s="192"/>
      <c r="AG1236" s="192"/>
      <c r="AH1236" s="192"/>
      <c r="AI1236" s="192"/>
      <c r="AJ1236" s="192"/>
      <c r="AK1236" s="192"/>
      <c r="AL1236" s="192"/>
      <c r="AM1236" s="192"/>
      <c r="AN1236" s="192"/>
      <c r="AO1236" s="192"/>
      <c r="AP1236" s="192"/>
      <c r="AQ1236" s="192"/>
      <c r="AR1236" s="192"/>
      <c r="AS1236" s="192"/>
      <c r="AT1236" s="192"/>
      <c r="AU1236" s="192"/>
      <c r="AV1236" s="192"/>
      <c r="AW1236" s="192"/>
      <c r="AX1236" s="192"/>
    </row>
    <row r="1237" spans="2:50" ht="15" customHeight="1" thickTop="1" thickBot="1" x14ac:dyDescent="0.35">
      <c r="B1237" s="192"/>
      <c r="C1237" s="192"/>
      <c r="D1237" s="192"/>
      <c r="E1237" s="192"/>
      <c r="F1237" s="192"/>
      <c r="G1237" s="192"/>
      <c r="H1237" s="192"/>
      <c r="I1237" s="192"/>
      <c r="J1237" s="192"/>
      <c r="K1237" s="192"/>
      <c r="L1237" s="192"/>
      <c r="M1237" s="192"/>
      <c r="N1237" s="192"/>
      <c r="O1237" s="192"/>
      <c r="P1237" s="192"/>
      <c r="Q1237" s="192"/>
      <c r="R1237" s="192"/>
      <c r="S1237" s="192"/>
      <c r="T1237" s="120"/>
      <c r="U1237" s="121" t="s">
        <v>101</v>
      </c>
      <c r="V1237" s="122" t="s">
        <v>102</v>
      </c>
      <c r="W1237" s="122" t="s">
        <v>103</v>
      </c>
      <c r="X1237" s="123" t="s">
        <v>104</v>
      </c>
      <c r="Y1237" s="238">
        <v>3</v>
      </c>
      <c r="Z1237" s="239" t="str">
        <f>IF(U1232="","",IF(OR(Group_players=3,AND(Group_players=4,COUNTBLANK(I1231:I1234)=1)),IF(COUNTIF(M1231:M1233,M1233)=1,"",IF(COUNTIF(U1230:U1232,U1232)=3,IF(AND(U1240=U1238,U1240=U1239),"Tied",IF(AND(U1240&lt;&gt;U1239,U1239&lt;&gt;U1238,U1240&lt;&gt;U1238),(IF(SMALL(U1238:U1240,1)=U1240,1,IF(SMALL(U1238:U1240,2)=U1240,2,IF(SMALL(U1238:U1240,3)=U1240,3)))),IF(AND(U1240&lt;U1239,U1239=U1238),1,IF(AND(U1240&gt;U1239,U1239=U1238),3,IF(AND(U1240=U1239,U1240&lt;U1238),(IF(Q1246=3,1,2)),IF(AND(U1240=U1239,U1240&gt;U1238),(IF(Q1246=3,2,3)),IF(AND(U1240=U1238,U1240&lt;U1239),(IF(Q1243=3,1,2)),IF(AND(U1240=U1238,U1240&gt;U1239),(IF(Q1243=3,2,3)),99)))))))),"")),""))</f>
        <v/>
      </c>
      <c r="AA1237" s="240">
        <v>3</v>
      </c>
      <c r="AB1237" s="241" t="str">
        <f>IF(AND(COUNTBLANK(I1231:I1234)=0,Group_players=4,M1231=M1232,M1232=M1233),IF(COUNTIF(U1230:U1233,U1232)=3,AB1250,IF(AND(COUNTIF(U1230:U1233,U1232)=1,U1230&lt;&gt;U1231),IF(M1231=2,IF(SMALL(U1230:U1233,1)=U1232,1,IF(SMALL(U1230:U1233,2)=U1232,2,IF(SMALL(U1230:U1233,3)=U1232,3))),IF(M1233=1,IF(SMALL(U1230:U1233,1)=U1232,2,IF(SMALL(U1230:U1233,2)=U1232,3,IF(SMALL(U1230:U1233,3)=U1232,4))),"")),IF(COUNTIF(U1230:U1233,U1232)=1,IF(U1232&lt;U1231,IF(M1233=2,1,2),IF(M1233=2,3,4)),IF(COUNTIF(U1230:U1233,U1232)=2,IF(U1232=U1231,IF(U1232&lt;U1230,IF(M1233=2,IF(Q1252=3,1,2),IF(M1233=1,IF(Q1252=3,2,3))),IF(U1232&gt;U1230,IF(M1233=2,IF(Q1252=3,2,3),IF(M1233=1,IF(Q1252=3,3,4))))),IF(U1232=U1230,IF(U1232&lt;U1231,IF(M1233=2,IF(Q1243=3,1,2),IF(M1233=1,IF(Q1243=3,2,3))),IF(U1232&gt;U1231,IF(M1233=2,IF(Q1243=3,2,3),IF(M1233=1,IF(Q1243=3,3,4))))))),"")))),"")</f>
        <v/>
      </c>
      <c r="AC1237" s="192"/>
      <c r="AD1237" s="192"/>
      <c r="AE1237" s="192"/>
      <c r="AF1237" s="192"/>
      <c r="AG1237" s="192"/>
      <c r="AH1237" s="192"/>
      <c r="AI1237" s="192"/>
      <c r="AJ1237" s="192"/>
      <c r="AK1237" s="192"/>
      <c r="AL1237" s="192"/>
      <c r="AM1237" s="192"/>
      <c r="AN1237" s="192"/>
      <c r="AO1237" s="192"/>
      <c r="AP1237" s="192"/>
      <c r="AQ1237" s="192"/>
      <c r="AR1237" s="192"/>
      <c r="AS1237" s="192"/>
      <c r="AT1237" s="192"/>
      <c r="AU1237" s="192"/>
      <c r="AV1237" s="192"/>
      <c r="AW1237" s="192"/>
      <c r="AX1237" s="192"/>
    </row>
    <row r="1238" spans="2:50" ht="15" customHeight="1" thickTop="1" thickBot="1" x14ac:dyDescent="0.35">
      <c r="B1238" s="192"/>
      <c r="C1238" s="192"/>
      <c r="D1238" s="192"/>
      <c r="E1238" s="192"/>
      <c r="F1238" s="192"/>
      <c r="G1238" s="192"/>
      <c r="H1238" s="192"/>
      <c r="I1238" s="192"/>
      <c r="J1238" s="192"/>
      <c r="K1238" s="192"/>
      <c r="L1238" s="192"/>
      <c r="M1238" s="192"/>
      <c r="N1238" s="192"/>
      <c r="O1238" s="192"/>
      <c r="P1238" s="192"/>
      <c r="Q1238" s="192"/>
      <c r="R1238" s="192"/>
      <c r="S1238" s="192"/>
      <c r="T1238" s="208">
        <v>1</v>
      </c>
      <c r="U1238" s="209" t="str">
        <f>IF(U1230="","",IF(OR(U1230&lt;&gt;U1231,U1230&lt;&gt;U1232),"",IF(COUNTIF(M1231:M1233,M1231)=1,"",IF(COUNTBLANK(I1231:I1234)=1,(SUM(L1243:P1243)+SUM(L1249:P1249))/(SUM(L1242:P1242)+SUM(L1248:P1248)),IF(COUNTBLANK(I1231:I1234)=0,(SUM(L1255:P1255)+SUM(L1243:P1243))/(SUM(L1254:P1254)+SUM(L1242:P1242)),"")))))</f>
        <v/>
      </c>
      <c r="V1238" s="125" t="str">
        <f>IF(V1230="","",IF(OR(V1230&lt;&gt;V1232,V1230&lt;&gt;V1233),"",IF(AND(COUNTBLANK(I1231:I1234)=0,M1231=M1233,M1233=M1234),(SUM(L1243:P1243)+SUM(L1249:P1249))/(SUM(L1242:P1242)+SUM(L1248:P1248)),"")))</f>
        <v/>
      </c>
      <c r="W1238" s="210" t="str">
        <f>IF(W1230="","",IF(OR(W1230&lt;&gt;W1231,W1230&lt;&gt;W1233),"",IF(AND(COUNTBLANK(I1231:I1234)=0,M1231=M1232,M1232=M1234),(SUM(L1255:P1255)+SUM(L1249:P1249))/(SUM(L1254:P1254)+SUM(L1248:P1248)),"")))</f>
        <v/>
      </c>
      <c r="X1238" s="211"/>
      <c r="Y1238" s="242"/>
      <c r="Z1238" s="242"/>
      <c r="AA1238" s="243">
        <v>1</v>
      </c>
      <c r="AB1238" s="244" t="str">
        <f>IF(AND(COUNTBLANK(I1231:I1234)=0,Group_players=4,M1231=M1233,M1233=M1234),IF(COUNTIF(V1230:V1233,V1230)=3,AB1251,IF(AND(COUNTIF(V1230:V1233,V1230)=1,V1232&lt;&gt;U1241),IF(M1231=2,IF(SMALL(V1230:V1233,1)=V1230,1,IF(SMALL(V1230:V1233,2)=V1230,2,IF(SMALL(V1230:V1233,3)=V1230,3))),IF(M1231=1,IF(SMALL(V1230:V1233,1)=V1230,2,IF(SMALL(V1230:V1233,2)=V1230,3,IF(SMALL(V1230:V1233,3)=V1230,4))),"")),IF(COUNTIF(V1230:V1233,V1230)=1,IF(V1230&lt;V1232,IF(M1231=2,1,2),IF(M1231=2,3,4)),IF(COUNTIF(V1230:V1233,V1230)=2,IF(V1230=V1232,IF(V1230&lt;V1233,IF(M1231=2,IF(Q1242=3,1,2),IF(M1231=1,IF(Q1242=3,2,3))),IF(V1230&gt;V1233,IF(M1231=2,IF(Q1242=3,2,3),IF(M1231=1,IF(Q1242=3,3,4))))),IF(V1230=V1233,IF(V1230&lt;V1232,IF(M1231=2,IF(Q1248=3,1,2),IF(M1231=1,IF(Q1248=3,2,3))),IF(V1230&gt;V1231,IF(M1231=2,IF(Q1248=3,2,3),IF(M1231=1,IF(Q1248=3,3,4))))))),"")))),"")</f>
        <v/>
      </c>
      <c r="AC1238" s="192"/>
      <c r="AD1238" s="192"/>
      <c r="AE1238" s="192"/>
      <c r="AF1238" s="192"/>
      <c r="AG1238" s="192"/>
      <c r="AH1238" s="192"/>
      <c r="AI1238" s="192"/>
      <c r="AJ1238" s="192"/>
      <c r="AK1238" s="192"/>
      <c r="AL1238" s="192"/>
      <c r="AM1238" s="192"/>
      <c r="AN1238" s="192"/>
      <c r="AO1238" s="192"/>
      <c r="AP1238" s="192"/>
      <c r="AQ1238" s="192"/>
      <c r="AR1238" s="192"/>
      <c r="AS1238" s="192"/>
      <c r="AT1238" s="192"/>
      <c r="AU1238" s="192"/>
      <c r="AV1238" s="192"/>
      <c r="AW1238" s="192"/>
      <c r="AX1238" s="192"/>
    </row>
    <row r="1239" spans="2:50" ht="15" customHeight="1" thickTop="1" thickBot="1" x14ac:dyDescent="0.35">
      <c r="B1239" s="192"/>
      <c r="C1239" s="192"/>
      <c r="D1239" s="192"/>
      <c r="E1239" s="117"/>
      <c r="F1239" s="117"/>
      <c r="G1239" s="117"/>
      <c r="H1239" s="192"/>
      <c r="I1239" s="192"/>
      <c r="J1239" s="192"/>
      <c r="K1239" s="192"/>
      <c r="L1239" s="192"/>
      <c r="M1239" s="192"/>
      <c r="N1239" s="192"/>
      <c r="O1239" s="192"/>
      <c r="P1239" s="192"/>
      <c r="Q1239" s="192"/>
      <c r="R1239" s="192"/>
      <c r="S1239" s="394" t="s">
        <v>112</v>
      </c>
      <c r="T1239" s="208">
        <v>2</v>
      </c>
      <c r="U1239" s="209" t="str">
        <f>IF(U1230="","",IF(OR(U1231&lt;&gt;U1230,U1231&lt;&gt;U1232),"",IF(COUNTIF(M1231:M1233,M1232)=1,"",IF(COUNTBLANK(I1231:I1234)=1,(SUM(L1246:P1246)+SUM(L1248:P1248))/(SUM(L1245:P1245)+SUM(L1249:P1249)),IF(COUNTBLANK(I1231:I1234)=0,(SUM(L1254:P1254)+SUM(L1252:P1252))/(SUM(L1255:P1255)+SUM(L1251:P1251)))))))</f>
        <v/>
      </c>
      <c r="V1239" s="135"/>
      <c r="W1239" s="212" t="str">
        <f>IF(W1230="","",IF(OR(W1231&lt;&gt;W1230,W1231&lt;&gt;W1233),"",IF(AND(COUNTBLANK(I1231:I1234)=0,M1231=M1232,M1232=M1234),(SUM(L1246:P1246)+SUM(L1254:P1254))/(SUM(L1255:P1255)+SUM(L1245:P1245)),"")))</f>
        <v/>
      </c>
      <c r="X1239" s="245" t="str">
        <f>IF(X1231="","",IF(OR(X1231&lt;&gt;X1232,X1231&lt;&gt;X1233),"",IF(AND(COUNTBLANK(I1231:I1234)=0,M1232=M1233,M1233=M1234),(SUM(L1252:P1252)+SUM(L1246:P1246))/(SUM(L1251:P1251)+SUM(L1245:P1245)),"")))</f>
        <v/>
      </c>
      <c r="Y1239" s="242"/>
      <c r="Z1239" s="203"/>
      <c r="AA1239" s="246">
        <v>3</v>
      </c>
      <c r="AB1239" s="222" t="str">
        <f>IF(AND(COUNTBLANK(I1231:I1234)=0,Group_players=4,M1231=M1233,M1233=M1234),IF(COUNTIF(V1230:V1233,V1232)=3,AB1252,IF(AND(COUNTIF(V1230:V1233,V1232)=1,V1230&lt;&gt;V1233),IF(M1233=2,IF(SMALL(V1230:V1233,1)=V1232,1,IF(SMALL(V1230:V1233,2)=V1232,2,IF(SMALL(V1230:V1233,3)=V1232,3))),IF(M1233=1,IF(SMALL(V1230:V1233,1)=V1232,2,IF(SMALL(V1230:V1233,2)=V1232,3,IF(SMALL(V1230:V1233,3)=V1232,4))),"")),IF(COUNTIF(V1230:V1233,V1232)=1,IF(V1232&lt;V1230,IF(M1233=2,1,2),IF(M1233=2,3,4)),IF(COUNTIF(V1230:V1233,V1232)=2,IF(V1232=V1230,IF(V1232&lt;V1233,IF(M1233=2,IF(Q1243=3,1,2),IF(M1233=1,IF(Q1243=3,2,3))),IF(V1232&gt;V1233,IF(M1233=2,IF(Q1243=3,2,3),IF(M1233=1,IF(Q1243=3,3,4))))),IF(V1232=V1233,IF(V1232&lt;V1230,IF(M1233=2,IF(Q1257=3,1,2),IF(M1233=1,IF(Q1257=3,2,3))),IF(V1232&gt;V1230,IF(M1233=2,IF(Q1257=3,2,3),IF(M1233=1,IF(Q1257=3,3,4))))))),"")))),"")</f>
        <v/>
      </c>
      <c r="AC1239" s="192"/>
      <c r="AD1239" s="192"/>
      <c r="AE1239" s="192"/>
      <c r="AF1239" s="192"/>
      <c r="AG1239" s="192"/>
      <c r="AH1239" s="192"/>
      <c r="AI1239" s="192"/>
      <c r="AJ1239" s="192"/>
      <c r="AK1239" s="192"/>
      <c r="AL1239" s="192"/>
      <c r="AM1239" s="192"/>
      <c r="AN1239" s="192"/>
      <c r="AO1239" s="192"/>
      <c r="AP1239" s="192"/>
      <c r="AQ1239" s="192"/>
      <c r="AR1239" s="192"/>
      <c r="AS1239" s="192"/>
      <c r="AT1239" s="192"/>
      <c r="AU1239" s="192"/>
      <c r="AV1239" s="192"/>
      <c r="AW1239" s="192"/>
      <c r="AX1239" s="192"/>
    </row>
    <row r="1240" spans="2:50" ht="15" customHeight="1" thickTop="1" thickBot="1" x14ac:dyDescent="0.35">
      <c r="B1240" s="192"/>
      <c r="C1240" s="192"/>
      <c r="D1240" s="192"/>
      <c r="E1240" s="117"/>
      <c r="F1240" s="117"/>
      <c r="G1240" s="117"/>
      <c r="H1240" s="192"/>
      <c r="I1240" s="192"/>
      <c r="J1240" s="192"/>
      <c r="K1240" s="192"/>
      <c r="L1240" s="192"/>
      <c r="M1240" s="192"/>
      <c r="N1240" s="192"/>
      <c r="O1240" s="192"/>
      <c r="P1240" s="192"/>
      <c r="Q1240" s="192"/>
      <c r="R1240" s="247"/>
      <c r="S1240" s="395"/>
      <c r="T1240" s="208">
        <v>3</v>
      </c>
      <c r="U1240" s="209" t="str">
        <f>IF(U1230="","",IF(OR(U1232&lt;&gt;U1230,U1232&lt;&gt;U1231),"",IF(COUNTIF(M1231:M1233,M1233)=1,"",IF(COUNTBLANK(I1231:I1234)=1,(SUM(L1242:P1242)+SUM(L1245:P1245))/(SUM(L1243:P1243)+SUM(L1246:P1246)),IF(COUNTBLANK(I1231:I1234)=0,(SUM(L1242:P1242)+SUM(L1251:P1251))/(SUM(L1243:P1243)+SUM(L1252:P1252)))))))</f>
        <v/>
      </c>
      <c r="V1240" s="125" t="str">
        <f>IF(V1230="","",IF(OR(V1232&lt;&gt;V1230,V1232&lt;&gt;V1233),"",IF(AND(COUNTBLANK(I1231:I1234)=0,M1231=M1233,M1233=M1234),(SUM(L1242:P1242)+SUM(L1258:P1258))/(SUM(L1243:P1243)+SUM(L1257:P1257)),"")))</f>
        <v/>
      </c>
      <c r="W1240" s="218"/>
      <c r="X1240" s="245" t="str">
        <f>IF(X1231="","",IF(OR(X1232&lt;&gt;X1231,X1232&lt;&gt;X1233),"",IF(AND(COUNTBLANK(I1231:I1234)=0,M1232=M1233,M1233=M1234),(SUM(L1251:P1251)+SUM(L1258:P1258))/(SUM(L1252:P1252)+SUM(L1257:P1257)),"")))</f>
        <v/>
      </c>
      <c r="Y1240" s="208"/>
      <c r="Z1240" s="203"/>
      <c r="AA1240" s="240">
        <v>4</v>
      </c>
      <c r="AB1240" s="222" t="str">
        <f>IF(AND(COUNTBLANK(I1231:I1234)=0,Group_players=4,M1231=M1233,M1233=M1234),IF(COUNTIF(V1230:V1233,V1233)=3,AB1253,IF(AND(COUNTIF(V1230:V1233,V1233)=1,V1232&lt;&gt;V1230),IF(M1234=2,IF(SMALL(V1230:V1233,1)=V1233,1,IF(SMALL(V1230:V1233,2)=V1233,2,IF(SMALL(V1230:V1233,3)=V1233,3))),IF(M1234=1,IF(SMALL(V1230:V1233,1)=V1233,2,IF(SMALL(V1230:V1233,2)=V1233,3,IF(SMALL(V1230:V1233,3)=V1233,4))),"")),IF(COUNTIF(V1230:V1233,V1233)=1,IF(V1233&lt;V1230,IF(M1234=2,1,2),IF(M1234=2,3,4)),IF(COUNTIF(V1230:V1233,V1233)=2,IF(V1233=V1230,IF(V1233&lt;V1232,IF(M1234=2,IF(Q1249=3,1,2),IF(M1234=1,IF(Q1249=3,2,3))),IF(V1233&gt;V1232,IF(M1234=2,IF(Q1249=3,2,3),IF(M1234=1,IF(Q1249=3,3,4))))),IF(V1233=V1232,IF(V1233&lt;V1230,IF(M1234=2,IF(Q1258=3,1,2),IF(M1234=1,IF(Q1258=3,2,3))),IF(V1233&gt;V1230,IF(M1234=2,IF(Q1258=3,2,3),IF(M1234=1,IF(Q1258=3,3,4))))))),"")))),"")</f>
        <v/>
      </c>
      <c r="AC1240" s="192"/>
      <c r="AD1240" s="192"/>
      <c r="AE1240" s="192"/>
      <c r="AF1240" s="192"/>
      <c r="AG1240" s="192"/>
      <c r="AH1240" s="192"/>
      <c r="AI1240" s="192"/>
      <c r="AJ1240" s="192"/>
      <c r="AK1240" s="192"/>
      <c r="AL1240" s="192"/>
      <c r="AM1240" s="192"/>
      <c r="AN1240" s="192"/>
      <c r="AO1240" s="192"/>
      <c r="AP1240" s="192"/>
      <c r="AQ1240" s="192"/>
      <c r="AR1240" s="192"/>
      <c r="AS1240" s="192"/>
      <c r="AT1240" s="192"/>
      <c r="AU1240" s="192"/>
      <c r="AV1240" s="192"/>
      <c r="AW1240" s="192"/>
      <c r="AX1240" s="192"/>
    </row>
    <row r="1241" spans="2:50" ht="15" customHeight="1" thickTop="1" thickBot="1" x14ac:dyDescent="0.35">
      <c r="B1241" s="192"/>
      <c r="C1241" s="192"/>
      <c r="D1241" s="192"/>
      <c r="E1241" s="168" t="s">
        <v>113</v>
      </c>
      <c r="F1241" s="168" t="s">
        <v>114</v>
      </c>
      <c r="G1241" s="117"/>
      <c r="H1241" s="192"/>
      <c r="I1241" s="249" t="s">
        <v>115</v>
      </c>
      <c r="J1241" s="249"/>
      <c r="K1241" s="249"/>
      <c r="L1241" s="250" t="s">
        <v>115</v>
      </c>
      <c r="M1241" s="250" t="s">
        <v>116</v>
      </c>
      <c r="N1241" s="250" t="s">
        <v>117</v>
      </c>
      <c r="O1241" s="250" t="s">
        <v>118</v>
      </c>
      <c r="P1241" s="250" t="s">
        <v>119</v>
      </c>
      <c r="Q1241" s="250" t="s">
        <v>120</v>
      </c>
      <c r="R1241" s="250"/>
      <c r="S1241" s="251"/>
      <c r="T1241" s="208">
        <v>4</v>
      </c>
      <c r="U1241" s="223"/>
      <c r="V1241" s="140" t="str">
        <f>IF(V1230="","",IF(OR(V1233&lt;&gt;V1230,V1233&lt;&gt;V1232),"",IF(AND(COUNTBLANK(I1231:I1234)=0,M1231=M1233,M1233=M1234),(SUM(L1248:P1248)+SUM(L1257:P1257))/(SUM(L1249:P1249)+SUM(L1258:P1258)),"")))</f>
        <v/>
      </c>
      <c r="W1241" s="224" t="str">
        <f>IF(W1230="","",IF(OR(W1233&lt;&gt;W1230,W1233&lt;&gt;W1231),"",IF(AND(COUNTBLANK(I1231:I1234)=0,M1231=M1232,M1232=M1234),(SUM(L1248:P1248)+SUM(L1245:P1245))/(SUM(L1249:P1249)+SUM(L1246:P1246)),"")))</f>
        <v/>
      </c>
      <c r="X1241" s="252" t="str">
        <f>IF(X1231="","",IF(OR(X1233&lt;&gt;X1231,X1233&lt;&gt;X1232),"",IF(AND(COUNTBLANK(I1231:I1234)=0,M1232=M1233,M1233=M1234),(SUM(L1245:P1245)+SUM(L1257:P1257))/(SUM(L1246:P1246)+SUM(L1258:P1258)),"")))</f>
        <v/>
      </c>
      <c r="Y1241" s="192"/>
      <c r="Z1241" s="203"/>
      <c r="AA1241" s="243">
        <v>1</v>
      </c>
      <c r="AB1241" s="151" t="str">
        <f>IF(AND(COUNTBLANK(I1231:I1234)=0,Group_players=4,M1231=M1232,M1232=M1234),IF(COUNTIF(W1230:W1233,W1230)=3,AB1254,IF(AND(COUNTIF(W1230:W1233,W1230)=1,W1231&lt;&gt;W1233),IF(M1231=2,IF(SMALL(W1230:W1233,1)=W1230,1,IF(SMALL(W1230:W1233,2)=W1230,2,IF(SMALL(W1230:W1233,3)=W1230,3))),IF(M1231=1,IF(SMALL(W1230:W1233,1)=W1230,2,IF(SMALL(W1230:W1233,2)=W1230,3,IF(SMALL(W1230:W1233,3)=W1230,4))),"")),IF(COUNTIF(W1230:W1233,W1230)=1,IF(W1230&lt;W1231,IF(M1231=2,1,2),IF(M1231=2,3,4)),IF(COUNTIF(W1230:W1233,W1230)=2,IF(W1230=W1231,IF(W1230&lt;W1233,IF(M1231=2,IF(Q1254=3,1,2),IF(M1231=1,IF(Q1254=3,2,3))),IF(W1230&gt;W1233,IF(M1231=2,IF(Q1254=3,2,3),IF(M1231=1,IF(Q1254=3,3,4))))),IF(W1230=W1233,IF(W1230&lt;W1231,IF(M1231=2,IF(Q1248=3,1,2),IF(M1231=1,IF(Q1248=3,2,3))),IF(W1230&gt;W1231,IF(M1231=2,IF(Q1248=3,2,3),IF(M1231=1,IF(Q1248=3,3,4))))))),"")))),"")</f>
        <v/>
      </c>
      <c r="AC1241" s="192"/>
      <c r="AD1241" s="192"/>
      <c r="AE1241" s="192"/>
      <c r="AF1241" s="192"/>
      <c r="AG1241" s="192"/>
      <c r="AH1241" s="192"/>
      <c r="AI1241" s="192"/>
      <c r="AJ1241" s="192"/>
      <c r="AK1241" s="192"/>
      <c r="AL1241" s="192"/>
      <c r="AM1241" s="192"/>
      <c r="AN1241" s="192"/>
      <c r="AO1241" s="192"/>
      <c r="AP1241" s="192"/>
      <c r="AQ1241" s="192"/>
      <c r="AR1241" s="192"/>
      <c r="AS1241" s="192"/>
      <c r="AT1241" s="192"/>
      <c r="AU1241" s="192"/>
      <c r="AV1241" s="192"/>
      <c r="AW1241" s="192"/>
      <c r="AX1241" s="192"/>
    </row>
    <row r="1242" spans="2:50" ht="15" customHeight="1" thickTop="1" x14ac:dyDescent="0.3">
      <c r="B1242" s="192"/>
      <c r="C1242" s="192"/>
      <c r="D1242" s="192"/>
      <c r="E1242" s="164" t="str">
        <f>IF(Q1242="","",IF(Q1242=3,1,0))</f>
        <v/>
      </c>
      <c r="F1242" s="164" t="str">
        <f>IF(Q1242="","",IF(Q1242&lt;3,1,0))</f>
        <v/>
      </c>
      <c r="G1242" s="192"/>
      <c r="H1242" s="192" t="str">
        <f>IF(I1231="","",1)</f>
        <v/>
      </c>
      <c r="I1242" s="192" t="str">
        <f>IF(ISNUMBER(H1242),VLOOKUP(H1242,H1231:I1234,2,TRUE),"")</f>
        <v/>
      </c>
      <c r="J1242" s="192"/>
      <c r="K1242" s="192" t="str">
        <f>VLOOKUP(I1242,I1231:L1234,3,FALSE)</f>
        <v/>
      </c>
      <c r="L1242" s="253"/>
      <c r="M1242" s="254"/>
      <c r="N1242" s="254"/>
      <c r="O1242" s="152"/>
      <c r="P1242" s="153"/>
      <c r="Q1242" s="255" t="str">
        <f>IF(L1242="","",IF(AND(L1242-L1243&gt;1,L1242&gt;10),1,0)+IF(AND(M1242-M1243&gt;1,M1242&gt;10),1,0)+IF(AND(N1242-N1243&gt;1,N1242&gt;10),1,0)+IF(AND(O1242-O1243&gt;1,O1242&gt;10),1,0)+IF(AND(P1242-P1243&gt;1,P1242&gt;10),1,0))</f>
        <v/>
      </c>
      <c r="R1242" s="203" t="str">
        <f>IF(AND(I1242="",I1243=""),"",ABS(VLOOKUP(I1242,I1231:L1234,4,FALSE)-VLOOKUP(I1243,I1231:L1234,4,FALSE)))</f>
        <v/>
      </c>
      <c r="S1242" s="256" t="str">
        <f>IF(R1243="","",IF(Q1242=3,+R1243,-R1243))</f>
        <v/>
      </c>
      <c r="T1242" s="257"/>
      <c r="U1242" s="258"/>
      <c r="V1242" s="258"/>
      <c r="W1242" s="258"/>
      <c r="X1242" s="258"/>
      <c r="Y1242" s="192"/>
      <c r="Z1242" s="203"/>
      <c r="AA1242" s="246">
        <v>2</v>
      </c>
      <c r="AB1242" s="154" t="str">
        <f>IF(AND(COUNTBLANK(I1231:I1234)=0,Group_players=4,M1231=M1232,M1232=M1234),IF(COUNTIF(W1230:W1233,W1231)=3,AB1255,IF(AND(COUNTIF(W1230:W1233,W1231)=1,W1230&lt;&gt;W1232),IF(M1232=2,IF(SMALL(W1230:W1233,1)=W1231,1,IF(SMALL(W1230:W1233,2)=W1231,2,IF(SMALL(W1230:W1233,3)=W1231,3))),IF(M1232=1,IF(SMALL(W1230:W1233,1)=W1231,2,IF(SMALL(W1230:W1233,2)=W1231,3,IF(SMALL(W1230:W1233,3)=W1231,4))),"")),IF(COUNTIF(W1230:W1233,W1231)=1,IF(W1231&lt;W1230,IF(M1232=2,1,2),IF(M1232=2,3,4)),IF(COUNTIF(W1230:W1233,W1231)=2,IF(W1231=W1230,IF(W1231&lt;W1233,IF(M1232=2,IF(Q1255=3,1,2),IF(M1232=1,IF(Q1255=3,2,3))),IF(W1231&gt;W1233,IF(M1232=2,IF(Q1255=3,2,3),IF(M1232=1,IF(Q1255=3,3,4))))),IF(W1231=W1233,IF(W1231&lt;W1230,IF(M1232=2,IF(Q1245=3,1,2),IF(M1232=1,IF(Q1245=3,2,3))),IF(W1231&gt;W1230,IF(M1232=2,IF(Q1245=3,2,3),IF(M1232=1,IF(Q1245=3,3,4))))))),"")))),"")</f>
        <v/>
      </c>
      <c r="AC1242" s="192"/>
      <c r="AD1242" s="192"/>
      <c r="AE1242" s="192"/>
      <c r="AF1242" s="192"/>
      <c r="AG1242" s="192"/>
      <c r="AH1242" s="192"/>
      <c r="AI1242" s="192"/>
      <c r="AJ1242" s="192"/>
      <c r="AK1242" s="192"/>
      <c r="AL1242" s="192"/>
      <c r="AM1242" s="192"/>
      <c r="AN1242" s="192"/>
      <c r="AO1242" s="192"/>
      <c r="AP1242" s="192"/>
      <c r="AQ1242" s="192"/>
      <c r="AR1242" s="192"/>
      <c r="AS1242" s="192"/>
      <c r="AT1242" s="192"/>
      <c r="AU1242" s="192"/>
      <c r="AV1242" s="192"/>
      <c r="AW1242" s="192"/>
      <c r="AX1242" s="192"/>
    </row>
    <row r="1243" spans="2:50" ht="15" customHeight="1" thickBot="1" x14ac:dyDescent="0.35">
      <c r="B1243" s="192"/>
      <c r="C1243" s="192"/>
      <c r="D1243" s="192"/>
      <c r="E1243" s="164" t="str">
        <f>IF(Q1243="","",IF(Q1243=3,1,0))</f>
        <v/>
      </c>
      <c r="F1243" s="164" t="str">
        <f>IF(Q1243="","",IF(Q1243&lt;3,1,0))</f>
        <v/>
      </c>
      <c r="G1243" s="192"/>
      <c r="H1243" s="192" t="str">
        <f>IF(I1232="","",IF(I1233="",2,3))</f>
        <v/>
      </c>
      <c r="I1243" s="192" t="str">
        <f>IF(ISNUMBER(H1243),VLOOKUP(H1243,H1231:I1234,2,TRUE),"")</f>
        <v/>
      </c>
      <c r="J1243" s="192"/>
      <c r="K1243" s="192" t="str">
        <f>VLOOKUP(I1243,I1231:L1234,3,FALSE)</f>
        <v/>
      </c>
      <c r="L1243" s="155"/>
      <c r="M1243" s="259"/>
      <c r="N1243" s="259"/>
      <c r="O1243" s="156"/>
      <c r="P1243" s="157"/>
      <c r="Q1243" s="260" t="str">
        <f>IF(L1243="","",IF(AND(L1243-L1242&gt;1,L1243&gt;10),1,0)+IF(AND(M1243-M1242&gt;1,M1243&gt;10),1,0)+IF(AND(N1243-N1242&gt;1,N1243&gt;10),1,0)+IF(AND(O1243-O1242&gt;1,O1243&gt;10),1,0)+IF(AND(P1243-P1242&gt;1,P1243&gt;10),1,0))</f>
        <v/>
      </c>
      <c r="R1243" s="203" t="str">
        <f>IF(AND(Q1242&lt;&gt;3,Q1243&lt;&gt;3),"",IF(Q1242=3,IF(VLOOKUP(I1242,I1231:L1234,4,FALSE)&gt;VLOOKUP(I1243,I1231:L1234,4,FALSE),VLOOKUP(R1242,Point_dif,2,FALSE),VLOOKUP(R1242,Point_dif,3,FALSE)),IF(Q1243=3,IF(VLOOKUP(I1243,I1231:L1234,4,FALSE)&gt;VLOOKUP(I1242,I1231:L1234,4,FALSE),VLOOKUP(R1242,Point_dif,2,FALSE),VLOOKUP(R1242,Point_dif,3,FALSE)))))</f>
        <v/>
      </c>
      <c r="S1243" s="256" t="str">
        <f>IF(R1243="","",IF(Q1243=3,+R1243,-R1243))</f>
        <v/>
      </c>
      <c r="T1243" s="192"/>
      <c r="U1243" s="235"/>
      <c r="V1243" s="235"/>
      <c r="W1243" s="235"/>
      <c r="X1243" s="235"/>
      <c r="Y1243" s="235"/>
      <c r="Z1243" s="235"/>
      <c r="AA1243" s="240">
        <v>4</v>
      </c>
      <c r="AB1243" s="158" t="str">
        <f>IF(AND(COUNTBLANK(I1231:I1234)=0,Group_players=4,M1231=M1232,M1232=M1234),IF(COUNTIF(W1230:W1233,W1233)=3,AB1256,IF(AND(COUNTIF(W1230:W1233,W1233)=1,W1230&lt;&gt;W1231),IF(M1234=2,IF(SMALL(W1230:W1233,1)=W1233,1,IF(SMALL(W1230:W1233,2)=W1233,2,IF(SMALL(W1230:W1233,3)=W1233,3))),IF(M1234=1,IF(SMALL(W1230:W1233,1)=W1233,2,IF(SMALL(W1230:W1233,2)=W1233,3,IF(SMALL(W1230:W1233,3)=W1233,4))),"")),IF(COUNTIF(W1230:W1233,W1233)=1,IF(W1233&lt;W1230,IF(M1234=2,1,2),IF(M1234=2,3,4)),IF(COUNTIF(W1230:W1233,W1233)=2,IF(W1233=W1230,IF(W1233&lt;W1231,IF(M1234=2,IF(Q1249=3,1,2),IF(M1234=1,IF(Q1249=3,2,3))),IF(W1233&gt;W1232,IF(M1234=2,IF(Q1249=3,2,3),IF(M1234=1,IF(Q1249=3,3,4))))),IF(W1233=W1231,IF(W1233&lt;W1230,IF(M1234=2,IF(Q1246=3,1,2),IF(M1234=1,IF(Q1246=3,2,3))),IF(W1233&gt;W1230,IF(M1234=2,IF(Q1246=3,2,3),IF(M1234=1,IF(Q1246=3,3,4))))))),"")))),"")</f>
        <v/>
      </c>
      <c r="AC1243" s="192"/>
      <c r="AD1243" s="192"/>
      <c r="AE1243" s="192"/>
      <c r="AF1243" s="192"/>
      <c r="AG1243" s="192"/>
      <c r="AH1243" s="192"/>
      <c r="AI1243" s="192"/>
      <c r="AJ1243" s="192"/>
      <c r="AK1243" s="192"/>
      <c r="AL1243" s="192"/>
      <c r="AM1243" s="192"/>
      <c r="AN1243" s="192"/>
      <c r="AO1243" s="192"/>
      <c r="AP1243" s="192"/>
      <c r="AQ1243" s="192"/>
      <c r="AR1243" s="192"/>
      <c r="AS1243" s="192"/>
      <c r="AT1243" s="192"/>
      <c r="AU1243" s="192"/>
      <c r="AV1243" s="192"/>
      <c r="AW1243" s="192"/>
      <c r="AX1243" s="192"/>
    </row>
    <row r="1244" spans="2:50" ht="15" customHeight="1" thickTop="1" thickBot="1" x14ac:dyDescent="0.35">
      <c r="B1244" s="192"/>
      <c r="C1244" s="192"/>
      <c r="D1244" s="192"/>
      <c r="E1244" s="164"/>
      <c r="F1244" s="164"/>
      <c r="G1244" s="192"/>
      <c r="H1244" s="192"/>
      <c r="I1244" s="249" t="s">
        <v>116</v>
      </c>
      <c r="J1244" s="249"/>
      <c r="K1244" s="249"/>
      <c r="L1244" s="250" t="s">
        <v>115</v>
      </c>
      <c r="M1244" s="250" t="s">
        <v>116</v>
      </c>
      <c r="N1244" s="250" t="s">
        <v>117</v>
      </c>
      <c r="O1244" s="250" t="s">
        <v>118</v>
      </c>
      <c r="P1244" s="250" t="s">
        <v>119</v>
      </c>
      <c r="Q1244" s="250" t="s">
        <v>120</v>
      </c>
      <c r="R1244" s="250"/>
      <c r="S1244" s="251"/>
      <c r="T1244" s="192"/>
      <c r="U1244" s="235"/>
      <c r="V1244" s="235"/>
      <c r="W1244" s="235"/>
      <c r="X1244" s="235"/>
      <c r="Y1244" s="235"/>
      <c r="Z1244" s="235"/>
      <c r="AA1244" s="243">
        <v>2</v>
      </c>
      <c r="AB1244" s="151" t="str">
        <f>IF(AND(COUNTBLANK(I1231:I1234)=0,Group_players=4,M1232=M1233,M1233=M1234),IF(COUNTIF(X1230:X1233,X1231)=3,AB1257,IF(AND(COUNTIF(X1230:X1233,X1231)=1,X1232&lt;&gt;X1233),IF(M1232=2,IF(SMALL(X1230:X1233,1)=X1231,1,IF(SMALL(X1230:X1233,2)=X1231,2,IF(SMALL(X1230:X1233,3)=X1231,3))),IF(M1232=1,IF(SMALL(X1230:X1233,1)=X1231,2,IF(SMALL(X1230:X1233,2)=X1231,3,IF(SMALL(X1230:X1233,3)=X1231,4))),"")),IF(COUNTIF(X1230:X1233,X1231)=1,IF(X1231&lt;X1233,IF(M1232=2,1,2),IF(M1232=1,3,3)),IF(COUNTIF(X1230:X1233,X1231)=2,IF(X1231=X1232,IF(X1231&lt;X1233,IF(M1232=2,IF(Q1251=3,1,2),IF(M1232=1,IF(Q1251=3,2,3))),IF(X1231&gt;X1233,IF(M1232=2,IF(Q1251=3,2,3),IF(M1232=1,IF(Q1251=3,3,4))))),IF(X1231=X1233,IF(X1231&lt;X1232,IF(M1232=2,IF(Q1245=3,1,2),IF(M1232=1,IF(Q1245=3,2,3))),IF(X1231&gt;X1232,IF(M1232=2,IF(Q1245=3,2,3),IF(M1232=1,IF(Q1245=3,3,4))))))),"")))),"")</f>
        <v/>
      </c>
      <c r="AC1244" s="192"/>
      <c r="AD1244" s="192"/>
      <c r="AE1244" s="192"/>
      <c r="AF1244" s="192"/>
      <c r="AG1244" s="192"/>
      <c r="AH1244" s="192"/>
      <c r="AI1244" s="192"/>
      <c r="AJ1244" s="192"/>
      <c r="AK1244" s="192"/>
      <c r="AL1244" s="192"/>
      <c r="AM1244" s="192"/>
      <c r="AN1244" s="192"/>
      <c r="AO1244" s="192"/>
      <c r="AP1244" s="192"/>
      <c r="AQ1244" s="192"/>
      <c r="AR1244" s="192"/>
      <c r="AS1244" s="192"/>
      <c r="AT1244" s="192"/>
      <c r="AU1244" s="192"/>
      <c r="AV1244" s="192"/>
      <c r="AW1244" s="192"/>
      <c r="AX1244" s="192"/>
    </row>
    <row r="1245" spans="2:50" ht="15" customHeight="1" thickTop="1" x14ac:dyDescent="0.3">
      <c r="B1245" s="192"/>
      <c r="C1245" s="192"/>
      <c r="D1245" s="192"/>
      <c r="E1245" s="164" t="str">
        <f>IF(Q1245="","",IF(Q1245=3,1,0))</f>
        <v/>
      </c>
      <c r="F1245" s="164" t="str">
        <f>IF(Q1245="","",IF(Q1245&lt;3,1,0))</f>
        <v/>
      </c>
      <c r="G1245" s="192"/>
      <c r="H1245" s="192" t="str">
        <f>IF(I1233="","",2)</f>
        <v/>
      </c>
      <c r="I1245" s="192" t="str">
        <f>IF(ISNUMBER(H1245),VLOOKUP(H1245,H1231:I1234,2,TRUE),"")</f>
        <v/>
      </c>
      <c r="J1245" s="192"/>
      <c r="K1245" s="192" t="str">
        <f>VLOOKUP(I1245,I1231:L1234,3,FALSE)</f>
        <v/>
      </c>
      <c r="L1245" s="253"/>
      <c r="M1245" s="254"/>
      <c r="N1245" s="254"/>
      <c r="O1245" s="152"/>
      <c r="P1245" s="153"/>
      <c r="Q1245" s="255" t="str">
        <f>IF(L1245="","",IF(AND(L1245-L1246&gt;1,L1245&gt;10),1,0)+IF(AND(M1245-M1246&gt;1,M1245&gt;10),1,0)+IF(AND(N1245-N1246&gt;1,N1245&gt;10),1,0)+IF(AND(O1245-O1246&gt;1,O1245&gt;10),1,0)+IF(AND(P1245-P1246&gt;1,P1245&gt;10),1,0))</f>
        <v/>
      </c>
      <c r="R1245" s="203" t="str">
        <f>IF(AND(I1245="",I1246=""),"",ABS(VLOOKUP(I1245,I1231:L1234,4,FALSE)-VLOOKUP(I1246,I1231:L1234,4,FALSE)))</f>
        <v/>
      </c>
      <c r="S1245" s="256" t="str">
        <f>IF(R1246="","",IF(Q1245=3,+R1246,-R1246))</f>
        <v/>
      </c>
      <c r="T1245" s="192"/>
      <c r="U1245" s="235"/>
      <c r="V1245" s="235"/>
      <c r="W1245" s="235"/>
      <c r="X1245" s="235"/>
      <c r="Y1245" s="235"/>
      <c r="Z1245" s="235"/>
      <c r="AA1245" s="246">
        <v>3</v>
      </c>
      <c r="AB1245" s="154" t="str">
        <f>IF(AND(COUNTBLANK(I1231:I1234)=0,Group_players=4,M1232=M1233,M1233=M1234),IF(COUNTIF(X1230:X1233,X1232)=3,AB1258,IF(AND(COUNTIF(X1230:X1233,X1232)=1,X1231&lt;&gt;X1233),IF(M1233=2,IF(SMALL(X1230:X1233,1)=X1232,1,IF(SMALL(X1230:X1233,2)=X1232,2,IF(SMALL(X1230:X1233,3)=X1232,3))),IF(M1233=1,IF(SMALL(X1230:X1233,1)=X1232,2,IF(SMALL(X1230:X1233,2)=X1232,3,IF(SMALL(X1230:X1233,3)=X1232,4))),"")),IF(COUNTIF(X1230:X1233,X1232)=1,IF(X1232&lt;X1231,IF(M1233=2,1,2),IF(M1233=2,3,4)),IF(COUNTIF(X1230:X1233,X1232)=2,IF(X1232=X1231,IF(X1232&lt;X1233,IF(M1233=2,IF(Q1252=3,1,2),IF(M1233=1,IF(Q1252=3,2,3))),IF(X1232&gt;X1233,IF(M1233=2,IF(Q1252=3,2,3),IF(M1233=1,IF(Q1252=3,3,4))))),IF(X1232=X1233,IF(X1232&lt;X1231,IF(M1233=2,IF(Q1257=3,1,2),IF(M1233=1,IF(Q1257=3,2,3))),IF(X1232&gt;X1231,IF(M1233=2,IF(Q1257=3,2,3),IF(M1233=1,IF(Q1257=3,3,4))))))),"")))),"")</f>
        <v/>
      </c>
      <c r="AC1245" s="192"/>
      <c r="AD1245" s="192"/>
      <c r="AE1245" s="192"/>
      <c r="AF1245" s="192"/>
      <c r="AG1245" s="192"/>
      <c r="AH1245" s="192"/>
      <c r="AI1245" s="192"/>
      <c r="AJ1245" s="192"/>
      <c r="AK1245" s="192"/>
      <c r="AL1245" s="192"/>
      <c r="AM1245" s="192"/>
      <c r="AN1245" s="192"/>
      <c r="AO1245" s="192"/>
      <c r="AP1245" s="192"/>
      <c r="AQ1245" s="192"/>
      <c r="AR1245" s="192"/>
      <c r="AS1245" s="192"/>
      <c r="AT1245" s="192"/>
      <c r="AU1245" s="192"/>
      <c r="AV1245" s="192"/>
      <c r="AW1245" s="192"/>
      <c r="AX1245" s="192"/>
    </row>
    <row r="1246" spans="2:50" ht="15" customHeight="1" thickBot="1" x14ac:dyDescent="0.35">
      <c r="B1246" s="192"/>
      <c r="C1246" s="192"/>
      <c r="D1246" s="192"/>
      <c r="E1246" s="164" t="str">
        <f>IF(Q1246="","",IF(Q1246=3,1,0))</f>
        <v/>
      </c>
      <c r="F1246" s="164" t="str">
        <f>IF(Q1246="","",IF(Q1246&lt;3,1,0))</f>
        <v/>
      </c>
      <c r="G1246" s="192"/>
      <c r="H1246" s="192" t="str">
        <f>IF(I1233="","",IF(I1234="",3,4))</f>
        <v/>
      </c>
      <c r="I1246" s="192" t="str">
        <f>IF(ISNUMBER(H1246),VLOOKUP(H1246,H1231:I1234,2,TRUE),"")</f>
        <v/>
      </c>
      <c r="J1246" s="192"/>
      <c r="K1246" s="192" t="str">
        <f>VLOOKUP(I1246,I1231:L1234,3,FALSE)</f>
        <v/>
      </c>
      <c r="L1246" s="155"/>
      <c r="M1246" s="259"/>
      <c r="N1246" s="259"/>
      <c r="O1246" s="156"/>
      <c r="P1246" s="157"/>
      <c r="Q1246" s="260" t="str">
        <f>IF(L1246="","",IF(AND(L1246-L1245&gt;1,L1246&gt;10),1,0)+IF(AND(M1246-M1245&gt;1,M1246&gt;10),1,0)+IF(AND(N1246-N1245&gt;1,N1246&gt;10),1,0)+IF(AND(O1246-O1245&gt;1,O1246&gt;10),1,0)+IF(AND(P1246-P1245&gt;1,P1246&gt;10),1,0))</f>
        <v/>
      </c>
      <c r="R1246" s="203" t="str">
        <f>IF(AND(Q1245&lt;&gt;3,Q1246&lt;&gt;3),"",IF(Q1245=3,IF(VLOOKUP(I1245,I1231:L1234,4,FALSE)&gt;VLOOKUP(I1246,I1231:L1234,4,FALSE),VLOOKUP(R1245,Point_dif,2,FALSE),VLOOKUP(R1245,Point_dif,3,FALSE)),IF(Q1246=3,IF(VLOOKUP(I1246,I1231:L1234,4,FALSE)&gt;VLOOKUP(I1245,I1231:L1234,4,FALSE),VLOOKUP(R1245,Point_dif,2,FALSE),VLOOKUP(R1245,Point_dif,3,FALSE)))))</f>
        <v/>
      </c>
      <c r="S1246" s="256" t="str">
        <f>IF(R1246="","",IF(Q1246=3,+R1246,-R1246))</f>
        <v/>
      </c>
      <c r="T1246" s="192"/>
      <c r="U1246" s="235"/>
      <c r="V1246" s="235"/>
      <c r="W1246" s="235"/>
      <c r="X1246" s="235"/>
      <c r="Y1246" s="235"/>
      <c r="Z1246" s="235"/>
      <c r="AA1246" s="261">
        <v>4</v>
      </c>
      <c r="AB1246" s="158" t="str">
        <f>IF(AND(COUNTBLANK(I1231:I1234)=0,Group_players=4,M1232=M1233,M1233=M1234),IF(COUNTIF(X1230:X1233,X1233)=3,AB1259,IF(AND(COUNTIF(X1230:X1233,X1233)=1,X1232&lt;&gt;X1231),IF(M1234=2,IF(SMALL(X1230:X1233,1)=X1233,1,IF(SMALL(X1230:X1233,2)=X1233,2,IF(SMALL(X1230:X1233,3)=X1233,3))),IF(M1234=1,IF(SMALL(X1230:X1233,1)=X1233,2,IF(SMALL(X1230:X1233,2)=X1233,3,IF(SMALL(X1230:X1233,3)=X1233,4))),"")),IF(COUNTIF(X1230:X1233,X1233)=1,IF(X1233&lt;X1231,IF(M1234=2,1,2),IF(M1234=2,3,4)),IF(COUNTIF(X1230:X1233,X1233)=2,IF(X1233=X1231,IF(X1233&lt;X1232,IF(M1234=2,IF(Q1246=3,1,2),IF(M1234=1,IF(Q1246=3,2,3))),IF(X1233&gt;X1232,IF(M1234=2,IF(Q1246=3,2,3),IF(M1234=1,IF(Q1246=3,3,4))))),IF(X1233=X1232,IF(X1233&lt;X1231,IF(M1234=2,IF(Q1258=3,1,2),IF(M1234=1,IF(Q1258=3,2,3))),IF(X1233&gt;X1231,IF(M1234=2,IF(Q1258=3,2,3),IF(M1234=1,IF(Q1258=3,3,4))))))),"")))),"")</f>
        <v/>
      </c>
      <c r="AC1246" s="192"/>
      <c r="AD1246" s="192"/>
      <c r="AE1246" s="192"/>
      <c r="AF1246" s="192"/>
      <c r="AG1246" s="192"/>
      <c r="AH1246" s="192"/>
      <c r="AI1246" s="192"/>
      <c r="AJ1246" s="192"/>
      <c r="AK1246" s="192"/>
      <c r="AL1246" s="192"/>
      <c r="AM1246" s="192"/>
      <c r="AN1246" s="192"/>
      <c r="AO1246" s="192"/>
      <c r="AP1246" s="192"/>
      <c r="AQ1246" s="192"/>
      <c r="AR1246" s="192"/>
      <c r="AS1246" s="192"/>
      <c r="AT1246" s="192"/>
      <c r="AU1246" s="192"/>
      <c r="AV1246" s="192"/>
      <c r="AW1246" s="192"/>
      <c r="AX1246" s="192"/>
    </row>
    <row r="1247" spans="2:50" ht="15" customHeight="1" thickTop="1" thickBot="1" x14ac:dyDescent="0.35">
      <c r="B1247" s="192"/>
      <c r="C1247" s="192"/>
      <c r="D1247" s="192"/>
      <c r="E1247" s="164"/>
      <c r="F1247" s="164"/>
      <c r="G1247" s="192"/>
      <c r="H1247" s="192"/>
      <c r="I1247" s="249" t="s">
        <v>117</v>
      </c>
      <c r="J1247" s="249"/>
      <c r="K1247" s="249"/>
      <c r="L1247" s="250" t="s">
        <v>115</v>
      </c>
      <c r="M1247" s="250" t="s">
        <v>116</v>
      </c>
      <c r="N1247" s="250" t="s">
        <v>117</v>
      </c>
      <c r="O1247" s="250" t="s">
        <v>118</v>
      </c>
      <c r="P1247" s="250" t="s">
        <v>119</v>
      </c>
      <c r="Q1247" s="250" t="s">
        <v>120</v>
      </c>
      <c r="R1247" s="250"/>
      <c r="S1247" s="251"/>
      <c r="T1247" s="263"/>
      <c r="U1247" s="264"/>
      <c r="V1247" s="242"/>
      <c r="W1247" s="242"/>
      <c r="X1247" s="264"/>
      <c r="Y1247" s="192"/>
      <c r="Z1247" s="203"/>
      <c r="AA1247" s="126" t="s">
        <v>93</v>
      </c>
      <c r="AB1247" s="265" t="s">
        <v>110</v>
      </c>
      <c r="AC1247" s="192"/>
      <c r="AD1247" s="192"/>
      <c r="AE1247" s="192"/>
      <c r="AF1247" s="192"/>
      <c r="AG1247" s="192"/>
      <c r="AH1247" s="192"/>
      <c r="AI1247" s="192"/>
      <c r="AJ1247" s="192"/>
      <c r="AK1247" s="192"/>
      <c r="AL1247" s="192"/>
      <c r="AM1247" s="192"/>
      <c r="AN1247" s="192"/>
      <c r="AO1247" s="192"/>
      <c r="AP1247" s="192"/>
      <c r="AQ1247" s="192"/>
      <c r="AR1247" s="192"/>
      <c r="AS1247" s="192"/>
      <c r="AT1247" s="192"/>
      <c r="AU1247" s="192"/>
      <c r="AV1247" s="192"/>
      <c r="AW1247" s="192"/>
      <c r="AX1247" s="192"/>
    </row>
    <row r="1248" spans="2:50" ht="15" customHeight="1" thickTop="1" x14ac:dyDescent="0.3">
      <c r="B1248" s="192"/>
      <c r="C1248" s="192"/>
      <c r="D1248" s="192"/>
      <c r="E1248" s="164" t="str">
        <f>IF(Q1248="","",IF(Q1248=3,1,0))</f>
        <v/>
      </c>
      <c r="F1248" s="164" t="str">
        <f>IF(Q1248="","",IF(Q1248&lt;3,1,0))</f>
        <v/>
      </c>
      <c r="G1248" s="192"/>
      <c r="H1248" s="192" t="str">
        <f>IF(I1233&lt;&gt;"",1,"")</f>
        <v/>
      </c>
      <c r="I1248" s="192" t="str">
        <f>IF(ISNUMBER(H1248),VLOOKUP(H1248,H1231:I1234,2,TRUE),"")</f>
        <v/>
      </c>
      <c r="J1248" s="192"/>
      <c r="K1248" s="192" t="str">
        <f>VLOOKUP(I1248,I1231:L1234,3,FALSE)</f>
        <v/>
      </c>
      <c r="L1248" s="253"/>
      <c r="M1248" s="254"/>
      <c r="N1248" s="254"/>
      <c r="O1248" s="152"/>
      <c r="P1248" s="153"/>
      <c r="Q1248" s="255" t="str">
        <f>IF(L1248="","",IF(AND(L1248-L1249&gt;1,L1248&gt;10),1,0)+IF(AND(M1248-M1249&gt;1,M1248&gt;10),1,0)+IF(AND(N1248-N1249&gt;1,N1248&gt;10),1,0)+IF(AND(O1248-O1249&gt;1,O1248&gt;10),1,0)+IF(AND(P1248-P1249&gt;1,P1248&gt;10),1,0))</f>
        <v/>
      </c>
      <c r="R1248" s="203" t="str">
        <f>IF(AND(I1248="",I1249=""),"",ABS(VLOOKUP(I1248,I1231:L1234,4,FALSE)-VLOOKUP(I1249,I1231:L1234,4,FALSE)))</f>
        <v/>
      </c>
      <c r="S1248" s="256" t="str">
        <f>IF(R1249="","",IF(Q1248=3,+R1249,-R1249))</f>
        <v/>
      </c>
      <c r="T1248" s="192"/>
      <c r="U1248" s="235"/>
      <c r="V1248" s="235"/>
      <c r="W1248" s="235"/>
      <c r="X1248" s="235"/>
      <c r="Y1248" s="235"/>
      <c r="Z1248" s="235"/>
      <c r="AA1248" s="243">
        <v>1</v>
      </c>
      <c r="AB1248" s="222" t="str">
        <f>IF(AND(COUNTBLANK(I1231:I1234)=0,Group_players=4,M1231=M1232,M1232=M1233),IF(U1238="","",IF(COUNTIF(U1238:U1241,U1238)=3,"Tied",IF(AND(COUNTIF(U1238:U1241,U1238)=1,U1239&lt;&gt;U1240),IF(M1231=2,IF(SMALL(U1238:U1241,1)=U1238,1,IF(SMALL(U1238:U1241,2)=U1238,2,IF(SMALL(U1238:U1241,3)=U1238,3))),IF(M1231=1,IF(SMALL(U1238:U1241,1)=U1238,2,IF(SMALL(U1238:U1241,2)=U1238,3,IF(SMALL(U1238:U1241,3)=U1238,4))),"")),IF(COUNTIF(U1238:U1241,U1238)=1,IF(U1238&lt;U1239,IF(M1231=2,1,2),IF(M1231=2,3,4)),IF(COUNTIF(U1238:U1241,U1238)=2,IF(U1238=U1239,IF(U1238&lt;U1240,IF(M1231=2,IF(Q1254=3,1,2),IF(M1231=1,IF(Q1254=3,2,3))),IF(U1238&gt;U1240,IF(M1231=2,IF(Q1254=3,2,3),IF(M1231=1,IF(Q1254=3,3,4))))),IF(U1238=U1240,IF(U1238&lt;U1239,IF(M1231=2,IF(Q1242=3,1,2),IF(M1231=1,IF(Q1242=3,2,3))),IF(U1238&gt;U1239,IF(M1231=2,IF(Q1242=3,2,3),IF(M1231=1,IF(Q1242=3,3,4)))))))))))),"")</f>
        <v/>
      </c>
      <c r="AC1248" s="192"/>
      <c r="AD1248" s="192"/>
      <c r="AE1248" s="192"/>
      <c r="AF1248" s="192"/>
      <c r="AG1248" s="192"/>
      <c r="AH1248" s="192"/>
      <c r="AI1248" s="192"/>
      <c r="AJ1248" s="192"/>
      <c r="AK1248" s="192"/>
      <c r="AL1248" s="192"/>
      <c r="AM1248" s="192"/>
      <c r="AN1248" s="192"/>
      <c r="AO1248" s="192"/>
      <c r="AP1248" s="192"/>
      <c r="AQ1248" s="192"/>
      <c r="AR1248" s="192"/>
      <c r="AS1248" s="192"/>
      <c r="AT1248" s="192"/>
      <c r="AU1248" s="192"/>
      <c r="AV1248" s="192"/>
      <c r="AW1248" s="192"/>
      <c r="AX1248" s="192"/>
    </row>
    <row r="1249" spans="2:50" ht="15" customHeight="1" thickBot="1" x14ac:dyDescent="0.35">
      <c r="B1249" s="192"/>
      <c r="C1249" s="192"/>
      <c r="D1249" s="192"/>
      <c r="E1249" s="164" t="str">
        <f>IF(Q1249="","",IF(Q1249=3,1,0))</f>
        <v/>
      </c>
      <c r="F1249" s="164" t="str">
        <f>IF(Q1249="","",IF(Q1249&lt;3,1,0))</f>
        <v/>
      </c>
      <c r="G1249" s="192"/>
      <c r="H1249" s="192" t="str">
        <f>IF(I1233="","",IF(I1234&lt;&gt;"",4,2))</f>
        <v/>
      </c>
      <c r="I1249" s="192" t="str">
        <f>IF(ISNUMBER(H1249),VLOOKUP(H1249,H1231:I1234,2,TRUE),"")</f>
        <v/>
      </c>
      <c r="J1249" s="192"/>
      <c r="K1249" s="192" t="str">
        <f>VLOOKUP(I1249,I1231:L1234,3,FALSE)</f>
        <v/>
      </c>
      <c r="L1249" s="155"/>
      <c r="M1249" s="259"/>
      <c r="N1249" s="259"/>
      <c r="O1249" s="156"/>
      <c r="P1249" s="157"/>
      <c r="Q1249" s="260" t="str">
        <f>IF(L1249="","",IF(AND(L1249-L1248&gt;1,L1249&gt;10),1,0)+IF(AND(M1249-M1248&gt;1,M1249&gt;10),1,0)+IF(AND(N1249-N1248&gt;1,N1249&gt;10),1,0)+IF(AND(O1249-O1248&gt;1,O1249&gt;10),1,0)+IF(AND(P1249-P1248&gt;1,P1249&gt;10),1,0))</f>
        <v/>
      </c>
      <c r="R1249" s="203" t="str">
        <f>IF(AND(Q1248&lt;&gt;3,Q1249&lt;&gt;3),"",IF(Q1248=3,IF(VLOOKUP(I1248,I1231:L1234,4,FALSE)&gt;VLOOKUP(I1249,I1231:L1234,4,FALSE),VLOOKUP(R1248,Point_dif,2,FALSE),VLOOKUP(R1248,Point_dif,3,FALSE)),IF(Q1249=3,IF(VLOOKUP(I1249,I1231:L1234,4,FALSE)&gt;VLOOKUP(I1248,I1231:L1234,4,FALSE),VLOOKUP(R1248,Point_dif,2,FALSE),VLOOKUP(R1248,Point_dif,3,FALSE)))))</f>
        <v/>
      </c>
      <c r="S1249" s="256" t="str">
        <f>IF(R1249="","",IF(Q1249=3,+R1249,-R1249))</f>
        <v/>
      </c>
      <c r="T1249" s="192"/>
      <c r="U1249" s="235"/>
      <c r="V1249" s="235"/>
      <c r="W1249" s="235"/>
      <c r="X1249" s="235"/>
      <c r="Y1249" s="235"/>
      <c r="Z1249" s="235"/>
      <c r="AA1249" s="246">
        <v>2</v>
      </c>
      <c r="AB1249" s="222" t="str">
        <f>IF(AND(COUNTBLANK(I1231:I1234)=0,Group_players=4,M1231=M1232,M1232=M1233),IF(U1239="","",IF(COUNTIF(U1238:U1241,U1239)=3,"Tied",IF(AND(COUNTIF(U1238:U1241,U1239)=1,U1238&lt;&gt;U1240),IF(M1232=2,IF(SMALL(U1238:U1241,1)=U1239,1,IF(SMALL(U1238:U1241,2)=U1239,2,IF(SMALL(U1238:U1241,3)=U1239,3))),IF(M1232=1,IF(SMALL(U1238:U1241,1)=U1239,2,IF(SMALL(U1238:U1241,2)=U1239,3,IF(SMALL(U1238:U1241,3)=U1239,4))),"")),IF(COUNTIF(U1238:U1241,U1239)=1,IF(U1239&lt;U1238,IF(M1232=2,1,2),IF(M1232=2,3,4)),IF(COUNTIF(U1238:U1241,U1239)=2,IF(U1239=U1238,IF(U1239&lt;U1240,IF(M1232=2,IF(Q1255=3,1,2),IF(M1232=1,IF(Q1255=3,2,3))),IF(U1239&gt;U1240,IF(M1232=2,IF(Q1255=3,2,3),IF(M1232=1,IF(Q1255=3,3,4))))),IF(U1239=U1240,IF(U1239&lt;U1238,IF(M1232=2,IF(Q1251=3,1,2),IF(M1232=1,IF(Q1251=3,2,3))),IF(U1239&gt;U1238,IF(M1232=2,IF(Q1251=3,2,3),IF(M1232=1,IF(Q1251=3,3,4)))))))))))),"")</f>
        <v/>
      </c>
      <c r="AC1249" s="192"/>
      <c r="AD1249" s="192"/>
      <c r="AE1249" s="192"/>
      <c r="AF1249" s="192"/>
      <c r="AG1249" s="192"/>
      <c r="AH1249" s="192"/>
      <c r="AI1249" s="192"/>
      <c r="AJ1249" s="192"/>
      <c r="AK1249" s="192"/>
      <c r="AL1249" s="192"/>
      <c r="AM1249" s="192"/>
      <c r="AN1249" s="192"/>
      <c r="AO1249" s="192"/>
      <c r="AP1249" s="192"/>
      <c r="AQ1249" s="192"/>
      <c r="AR1249" s="192"/>
      <c r="AS1249" s="192"/>
      <c r="AT1249" s="192"/>
      <c r="AU1249" s="192"/>
      <c r="AV1249" s="192"/>
      <c r="AW1249" s="192"/>
      <c r="AX1249" s="192"/>
    </row>
    <row r="1250" spans="2:50" ht="15" customHeight="1" thickTop="1" thickBot="1" x14ac:dyDescent="0.35">
      <c r="B1250" s="192"/>
      <c r="C1250" s="192"/>
      <c r="D1250" s="192"/>
      <c r="E1250" s="164"/>
      <c r="F1250" s="164"/>
      <c r="G1250" s="192"/>
      <c r="H1250" s="192"/>
      <c r="I1250" s="249" t="s">
        <v>118</v>
      </c>
      <c r="J1250" s="249"/>
      <c r="K1250" s="249"/>
      <c r="L1250" s="250" t="s">
        <v>115</v>
      </c>
      <c r="M1250" s="250" t="s">
        <v>116</v>
      </c>
      <c r="N1250" s="250" t="s">
        <v>117</v>
      </c>
      <c r="O1250" s="250" t="s">
        <v>118</v>
      </c>
      <c r="P1250" s="250" t="s">
        <v>119</v>
      </c>
      <c r="Q1250" s="250" t="s">
        <v>120</v>
      </c>
      <c r="R1250" s="250"/>
      <c r="S1250" s="251"/>
      <c r="T1250" s="192"/>
      <c r="U1250" s="235"/>
      <c r="V1250" s="235"/>
      <c r="W1250" s="235"/>
      <c r="X1250" s="235"/>
      <c r="Y1250" s="235"/>
      <c r="Z1250" s="235"/>
      <c r="AA1250" s="240">
        <v>3</v>
      </c>
      <c r="AB1250" s="241" t="str">
        <f>IF(AND(COUNTBLANK(I1231:I1234)=0,Group_players=4,M1231=M1232,M1232=M1233),IF(U1240="","",IF(COUNTIF(U1238:U1241,U1240)=3,"Tied",IF(AND(COUNTIF(U1238:U1241,U1240)=1,U1238&lt;&gt;U1239),IF(M1231=2,IF(SMALL(U1238:U1241,1)=U1240,1,IF(SMALL(U1238:U1241,2)=U1240,2,IF(SMALL(U1238:U1241,3)=U1240,3))),IF(M1233=1,IF(SMALL(U1238:U1241,1)=U1240,2,IF(SMALL(U1238:U1241,2)=U1240,3,IF(SMALL(U1238:U1241,3)=U1240,4))),"")),IF(COUNTIF(U1238:U1241,U1240)=1,IF(U1240&lt;U1239,IF(M1233=2,1,2),IF(M1233=2,3,4)),IF(COUNTIF(U1238:U1241,U1240)=2,IF(U1240=U1239,IF(U1240&lt;U1238,IF(M1233=2,IF(Q1252=3,1,2),IF(M1233=1,IF(Q1252=3,2,3))),IF(U1240&gt;U1238,IF(M1233=2,IF(Q1252=3,2,3),IF(M1233=1,IF(Q1252=3,3,4))))),IF(U1240=U1238,IF(U1240&lt;U1239,IF(M1233=2,IF(Q1243=3,1,2),IF(M1233=1,IF(Q1243=3,2,3))),IF(U1240&gt;U1239,IF(M1233=2,IF(Q1243=3,2,3),IF(M1233=1,IF(Q1243=3,3,4)))))))))))),"")</f>
        <v/>
      </c>
      <c r="AC1250" s="192"/>
      <c r="AD1250" s="192"/>
      <c r="AE1250" s="192"/>
      <c r="AF1250" s="192"/>
      <c r="AG1250" s="192"/>
      <c r="AH1250" s="192"/>
      <c r="AI1250" s="192"/>
      <c r="AJ1250" s="192"/>
      <c r="AK1250" s="192"/>
      <c r="AL1250" s="192"/>
      <c r="AM1250" s="192"/>
      <c r="AN1250" s="192"/>
      <c r="AO1250" s="192"/>
      <c r="AP1250" s="192"/>
      <c r="AQ1250" s="192"/>
      <c r="AR1250" s="192"/>
      <c r="AS1250" s="192"/>
      <c r="AT1250" s="192"/>
      <c r="AU1250" s="192"/>
      <c r="AV1250" s="192"/>
      <c r="AW1250" s="192"/>
      <c r="AX1250" s="192"/>
    </row>
    <row r="1251" spans="2:50" ht="15" customHeight="1" thickTop="1" x14ac:dyDescent="0.3">
      <c r="B1251" s="192"/>
      <c r="C1251" s="192"/>
      <c r="D1251" s="192"/>
      <c r="E1251" s="164" t="str">
        <f>IF(Q1251="","",IF(Q1251=3,1,0))</f>
        <v/>
      </c>
      <c r="F1251" s="164" t="str">
        <f>IF(Q1251="","",IF(Q1251&lt;3,1,0))</f>
        <v/>
      </c>
      <c r="G1251" s="192"/>
      <c r="H1251" s="192" t="str">
        <f>IF(I1234&lt;&gt;"",2,"")</f>
        <v/>
      </c>
      <c r="I1251" s="192" t="str">
        <f>IF(ISNUMBER(H1251),VLOOKUP(H1251,H1231:I1234,2,TRUE),"")</f>
        <v/>
      </c>
      <c r="J1251" s="192"/>
      <c r="K1251" s="192" t="str">
        <f>VLOOKUP(I1251,I1231:L1234,3,FALSE)</f>
        <v/>
      </c>
      <c r="L1251" s="253"/>
      <c r="M1251" s="254"/>
      <c r="N1251" s="254"/>
      <c r="O1251" s="152"/>
      <c r="P1251" s="153"/>
      <c r="Q1251" s="255" t="str">
        <f>IF(L1251="","",IF(AND(L1251-L1252&gt;1,L1251&gt;10),1,0)+IF(AND(M1251-M1252&gt;1,M1251&gt;10),1,0)+IF(AND(N1251-N1252&gt;1,N1251&gt;10),1,0)+IF(AND(O1251-O1252&gt;1,O1251&gt;10),1,0)+IF(AND(P1251-P1252&gt;1,P1251&gt;10),1,0))</f>
        <v/>
      </c>
      <c r="R1251" s="203" t="str">
        <f>IF(AND(I1251="",I1252=""),"",ABS(VLOOKUP(I1251,I1231:L1234,4,FALSE)-VLOOKUP(I1252,I1231:L1234,4,FALSE)))</f>
        <v/>
      </c>
      <c r="S1251" s="256" t="str">
        <f>IF(R1252="","",IF(Q1251=3,+R1252,-R1252))</f>
        <v/>
      </c>
      <c r="T1251" s="192"/>
      <c r="U1251" s="235"/>
      <c r="V1251" s="235"/>
      <c r="W1251" s="235"/>
      <c r="X1251" s="235"/>
      <c r="Y1251" s="235"/>
      <c r="Z1251" s="235"/>
      <c r="AA1251" s="243">
        <v>1</v>
      </c>
      <c r="AB1251" s="222" t="str">
        <f>IF(AND(COUNTBLANK(I1231:I1234)=0,Group_players=4,M1231=M1233,M1233=M1234),IF(V1238="","",IF(COUNTIF(V1238:V1241,V1238)=3,"Tied",IF(AND(COUNTIF(V1238:V1241,V1238)=1,V1240&lt;&gt;U1241),IF(M1231=2,IF(SMALL(V1238:V1241,1)=V1238,1,IF(SMALL(V1238:V1241,2)=V1238,2,IF(SMALL(V1238:V1241,3)=V1238,3))),IF(M1231=1,IF(SMALL(V1238:V1241,1)=V1238,2,IF(SMALL(V1238:V1241,2)=V1238,3,IF(SMALL(V1238:V1241,3)=V1238,4))),"")),IF(COUNTIF(V1238:V1241,V1238)=1,IF(V1238&lt;V1240,IF(M1231=2,1,2),IF(M1231=2,3,4)),IF(COUNTIF(V1238:V1241,V1238)=2,IF(V1238=V1240,IF(V1238&lt;V1241,IF(M1231=2,IF(Q1242=3,1,2),IF(M1231=1,IF(Q1242=3,2,3))),IF(V1238&gt;V1241,IF(M1231=2,IF(Q1242=3,2,3),IF(M1231=1,IF(Q1242=3,3,4))))),IF(V1238=V1241,IF(V1238&lt;V1240,IF(M1231=2,IF(Q1248=3,1,2),IF(M1231=1,IF(Q1248=3,2,3))),IF(V1238&gt;V1239,IF(M1231=2,IF(Q1248=3,2,3),IF(M1231=1,IF(Q1248=3,3,4)))))))))))),"")</f>
        <v/>
      </c>
      <c r="AC1251" s="192"/>
      <c r="AD1251" s="192"/>
      <c r="AE1251" s="192"/>
      <c r="AF1251" s="192"/>
      <c r="AG1251" s="192"/>
      <c r="AH1251" s="192"/>
      <c r="AI1251" s="192"/>
      <c r="AJ1251" s="192"/>
      <c r="AK1251" s="192"/>
      <c r="AL1251" s="192"/>
      <c r="AM1251" s="192"/>
      <c r="AN1251" s="192"/>
      <c r="AO1251" s="192"/>
      <c r="AP1251" s="192"/>
      <c r="AQ1251" s="192"/>
      <c r="AR1251" s="192"/>
      <c r="AS1251" s="192"/>
      <c r="AT1251" s="192"/>
      <c r="AU1251" s="192"/>
      <c r="AV1251" s="192"/>
      <c r="AW1251" s="192"/>
      <c r="AX1251" s="192"/>
    </row>
    <row r="1252" spans="2:50" ht="15" customHeight="1" thickBot="1" x14ac:dyDescent="0.35">
      <c r="B1252" s="192"/>
      <c r="C1252" s="192"/>
      <c r="D1252" s="192"/>
      <c r="E1252" s="164" t="str">
        <f>IF(Q1252="","",IF(Q1252=3,1,0))</f>
        <v/>
      </c>
      <c r="F1252" s="164" t="str">
        <f>IF(Q1252="","",IF(Q1252&lt;3,1,0))</f>
        <v/>
      </c>
      <c r="G1252" s="192"/>
      <c r="H1252" s="192" t="str">
        <f>IF(I1234&lt;&gt;"",3,"")</f>
        <v/>
      </c>
      <c r="I1252" s="192" t="str">
        <f>IF(ISNUMBER(H1252),VLOOKUP(H1252,H1231:I1234,2,TRUE),"")</f>
        <v/>
      </c>
      <c r="J1252" s="192"/>
      <c r="K1252" s="192" t="str">
        <f>VLOOKUP(I1252,I1231:L1234,3,FALSE)</f>
        <v/>
      </c>
      <c r="L1252" s="155"/>
      <c r="M1252" s="259"/>
      <c r="N1252" s="259"/>
      <c r="O1252" s="156"/>
      <c r="P1252" s="157"/>
      <c r="Q1252" s="260" t="str">
        <f>IF(L1252="","",IF(AND(L1252-L1251&gt;1,L1252&gt;10),1,0)+IF(AND(M1252-M1251&gt;1,M1252&gt;10),1,0)+IF(AND(N1252-N1251&gt;1,N1252&gt;10),1,0)+IF(AND(O1252-O1251&gt;1,O1252&gt;10),1,0)+IF(AND(P1252-P1251&gt;1,P1252&gt;10),1,0))</f>
        <v/>
      </c>
      <c r="R1252" s="203" t="str">
        <f>IF(AND(Q1251&lt;&gt;3,Q1252&lt;&gt;3),"",IF(Q1251=3,IF(VLOOKUP(I1251,I1231:L1234,4,FALSE)&gt;VLOOKUP(I1252,I1231:L1234,4,FALSE),VLOOKUP(R1251,Point_dif,2,FALSE),VLOOKUP(R1251,Point_dif,3,FALSE)),IF(Q1252=3,IF(VLOOKUP(I1252,I1231:L1234,4,FALSE)&gt;VLOOKUP(I1251,I1231:L1234,4,FALSE),VLOOKUP(R1251,Point_dif,2,FALSE),VLOOKUP(R1251,Point_dif,3,FALSE)))))</f>
        <v/>
      </c>
      <c r="S1252" s="256" t="str">
        <f>IF(R1252="","",IF(Q1252=3,+R1252,-R1252))</f>
        <v/>
      </c>
      <c r="T1252" s="192"/>
      <c r="U1252" s="159"/>
      <c r="V1252" s="266"/>
      <c r="W1252" s="266"/>
      <c r="X1252" s="266"/>
      <c r="Y1252" s="192"/>
      <c r="Z1252" s="203"/>
      <c r="AA1252" s="246">
        <v>3</v>
      </c>
      <c r="AB1252" s="222" t="str">
        <f>IF(AND(COUNTBLANK(I1231:I1234)=0,Group_players=4,M1231=M1233,M1233=M1234),IF(V1240="","",IF(COUNTIF(V1238:V1241,V1240)=3,"Tied",IF(AND(COUNTIF(V1238:V1241,V1240)=1,V1238&lt;&gt;V1241),IF(M1233=2,IF(SMALL(V1238:V1241,1)=V1240,1,IF(SMALL(V1238:V1241,2)=V1240,2,IF(SMALL(V1238:V1241,3)=V1240,3))),IF(M1233=1,IF(SMALL(V1238:V1241,1)=V1240,2,IF(SMALL(V1238:V1241,2)=V1240,3,IF(SMALL(V1238:V1241,3)=V1240,4))),"")),IF(COUNTIF(V1238:V1241,V1240)=1,IF(V1240&lt;V1238,IF(M1233=2,1,2),IF(M1233=2,3,4)),IF(COUNTIF(V1238:V1241,V1240)=2,IF(V1240=V1238,IF(V1240&lt;V1241,IF(M1233=2,IF(Q1243=3,1,2),IF(M1233=1,IF(Q1243=3,2,3))),IF(V1240&gt;V1241,IF(M1233=2,IF(Q1243=3,2,3),IF(M1233=1,IF(Q1243=3,3,4))))),IF(V1240=V1241,IF(V1240&lt;V1238,IF(M1233=2,IF(Q1257=3,1,2),IF(M1233=1,IF(Q1257=3,2,3))),IF(V1240&gt;V1238,IF(M1233=2,IF(Q1257=3,2,3),IF(M1233=1,IF(Q1257=3,3,4)))))))))))),"")</f>
        <v/>
      </c>
      <c r="AC1252" s="192"/>
      <c r="AD1252" s="192"/>
      <c r="AE1252" s="192"/>
      <c r="AF1252" s="192"/>
      <c r="AG1252" s="192"/>
      <c r="AH1252" s="192"/>
      <c r="AI1252" s="192"/>
      <c r="AJ1252" s="192"/>
      <c r="AK1252" s="192"/>
      <c r="AL1252" s="192"/>
      <c r="AM1252" s="192"/>
      <c r="AN1252" s="192"/>
      <c r="AO1252" s="192"/>
      <c r="AP1252" s="192"/>
      <c r="AQ1252" s="192"/>
      <c r="AR1252" s="192"/>
      <c r="AS1252" s="192"/>
      <c r="AT1252" s="192"/>
      <c r="AU1252" s="192"/>
      <c r="AV1252" s="192"/>
      <c r="AW1252" s="192"/>
      <c r="AX1252" s="192"/>
    </row>
    <row r="1253" spans="2:50" ht="15" customHeight="1" thickTop="1" thickBot="1" x14ac:dyDescent="0.35">
      <c r="B1253" s="192"/>
      <c r="C1253" s="192"/>
      <c r="D1253" s="192"/>
      <c r="E1253" s="164"/>
      <c r="F1253" s="164"/>
      <c r="G1253" s="192"/>
      <c r="H1253" s="192"/>
      <c r="I1253" s="249" t="s">
        <v>119</v>
      </c>
      <c r="J1253" s="249"/>
      <c r="K1253" s="249"/>
      <c r="L1253" s="250" t="s">
        <v>115</v>
      </c>
      <c r="M1253" s="250" t="s">
        <v>116</v>
      </c>
      <c r="N1253" s="250" t="s">
        <v>117</v>
      </c>
      <c r="O1253" s="250" t="s">
        <v>118</v>
      </c>
      <c r="P1253" s="250" t="s">
        <v>119</v>
      </c>
      <c r="Q1253" s="250" t="s">
        <v>120</v>
      </c>
      <c r="R1253" s="250"/>
      <c r="S1253" s="251"/>
      <c r="T1253" s="247"/>
      <c r="U1253" s="235"/>
      <c r="V1253" s="235"/>
      <c r="W1253" s="235"/>
      <c r="X1253" s="235"/>
      <c r="Y1253" s="235"/>
      <c r="Z1253" s="235"/>
      <c r="AA1253" s="240">
        <v>4</v>
      </c>
      <c r="AB1253" s="241" t="str">
        <f>IF(AND(COUNTBLANK(I1231:I1234)=0,Group_players=4,M1231=M1233,M1233=M1234),IF(V1241="","",IF(COUNTIF(V1238:V1241,V1241)=3,"Tied",IF(AND(COUNTIF(V1238:V1241,V1241)=1,V1240&lt;&gt;V1238),IF(M1234=2,IF(SMALL(V1238:V1241,1)=V1241,1,IF(SMALL(V1238:V1241,2)=V1241,2,IF(SMALL(V1238:V1241,3)=V1241,3))),IF(M1234=1,IF(SMALL(V1238:V1241,1)=V1241,2,IF(SMALL(V1238:V1241,2)=V1241,3,IF(SMALL(V1238:V1241,3)=V1241,4))),"")),IF(COUNTIF(V1238:V1241,V1241)=1,IF(V1241&lt;V1238,IF(M1234=2,1,2),IF(M1234=2,3,4)),IF(COUNTIF(V1238:V1241,V1241)=2,IF(V1241=V1238,IF(V1241&lt;V1240,IF(M1234=2,IF(Q1249=3,1,2),IF(M1234=1,IF(Q1249=3,2,3))),IF(V1241&gt;V1240,IF(M1234=2,IF(Q1249=3,2,3),IF(M1234=1,IF(Q1249=3,3,4))))),IF(V1241=V1240,IF(V1241&lt;V1238,IF(M1234=2,IF(Q1258=3,1,2),IF(M1234=1,IF(Q1258=3,2,3))),IF(V1241&gt;V1238,IF(M1234=2,IF(Q1258=3,2,3),IF(M1234=1,IF(Q1258=3,3,4)))))))))))),"")</f>
        <v/>
      </c>
      <c r="AC1253" s="192"/>
      <c r="AD1253" s="192"/>
      <c r="AE1253" s="192"/>
      <c r="AF1253" s="192"/>
      <c r="AG1253" s="192"/>
      <c r="AH1253" s="192"/>
      <c r="AI1253" s="192"/>
      <c r="AJ1253" s="192"/>
      <c r="AK1253" s="192"/>
      <c r="AL1253" s="192"/>
      <c r="AM1253" s="192"/>
      <c r="AN1253" s="192"/>
      <c r="AO1253" s="192"/>
      <c r="AP1253" s="192"/>
      <c r="AQ1253" s="192"/>
      <c r="AR1253" s="192"/>
      <c r="AS1253" s="192"/>
      <c r="AT1253" s="192"/>
      <c r="AU1253" s="192"/>
      <c r="AV1253" s="192"/>
      <c r="AW1253" s="192"/>
      <c r="AX1253" s="192"/>
    </row>
    <row r="1254" spans="2:50" ht="15" customHeight="1" thickTop="1" x14ac:dyDescent="0.3">
      <c r="B1254" s="192"/>
      <c r="C1254" s="192"/>
      <c r="D1254" s="192"/>
      <c r="E1254" s="164" t="str">
        <f>IF(Q1254="","",IF(Q1254=3,1,0))</f>
        <v/>
      </c>
      <c r="F1254" s="164" t="str">
        <f>IF(Q1254="","",IF(Q1254&lt;3,1,0))</f>
        <v/>
      </c>
      <c r="G1254" s="192"/>
      <c r="H1254" s="192" t="str">
        <f>IF(I1234&lt;&gt;"",1,"")</f>
        <v/>
      </c>
      <c r="I1254" s="192" t="str">
        <f>IF(ISNUMBER(H1254),VLOOKUP(H1254,H1231:I1234,2,TRUE),"")</f>
        <v/>
      </c>
      <c r="J1254" s="192"/>
      <c r="K1254" s="192" t="str">
        <f>VLOOKUP(I1254,I1231:L1234,3,FALSE)</f>
        <v/>
      </c>
      <c r="L1254" s="253"/>
      <c r="M1254" s="254"/>
      <c r="N1254" s="254"/>
      <c r="O1254" s="152"/>
      <c r="P1254" s="153"/>
      <c r="Q1254" s="255" t="str">
        <f>IF(L1254="","",IF(AND(L1254-L1255&gt;1,L1254&gt;10),1,0)+IF(AND(M1254-M1255&gt;1,M1254&gt;10),1,0)+IF(AND(N1254-N1255&gt;1,N1254&gt;10),1,0)+IF(AND(O1254-O1255&gt;1,O1254&gt;10),1,0)+IF(AND(P1254-P1255&gt;1,P1254&gt;10),1,0))</f>
        <v/>
      </c>
      <c r="R1254" s="203" t="str">
        <f>IF(AND(I1254="",I1255=""),"",ABS(VLOOKUP(I1254,I1231:L1234,4,FALSE)-VLOOKUP(I1255,I1231:L1234,4,FALSE)))</f>
        <v/>
      </c>
      <c r="S1254" s="256" t="str">
        <f>IF(R1255="","",IF(Q1254=3,+R1255,-R1255))</f>
        <v/>
      </c>
      <c r="T1254" s="247"/>
      <c r="U1254" s="235"/>
      <c r="V1254" s="235"/>
      <c r="W1254" s="235"/>
      <c r="X1254" s="235"/>
      <c r="Y1254" s="235"/>
      <c r="Z1254" s="235"/>
      <c r="AA1254" s="243">
        <v>1</v>
      </c>
      <c r="AB1254" s="222" t="str">
        <f>IF(AND(COUNTBLANK(I1231:I1234)=0,Group_players=4,M1231=M1232,M1232=M1234),IF(W1238="","",IF(COUNTIF(W1238:W1241,W1238)=3,"Tied",IF(AND(COUNTIF(W1238:W1241,W1238)=1,W1239&lt;&gt;W1240),IF(M1231=2,IF(SMALL(W1238:W1241,1)=W1238,1,IF(SMALL(W1238:W1241,2)=W1238,2,IF(SMALL(W1238:W1241,3)=W1238,3))),IF(M1231=1,IF(SMALL(W1238:W1241,1)=W1238,2,IF(SMALL(W1238:W1241,2)=W1238,3,IF(SMALL(W1238:W1241,3)=W1238,4))),"")),IF(COUNTIF(W1238:W1241,W1238)=1,IF(W1238&lt;W1239,IF(M1231=2,1,2),IF(M1231=2,3,4)),IF(COUNTIF(W1238:W1241,W1238)=2,IF(W1238=W1239,IF(W1238&lt;W1241,IF(M1231=2,IF(Q1254=3,1,2),IF(M1231=1,IF(Q1254=3,2,3))),IF(W1238&gt;W1241,IF(M1231=2,IF(Q1254=3,2,3),IF(M1231=1,IF(Q1254=3,3,4))))),IF(W1238=W1241,IF(W1238&lt;W1239,IF(M1231=2,IF(Q1248=3,1,2),IF(M1231=1,IF(Q1248=3,2,3))),IF(W1238&gt;W1239,IF(M1231=2,IF(Q1248=3,2,3),IF(M1231=1,IF(Q1248=3,3,4)))))))))))),"")</f>
        <v/>
      </c>
      <c r="AC1254" s="192"/>
      <c r="AD1254" s="192"/>
      <c r="AE1254" s="192"/>
      <c r="AF1254" s="192"/>
      <c r="AG1254" s="192"/>
      <c r="AH1254" s="192"/>
      <c r="AI1254" s="192"/>
      <c r="AJ1254" s="192"/>
      <c r="AK1254" s="192"/>
      <c r="AL1254" s="192"/>
      <c r="AM1254" s="192"/>
      <c r="AN1254" s="192"/>
      <c r="AO1254" s="192"/>
      <c r="AP1254" s="192"/>
      <c r="AQ1254" s="192"/>
      <c r="AR1254" s="192"/>
      <c r="AS1254" s="192"/>
      <c r="AT1254" s="192"/>
      <c r="AU1254" s="192"/>
      <c r="AV1254" s="192"/>
      <c r="AW1254" s="192"/>
      <c r="AX1254" s="192"/>
    </row>
    <row r="1255" spans="2:50" ht="15" customHeight="1" thickBot="1" x14ac:dyDescent="0.35">
      <c r="B1255" s="192"/>
      <c r="C1255" s="192"/>
      <c r="D1255" s="192"/>
      <c r="E1255" s="164" t="str">
        <f>IF(Q1255="","",IF(Q1255=3,1,0))</f>
        <v/>
      </c>
      <c r="F1255" s="164" t="str">
        <f>IF(Q1255="","",IF(Q1255&lt;3,1,0))</f>
        <v/>
      </c>
      <c r="G1255" s="192"/>
      <c r="H1255" s="192" t="str">
        <f>IF(I1234&lt;&gt;"",2,"")</f>
        <v/>
      </c>
      <c r="I1255" s="192" t="str">
        <f>IF(ISNUMBER(H1255),VLOOKUP(H1255,H1231:I1234,2,TRUE),"")</f>
        <v/>
      </c>
      <c r="J1255" s="192"/>
      <c r="K1255" s="192" t="str">
        <f>VLOOKUP(I1255,I1231:L1234,3,FALSE)</f>
        <v/>
      </c>
      <c r="L1255" s="155"/>
      <c r="M1255" s="259"/>
      <c r="N1255" s="259"/>
      <c r="O1255" s="156"/>
      <c r="P1255" s="157"/>
      <c r="Q1255" s="260" t="str">
        <f>IF(L1255="","",IF(AND(L1255-L1254&gt;1,L1255&gt;10),1,0)+IF(AND(M1255-M1254&gt;1,M1255&gt;10),1,0)+IF(AND(N1255-N1254&gt;1,N1255&gt;10),1,0)+IF(AND(O1255-O1254&gt;1,O1255&gt;10),1,0)+IF(AND(P1255-P1254&gt;1,P1255&gt;10),1,0))</f>
        <v/>
      </c>
      <c r="R1255" s="203" t="str">
        <f>IF(AND(Q1254&lt;&gt;3,Q1255&lt;&gt;3),"",IF(Q1254=3,IF(VLOOKUP(I1254,I1231:L1234,4,FALSE)&gt;VLOOKUP(I1255,I1231:L1234,4,FALSE),VLOOKUP(R1254,Point_dif,2,FALSE),VLOOKUP(R1254,Point_dif,3,FALSE)),IF(Q1255=3,IF(VLOOKUP(I1255,I1231:L1234,4,FALSE)&gt;VLOOKUP(I1255,I1231:L1234,4,FALSE),VLOOKUP(R1254,Point_dif,2,FALSE),VLOOKUP(R1254,Point_dif,3,FALSE)))))</f>
        <v/>
      </c>
      <c r="S1255" s="256" t="str">
        <f>IF(R1255="","",IF(Q1255=3,+R1255,-R1255))</f>
        <v/>
      </c>
      <c r="T1255" s="247"/>
      <c r="U1255" s="235"/>
      <c r="V1255" s="235"/>
      <c r="W1255" s="235"/>
      <c r="X1255" s="235"/>
      <c r="Y1255" s="235"/>
      <c r="Z1255" s="235"/>
      <c r="AA1255" s="246">
        <v>2</v>
      </c>
      <c r="AB1255" s="222" t="str">
        <f>IF(AND(COUNTBLANK(I1231:I1234)=0,Group_players=4,M1231=M1232,M1232=M1234),IF(W1239="","",IF(COUNTIF(W1238:W1241,W1239)=3,"Tied",IF(AND(COUNTIF(W1238:W1241,W1239)=1,W1238&lt;&gt;W1240),IF(M1232=2,IF(SMALL(W1238:W1241,1)=W1239,1,IF(SMALL(W1238:W1241,2)=W1239,2,IF(SMALL(W1238:W1241,3)=W1239,3))),IF(M1232=1,IF(SMALL(W1238:W1241,1)=W1239,2,IF(SMALL(W1238:W1241,2)=W1239,3,IF(SMALL(W1238:W1241,3)=W1239,4))),"")),IF(COUNTIF(W1238:W1241,W1239)=1,IF(W1239&lt;W1238,IF(M1232=2,1,2),IF(M1232=2,3,4)),IF(COUNTIF(W1238:W1241,W1239)=2,IF(W1239=W1238,IF(W1239&lt;W1241,IF(M1232=2,IF(Q1255=3,1,2),IF(M1232=1,IF(Q1255=3,2,3))),IF(W1239&gt;W1241,IF(M1232=2,IF(Q1255=3,2,3),IF(M1232=1,IF(Q1255=3,3,4))))),IF(W1239=W1241,IF(W1239&lt;W1238,IF(M1232=2,IF(Q1245=3,1,2),IF(M1232=1,IF(Q1245=3,2,3))),IF(W1239&gt;W1238,IF(M1232=2,IF(Q1245=3,2,3),IF(M1232=1,IF(Q1245=3,3,4)))))))))))),"")</f>
        <v/>
      </c>
      <c r="AC1255" s="192"/>
      <c r="AD1255" s="192"/>
      <c r="AE1255" s="192"/>
      <c r="AF1255" s="192"/>
      <c r="AG1255" s="192"/>
      <c r="AH1255" s="192"/>
      <c r="AI1255" s="192"/>
      <c r="AJ1255" s="192"/>
      <c r="AK1255" s="192"/>
      <c r="AL1255" s="192"/>
      <c r="AM1255" s="192"/>
      <c r="AN1255" s="192"/>
      <c r="AO1255" s="192"/>
      <c r="AP1255" s="192"/>
      <c r="AQ1255" s="192"/>
      <c r="AR1255" s="192"/>
      <c r="AS1255" s="192"/>
      <c r="AT1255" s="192"/>
      <c r="AU1255" s="192"/>
      <c r="AV1255" s="192"/>
      <c r="AW1255" s="192"/>
      <c r="AX1255" s="192"/>
    </row>
    <row r="1256" spans="2:50" ht="15" customHeight="1" thickTop="1" thickBot="1" x14ac:dyDescent="0.35">
      <c r="B1256" s="192"/>
      <c r="C1256" s="192"/>
      <c r="D1256" s="192"/>
      <c r="E1256" s="164"/>
      <c r="F1256" s="164"/>
      <c r="G1256" s="192"/>
      <c r="H1256" s="192"/>
      <c r="I1256" s="249" t="s">
        <v>121</v>
      </c>
      <c r="J1256" s="249"/>
      <c r="K1256" s="249"/>
      <c r="L1256" s="250" t="s">
        <v>115</v>
      </c>
      <c r="M1256" s="250" t="s">
        <v>116</v>
      </c>
      <c r="N1256" s="250" t="s">
        <v>117</v>
      </c>
      <c r="O1256" s="250" t="s">
        <v>118</v>
      </c>
      <c r="P1256" s="250" t="s">
        <v>119</v>
      </c>
      <c r="Q1256" s="250" t="s">
        <v>120</v>
      </c>
      <c r="R1256" s="250"/>
      <c r="S1256" s="251"/>
      <c r="T1256" s="247"/>
      <c r="U1256" s="235"/>
      <c r="V1256" s="235"/>
      <c r="W1256" s="235"/>
      <c r="X1256" s="235"/>
      <c r="Y1256" s="235"/>
      <c r="Z1256" s="235"/>
      <c r="AA1256" s="240">
        <v>4</v>
      </c>
      <c r="AB1256" s="241" t="str">
        <f>IF(AND(COUNTBLANK(I1231:I1234)=0,Group_players=4,M1231=M1232,M1232=M1234),IF(W1241="","",IF(COUNTIF(W1238:W1241,W1241)=3,"Tied",IF(AND(COUNTIF(W1238:W1241,W1241)=1,W1238&lt;&gt;W1239),IF(M1234=2,IF(SMALL(W1238:W1241,1)=W1241,1,IF(SMALL(W1238:W1241,2)=W1241,2,IF(SMALL(W1238:W1241,3)=W1241,3))),IF(M1234=1,IF(SMALL(W1238:W1241,1)=W1241,2,IF(SMALL(W1238:W1241,2)=W1241,3,IF(SMALL(W1238:W1241,3)=W1241,4))),"")),IF(COUNTIF(W1238:W1241,W1241)=1,IF(W1241&lt;W1238,IF(M1234=2,1,2),IF(M1234=2,3,4)),IF(COUNTIF(W1238:W1241,W1241)=2,IF(W1241=W1238,IF(W1241&lt;W1239,IF(M1234=2,IF(Q1249=3,1,2),IF(M1234=1,IF(Q1249=3,2,3))),IF(W1241&gt;W1240,IF(M1234=2,IF(Q1249=3,2,3),IF(M1234=1,IF(Q1249=3,3,4))))),IF(W1241=W1239,IF(W1241&lt;W1238,IF(M1234=2,IF(Q1246=3,1,2),IF(M1234=1,IF(Q1246=3,2,3))),IF(W1241&gt;W1238,IF(M1234=2,IF(Q1246=3,2,3),IF(M1234=1,IF(Q1246=3,3,4)))))))))))),"")</f>
        <v/>
      </c>
      <c r="AC1256" s="192"/>
      <c r="AD1256" s="192"/>
      <c r="AE1256" s="192"/>
      <c r="AF1256" s="192"/>
      <c r="AG1256" s="192"/>
      <c r="AH1256" s="192"/>
      <c r="AI1256" s="192"/>
      <c r="AJ1256" s="192"/>
      <c r="AK1256" s="192"/>
      <c r="AL1256" s="192"/>
      <c r="AM1256" s="192"/>
      <c r="AN1256" s="192"/>
      <c r="AO1256" s="192"/>
      <c r="AP1256" s="192"/>
      <c r="AQ1256" s="192"/>
      <c r="AR1256" s="192"/>
      <c r="AS1256" s="192"/>
      <c r="AT1256" s="192"/>
      <c r="AU1256" s="192"/>
      <c r="AV1256" s="192"/>
      <c r="AW1256" s="192"/>
      <c r="AX1256" s="192"/>
    </row>
    <row r="1257" spans="2:50" ht="15" customHeight="1" thickTop="1" x14ac:dyDescent="0.3">
      <c r="B1257" s="192"/>
      <c r="C1257" s="192"/>
      <c r="D1257" s="192"/>
      <c r="E1257" s="164" t="str">
        <f>IF(Q1257="","",IF(Q1257=3,1,0))</f>
        <v/>
      </c>
      <c r="F1257" s="164" t="str">
        <f>IF(Q1257="","",IF(Q1257&lt;3,1,0))</f>
        <v/>
      </c>
      <c r="G1257" s="192"/>
      <c r="H1257" s="192" t="str">
        <f>IF(I1234&lt;&gt;"",3,"")</f>
        <v/>
      </c>
      <c r="I1257" s="192" t="str">
        <f>IF(ISNUMBER(H1257),VLOOKUP(H1257,H1231:I1234,2,TRUE),"")</f>
        <v/>
      </c>
      <c r="J1257" s="192"/>
      <c r="K1257" s="192" t="str">
        <f>VLOOKUP(I1257,I1231:L1234,3,FALSE)</f>
        <v/>
      </c>
      <c r="L1257" s="253"/>
      <c r="M1257" s="254"/>
      <c r="N1257" s="254"/>
      <c r="O1257" s="152"/>
      <c r="P1257" s="153"/>
      <c r="Q1257" s="255" t="str">
        <f>IF(L1257="","",IF(AND(L1257-L1258&gt;1,L1257&gt;10),1,0)+IF(AND(M1257-M1258&gt;1,M1257&gt;10),1,0)+IF(AND(N1257-N1258&gt;1,N1257&gt;10),1,0)+IF(AND(O1257-O1258&gt;1,O1257&gt;10),1,0)+IF(AND(P1257-P1258&gt;1,P1257&gt;10),1,0))</f>
        <v/>
      </c>
      <c r="R1257" s="203" t="str">
        <f>IF(AND(I1257="",I1258=""),"",ABS(VLOOKUP(I1257,I1231:L1234,4,FALSE)-VLOOKUP(I1258,I1231:L1234,4,FALSE)))</f>
        <v/>
      </c>
      <c r="S1257" s="256" t="str">
        <f>IF(R1258="","",IF(Q1257=3,+R1258,-R1258))</f>
        <v/>
      </c>
      <c r="T1257" s="247"/>
      <c r="U1257" s="264"/>
      <c r="V1257" s="242"/>
      <c r="W1257" s="192"/>
      <c r="X1257" s="264"/>
      <c r="Y1257" s="192"/>
      <c r="Z1257" s="192"/>
      <c r="AA1257" s="243">
        <v>2</v>
      </c>
      <c r="AB1257" s="222" t="str">
        <f>IF(AND(COUNTBLANK(I1231:I1234)=0,Group_players=4,M1232=M1233,M1233=M1234),IF(X1239="","",IF(COUNTIF(X1238:X1241,X1239)=3,"Tied",IF(AND(COUNTIF(X1238:X1241,X1239)=1,X1240&lt;&gt;X1241),IF(M1232=2,IF(SMALL(X1238:X1241,1)=X1239,1,IF(SMALL(X1238:X1241,2)=X1239,2,IF(SMALL(X1238:X1241,3)=X1239,3))),IF(M1232=1,IF(SMALL(X1238:X1241,1)=X1239,2,IF(SMALL(X1238:X1241,2)=X1239,3,IF(SMALL(X1238:X1241,3)=X1239,4))),"")),IF(COUNTIF(X1238:X1241,X1239)=1,IF(X1239&lt;X1241,IF(M1232=2,1,2),IF(M1232=1,4)),IF(COUNTIF(X1238:X1241,X1239)=2,IF(X1239=X1240,IF(X1239&lt;X1241,IF(M1232=2,IF(Q1251=3,1,2),IF(M1232=1,IF(Q1251=3,2,3))),IF(X1239&gt;X1241,IF(M1232=2,IF(Q1251=3,2,3),IF(M1232=1,IF(Q1251=3,3,4))))),IF(X1239=X1241,IF(X1239&lt;X1240,IF(M1232=2,IF(Q1245=3,1,2),IF(M1232=1,IF(Q1245=3,2,3))),IF(X1239&gt;X1240,IF(M1232=2,IF(Q1245=3,2,3),IF(M1232=1,IF(Q1245=3,3,4)))))))))))),"")</f>
        <v/>
      </c>
      <c r="AC1257" s="192"/>
      <c r="AD1257" s="192"/>
      <c r="AE1257" s="192"/>
      <c r="AF1257" s="192"/>
      <c r="AG1257" s="192"/>
      <c r="AH1257" s="192"/>
      <c r="AI1257" s="192"/>
      <c r="AJ1257" s="192"/>
      <c r="AK1257" s="192"/>
      <c r="AL1257" s="192"/>
      <c r="AM1257" s="192"/>
      <c r="AN1257" s="192"/>
      <c r="AO1257" s="192"/>
      <c r="AP1257" s="192"/>
      <c r="AQ1257" s="192"/>
      <c r="AR1257" s="192"/>
      <c r="AS1257" s="192"/>
      <c r="AT1257" s="192"/>
      <c r="AU1257" s="192"/>
      <c r="AV1257" s="192"/>
      <c r="AW1257" s="192"/>
      <c r="AX1257" s="192"/>
    </row>
    <row r="1258" spans="2:50" ht="15" customHeight="1" thickBot="1" x14ac:dyDescent="0.35">
      <c r="B1258" s="192"/>
      <c r="C1258" s="192"/>
      <c r="D1258" s="192"/>
      <c r="E1258" s="164" t="str">
        <f>IF(Q1258="","",IF(Q1258=3,1,0))</f>
        <v/>
      </c>
      <c r="F1258" s="164" t="str">
        <f>IF(Q1258="","",IF(Q1258&lt;3,1,0))</f>
        <v/>
      </c>
      <c r="G1258" s="192"/>
      <c r="H1258" s="192" t="str">
        <f>IF(I1234&lt;&gt;"",4,"")</f>
        <v/>
      </c>
      <c r="I1258" s="192" t="str">
        <f>IF(ISNUMBER(H1258),VLOOKUP(H1258,H1231:I1234,2,TRUE),"")</f>
        <v/>
      </c>
      <c r="J1258" s="192"/>
      <c r="K1258" s="192" t="str">
        <f>VLOOKUP(I1258,I1231:L1234,3,FALSE)</f>
        <v/>
      </c>
      <c r="L1258" s="155"/>
      <c r="M1258" s="259"/>
      <c r="N1258" s="259"/>
      <c r="O1258" s="156"/>
      <c r="P1258" s="157"/>
      <c r="Q1258" s="260" t="str">
        <f>IF(L1258="","",IF(AND(L1258-L1257&gt;1,L1258&gt;10),1,0)+IF(AND(M1258-M1257&gt;1,M1258&gt;10),1,0)+IF(AND(N1258-N1257&gt;1,N1258&gt;10),1,0)+IF(AND(O1258-O1257&gt;1,O1258&gt;10),1,0)+IF(AND(P1258-P1257&gt;1,P1258&gt;10),1,0))</f>
        <v/>
      </c>
      <c r="R1258" s="203" t="str">
        <f>IF(AND(Q1257&lt;&gt;3,Q1258&lt;&gt;3),"",IF(Q1257=3,IF(VLOOKUP(I1257,I1231:L1234,4,FALSE)&gt;VLOOKUP(I1258,I1231:L1234,4,FALSE),VLOOKUP(R1257,Point_dif,2,FALSE),VLOOKUP(R1257,Point_dif,3,FALSE)),IF(Q1258=3,IF(VLOOKUP(I1258,I1231:L1234,4,FALSE)&gt;VLOOKUP(I1257,I1231:L1234,4,FALSE),VLOOKUP(R1257,Point_dif,2,FALSE),VLOOKUP(R1257,Point_dif,3,FALSE)))))</f>
        <v/>
      </c>
      <c r="S1258" s="260" t="str">
        <f>IF(R1258="","",IF(Q1258=3,+R1258,-R1258))</f>
        <v/>
      </c>
      <c r="T1258" s="247"/>
      <c r="U1258" s="235"/>
      <c r="V1258" s="235"/>
      <c r="W1258" s="235"/>
      <c r="X1258" s="235"/>
      <c r="Y1258" s="235"/>
      <c r="Z1258" s="235"/>
      <c r="AA1258" s="246">
        <v>3</v>
      </c>
      <c r="AB1258" s="222" t="str">
        <f>IF(AND(COUNTBLANK(I1231:I1234)=0,Group_players=4,Group_players=4,M1232=M1233,M1233=M1234),IF(X1240="","",IF(COUNTIF(X1238:X1241,X1240)=3,"Tied",IF(AND(COUNTIF(X1238:X1241,X1240)=1,X1239&lt;&gt;X1241),IF(M1233=2,IF(SMALL(X1238:X1241,1)=X1240,1,IF(SMALL(X1238:X1241,2)=X1240,2,IF(SMALL(X1238:X1241,3)=X1240,3))),IF(M1233=1,IF(SMALL(X1238:X1241,1)=X1240,2,IF(SMALL(X1238:X1241,2)=X1240,3,IF(SMALL(X1238:X1241,3)=X1240,4))),"")),IF(COUNTIF(X1238:X1241,X1240)=1,IF(X1240&lt;X1239,IF(M1233=2,1,2),IF(M1233=2,3,4)),IF(COUNTIF(X1238:X1241,X1240)=2,IF(X1240=X1239,IF(X1240&lt;X1241,IF(M1233=2,IF(Q1252=3,1,2),IF(M1233=1,IF(Q1252=3,2,3))),IF(X1240&gt;X1241,IF(M1233=2,IF(Q1252=3,2,3),IF(M1233=1,IF(Q1252=3,3,4))))),IF(X1240=X1241,IF(X1240&lt;X1239,IF(M1233=2,IF(Q1257=3,1,2),IF(M1233=1,IF(Q1257=3,2,3))),IF(X1240&gt;X1239,IF(M1233=2,IF(Q1257=3,2,3),IF(M1233=1,IF(Q1257=3,3,4)))))))))))),"")</f>
        <v/>
      </c>
      <c r="AC1258" s="192"/>
      <c r="AD1258" s="192"/>
      <c r="AE1258" s="192"/>
      <c r="AF1258" s="192"/>
      <c r="AG1258" s="192"/>
      <c r="AH1258" s="192"/>
      <c r="AI1258" s="192"/>
      <c r="AJ1258" s="192"/>
      <c r="AK1258" s="192"/>
      <c r="AL1258" s="192"/>
      <c r="AM1258" s="192"/>
      <c r="AN1258" s="192"/>
      <c r="AO1258" s="192"/>
      <c r="AP1258" s="192"/>
      <c r="AQ1258" s="192"/>
      <c r="AR1258" s="192"/>
      <c r="AS1258" s="192"/>
      <c r="AT1258" s="192"/>
      <c r="AU1258" s="192"/>
      <c r="AV1258" s="192"/>
      <c r="AW1258" s="192"/>
      <c r="AX1258" s="192"/>
    </row>
    <row r="1259" spans="2:50" ht="15" customHeight="1" thickTop="1" thickBot="1" x14ac:dyDescent="0.35">
      <c r="B1259" s="192"/>
      <c r="C1259" s="192"/>
      <c r="D1259" s="192"/>
      <c r="E1259" s="192"/>
      <c r="F1259" s="192"/>
      <c r="G1259" s="192"/>
      <c r="H1259" s="192"/>
      <c r="I1259" s="192"/>
      <c r="J1259" s="192"/>
      <c r="K1259" s="192"/>
      <c r="L1259" s="192"/>
      <c r="M1259" s="192"/>
      <c r="N1259" s="192"/>
      <c r="O1259" s="192"/>
      <c r="P1259" s="192"/>
      <c r="Q1259" s="192"/>
      <c r="R1259" s="192"/>
      <c r="S1259" s="192"/>
      <c r="T1259" s="247"/>
      <c r="U1259" s="235"/>
      <c r="V1259" s="235"/>
      <c r="W1259" s="235"/>
      <c r="X1259" s="235"/>
      <c r="Y1259" s="235"/>
      <c r="Z1259" s="235"/>
      <c r="AA1259" s="261">
        <v>4</v>
      </c>
      <c r="AB1259" s="233" t="str">
        <f>IF(AND(COUNTBLANK(I1231:I1234)=0,Group_players=4,M1232=M1233,M1233=M1234),IF(X1241="","",IF(COUNTIF(X1238:X1241,X1241)=3,"Tied",IF(AND(COUNTIF(X1238:X1241,X1241)=1,X1240&lt;&gt;X1239),IF(M1234=2,IF(SMALL(X1238:X1241,1)=X1241,1,IF(SMALL(X1238:X1241,2)=X1241,2,IF(SMALL(X1238:X1241,3)=X1241,3))),IF(M1234=1,IF(SMALL(X1238:X1241,1)=X1241,2,IF(SMALL(X1238:X1241,2)=X1241,3,IF(SMALL(X1238:X1241,3)=X1241,4))),"")),IF(COUNTIF(X1238:X1241,X1241)=1,IF(X1241&lt;X1239,IF(M1234=2,1,2),IF(M1234=2,3,4)),IF(COUNTIF(X1238:X1241,X1241)=2,IF(X1241=X1239,IF(X1241&lt;X1240,IF(M1234=2,IF(Q1246=3,1,2),IF(M1234=1,IF(Q1246=3,2,3))),IF(X1241&gt;X1240,IF(M1234=2,IF(Q1246=3,2,3),IF(M1234=1,IF(Q1246=3,3,4))))),IF(X1241=X1240,IF(X1241&lt;X1239,IF(M1234=2,IF(Q1258=3,1,2),IF(M1234=1,IF(Q1258=3,2,3))),IF(X1241&gt;X1239,IF(M1234=2,IF(Q1258=3,2,3),IF(M1234=1,IF(Q1258=3,3,4)))))))))))),"")</f>
        <v/>
      </c>
      <c r="AC1259" s="192"/>
      <c r="AD1259" s="192"/>
      <c r="AE1259" s="192"/>
      <c r="AF1259" s="192"/>
      <c r="AG1259" s="192"/>
      <c r="AH1259" s="192"/>
      <c r="AI1259" s="192"/>
      <c r="AJ1259" s="192"/>
      <c r="AK1259" s="192"/>
      <c r="AL1259" s="192"/>
      <c r="AM1259" s="192"/>
      <c r="AN1259" s="192"/>
      <c r="AO1259" s="192"/>
      <c r="AP1259" s="192"/>
      <c r="AQ1259" s="192"/>
      <c r="AR1259" s="192"/>
      <c r="AS1259" s="192"/>
      <c r="AT1259" s="192"/>
      <c r="AU1259" s="192"/>
      <c r="AV1259" s="192"/>
      <c r="AW1259" s="192"/>
      <c r="AX1259" s="192"/>
    </row>
    <row r="1260" spans="2:50" ht="15" customHeight="1" thickTop="1" x14ac:dyDescent="0.3">
      <c r="B1260" s="192"/>
      <c r="C1260" s="192"/>
      <c r="D1260" s="192"/>
      <c r="E1260" s="192"/>
      <c r="F1260" s="192"/>
      <c r="G1260" s="192"/>
      <c r="H1260" s="192"/>
      <c r="I1260" s="192"/>
      <c r="J1260" s="192"/>
      <c r="K1260" s="192"/>
      <c r="L1260" s="192"/>
      <c r="M1260" s="192"/>
      <c r="N1260" s="192"/>
      <c r="O1260" s="192"/>
      <c r="P1260" s="192"/>
      <c r="Q1260" s="192"/>
      <c r="R1260" s="192"/>
      <c r="S1260" s="192"/>
      <c r="T1260" s="203"/>
      <c r="U1260" s="192"/>
      <c r="V1260" s="192"/>
      <c r="W1260" s="192"/>
      <c r="X1260" s="192"/>
      <c r="Y1260" s="192"/>
      <c r="Z1260" s="192"/>
      <c r="AA1260" s="192"/>
      <c r="AB1260" s="192"/>
      <c r="AC1260" s="192"/>
      <c r="AD1260" s="192"/>
      <c r="AE1260" s="192"/>
      <c r="AF1260" s="192"/>
      <c r="AG1260" s="192"/>
      <c r="AH1260" s="192"/>
      <c r="AI1260" s="192"/>
      <c r="AJ1260" s="192"/>
      <c r="AK1260" s="192"/>
      <c r="AL1260" s="192"/>
      <c r="AM1260" s="192"/>
      <c r="AN1260" s="192"/>
      <c r="AO1260" s="192"/>
      <c r="AP1260" s="192"/>
      <c r="AQ1260" s="192"/>
      <c r="AR1260" s="192"/>
      <c r="AS1260" s="192"/>
      <c r="AT1260" s="192"/>
      <c r="AU1260" s="192"/>
      <c r="AV1260" s="192"/>
      <c r="AW1260" s="192"/>
      <c r="AX1260" s="192"/>
    </row>
    <row r="1261" spans="2:50" ht="15" customHeight="1" x14ac:dyDescent="0.3">
      <c r="B1261" s="192"/>
      <c r="C1261" s="192"/>
      <c r="D1261" s="192"/>
      <c r="E1261" s="192"/>
      <c r="F1261" s="192"/>
      <c r="G1261" s="192"/>
      <c r="H1261" s="192"/>
      <c r="I1261" s="192"/>
      <c r="J1261" s="192"/>
      <c r="K1261" s="192"/>
      <c r="L1261" s="192"/>
      <c r="M1261" s="192"/>
      <c r="N1261" s="192"/>
      <c r="O1261" s="192"/>
      <c r="P1261" s="192"/>
      <c r="Q1261" s="192"/>
      <c r="R1261" s="192"/>
      <c r="S1261" s="192"/>
      <c r="T1261" s="192"/>
      <c r="U1261" s="192"/>
      <c r="V1261" s="192"/>
      <c r="W1261" s="192"/>
      <c r="X1261" s="192"/>
      <c r="Y1261" s="192"/>
      <c r="Z1261" s="192"/>
      <c r="AA1261" s="192"/>
      <c r="AB1261" s="192"/>
      <c r="AC1261" s="192"/>
      <c r="AD1261" s="192"/>
      <c r="AE1261" s="192"/>
      <c r="AF1261" s="192"/>
      <c r="AG1261" s="192"/>
      <c r="AH1261" s="192"/>
      <c r="AI1261" s="192"/>
      <c r="AJ1261" s="192"/>
      <c r="AK1261" s="192"/>
      <c r="AL1261" s="192"/>
      <c r="AM1261" s="192"/>
      <c r="AN1261" s="192"/>
      <c r="AO1261" s="192"/>
      <c r="AP1261" s="192"/>
      <c r="AQ1261" s="192"/>
      <c r="AR1261" s="192"/>
      <c r="AS1261" s="192"/>
      <c r="AT1261" s="192"/>
      <c r="AU1261" s="192"/>
      <c r="AV1261" s="192"/>
      <c r="AW1261" s="192"/>
      <c r="AX1261" s="192"/>
    </row>
    <row r="1262" spans="2:50" ht="15" customHeight="1" x14ac:dyDescent="0.3">
      <c r="B1262" s="192"/>
      <c r="C1262" s="192"/>
      <c r="D1262" s="192"/>
      <c r="E1262" s="192"/>
      <c r="F1262" s="192"/>
      <c r="G1262" s="192"/>
      <c r="H1262" s="192"/>
      <c r="I1262" s="192"/>
      <c r="J1262" s="192"/>
      <c r="K1262" s="192"/>
      <c r="L1262" s="192"/>
      <c r="M1262" s="192"/>
      <c r="N1262" s="192"/>
      <c r="O1262" s="192"/>
      <c r="P1262" s="192"/>
      <c r="Q1262" s="192"/>
      <c r="R1262" s="192"/>
      <c r="S1262" s="192"/>
      <c r="T1262" s="192"/>
      <c r="U1262" s="192"/>
      <c r="V1262" s="192"/>
      <c r="W1262" s="192"/>
      <c r="X1262" s="192"/>
      <c r="Y1262" s="192"/>
      <c r="Z1262" s="269"/>
      <c r="AA1262" s="192"/>
      <c r="AB1262" s="192"/>
      <c r="AC1262" s="192"/>
      <c r="AD1262" s="192"/>
      <c r="AE1262" s="192"/>
      <c r="AF1262" s="192"/>
      <c r="AG1262" s="192"/>
      <c r="AH1262" s="192"/>
      <c r="AI1262" s="192"/>
      <c r="AJ1262" s="192"/>
      <c r="AK1262" s="192"/>
      <c r="AL1262" s="192"/>
      <c r="AM1262" s="192"/>
      <c r="AN1262" s="192"/>
      <c r="AO1262" s="192"/>
      <c r="AP1262" s="192"/>
      <c r="AQ1262" s="192"/>
      <c r="AR1262" s="192"/>
      <c r="AS1262" s="192"/>
      <c r="AT1262" s="192"/>
      <c r="AU1262" s="192"/>
      <c r="AV1262" s="192"/>
      <c r="AW1262" s="192"/>
      <c r="AX1262" s="192"/>
    </row>
    <row r="1263" spans="2:50" ht="15" customHeight="1" x14ac:dyDescent="0.3">
      <c r="B1263" s="192"/>
      <c r="C1263" s="192"/>
      <c r="D1263" s="192"/>
      <c r="E1263" s="192"/>
      <c r="F1263" s="192"/>
      <c r="G1263" s="192"/>
      <c r="H1263" s="192"/>
      <c r="I1263" s="192"/>
      <c r="J1263" s="192"/>
      <c r="K1263" s="192"/>
      <c r="L1263" s="192"/>
      <c r="M1263" s="192"/>
      <c r="N1263" s="192"/>
      <c r="O1263" s="192"/>
      <c r="P1263" s="192"/>
      <c r="Q1263" s="192"/>
      <c r="R1263" s="192"/>
      <c r="S1263" s="192"/>
      <c r="T1263" s="192"/>
      <c r="U1263" s="192"/>
      <c r="V1263" s="192"/>
      <c r="W1263" s="192"/>
      <c r="X1263" s="192"/>
      <c r="Y1263" s="192"/>
      <c r="Z1263" s="192"/>
      <c r="AA1263" s="192"/>
      <c r="AB1263" s="192"/>
      <c r="AC1263" s="192"/>
      <c r="AD1263" s="192"/>
      <c r="AE1263" s="192"/>
      <c r="AF1263" s="192"/>
      <c r="AG1263" s="192"/>
      <c r="AH1263" s="192"/>
      <c r="AI1263" s="192"/>
      <c r="AJ1263" s="192"/>
      <c r="AK1263" s="192"/>
      <c r="AL1263" s="192"/>
      <c r="AM1263" s="192"/>
      <c r="AN1263" s="192"/>
      <c r="AO1263" s="192"/>
      <c r="AP1263" s="192"/>
      <c r="AQ1263" s="192"/>
      <c r="AR1263" s="192"/>
      <c r="AS1263" s="192"/>
      <c r="AT1263" s="192"/>
      <c r="AU1263" s="192"/>
      <c r="AV1263" s="192"/>
      <c r="AW1263" s="192"/>
      <c r="AX1263" s="192"/>
    </row>
    <row r="1264" spans="2:50" ht="15" customHeight="1" x14ac:dyDescent="0.3">
      <c r="B1264" s="192"/>
      <c r="C1264" s="192"/>
      <c r="D1264" s="192"/>
      <c r="E1264" s="192"/>
      <c r="F1264" s="192"/>
      <c r="G1264" s="192"/>
      <c r="H1264" s="192"/>
      <c r="I1264" s="192"/>
      <c r="J1264" s="192"/>
      <c r="K1264" s="192"/>
      <c r="L1264" s="192"/>
      <c r="M1264" s="192"/>
      <c r="N1264" s="192"/>
      <c r="O1264" s="192"/>
      <c r="P1264" s="192"/>
      <c r="Q1264" s="192"/>
      <c r="R1264" s="192"/>
      <c r="S1264" s="192"/>
      <c r="T1264" s="192"/>
      <c r="U1264" s="192"/>
      <c r="V1264" s="192"/>
      <c r="W1264" s="192"/>
      <c r="X1264" s="192"/>
      <c r="Y1264" s="192"/>
      <c r="Z1264" s="192"/>
      <c r="AA1264" s="192"/>
      <c r="AB1264" s="192"/>
      <c r="AC1264" s="192"/>
      <c r="AD1264" s="192"/>
      <c r="AE1264" s="192"/>
      <c r="AF1264" s="192"/>
      <c r="AG1264" s="192"/>
      <c r="AH1264" s="192"/>
      <c r="AI1264" s="192"/>
      <c r="AJ1264" s="192"/>
      <c r="AK1264" s="192"/>
      <c r="AL1264" s="192"/>
      <c r="AM1264" s="192"/>
      <c r="AN1264" s="192"/>
      <c r="AO1264" s="192"/>
      <c r="AP1264" s="192"/>
      <c r="AQ1264" s="192"/>
      <c r="AR1264" s="192"/>
      <c r="AS1264" s="192"/>
      <c r="AT1264" s="192"/>
      <c r="AU1264" s="192"/>
      <c r="AV1264" s="192"/>
      <c r="AW1264" s="192"/>
      <c r="AX1264" s="192"/>
    </row>
    <row r="1265" spans="2:50" ht="15" customHeight="1" thickBot="1" x14ac:dyDescent="0.4">
      <c r="B1265" s="192"/>
      <c r="C1265" s="192"/>
      <c r="D1265" s="192"/>
      <c r="E1265" s="192"/>
      <c r="F1265" s="192"/>
      <c r="G1265" s="192"/>
      <c r="H1265" s="192"/>
      <c r="I1265" s="383" t="s">
        <v>157</v>
      </c>
      <c r="J1265" s="383"/>
      <c r="K1265" s="383"/>
      <c r="L1265" s="383"/>
      <c r="M1265" s="383"/>
      <c r="N1265" s="383"/>
      <c r="O1265" s="383"/>
      <c r="P1265" s="383"/>
      <c r="Q1265" s="383"/>
      <c r="R1265" s="383"/>
      <c r="S1265" s="192"/>
      <c r="T1265" s="192"/>
      <c r="U1265" s="370" t="s">
        <v>92</v>
      </c>
      <c r="V1265" s="371"/>
      <c r="W1265" s="371"/>
      <c r="X1265" s="372"/>
      <c r="Y1265" s="192"/>
      <c r="Z1265" s="192"/>
      <c r="AA1265" s="192"/>
      <c r="AB1265" s="192"/>
      <c r="AC1265" s="192"/>
      <c r="AD1265" s="192"/>
      <c r="AE1265" s="192"/>
      <c r="AF1265" s="192"/>
      <c r="AG1265" s="192"/>
      <c r="AH1265" s="192"/>
      <c r="AI1265" s="192"/>
      <c r="AJ1265" s="192"/>
      <c r="AK1265" s="192"/>
      <c r="AL1265" s="192"/>
      <c r="AM1265" s="192"/>
      <c r="AN1265" s="192"/>
      <c r="AO1265" s="192"/>
      <c r="AP1265" s="192"/>
      <c r="AQ1265" s="192"/>
      <c r="AR1265" s="192"/>
      <c r="AS1265" s="192"/>
      <c r="AT1265" s="192"/>
      <c r="AU1265" s="192"/>
      <c r="AV1265" s="192"/>
      <c r="AW1265" s="192"/>
      <c r="AX1265" s="192"/>
    </row>
    <row r="1266" spans="2:50" ht="15" customHeight="1" thickTop="1" thickBot="1" x14ac:dyDescent="0.35">
      <c r="B1266" s="192"/>
      <c r="C1266" s="192"/>
      <c r="D1266" s="192"/>
      <c r="E1266" s="192"/>
      <c r="F1266" s="192"/>
      <c r="G1266" s="192"/>
      <c r="H1266" s="192"/>
      <c r="I1266" s="400" t="s">
        <v>93</v>
      </c>
      <c r="J1266" s="160"/>
      <c r="K1266" s="396" t="s">
        <v>94</v>
      </c>
      <c r="L1266" s="398" t="s">
        <v>95</v>
      </c>
      <c r="M1266" s="390" t="s">
        <v>96</v>
      </c>
      <c r="N1266" s="390" t="s">
        <v>97</v>
      </c>
      <c r="O1266" s="373" t="s">
        <v>98</v>
      </c>
      <c r="P1266" s="373" t="str">
        <f>IF(COUNT(U1267:X1278)=3,"LM/WM Ratio",IF(COUNT(U1267:X1278)=6,"LP/WP Ratio",""))</f>
        <v/>
      </c>
      <c r="Q1266" s="390" t="s">
        <v>99</v>
      </c>
      <c r="R1266" s="392" t="s">
        <v>100</v>
      </c>
      <c r="S1266" s="192"/>
      <c r="T1266" s="120"/>
      <c r="U1266" s="121" t="s">
        <v>101</v>
      </c>
      <c r="V1266" s="122" t="s">
        <v>102</v>
      </c>
      <c r="W1266" s="122" t="s">
        <v>103</v>
      </c>
      <c r="X1266" s="123" t="s">
        <v>104</v>
      </c>
      <c r="Y1266" s="380" t="s">
        <v>105</v>
      </c>
      <c r="Z1266" s="379"/>
      <c r="AA1266" s="378" t="s">
        <v>106</v>
      </c>
      <c r="AB1266" s="379"/>
      <c r="AC1266" s="192"/>
      <c r="AD1266" s="192"/>
      <c r="AE1266" s="192"/>
      <c r="AF1266" s="192"/>
      <c r="AG1266" s="192"/>
      <c r="AH1266" s="192"/>
      <c r="AI1266" s="192"/>
      <c r="AJ1266" s="192"/>
      <c r="AK1266" s="192"/>
      <c r="AL1266" s="192"/>
      <c r="AM1266" s="192"/>
      <c r="AN1266" s="192"/>
      <c r="AO1266" s="192"/>
      <c r="AP1266" s="192"/>
      <c r="AQ1266" s="192"/>
      <c r="AR1266" s="192"/>
      <c r="AS1266" s="192"/>
      <c r="AT1266" s="192"/>
      <c r="AU1266" s="192"/>
      <c r="AV1266" s="192"/>
      <c r="AW1266" s="192"/>
      <c r="AX1266" s="192"/>
    </row>
    <row r="1267" spans="2:50" ht="15" customHeight="1" thickTop="1" thickBot="1" x14ac:dyDescent="0.35">
      <c r="B1267" s="192"/>
      <c r="C1267" s="192"/>
      <c r="D1267" s="192"/>
      <c r="E1267" s="192"/>
      <c r="F1267" s="192"/>
      <c r="G1267" s="192"/>
      <c r="H1267" s="192"/>
      <c r="I1267" s="401"/>
      <c r="J1267" s="161"/>
      <c r="K1267" s="397"/>
      <c r="L1267" s="399"/>
      <c r="M1267" s="391"/>
      <c r="N1267" s="391"/>
      <c r="O1267" s="374"/>
      <c r="P1267" s="374"/>
      <c r="Q1267" s="391"/>
      <c r="R1267" s="393"/>
      <c r="S1267" s="192"/>
      <c r="T1267" s="208">
        <v>1</v>
      </c>
      <c r="U1267" s="209" t="str">
        <f>IF(M1268="","",IF(COUNTIF(M1268:M1270,M1268)=3,IF(COUNTBLANK(I1268:I1271)=1,(Q1280+Q1286)/(Q1279+Q1285),IF(COUNTBLANK(I1268:I1271)=0,(Q1292+Q1280)/(Q1291+Q1279),"")),""))</f>
        <v/>
      </c>
      <c r="V1267" s="125" t="str">
        <f>IF(AND(COUNTBLANK(I1268:I1271)=0,M1268=M1270,M1270=M1271),(Q1280+Q1286)/(Q1279+Q1285),"")</f>
        <v/>
      </c>
      <c r="W1267" s="210" t="str">
        <f>IF(AND(COUNTBLANK(I1268:I1271)=0,M1268=M1269,M1269=M1271),(Q1292+Q1286)/(Q1291+Q1285),"")</f>
        <v/>
      </c>
      <c r="X1267" s="211"/>
      <c r="Y1267" s="169" t="s">
        <v>93</v>
      </c>
      <c r="Z1267" s="170" t="s">
        <v>107</v>
      </c>
      <c r="AA1267" s="169" t="s">
        <v>93</v>
      </c>
      <c r="AB1267" s="170" t="s">
        <v>107</v>
      </c>
      <c r="AC1267" s="192"/>
      <c r="AD1267" s="192"/>
      <c r="AE1267" s="192"/>
      <c r="AF1267" s="192"/>
      <c r="AG1267" s="192"/>
      <c r="AH1267" s="192"/>
      <c r="AI1267" s="192"/>
      <c r="AJ1267" s="192"/>
      <c r="AK1267" s="192"/>
      <c r="AL1267" s="192"/>
      <c r="AM1267" s="192"/>
      <c r="AN1267" s="192"/>
      <c r="AO1267" s="192"/>
      <c r="AP1267" s="192"/>
      <c r="AQ1267" s="192"/>
      <c r="AR1267" s="192"/>
      <c r="AS1267" s="192"/>
      <c r="AT1267" s="192"/>
      <c r="AU1267" s="192"/>
      <c r="AV1267" s="192"/>
      <c r="AW1267" s="192"/>
      <c r="AX1267" s="192"/>
    </row>
    <row r="1268" spans="2:50" ht="15" customHeight="1" thickTop="1" thickBot="1" x14ac:dyDescent="0.35">
      <c r="B1268" s="192"/>
      <c r="C1268" s="192"/>
      <c r="D1268" s="192"/>
      <c r="E1268" s="192"/>
      <c r="F1268" s="192" t="str">
        <f>IF(I1268="","",VLOOKUP(I1268,Siembra,2,FALSE))</f>
        <v/>
      </c>
      <c r="G1268" s="192" t="str">
        <f>O1268</f>
        <v/>
      </c>
      <c r="H1268" s="192">
        <v>1</v>
      </c>
      <c r="I1268" s="128" t="str">
        <f>IF(K1268="","",IF(ISNUMBER(Sorteo!$A$17),VLOOKUP(K1268,Draw,2,FALSE),""))</f>
        <v/>
      </c>
      <c r="J1268" s="129" t="str">
        <f>O1268</f>
        <v/>
      </c>
      <c r="K1268" s="130" t="str">
        <f>IF($K$9="","",IF(Group_players=4,IF(Tablas!CP$3="","",Tablas!CP$3),IF(Group_players=3,IF(Tablas!CP$11="","",Tablas!CP$11),"")))</f>
        <v/>
      </c>
      <c r="L1268" s="131" t="str">
        <f>IF(K1268="","",VLOOKUP(I1268,Siembra,3,FALSE))</f>
        <v/>
      </c>
      <c r="M1268" s="132" t="str">
        <f>IF(AND(Q1279="",Q1280=""),"",IF(I1268="","",SUMIFS(E1279:E1295,I1279:I1295,I1268)))</f>
        <v/>
      </c>
      <c r="N1268" s="132" t="str">
        <f>IF(M1268="","",IF(I1268="","",SUMIFS(F1279:F1295,I1279:I1295,I1268)))</f>
        <v/>
      </c>
      <c r="O1268" s="132" t="str">
        <f>IF(M1268="","",IF(COUNTBLANK(I1268:I1271)=1,IF(M1268=2,1,IF(M1268=0,3,IF(AND(M1268=1,M1269&lt;&gt;1),2,IF(COUNTIF(M1268:M1270,1)&gt;1,Z1268)))),IF(COUNTBLANK(I1268:I1271)=0,IF(COUNTIF(M1268:M1271,M1268)=1,IF(M1268=3,1,IF(M1268=2,2,IF(M1268=1,3,IF(M1268=0,4)))),IF(Group_players=3,Z1268,IF(COUNTIF(M1268:M1271,M1268)=2,AB1268,IF(AND(M1268=M1269,M1269=M1270),AB1272,IF(AND(M1268=M1270,M1270=M1271),AB1275,IF(AND(M1268=M1269,M1269=M1271),AB1278,"")))))),99)))</f>
        <v/>
      </c>
      <c r="P1268" s="133" t="str">
        <f>IF(COUNT(U1267:X1278)=3,IF(ISNUMBER(U1267),U1267,IF(ISNUMBER(V1267),V1267,IF(ISNUMBER(W1267),W1267,IF(X1267="","")))),IF(COUNT(U1267:X1278)=6,IF(ISNUMBER(U1275),U1275,IF(ISNUMBER(V1275),V1275,IF(ISNUMBER(W1275),W1275,IF(ISBLANK(X1267),"")))),""))</f>
        <v/>
      </c>
      <c r="Q1268" s="132" t="str">
        <f>IF(M1268="","",SUMIF(I1279:S1295,I1268,S1279:S1295))</f>
        <v/>
      </c>
      <c r="R1268" s="134" t="str">
        <f>IF(M1268="","",L1268+Q1268)</f>
        <v/>
      </c>
      <c r="S1268" s="203"/>
      <c r="T1268" s="208">
        <v>2</v>
      </c>
      <c r="U1268" s="209" t="str">
        <f>IF(M1269="","",IF(COUNTIF(M1268:M1270,M1269)=3,IF(COUNTBLANK(I1268:I1271)=1,(Q1283+Q1285)/(Q1282+Q1286),IF(COUNTBLANK(I1268:I1271)=0,(Q1289+Q1291)/(Q1288+Q1292),"")),""))</f>
        <v/>
      </c>
      <c r="V1268" s="135"/>
      <c r="W1268" s="212" t="str">
        <f>IF(AND(COUNTBLANK(I1268:I1271)=0,M1269=M1268,M1268=M1271),(Q1291+Q1283)/(Q1292+Q1282),"")</f>
        <v/>
      </c>
      <c r="X1268" s="213" t="str">
        <f>IF(AND(COUNTBLANK(I1268:I1271)=0,M1269=M1270,M1270=M1271),(Q1289+Q1283)/(Q1288+Q1282),"")</f>
        <v/>
      </c>
      <c r="Y1268" s="214">
        <v>1</v>
      </c>
      <c r="Z1268" s="215" t="str">
        <f>IF(U1267="","",IF(OR(Group_players=3,AND(Group_players=4,COUNTBLANK(I1268:I1271)=1)),IF(COUNTIF(M1268:M1270,M1268)=1,"",IF(AND(U1267=U1268,U1268=U1269),Z1272,IF(AND(U1267&lt;&gt;U1268,U1267&lt;&gt;U1269,U1268&lt;&gt;U1269),(IF(SMALL(U1267:U1269,1)=U1267,1,IF(SMALL(U1267:U1269,2)=U1267,2,IF(SMALL(U1267:U1269,3)=U1267,3)))),IF(AND(U1267&lt;U1268,U1268=U1269),1,IF(AND(U1267&gt;U1268,U1268=U1269),3,IF(AND(U1267=U1268,U1267&lt;U1269),(IF(Q1285=3,1,2)),IF(AND(U1267=U1268,U1267&gt;U1269),(IF(Q1285=3,2,3)),IF(AND(U1267=U1269,U1267&lt;U1268),(IF(Q1279=3,1,2)),IF(AND(U1267=U1269,U1267&gt;U1268),(IF(Q1279=3,2,3)),99))))))))),""))</f>
        <v/>
      </c>
      <c r="AA1268" s="216">
        <v>1</v>
      </c>
      <c r="AB1268" s="217" t="str">
        <f>IF(COUNTIF(M1268:M1271,M1268)&lt;&gt;2,"",IF(COUNTIF(M1268:M1271,M1268)=1,"",IF(AND(COUNTIF(M1268:M1271,M1268)=2,M1268=2),IF(M1268=M1269,IF(Q1291=3,1,2),IF(M1268=M1270,IF(Q1279=3,1,2),IF(M1268=M1271,IF(Q1285=3,1,2)))),IF(AND(COUNTIF(M1268:M1271,M1268)=2,M1268=1),IF(M1268=M1269,IF(Q1291=3,3,4),IF(M1268=M1270,IF(Q1279=3,3,4),IF(M1268=M1271,IF(Q1285=3,3,4)))),IF(COUNTIF(M1268:M1271,M1268)=3,AB1272)))))</f>
        <v/>
      </c>
      <c r="AC1268" s="192"/>
      <c r="AD1268" s="192"/>
      <c r="AE1268" s="192"/>
      <c r="AF1268" s="192"/>
      <c r="AG1268" s="192"/>
      <c r="AH1268" s="192"/>
      <c r="AI1268" s="192"/>
      <c r="AJ1268" s="192"/>
      <c r="AK1268" s="192"/>
      <c r="AL1268" s="192"/>
      <c r="AM1268" s="192"/>
      <c r="AN1268" s="192"/>
      <c r="AO1268" s="192"/>
      <c r="AP1268" s="192"/>
      <c r="AQ1268" s="192"/>
      <c r="AR1268" s="192"/>
      <c r="AS1268" s="192"/>
      <c r="AT1268" s="192"/>
      <c r="AU1268" s="192"/>
      <c r="AV1268" s="192"/>
      <c r="AW1268" s="192"/>
      <c r="AX1268" s="192"/>
    </row>
    <row r="1269" spans="2:50" ht="15" customHeight="1" thickTop="1" thickBot="1" x14ac:dyDescent="0.35">
      <c r="B1269" s="192"/>
      <c r="C1269" s="192"/>
      <c r="D1269" s="192"/>
      <c r="E1269" s="192"/>
      <c r="F1269" s="192" t="str">
        <f>IF(I1269="","",VLOOKUP(I1269,Siembra,2,FALSE))</f>
        <v/>
      </c>
      <c r="G1269" s="192" t="str">
        <f>O1269</f>
        <v/>
      </c>
      <c r="H1269" s="192">
        <v>2</v>
      </c>
      <c r="I1269" s="128" t="str">
        <f>IF(K1269="","",IF(ISNUMBER(Sorteo!$A$17),VLOOKUP(K1269,Draw,2,FALSE),""))</f>
        <v/>
      </c>
      <c r="J1269" s="129" t="str">
        <f>O1269</f>
        <v/>
      </c>
      <c r="K1269" s="136" t="str">
        <f>IF($K$9="","",IF(Group_players=4,IF(Tablas!CP$4="","",Tablas!CP$4),IF(Group_players=3,IF(Tablas!CP$12="","",Tablas!CP$12),"")))</f>
        <v/>
      </c>
      <c r="L1269" s="137" t="str">
        <f>IF(K1269="","",VLOOKUP(I1269,Siembra,3,FALSE))</f>
        <v/>
      </c>
      <c r="M1269" s="132" t="str">
        <f>IF(AND(L1279="",L1280=""),"",IF(I1269="","",SUMIFS(E1279:E1296,I1279:I1296,I1269)))</f>
        <v/>
      </c>
      <c r="N1269" s="138" t="str">
        <f>IF(M1269="","",IF(I1269="","",SUMIFS(F1279:F1295,I1279:I1295,I1269)))</f>
        <v/>
      </c>
      <c r="O1269" s="132" t="str">
        <f>IF(M1269="","",IF(COUNTBLANK(I1268:I1271)=1,IF(M1269=2,1,IF(M1269=0,3,IF(AND(M1269=1,M1270&lt;&gt;1),2,IF(COUNTIF(M1268:M1271,1)&gt;1,Z1269)))),IF(COUNTBLANK(I1268:I1271)=0,IF(COUNTIF(M1268:M1271,M1269)=1,IF(M1269=3,1,IF(M1269=2,2,IF(M1269=1,3,IF(M1269=0,4)))),IF(Group_players=3,Z1269,IF(COUNTIF(M1268:M1271,M1269)=2,AB1269,IF(AND(M1269=M1268,M1268=M1270),AB1273,IF(AND(M1269=M1268,M1268=M1271),AB1279,IF(AND(M1269=M1270,M1270=M1271),AB1281,"")))))))))</f>
        <v/>
      </c>
      <c r="P1269" s="133" t="str">
        <f>IF(COUNT(U1267:X1278)=3,IF(ISNUMBER(U1268),U1268,IF(ISNUMBER(W1268),W1268,IF(ISNUMBER(X1268),X1268,IF(X1268="","")))),IF(COUNT(U1267:X1278)=6,IF(ISNUMBER(U1276),U1276,IF(ISNUMBER(W1276),W1276,IF(ISNUMBER(X1276),X1276,IF(ISBLANK(X1275),"")))),""))</f>
        <v/>
      </c>
      <c r="Q1269" s="138" t="str">
        <f>IF(M1269="","",SUMIF(I1279:S1295,I1269,S1279:$S1295))</f>
        <v/>
      </c>
      <c r="R1269" s="139" t="str">
        <f>IF(M1269="","",L1269+Q1269)</f>
        <v/>
      </c>
      <c r="S1269" s="203"/>
      <c r="T1269" s="208">
        <v>3</v>
      </c>
      <c r="U1269" s="209" t="str">
        <f>IF(M1270="","",IF(COUNTIF(M1268:M1270,M1270)=3,IF(COUNTBLANK(I1268:I1271)=1,(Q1279+Q1282)/(Q1280+Q1283),IF(COUNTBLANK(I1268:I1271)=0,(Q1279+Q1288)/(Q1280+Q1289),"")),""))</f>
        <v/>
      </c>
      <c r="V1269" s="125" t="str">
        <f>IF(AND(COUNTBLANK(I1268:I1271)=0,M1270=M1271,M1271=M1268),(Q1279+Q1295)/(Q1280+Q1294),"")</f>
        <v/>
      </c>
      <c r="W1269" s="218"/>
      <c r="X1269" s="213" t="str">
        <f>IF(AND(COUNTBLANK(I1268:I1271)=0,M1270=M1271,M1271=M1269),(Q1288+Q1295)/(Q1289+Q1294),"")</f>
        <v/>
      </c>
      <c r="Y1269" s="219">
        <v>2</v>
      </c>
      <c r="Z1269" s="220" t="str">
        <f>IF(U1268="","",IF(OR(Group_players=3,AND(Group_players=4,COUNTBLANK(I1268:I1271)=1)),IF(COUNTIF(M1268:M1270,M1269)=1,"",IF(AND(U1268=U1267,U1268=U1269),Z1273,IF(AND(U1268&lt;&gt;U1267,U1268&lt;&gt;U1269,U1267&lt;&gt;U1269),(IF(SMALL(U1267:U1269,1)=U1268,1,IF(SMALL(U1267:U1269,2)=U1268,2,IF(SMALL(U1267:U1269,3)=U1268,3)))),IF(AND(U1268&lt;U1267,U1267=U1269),1,IF(AND(U1268&gt;U1267,U1267=U1269),3,IF(AND(U1268=U1267,U1268&lt;U1269),(IF(Q1286=3,1,2)),IF(AND(U1268=U1267,U1268&gt;U1269),(IF(Q1286=3,2,3)),IF(AND(U1268=U1269,U1268&lt;U1267),(IF(Q1282=3,1,2)),IF(AND(U1268=U1269,U1268&gt;U1267),(IF(Q1282=3,2,3)),99))))))))),""))</f>
        <v/>
      </c>
      <c r="AA1269" s="221">
        <v>2</v>
      </c>
      <c r="AB1269" s="222" t="str">
        <f>IF(COUNTIF(M1268:M1271,M1269)&lt;&gt;2,"",IF(COUNTIF(M1268:M1271,M1269)=1,"",IF(AND(COUNTIF(M1268:M1271,M1269)=2,M1269=2),IF(M1269=M1268,IF(Q1292=3,1,2),IF(M1269=M1270,IF(Q1288=3,1,2),IF(M1269=M1271,IF(Q1282=3,1,2)))),IF(AND(COUNTIF(M1268:M1271,M1269)=2,M1269=1),IF(M1269=M1268,IF(Q1292=3,3,4),IF(M1269=M1270,IF(Q1288=3,3,4),IF(M1269=M1271,IF(Q1282=3,3,4)))),AB1274))))</f>
        <v/>
      </c>
      <c r="AC1269" s="192"/>
      <c r="AD1269" s="192"/>
      <c r="AE1269" s="192"/>
      <c r="AF1269" s="192"/>
      <c r="AG1269" s="192"/>
      <c r="AH1269" s="192"/>
      <c r="AI1269" s="192"/>
      <c r="AJ1269" s="192"/>
      <c r="AK1269" s="192"/>
      <c r="AL1269" s="192"/>
      <c r="AM1269" s="192"/>
      <c r="AN1269" s="192"/>
      <c r="AO1269" s="192"/>
      <c r="AP1269" s="192"/>
      <c r="AQ1269" s="192"/>
      <c r="AR1269" s="192"/>
      <c r="AS1269" s="192"/>
      <c r="AT1269" s="192"/>
      <c r="AU1269" s="192"/>
      <c r="AV1269" s="192"/>
      <c r="AW1269" s="192"/>
      <c r="AX1269" s="192"/>
    </row>
    <row r="1270" spans="2:50" ht="15" customHeight="1" thickBot="1" x14ac:dyDescent="0.35">
      <c r="B1270" s="192"/>
      <c r="C1270" s="192"/>
      <c r="D1270" s="192"/>
      <c r="E1270" s="192"/>
      <c r="F1270" s="192" t="str">
        <f>IF(I1270="","",VLOOKUP(I1270,Siembra,2,FALSE))</f>
        <v/>
      </c>
      <c r="G1270" s="192" t="str">
        <f>O1270</f>
        <v/>
      </c>
      <c r="H1270" s="192">
        <v>3</v>
      </c>
      <c r="I1270" s="128" t="str">
        <f>IF(K1270="","",IF(ISNUMBER(Sorteo!$A$17),VLOOKUP(K1270,Draw,2,FALSE),""))</f>
        <v/>
      </c>
      <c r="J1270" s="129" t="str">
        <f>O1270</f>
        <v/>
      </c>
      <c r="K1270" s="136" t="str">
        <f>IF($K$9="","",IF(Group_players=4,IF(Tablas!CP$5="","",Tablas!CP$5),IF(Group_players=3,IF(Tablas!CP$13="","",Tablas!CP$13),"")))</f>
        <v/>
      </c>
      <c r="L1270" s="137" t="str">
        <f>IF(K1270="","",VLOOKUP(I1270,Siembra,3,FALSE))</f>
        <v/>
      </c>
      <c r="M1270" s="132" t="str">
        <f>IF(AND(L1280="",L1279=""),"",IF(I1270="","",SUMIFS(E1279:E1297,I1279:I1297,I1270)))</f>
        <v/>
      </c>
      <c r="N1270" s="138" t="str">
        <f>IF(M1270="","",IF(I1270="","",SUMIFS(F1279:F1295,I1279:I1295,I1270)))</f>
        <v/>
      </c>
      <c r="O1270" s="132" t="str">
        <f>IF(M1270="","",IF(COUNTBLANK(I1268:I1271)=1,IF(M1270=2,1,IF(M1270=0,3,IF(AND(M1270=1,M1270&lt;&gt;M1268),2,IF(COUNTIF(M1268:M1271,1)&gt;1,Z1270)))),IF(COUNTBLANK(I1268:I1271)=0,IF(COUNTIF(M1268:M1271,M1270)=1,IF(M1270=3,1,IF(M1270=2,2,IF(M1270=1,3,IF(M1270=0,4)))),IF(Group_players=3,Z1270,IF(COUNTIF(M1268:M1271,M1270)=2,AB1270,IF(AND(M1270=M1268,M1268=M1269),AB1274,IF(AND(M1270=M1268,M1268=M1271),AB1276,IF(AND(M1270=M1269,M1269=M1271),AB1282,"")))))))))</f>
        <v/>
      </c>
      <c r="P1270" s="133" t="str">
        <f>IF(COUNT(U1267:X1278)=3,IF(ISNUMBER(U1269),U1269,IF(ISNUMBER(V1269),V1269,IF(ISNUMBER(X1269),X1269,IF(W1269="","")))),IF(COUNT(U1267:X1278)=6,IF(ISNUMBER(U1277),U1277,IF(ISNUMBER(V1277),V1277,IF(ISNUMBER(X1277),X1277,""))),""))</f>
        <v/>
      </c>
      <c r="Q1270" s="138" t="str">
        <f>IF(M1270="","",SUMIF(I1279:S1295,I1270,S1279:S1295))</f>
        <v/>
      </c>
      <c r="R1270" s="139" t="str">
        <f>IF(M1270="","",L1270+Q1270)</f>
        <v/>
      </c>
      <c r="S1270" s="203"/>
      <c r="T1270" s="208">
        <v>4</v>
      </c>
      <c r="U1270" s="223"/>
      <c r="V1270" s="140" t="str">
        <f>IF(AND(COUNTBLANK(I1268:I1271)=0,M1271=M1268,M1268=M1270),(Q1285+Q1294)/(Q1286+Q1295),"")</f>
        <v/>
      </c>
      <c r="W1270" s="224" t="str">
        <f>IF(AND(COUNTBLANK(I1268:I1271)=0,M1271=M1268,M1268=M1269),(Q1285+Q1282)/(Q1286+Q1283),"")</f>
        <v/>
      </c>
      <c r="X1270" s="225" t="str">
        <f>IF(AND(COUNTBLANK(I1268:I1271)=0,M1271=M1269,M1269=M1270),(Q1282+Q1294)/(Q1283+Q1295),"")</f>
        <v/>
      </c>
      <c r="Y1270" s="226">
        <v>3</v>
      </c>
      <c r="Z1270" s="227" t="str">
        <f>IF(U1269="","",IF(OR(Group_players=3,AND(Group_players=4,COUNTBLANK(I1268:I1271)=1)),IF(COUNTIF(M1268:M1270,M1270)=1,"",IF(AND(U1269=U1267,U1269=U1268),Z1274,IF(AND(U1269&lt;&gt;U1268,U1268&lt;&gt;U1267,U1269&lt;&gt;U1267),(IF(SMALL(U1267:U1269,1)=U1269,1,IF(SMALL(U1267:U1269,2)=U1269,2,IF(SMALL(U1267:U1269,3)=U1269,3)))),IF(AND(U1269&lt;U1268,U1268=U1267),1,IF(AND(U1269&gt;U1268,U1268=U1267),3,IF(AND(U1269=U1268,U1269&lt;U1267),(IF(Q1283=3,1,2)),IF(AND(U1269=U1268,U1269&gt;U1267),(IF(Q1283=3,2,3)),IF(AND(U1269=U1267,U1269&lt;U1268),(IF(Q1280=3,1,2)),IF(AND(U1269=U1267,U1269&gt;U1268),(IF(Q1280=3,2,3)),99))))))))),""))</f>
        <v/>
      </c>
      <c r="AA1270" s="221">
        <v>3</v>
      </c>
      <c r="AB1270" s="222" t="str">
        <f>IF(COUNTIF(M1268:M1271,M1270)&lt;&gt;2,"",IF(COUNTIF(M1268:M1271,M1270)=1,"",IF(AND(COUNTIF(M1268:M1271,M1270)=2,M1270=2),IF(M1270=M1268,IF(Q1280=3,1,2),IF(M1270=M1269,IF(Q1289=3,1,2),IF(M1270=M1271,IF(Q1294=3,1,2)))),IF(AND(COUNTIF(M1268:M1271,M1270)=2,M1270=1),IF(M1270=M1268,IF(Q1280=3,3,4),IF(M1270=M1269,IF(Q1289=3,3,4),IF(M1270=M1271,IF(Q1294=3,3,4)))),AB1274))))</f>
        <v/>
      </c>
      <c r="AC1270" s="192"/>
      <c r="AD1270" s="192"/>
      <c r="AE1270" s="192"/>
      <c r="AF1270" s="192"/>
      <c r="AG1270" s="192"/>
      <c r="AH1270" s="192"/>
      <c r="AI1270" s="192"/>
      <c r="AJ1270" s="192"/>
      <c r="AK1270" s="192"/>
      <c r="AL1270" s="192"/>
      <c r="AM1270" s="192"/>
      <c r="AN1270" s="192"/>
      <c r="AO1270" s="192"/>
      <c r="AP1270" s="192"/>
      <c r="AQ1270" s="192"/>
      <c r="AR1270" s="192"/>
      <c r="AS1270" s="192"/>
      <c r="AT1270" s="192"/>
      <c r="AU1270" s="192"/>
      <c r="AV1270" s="192"/>
      <c r="AW1270" s="192"/>
      <c r="AX1270" s="192"/>
    </row>
    <row r="1271" spans="2:50" ht="15" customHeight="1" thickTop="1" thickBot="1" x14ac:dyDescent="0.35">
      <c r="B1271" s="192"/>
      <c r="C1271" s="192"/>
      <c r="D1271" s="192"/>
      <c r="E1271" s="192"/>
      <c r="F1271" s="192" t="str">
        <f>IF(I1271="","",VLOOKUP(I1271,Siembra,2,FALSE))</f>
        <v/>
      </c>
      <c r="G1271" s="192" t="str">
        <f>O1271</f>
        <v/>
      </c>
      <c r="H1271" s="192">
        <v>4</v>
      </c>
      <c r="I1271" s="141" t="str">
        <f>IF(K1271="","",IF(ISNUMBER(Sorteo!$A$17),VLOOKUP(K1271,Draw,2,FALSE),""))</f>
        <v/>
      </c>
      <c r="J1271" s="142" t="str">
        <f>O1271</f>
        <v/>
      </c>
      <c r="K1271" s="143" t="str">
        <f>IF($K$9="","",IF(Group_players=4,IF(Tablas!CP6="","",Tablas!CP6),""))</f>
        <v/>
      </c>
      <c r="L1271" s="144" t="str">
        <f>IF(K1271="","",VLOOKUP(I1271,Siembra,3,FALSE))</f>
        <v/>
      </c>
      <c r="M1271" s="145" t="str">
        <f>IF(AND(Q1282="",Q1283=""),"",IF(I1271="","",SUMIFS(E1279:E1298,I1279:I1298,I1271)))</f>
        <v/>
      </c>
      <c r="N1271" s="145" t="str">
        <f>IF(M1271="","",IF(I1271="","",SUMIFS(F1279:F1295,I1279:I1295,I1271)))</f>
        <v/>
      </c>
      <c r="O1271" s="145" t="str">
        <f>IF(M1271="","",IF(COUNTIF(M1268:M1271,M1271)=1,IF(M1271=3,1,IF(M1271=2,2,IF(M1271=1,3,IF(M1271=0,4)))),IF(COUNTIF(M1268:M1271,M1271)=2,AB1271,IF(AND(M1271=M1268,M1268=M1270),AB1277,IF(AND(M1271=M1268,M1268=M1269),AB1280,IF(AND(M1271=M1269,M1269=M1270),AB1283,""))))))</f>
        <v/>
      </c>
      <c r="P1271" s="146" t="str">
        <f>IF(COUNT(U1267:X1278)=3,IF(ISNUMBER(V1270),V1270,IF(ISNUMBER(W1270),W1270,IF(ISNUMBER(X1270),X1270,IF(X1270="","")))),IF(COUNT(U1267:X1278)=6,IF(ISNUMBER(V1278),V1278,IF(ISNUMBER(W1278),W1278,IF(ISNUMBER(X1278),X1278,""))),""))</f>
        <v/>
      </c>
      <c r="Q1271" s="145" t="str">
        <f>IF(M1271="","",SUMIF(I1279:S1295,I1271,S1279:$S1295))</f>
        <v/>
      </c>
      <c r="R1271" s="147" t="str">
        <f>IF(M1271="","",L1271+Q1271)</f>
        <v/>
      </c>
      <c r="S1271" s="203"/>
      <c r="T1271" s="192"/>
      <c r="U1271" s="192"/>
      <c r="V1271" s="192"/>
      <c r="W1271" s="192"/>
      <c r="X1271" s="192"/>
      <c r="Y1271" s="230" t="s">
        <v>93</v>
      </c>
      <c r="Z1271" s="231" t="s">
        <v>110</v>
      </c>
      <c r="AA1271" s="232">
        <v>4</v>
      </c>
      <c r="AB1271" s="233" t="str">
        <f>IF(COUNTIF(M1268:M1271,M1271)&lt;&gt;2,"",IF(COUNTIF(M1268:M1271,M1271)=1,"",IF(AND(COUNTIF(M1268:M1271,M1271)=2,M1271=2),IF(M1271=M1268,IF(Q1286=3,1,2),IF(M1271=M1269,IF(Q1283=3,1,2),IF(M1271=M1270,IF(Q1295=3,1,2)))),IF(AND(COUNTIF(M1268:M1271,M1271)=2,M1271=1),IF(M1271=M1268,IF(Q1286=3,3,4),IF(M1271=M1269,IF(Q1283=3,3,4),IF(M1271=M1270,IF(Q1295=3,3,4)))),AB1277))))</f>
        <v/>
      </c>
      <c r="AC1271" s="192"/>
      <c r="AD1271" s="192"/>
      <c r="AE1271" s="192"/>
      <c r="AF1271" s="192"/>
      <c r="AG1271" s="192"/>
      <c r="AH1271" s="192"/>
      <c r="AI1271" s="192"/>
      <c r="AJ1271" s="192"/>
      <c r="AK1271" s="192"/>
      <c r="AL1271" s="192"/>
      <c r="AM1271" s="192"/>
      <c r="AN1271" s="192"/>
      <c r="AO1271" s="192"/>
      <c r="AP1271" s="192"/>
      <c r="AQ1271" s="192"/>
      <c r="AR1271" s="192"/>
      <c r="AS1271" s="192"/>
      <c r="AT1271" s="192"/>
      <c r="AU1271" s="192"/>
      <c r="AV1271" s="192"/>
      <c r="AW1271" s="192"/>
      <c r="AX1271" s="192"/>
    </row>
    <row r="1272" spans="2:50" ht="15" customHeight="1" thickTop="1" x14ac:dyDescent="0.3">
      <c r="B1272" s="192"/>
      <c r="C1272" s="192"/>
      <c r="D1272" s="192"/>
      <c r="E1272" s="192"/>
      <c r="F1272" s="192"/>
      <c r="G1272" s="192"/>
      <c r="H1272" s="192"/>
      <c r="I1272" s="192"/>
      <c r="J1272" s="192"/>
      <c r="K1272" s="192"/>
      <c r="L1272" s="192"/>
      <c r="M1272" s="192"/>
      <c r="N1272" s="192"/>
      <c r="O1272" s="192"/>
      <c r="P1272" s="192"/>
      <c r="Q1272" s="192"/>
      <c r="R1272" s="192"/>
      <c r="S1272" s="192"/>
      <c r="T1272" s="208"/>
      <c r="U1272" s="192"/>
      <c r="V1272" s="148"/>
      <c r="W1272" s="148"/>
      <c r="X1272" s="234"/>
      <c r="Y1272" s="214">
        <v>1</v>
      </c>
      <c r="Z1272" s="215" t="str">
        <f>IF(U1275="","",IF(OR(Group_players=3,AND(Group_players=4,COUNTBLANK(I1268:I1271)=1)),IF(COUNTIF(M1268:M1270,M1268)=1,"",IF(COUNTIF(U1267:U1269,U1267)=3,IF(AND(U1275=U1276,U1276=U1277),"Tied",IF(AND(U1275&lt;&gt;U1276,U1275&lt;&gt;U1277,U1276&lt;&gt;U1277),(IF(SMALL(U1275:U1277,1)=U1275,1,IF(SMALL(U1275:U1277,2)=U1275,2,IF(SMALL(U1275:U1277,3)=U1275,3)))),IF(AND(U1275&lt;U1276,U1276=U1277),1,IF(AND(U1275&gt;U1276,U1276=U1277),3,IF(AND(U1275=U1276,U1275&lt;U1277),(IF(Q1285=3,1,2)),IF(AND(U1275=U1276,U1275&gt;U1277),(IF(Q1285=3,2,3)),IF(AND(U1275=U1277,U1275&lt;U1276),(IF(Q1279=3,1,2)),IF(AND(U1275=U1277,U1275&gt;U1276),(IF(Q1279=3,2,3)),99)))))))),"")),""))</f>
        <v/>
      </c>
      <c r="AA1272" s="208">
        <v>1</v>
      </c>
      <c r="AB1272" s="222" t="str">
        <f>IF(AND(COUNTBLANK(I1268:I1271)=0,Group_players=4,M1268=M1269,M1269=M1270),IF(COUNTIF(U1267:U1270,U1267)=3,AB1285,IF(AND(COUNTIF(U1267:U1270,U1267)=1,U1268&lt;&gt;U1269),IF(M1268=2,IF(SMALL(U1267:U1270,1)=U1267,1,IF(SMALL(U1267:U1270,2)=U1267,2,IF(SMALL(U1267:U1270,3)=U1267,3))),IF(M1268=1,IF(SMALL(U1267:U1270,1)=U1267,2,IF(SMALL(U1267:U1270,2)=U1267,3,IF(SMALL(U1267:U1270,3)=U1267,4))),"")),IF(COUNTIF(U1267:U1270,U1267)=1,IF(U1267&lt;U1268,IF(M1268=2,1,2),IF(M1268=2,3,4)),IF(COUNTIF(U1267:U1270,U1267)=2,IF(U1267=U1268,IF(U1267&lt;U1269,IF(M1268=2,IF(Q1291=3,1,2),IF(M1268=1,IF(Q1291=3,2,3))),IF(U1267&gt;U1269,IF(M1268=2,IF(Q1291=3,2,3),IF(M1268=1,IF(Q1291=3,3,4))))),IF(U1267=U1269,IF(U1267&lt;U1268,IF(M1268=2,IF(Q1279=3,1,2),IF(M1268=1,IF(Q1279=3,2,3))),IF(U1267&gt;U1268,IF(M1268=2,IF(Q1279=3,2,3),IF(M1268=1,IF(Q1279=3,3,4))))))),"")))),"")</f>
        <v/>
      </c>
      <c r="AC1272" s="192"/>
      <c r="AD1272" s="192"/>
      <c r="AE1272" s="192"/>
      <c r="AF1272" s="192"/>
      <c r="AG1272" s="192"/>
      <c r="AH1272" s="192"/>
      <c r="AI1272" s="192"/>
      <c r="AJ1272" s="192"/>
      <c r="AK1272" s="192"/>
      <c r="AL1272" s="192"/>
      <c r="AM1272" s="192"/>
      <c r="AN1272" s="192"/>
      <c r="AO1272" s="192"/>
      <c r="AP1272" s="192"/>
      <c r="AQ1272" s="192"/>
      <c r="AR1272" s="192"/>
      <c r="AS1272" s="192"/>
      <c r="AT1272" s="192"/>
      <c r="AU1272" s="192"/>
      <c r="AV1272" s="192"/>
      <c r="AW1272" s="192"/>
      <c r="AX1272" s="192"/>
    </row>
    <row r="1273" spans="2:50" ht="15" customHeight="1" thickBot="1" x14ac:dyDescent="0.35">
      <c r="B1273" s="192"/>
      <c r="C1273" s="192"/>
      <c r="D1273" s="192"/>
      <c r="E1273" s="192"/>
      <c r="F1273" s="192"/>
      <c r="G1273" s="192"/>
      <c r="H1273" s="192"/>
      <c r="I1273" s="269"/>
      <c r="J1273" s="269"/>
      <c r="K1273" s="192"/>
      <c r="L1273" s="192"/>
      <c r="M1273" s="192"/>
      <c r="N1273" s="192"/>
      <c r="O1273" s="192"/>
      <c r="P1273" s="192"/>
      <c r="Q1273" s="192"/>
      <c r="R1273" s="192"/>
      <c r="S1273" s="192"/>
      <c r="T1273" s="208"/>
      <c r="U1273" s="368" t="s">
        <v>111</v>
      </c>
      <c r="V1273" s="369"/>
      <c r="W1273" s="369"/>
      <c r="X1273" s="369"/>
      <c r="Y1273" s="236">
        <v>2</v>
      </c>
      <c r="Z1273" s="220" t="str">
        <f>IF(U1268="","",IF(OR(Group_players=3,AND(Group_players=4,COUNTBLANK(I1268:I1271)=1)),IF(COUNTIF(M1268:M1270,M1269)=1,"",IF(COUNTIF(U1267:U1269,U1268)=3,IF(AND(U1276=U1275,U1276=U1277),"Tied",IF(AND(U1276&lt;&gt;U1275,U1276&lt;&gt;U1277,U1275&lt;&gt;U1277),(IF(SMALL(U1275:U1277,1)=U1276,1,IF(SMALL(U1275:U1277,2)=U1276,2,IF(SMALL(U1275:U1277,3)=U1276,3)))),IF(AND(U1276&lt;U1275,U1275=U1277),1,IF(AND(U1276&gt;U1275,U1275=U1277),3,IF(AND(U1276=U1275,U1276&lt;U1277),(IF(Q1286=3,1,2)),IF(AND(U1276=U1275,U1276&gt;U1277),(IF(Q1286=3,2,3)),IF(AND(U1276=U1277,U1276&lt;U1275),(IF(Q1282=3,1,2)),IF(AND(U1276=U1277,U1276&gt;U1275),(IF(Q1282=3,2,3)),99)))))))),"")),""))</f>
        <v/>
      </c>
      <c r="AA1273" s="208">
        <v>2</v>
      </c>
      <c r="AB1273" s="222" t="str">
        <f>IF(AND(COUNTBLANK(I1268:I1271)=0,Group_players=4,M1268=M1269,M1269=M1270),IF(COUNTIF(U1267:U1270,U1268)=3,AB1286,IF(AND(COUNTIF(U1267:U1270,U1268)=1,U1267&lt;&gt;U1269),IF(M1269=2,IF(SMALL(U1267:U1270,1)=U1268,1,IF(SMALL(U1267:U1270,2)=U1268,2,IF(SMALL(U1267:U1270,3)=U1268,3))),IF(M1269=1,IF(SMALL(U1267:U1270,1)=U1268,2,IF(SMALL(U1267:U1270,2)=U1268,3,IF(SMALL(U1267:U1270,3)=U1268,4))),"")),IF(COUNTIF(U1267:U1269,U1268)=1,IF(U1268&lt;U1267,IF(M1269=2,1,2),IF(M1269=2,3,99)),IF(COUNTIF(U1267:U1270,U1268)=2,IF(U1268=U1267,IF(U1268&lt;U1269,IF(M1269=2,IF(Q1292=3,1,2),IF(M1269=1,IF(Q1292=3,2,3))),IF(U1268&gt;U1269,IF(M1269=2,IF(Q1292=3,2,3),IF(M1269=1,IF(Q1292=3,3,4))))),IF(U1268=U1269,IF(U1268&lt;U1267,IF(M1269=2,IF(Q1288=3,1,2),IF(M1269=1,IF(Q1288=3,2,3))),IF(U1268&gt;U1267,IF(M1269=2,IF(Q1288=3,2,3),IF(M1269=1,IF(Q1288=3,3,4))))))),"")))),"")</f>
        <v/>
      </c>
      <c r="AC1273" s="192"/>
      <c r="AD1273" s="192"/>
      <c r="AE1273" s="192"/>
      <c r="AF1273" s="192"/>
      <c r="AG1273" s="192"/>
      <c r="AH1273" s="192"/>
      <c r="AI1273" s="192"/>
      <c r="AJ1273" s="192"/>
      <c r="AK1273" s="192"/>
      <c r="AL1273" s="192"/>
      <c r="AM1273" s="192"/>
      <c r="AN1273" s="192"/>
      <c r="AO1273" s="192"/>
      <c r="AP1273" s="192"/>
      <c r="AQ1273" s="192"/>
      <c r="AR1273" s="192"/>
      <c r="AS1273" s="192"/>
      <c r="AT1273" s="192"/>
      <c r="AU1273" s="192"/>
      <c r="AV1273" s="192"/>
      <c r="AW1273" s="192"/>
      <c r="AX1273" s="192"/>
    </row>
    <row r="1274" spans="2:50" ht="15" customHeight="1" thickTop="1" thickBot="1" x14ac:dyDescent="0.35">
      <c r="B1274" s="192"/>
      <c r="C1274" s="192"/>
      <c r="D1274" s="192"/>
      <c r="E1274" s="192"/>
      <c r="F1274" s="192"/>
      <c r="G1274" s="192"/>
      <c r="H1274" s="192"/>
      <c r="I1274" s="192"/>
      <c r="J1274" s="192"/>
      <c r="K1274" s="192"/>
      <c r="L1274" s="192"/>
      <c r="M1274" s="192"/>
      <c r="N1274" s="192"/>
      <c r="O1274" s="192"/>
      <c r="P1274" s="192"/>
      <c r="Q1274" s="192"/>
      <c r="R1274" s="192"/>
      <c r="S1274" s="192"/>
      <c r="T1274" s="120"/>
      <c r="U1274" s="121" t="s">
        <v>101</v>
      </c>
      <c r="V1274" s="122" t="s">
        <v>102</v>
      </c>
      <c r="W1274" s="122" t="s">
        <v>103</v>
      </c>
      <c r="X1274" s="123" t="s">
        <v>104</v>
      </c>
      <c r="Y1274" s="238">
        <v>3</v>
      </c>
      <c r="Z1274" s="239" t="str">
        <f>IF(U1269="","",IF(OR(Group_players=3,AND(Group_players=4,COUNTBLANK(I1268:I1271)=1)),IF(COUNTIF(M1268:M1270,M1270)=1,"",IF(COUNTIF(U1267:U1269,U1269)=3,IF(AND(U1277=U1275,U1277=U1276),"Tied",IF(AND(U1277&lt;&gt;U1276,U1276&lt;&gt;U1275,U1277&lt;&gt;U1275),(IF(SMALL(U1275:U1277,1)=U1277,1,IF(SMALL(U1275:U1277,2)=U1277,2,IF(SMALL(U1275:U1277,3)=U1277,3)))),IF(AND(U1277&lt;U1276,U1276=U1275),1,IF(AND(U1277&gt;U1276,U1276=U1275),3,IF(AND(U1277=U1276,U1277&lt;U1275),(IF(Q1283=3,1,2)),IF(AND(U1277=U1276,U1277&gt;U1275),(IF(Q1283=3,2,3)),IF(AND(U1277=U1275,U1277&lt;U1276),(IF(Q1280=3,1,2)),IF(AND(U1277=U1275,U1277&gt;U1276),(IF(Q1280=3,2,3)),99)))))))),"")),""))</f>
        <v/>
      </c>
      <c r="AA1274" s="240">
        <v>3</v>
      </c>
      <c r="AB1274" s="241" t="str">
        <f>IF(AND(COUNTBLANK(I1268:I1271)=0,Group_players=4,M1268=M1269,M1269=M1270),IF(COUNTIF(U1267:U1270,U1269)=3,AB1287,IF(AND(COUNTIF(U1267:U1270,U1269)=1,U1267&lt;&gt;U1268),IF(M1268=2,IF(SMALL(U1267:U1270,1)=U1269,1,IF(SMALL(U1267:U1270,2)=U1269,2,IF(SMALL(U1267:U1270,3)=U1269,3))),IF(M1270=1,IF(SMALL(U1267:U1270,1)=U1269,2,IF(SMALL(U1267:U1270,2)=U1269,3,IF(SMALL(U1267:U1270,3)=U1269,4))),"")),IF(COUNTIF(U1267:U1270,U1269)=1,IF(U1269&lt;U1268,IF(M1270=2,1,2),IF(M1270=2,3,4)),IF(COUNTIF(U1267:U1270,U1269)=2,IF(U1269=U1268,IF(U1269&lt;U1267,IF(M1270=2,IF(Q1289=3,1,2),IF(M1270=1,IF(Q1289=3,2,3))),IF(U1269&gt;U1267,IF(M1270=2,IF(Q1289=3,2,3),IF(M1270=1,IF(Q1289=3,3,4))))),IF(U1269=U1267,IF(U1269&lt;U1268,IF(M1270=2,IF(Q1280=3,1,2),IF(M1270=1,IF(Q1280=3,2,3))),IF(U1269&gt;U1268,IF(M1270=2,IF(Q1280=3,2,3),IF(M1270=1,IF(Q1280=3,3,4))))))),"")))),"")</f>
        <v/>
      </c>
      <c r="AC1274" s="192"/>
      <c r="AD1274" s="192"/>
      <c r="AE1274" s="192"/>
      <c r="AF1274" s="192"/>
      <c r="AG1274" s="192"/>
      <c r="AH1274" s="192"/>
      <c r="AI1274" s="192"/>
      <c r="AJ1274" s="192"/>
      <c r="AK1274" s="192"/>
      <c r="AL1274" s="192"/>
      <c r="AM1274" s="192"/>
      <c r="AN1274" s="192"/>
      <c r="AO1274" s="192"/>
      <c r="AP1274" s="192"/>
      <c r="AQ1274" s="192"/>
      <c r="AR1274" s="192"/>
      <c r="AS1274" s="192"/>
      <c r="AT1274" s="192"/>
      <c r="AU1274" s="192"/>
      <c r="AV1274" s="192"/>
      <c r="AW1274" s="192"/>
      <c r="AX1274" s="192"/>
    </row>
    <row r="1275" spans="2:50" ht="15" customHeight="1" thickTop="1" thickBot="1" x14ac:dyDescent="0.35">
      <c r="B1275" s="192"/>
      <c r="C1275" s="192"/>
      <c r="D1275" s="192"/>
      <c r="E1275" s="192"/>
      <c r="F1275" s="192"/>
      <c r="G1275" s="192"/>
      <c r="H1275" s="192"/>
      <c r="I1275" s="192"/>
      <c r="J1275" s="192"/>
      <c r="K1275" s="192"/>
      <c r="L1275" s="192"/>
      <c r="M1275" s="192"/>
      <c r="N1275" s="192"/>
      <c r="O1275" s="192"/>
      <c r="P1275" s="192"/>
      <c r="Q1275" s="192"/>
      <c r="R1275" s="192"/>
      <c r="S1275" s="192"/>
      <c r="T1275" s="208">
        <v>1</v>
      </c>
      <c r="U1275" s="209" t="str">
        <f>IF(U1267="","",IF(OR(U1267&lt;&gt;U1268,U1267&lt;&gt;U1269),"",IF(COUNTIF(M1268:M1270,M1268)=1,"",IF(COUNTBLANK(I1268:I1271)=1,(SUM(L1280:P1280)+SUM(L1286:P1286))/(SUM(L1279:P1279)+SUM(L1285:P1285)),IF(COUNTBLANK(I1268:I1271)=0,(SUM(L1292:P1292)+SUM(L1280:P1280))/(SUM(L1291:P1291)+SUM(L1279:P1279)),"")))))</f>
        <v/>
      </c>
      <c r="V1275" s="125" t="str">
        <f>IF(V1267="","",IF(OR(V1267&lt;&gt;V1269,V1267&lt;&gt;V1270),"",IF(AND(COUNTBLANK(I1268:I1271)=0,M1268=M1270,M1270=M1271),(SUM(L1280:P1280)+SUM(L1286:P1286))/(SUM(L1279:P1279)+SUM(L1285:P1285)),"")))</f>
        <v/>
      </c>
      <c r="W1275" s="210" t="str">
        <f>IF(W1267="","",IF(OR(W1267&lt;&gt;W1268,W1267&lt;&gt;W1270),"",IF(AND(COUNTBLANK(I1268:I1271)=0,M1268=M1269,M1269=M1271),(SUM(L1292:P1292)+SUM(L1286:P1286))/(SUM(L1291:P1291)+SUM(L1285:P1285)),"")))</f>
        <v/>
      </c>
      <c r="X1275" s="211"/>
      <c r="Y1275" s="242"/>
      <c r="Z1275" s="242"/>
      <c r="AA1275" s="243">
        <v>1</v>
      </c>
      <c r="AB1275" s="244" t="str">
        <f>IF(AND(COUNTBLANK(I1268:I1271)=0,Group_players=4,M1268=M1270,M1270=M1271),IF(COUNTIF(V1267:V1270,V1267)=3,AB1288,IF(AND(COUNTIF(V1267:V1270,V1267)=1,V1269&lt;&gt;U1278),IF(M1268=2,IF(SMALL(V1267:V1270,1)=V1267,1,IF(SMALL(V1267:V1270,2)=V1267,2,IF(SMALL(V1267:V1270,3)=V1267,3))),IF(M1268=1,IF(SMALL(V1267:V1270,1)=V1267,2,IF(SMALL(V1267:V1270,2)=V1267,3,IF(SMALL(V1267:V1270,3)=V1267,4))),"")),IF(COUNTIF(V1267:V1270,V1267)=1,IF(V1267&lt;V1269,IF(M1268=2,1,2),IF(M1268=2,3,4)),IF(COUNTIF(V1267:V1270,V1267)=2,IF(V1267=V1269,IF(V1267&lt;V1270,IF(M1268=2,IF(Q1279=3,1,2),IF(M1268=1,IF(Q1279=3,2,3))),IF(V1267&gt;V1270,IF(M1268=2,IF(Q1279=3,2,3),IF(M1268=1,IF(Q1279=3,3,4))))),IF(V1267=V1270,IF(V1267&lt;V1269,IF(M1268=2,IF(Q1285=3,1,2),IF(M1268=1,IF(Q1285=3,2,3))),IF(V1267&gt;V1268,IF(M1268=2,IF(Q1285=3,2,3),IF(M1268=1,IF(Q1285=3,3,4))))))),"")))),"")</f>
        <v/>
      </c>
      <c r="AC1275" s="192"/>
      <c r="AD1275" s="192"/>
      <c r="AE1275" s="192"/>
      <c r="AF1275" s="192"/>
      <c r="AG1275" s="192"/>
      <c r="AH1275" s="192"/>
      <c r="AI1275" s="192"/>
      <c r="AJ1275" s="192"/>
      <c r="AK1275" s="192"/>
      <c r="AL1275" s="192"/>
      <c r="AM1275" s="192"/>
      <c r="AN1275" s="192"/>
      <c r="AO1275" s="192"/>
      <c r="AP1275" s="192"/>
      <c r="AQ1275" s="192"/>
      <c r="AR1275" s="192"/>
      <c r="AS1275" s="192"/>
      <c r="AT1275" s="192"/>
      <c r="AU1275" s="192"/>
      <c r="AV1275" s="192"/>
      <c r="AW1275" s="192"/>
      <c r="AX1275" s="192"/>
    </row>
    <row r="1276" spans="2:50" ht="15" customHeight="1" thickTop="1" thickBot="1" x14ac:dyDescent="0.35">
      <c r="B1276" s="192"/>
      <c r="C1276" s="192"/>
      <c r="D1276" s="192"/>
      <c r="E1276" s="117"/>
      <c r="F1276" s="117"/>
      <c r="G1276" s="117"/>
      <c r="H1276" s="192"/>
      <c r="I1276" s="192"/>
      <c r="J1276" s="192"/>
      <c r="K1276" s="192"/>
      <c r="L1276" s="192"/>
      <c r="M1276" s="192"/>
      <c r="N1276" s="192"/>
      <c r="O1276" s="192"/>
      <c r="P1276" s="192"/>
      <c r="Q1276" s="192"/>
      <c r="R1276" s="192"/>
      <c r="S1276" s="394" t="s">
        <v>112</v>
      </c>
      <c r="T1276" s="208">
        <v>2</v>
      </c>
      <c r="U1276" s="209" t="str">
        <f>IF(U1267="","",IF(OR(U1268&lt;&gt;U1267,U1268&lt;&gt;U1269),"",IF(COUNTIF(M1268:M1270,M1269)=1,"",IF(COUNTBLANK(I1268:I1271)=1,(SUM(L1283:P1283)+SUM(L1285:P1285))/(SUM(L1282:P1282)+SUM(L1286:P1286)),IF(COUNTBLANK(I1268:I1271)=0,(SUM(L1291:P1291)+SUM(L1289:P1289))/(SUM(L1292:P1292)+SUM(L1288:P1288)))))))</f>
        <v/>
      </c>
      <c r="V1276" s="135"/>
      <c r="W1276" s="212" t="str">
        <f>IF(W1267="","",IF(OR(W1268&lt;&gt;W1267,W1268&lt;&gt;W1270),"",IF(AND(COUNTBLANK(I1268:I1271)=0,M1268=M1269,M1269=M1271),(SUM(L1283:P1283)+SUM(L1291:P1291))/(SUM(L1292:P1292)+SUM(L1282:P1282)),"")))</f>
        <v/>
      </c>
      <c r="X1276" s="245" t="str">
        <f>IF(X1268="","",IF(OR(X1268&lt;&gt;X1269,X1268&lt;&gt;X1270),"",IF(AND(COUNTBLANK(I1268:I1271)=0,M1269=M1270,M1270=M1271),(SUM(L1289:P1289)+SUM(L1283:P1283))/(SUM(L1288:P1288)+SUM(L1282:P1282)),"")))</f>
        <v/>
      </c>
      <c r="Y1276" s="242"/>
      <c r="Z1276" s="203"/>
      <c r="AA1276" s="246">
        <v>3</v>
      </c>
      <c r="AB1276" s="222" t="str">
        <f>IF(AND(COUNTBLANK(I1268:I1271)=0,Group_players=4,M1268=M1270,M1270=M1271),IF(COUNTIF(V1267:V1270,V1269)=3,AB1289,IF(AND(COUNTIF(V1267:V1270,V1269)=1,V1267&lt;&gt;V1270),IF(M1270=2,IF(SMALL(V1267:V1270,1)=V1269,1,IF(SMALL(V1267:V1270,2)=V1269,2,IF(SMALL(V1267:V1270,3)=V1269,3))),IF(M1270=1,IF(SMALL(V1267:V1270,1)=V1269,2,IF(SMALL(V1267:V1270,2)=V1269,3,IF(SMALL(V1267:V1270,3)=V1269,4))),"")),IF(COUNTIF(V1267:V1270,V1269)=1,IF(V1269&lt;V1267,IF(M1270=2,1,2),IF(M1270=2,3,4)),IF(COUNTIF(V1267:V1270,V1269)=2,IF(V1269=V1267,IF(V1269&lt;V1270,IF(M1270=2,IF(Q1280=3,1,2),IF(M1270=1,IF(Q1280=3,2,3))),IF(V1269&gt;V1270,IF(M1270=2,IF(Q1280=3,2,3),IF(M1270=1,IF(Q1280=3,3,4))))),IF(V1269=V1270,IF(V1269&lt;V1267,IF(M1270=2,IF(Q1294=3,1,2),IF(M1270=1,IF(Q1294=3,2,3))),IF(V1269&gt;V1267,IF(M1270=2,IF(Q1294=3,2,3),IF(M1270=1,IF(Q1294=3,3,4))))))),"")))),"")</f>
        <v/>
      </c>
      <c r="AC1276" s="192"/>
      <c r="AD1276" s="192"/>
      <c r="AE1276" s="192"/>
      <c r="AF1276" s="192"/>
      <c r="AG1276" s="192"/>
      <c r="AH1276" s="192"/>
      <c r="AI1276" s="192"/>
      <c r="AJ1276" s="192"/>
      <c r="AK1276" s="192"/>
      <c r="AL1276" s="192"/>
      <c r="AM1276" s="192"/>
      <c r="AN1276" s="192"/>
      <c r="AO1276" s="192"/>
      <c r="AP1276" s="192"/>
      <c r="AQ1276" s="192"/>
      <c r="AR1276" s="192"/>
      <c r="AS1276" s="192"/>
      <c r="AT1276" s="192"/>
      <c r="AU1276" s="192"/>
      <c r="AV1276" s="192"/>
      <c r="AW1276" s="192"/>
      <c r="AX1276" s="192"/>
    </row>
    <row r="1277" spans="2:50" ht="15" customHeight="1" thickTop="1" thickBot="1" x14ac:dyDescent="0.35">
      <c r="B1277" s="192"/>
      <c r="C1277" s="192"/>
      <c r="D1277" s="192"/>
      <c r="E1277" s="117"/>
      <c r="F1277" s="117"/>
      <c r="G1277" s="117"/>
      <c r="H1277" s="192"/>
      <c r="I1277" s="192"/>
      <c r="J1277" s="192"/>
      <c r="K1277" s="192"/>
      <c r="L1277" s="192"/>
      <c r="M1277" s="192"/>
      <c r="N1277" s="192"/>
      <c r="O1277" s="192"/>
      <c r="P1277" s="192"/>
      <c r="Q1277" s="192"/>
      <c r="R1277" s="247"/>
      <c r="S1277" s="395"/>
      <c r="T1277" s="208">
        <v>3</v>
      </c>
      <c r="U1277" s="209" t="str">
        <f>IF(U1267="","",IF(OR(U1269&lt;&gt;U1267,U1269&lt;&gt;U1268),"",IF(COUNTIF(M1268:M1270,M1270)=1,"",IF(COUNTBLANK(I1268:I1271)=1,(SUM(L1279:P1279)+SUM(L1282:P1282))/(SUM(L1280:P1280)+SUM(L1283:P1283)),IF(COUNTBLANK(I1268:I1271)=0,(SUM(L1279:P1279)+SUM(L1288:P1288))/(SUM(L1280:P1280)+SUM(L1289:P1289)))))))</f>
        <v/>
      </c>
      <c r="V1277" s="125" t="str">
        <f>IF(V1267="","",IF(OR(V1269&lt;&gt;V1267,V1269&lt;&gt;V1270),"",IF(AND(COUNTBLANK(I1268:I1271)=0,M1268=M1270,M1270=M1271),(SUM(L1279:P1279)+SUM(L1295:P1295))/(SUM(L1280:P1280)+SUM(L1294:P1294)),"")))</f>
        <v/>
      </c>
      <c r="W1277" s="218"/>
      <c r="X1277" s="245" t="str">
        <f>IF(X1268="","",IF(OR(X1269&lt;&gt;X1268,X1269&lt;&gt;X1270),"",IF(AND(COUNTBLANK(I1268:I1271)=0,M1269=M1270,M1270=M1271),(SUM(L1288:P1288)+SUM(L1295:P1295))/(SUM(L1289:P1289)+SUM(L1294:P1294)),"")))</f>
        <v/>
      </c>
      <c r="Y1277" s="208"/>
      <c r="Z1277" s="203"/>
      <c r="AA1277" s="240">
        <v>4</v>
      </c>
      <c r="AB1277" s="222" t="str">
        <f>IF(AND(COUNTBLANK(I1268:I1271)=0,Group_players=4,M1268=M1270,M1270=M1271),IF(COUNTIF(V1267:V1270,V1270)=3,AB1290,IF(AND(COUNTIF(V1267:V1270,V1270)=1,V1269&lt;&gt;V1267),IF(M1271=2,IF(SMALL(V1267:V1270,1)=V1270,1,IF(SMALL(V1267:V1270,2)=V1270,2,IF(SMALL(V1267:V1270,3)=V1270,3))),IF(M1271=1,IF(SMALL(V1267:V1270,1)=V1270,2,IF(SMALL(V1267:V1270,2)=V1270,3,IF(SMALL(V1267:V1270,3)=V1270,4))),"")),IF(COUNTIF(V1267:V1270,V1270)=1,IF(V1270&lt;V1267,IF(M1271=2,1,2),IF(M1271=2,3,4)),IF(COUNTIF(V1267:V1270,V1270)=2,IF(V1270=V1267,IF(V1270&lt;V1269,IF(M1271=2,IF(Q1286=3,1,2),IF(M1271=1,IF(Q1286=3,2,3))),IF(V1270&gt;V1269,IF(M1271=2,IF(Q1286=3,2,3),IF(M1271=1,IF(Q1286=3,3,4))))),IF(V1270=V1269,IF(V1270&lt;V1267,IF(M1271=2,IF(Q1295=3,1,2),IF(M1271=1,IF(Q1295=3,2,3))),IF(V1270&gt;V1267,IF(M1271=2,IF(Q1295=3,2,3),IF(M1271=1,IF(Q1295=3,3,4))))))),"")))),"")</f>
        <v/>
      </c>
      <c r="AC1277" s="192"/>
      <c r="AD1277" s="192"/>
      <c r="AE1277" s="192"/>
      <c r="AF1277" s="192"/>
      <c r="AG1277" s="192"/>
      <c r="AH1277" s="192"/>
      <c r="AI1277" s="192"/>
      <c r="AJ1277" s="192"/>
      <c r="AK1277" s="192"/>
      <c r="AL1277" s="192"/>
      <c r="AM1277" s="192"/>
      <c r="AN1277" s="192"/>
      <c r="AO1277" s="192"/>
      <c r="AP1277" s="192"/>
      <c r="AQ1277" s="192"/>
      <c r="AR1277" s="192"/>
      <c r="AS1277" s="192"/>
      <c r="AT1277" s="192"/>
      <c r="AU1277" s="192"/>
      <c r="AV1277" s="192"/>
      <c r="AW1277" s="192"/>
      <c r="AX1277" s="192"/>
    </row>
    <row r="1278" spans="2:50" ht="15" customHeight="1" thickTop="1" thickBot="1" x14ac:dyDescent="0.35">
      <c r="B1278" s="192"/>
      <c r="C1278" s="192"/>
      <c r="D1278" s="192"/>
      <c r="E1278" s="168" t="s">
        <v>113</v>
      </c>
      <c r="F1278" s="168" t="s">
        <v>114</v>
      </c>
      <c r="G1278" s="117"/>
      <c r="H1278" s="192"/>
      <c r="I1278" s="249" t="s">
        <v>115</v>
      </c>
      <c r="J1278" s="249"/>
      <c r="K1278" s="249"/>
      <c r="L1278" s="250" t="s">
        <v>115</v>
      </c>
      <c r="M1278" s="250" t="s">
        <v>116</v>
      </c>
      <c r="N1278" s="250" t="s">
        <v>117</v>
      </c>
      <c r="O1278" s="250" t="s">
        <v>118</v>
      </c>
      <c r="P1278" s="250" t="s">
        <v>119</v>
      </c>
      <c r="Q1278" s="250" t="s">
        <v>120</v>
      </c>
      <c r="R1278" s="250"/>
      <c r="S1278" s="251"/>
      <c r="T1278" s="208">
        <v>4</v>
      </c>
      <c r="U1278" s="223"/>
      <c r="V1278" s="140" t="str">
        <f>IF(V1267="","",IF(OR(V1270&lt;&gt;V1267,V1270&lt;&gt;V1269),"",IF(AND(COUNTBLANK(I1268:I1271)=0,M1268=M1270,M1270=M1271),(SUM(L1285:P1285)+SUM(L1294:P1294))/(SUM(L1286:P1286)+SUM(L1295:P1295)),"")))</f>
        <v/>
      </c>
      <c r="W1278" s="224" t="str">
        <f>IF(W1267="","",IF(OR(W1270&lt;&gt;W1267,W1270&lt;&gt;W1268),"",IF(AND(COUNTBLANK(I1268:I1271)=0,M1268=M1269,M1269=M1271),(SUM(L1285:P1285)+SUM(L1282:P1282))/(SUM(L1286:P1286)+SUM(L1283:P1283)),"")))</f>
        <v/>
      </c>
      <c r="X1278" s="252" t="str">
        <f>IF(X1268="","",IF(OR(X1270&lt;&gt;X1268,X1270&lt;&gt;X1269),"",IF(AND(COUNTBLANK(I1268:I1271)=0,M1269=M1270,M1270=M1271),(SUM(L1282:P1282)+SUM(L1294:P1294))/(SUM(L1283:P1283)+SUM(L1295:P1295)),"")))</f>
        <v/>
      </c>
      <c r="Y1278" s="192"/>
      <c r="Z1278" s="203"/>
      <c r="AA1278" s="243">
        <v>1</v>
      </c>
      <c r="AB1278" s="151" t="str">
        <f>IF(AND(COUNTBLANK(I1268:I1271)=0,Group_players=4,M1268=M1269,M1269=M1271),IF(COUNTIF(W1267:W1270,W1267)=3,AB1291,IF(AND(COUNTIF(W1267:W1270,W1267)=1,W1268&lt;&gt;W1270),IF(M1268=2,IF(SMALL(W1267:W1270,1)=W1267,1,IF(SMALL(W1267:W1270,2)=W1267,2,IF(SMALL(W1267:W1270,3)=W1267,3))),IF(M1268=1,IF(SMALL(W1267:W1270,1)=W1267,2,IF(SMALL(W1267:W1270,2)=W1267,3,IF(SMALL(W1267:W1270,3)=W1267,4))),"")),IF(COUNTIF(W1267:W1270,W1267)=1,IF(W1267&lt;W1268,IF(M1268=2,1,2),IF(M1268=2,3,4)),IF(COUNTIF(W1267:W1270,W1267)=2,IF(W1267=W1268,IF(W1267&lt;W1270,IF(M1268=2,IF(Q1291=3,1,2),IF(M1268=1,IF(Q1291=3,2,3))),IF(W1267&gt;W1270,IF(M1268=2,IF(Q1291=3,2,3),IF(M1268=1,IF(Q1291=3,3,4))))),IF(W1267=W1270,IF(W1267&lt;W1268,IF(M1268=2,IF(Q1285=3,1,2),IF(M1268=1,IF(Q1285=3,2,3))),IF(W1267&gt;W1268,IF(M1268=2,IF(Q1285=3,2,3),IF(M1268=1,IF(Q1285=3,3,4))))))),"")))),"")</f>
        <v/>
      </c>
      <c r="AC1278" s="192"/>
      <c r="AD1278" s="192"/>
      <c r="AE1278" s="192"/>
      <c r="AF1278" s="192"/>
      <c r="AG1278" s="192"/>
      <c r="AH1278" s="192"/>
      <c r="AI1278" s="192"/>
      <c r="AJ1278" s="192"/>
      <c r="AK1278" s="192"/>
      <c r="AL1278" s="192"/>
      <c r="AM1278" s="192"/>
      <c r="AN1278" s="192"/>
      <c r="AO1278" s="192"/>
      <c r="AP1278" s="192"/>
      <c r="AQ1278" s="192"/>
      <c r="AR1278" s="192"/>
      <c r="AS1278" s="192"/>
      <c r="AT1278" s="192"/>
      <c r="AU1278" s="192"/>
      <c r="AV1278" s="192"/>
      <c r="AW1278" s="192"/>
      <c r="AX1278" s="192"/>
    </row>
    <row r="1279" spans="2:50" ht="15" customHeight="1" thickTop="1" x14ac:dyDescent="0.3">
      <c r="B1279" s="192"/>
      <c r="C1279" s="192"/>
      <c r="D1279" s="192"/>
      <c r="E1279" s="164" t="str">
        <f>IF(Q1279="","",IF(Q1279=3,1,0))</f>
        <v/>
      </c>
      <c r="F1279" s="164" t="str">
        <f>IF(Q1279="","",IF(Q1279&lt;3,1,0))</f>
        <v/>
      </c>
      <c r="G1279" s="192"/>
      <c r="H1279" s="192" t="str">
        <f>IF(I1268="","",1)</f>
        <v/>
      </c>
      <c r="I1279" s="192" t="str">
        <f>IF(ISNUMBER(H1279),VLOOKUP(H1279,H1268:I1271,2,TRUE),"")</f>
        <v/>
      </c>
      <c r="J1279" s="192"/>
      <c r="K1279" s="192" t="str">
        <f>VLOOKUP(I1279,I1268:L1271,3,FALSE)</f>
        <v/>
      </c>
      <c r="L1279" s="253"/>
      <c r="M1279" s="254"/>
      <c r="N1279" s="254"/>
      <c r="O1279" s="152"/>
      <c r="P1279" s="153"/>
      <c r="Q1279" s="255" t="str">
        <f>IF(L1279="","",IF(AND(L1279-L1280&gt;1,L1279&gt;10),1,0)+IF(AND(M1279-M1280&gt;1,M1279&gt;10),1,0)+IF(AND(N1279-N1280&gt;1,N1279&gt;10),1,0)+IF(AND(O1279-O1280&gt;1,O1279&gt;10),1,0)+IF(AND(P1279-P1280&gt;1,P1279&gt;10),1,0))</f>
        <v/>
      </c>
      <c r="R1279" s="203" t="str">
        <f>IF(AND(I1279="",I1280=""),"",ABS(VLOOKUP(I1279,I1268:L1271,4,FALSE)-VLOOKUP(I1280,I1268:L1271,4,FALSE)))</f>
        <v/>
      </c>
      <c r="S1279" s="256" t="str">
        <f>IF(R1280="","",IF(Q1279=3,+R1280,-R1280))</f>
        <v/>
      </c>
      <c r="T1279" s="257"/>
      <c r="U1279" s="258"/>
      <c r="V1279" s="258"/>
      <c r="W1279" s="258"/>
      <c r="X1279" s="258"/>
      <c r="Y1279" s="192"/>
      <c r="Z1279" s="203"/>
      <c r="AA1279" s="246">
        <v>2</v>
      </c>
      <c r="AB1279" s="154" t="str">
        <f>IF(AND(COUNTBLANK(I1268:I1271)=0,Group_players=4,M1268=M1269,M1269=M1271),IF(COUNTIF(W1267:W1270,W1268)=3,AB1292,IF(AND(COUNTIF(W1267:W1270,W1268)=1,W1267&lt;&gt;W1269),IF(M1269=2,IF(SMALL(W1267:W1270,1)=W1268,1,IF(SMALL(W1267:W1270,2)=W1268,2,IF(SMALL(W1267:W1270,3)=W1268,3))),IF(M1269=1,IF(SMALL(W1267:W1270,1)=W1268,2,IF(SMALL(W1267:W1270,2)=W1268,3,IF(SMALL(W1267:W1270,3)=W1268,4))),"")),IF(COUNTIF(W1267:W1270,W1268)=1,IF(W1268&lt;W1267,IF(M1269=2,1,2),IF(M1269=2,3,4)),IF(COUNTIF(W1267:W1270,W1268)=2,IF(W1268=W1267,IF(W1268&lt;W1270,IF(M1269=2,IF(Q1292=3,1,2),IF(M1269=1,IF(Q1292=3,2,3))),IF(W1268&gt;W1270,IF(M1269=2,IF(Q1292=3,2,3),IF(M1269=1,IF(Q1292=3,3,4))))),IF(W1268=W1270,IF(W1268&lt;W1267,IF(M1269=2,IF(Q1282=3,1,2),IF(M1269=1,IF(Q1282=3,2,3))),IF(W1268&gt;W1267,IF(M1269=2,IF(Q1282=3,2,3),IF(M1269=1,IF(Q1282=3,3,4))))))),"")))),"")</f>
        <v/>
      </c>
      <c r="AC1279" s="192"/>
      <c r="AD1279" s="192"/>
      <c r="AE1279" s="192"/>
      <c r="AF1279" s="192"/>
      <c r="AG1279" s="192"/>
      <c r="AH1279" s="192"/>
      <c r="AI1279" s="192"/>
      <c r="AJ1279" s="192"/>
      <c r="AK1279" s="192"/>
      <c r="AL1279" s="192"/>
      <c r="AM1279" s="192"/>
      <c r="AN1279" s="192"/>
      <c r="AO1279" s="192"/>
      <c r="AP1279" s="192"/>
      <c r="AQ1279" s="192"/>
      <c r="AR1279" s="192"/>
      <c r="AS1279" s="192"/>
      <c r="AT1279" s="192"/>
      <c r="AU1279" s="192"/>
      <c r="AV1279" s="192"/>
      <c r="AW1279" s="192"/>
      <c r="AX1279" s="192"/>
    </row>
    <row r="1280" spans="2:50" ht="15" customHeight="1" thickBot="1" x14ac:dyDescent="0.35">
      <c r="B1280" s="192"/>
      <c r="C1280" s="192"/>
      <c r="D1280" s="192"/>
      <c r="E1280" s="164" t="str">
        <f>IF(Q1280="","",IF(Q1280=3,1,0))</f>
        <v/>
      </c>
      <c r="F1280" s="164" t="str">
        <f>IF(Q1280="","",IF(Q1280&lt;3,1,0))</f>
        <v/>
      </c>
      <c r="G1280" s="192"/>
      <c r="H1280" s="192" t="str">
        <f>IF(I1269="","",IF(I1270="",2,3))</f>
        <v/>
      </c>
      <c r="I1280" s="192" t="str">
        <f>IF(ISNUMBER(H1280),VLOOKUP(H1280,H1268:I1271,2,TRUE),"")</f>
        <v/>
      </c>
      <c r="J1280" s="192"/>
      <c r="K1280" s="192" t="str">
        <f>VLOOKUP(I1280,I1268:L1271,3,FALSE)</f>
        <v/>
      </c>
      <c r="L1280" s="155"/>
      <c r="M1280" s="259"/>
      <c r="N1280" s="259"/>
      <c r="O1280" s="156"/>
      <c r="P1280" s="157"/>
      <c r="Q1280" s="260" t="str">
        <f>IF(L1280="","",IF(AND(L1280-L1279&gt;1,L1280&gt;10),1,0)+IF(AND(M1280-M1279&gt;1,M1280&gt;10),1,0)+IF(AND(N1280-N1279&gt;1,N1280&gt;10),1,0)+IF(AND(O1280-O1279&gt;1,O1280&gt;10),1,0)+IF(AND(P1280-P1279&gt;1,P1280&gt;10),1,0))</f>
        <v/>
      </c>
      <c r="R1280" s="203" t="str">
        <f>IF(AND(Q1279&lt;&gt;3,Q1280&lt;&gt;3),"",IF(Q1279=3,IF(VLOOKUP(I1279,I1268:L1271,4,FALSE)&gt;VLOOKUP(I1280,I1268:L1271,4,FALSE),VLOOKUP(R1279,Point_dif,2,FALSE),VLOOKUP(R1279,Point_dif,3,FALSE)),IF(Q1280=3,IF(VLOOKUP(I1280,I1268:L1271,4,FALSE)&gt;VLOOKUP(I1279,I1268:L1271,4,FALSE),VLOOKUP(R1279,Point_dif,2,FALSE),VLOOKUP(R1279,Point_dif,3,FALSE)))))</f>
        <v/>
      </c>
      <c r="S1280" s="256" t="str">
        <f>IF(R1280="","",IF(Q1280=3,+R1280,-R1280))</f>
        <v/>
      </c>
      <c r="T1280" s="192"/>
      <c r="U1280" s="235"/>
      <c r="V1280" s="235"/>
      <c r="W1280" s="235"/>
      <c r="X1280" s="235"/>
      <c r="Y1280" s="235"/>
      <c r="Z1280" s="235"/>
      <c r="AA1280" s="240">
        <v>4</v>
      </c>
      <c r="AB1280" s="158" t="str">
        <f>IF(AND(COUNTBLANK(I1268:I1271)=0,Group_players=4,M1268=M1269,M1269=M1271),IF(COUNTIF(W1267:W1270,W1270)=3,AB1293,IF(AND(COUNTIF(W1267:W1270,W1270)=1,W1267&lt;&gt;W1268),IF(M1271=2,IF(SMALL(W1267:W1270,1)=W1270,1,IF(SMALL(W1267:W1270,2)=W1270,2,IF(SMALL(W1267:W1270,3)=W1270,3))),IF(M1271=1,IF(SMALL(W1267:W1270,1)=W1270,2,IF(SMALL(W1267:W1270,2)=W1270,3,IF(SMALL(W1267:W1270,3)=W1270,4))),"")),IF(COUNTIF(W1267:W1270,W1270)=1,IF(W1270&lt;W1267,IF(M1271=2,1,2),IF(M1271=2,3,4)),IF(COUNTIF(W1267:W1270,W1270)=2,IF(W1270=W1267,IF(W1270&lt;W1268,IF(M1271=2,IF(Q1286=3,1,2),IF(M1271=1,IF(Q1286=3,2,3))),IF(W1270&gt;W1269,IF(M1271=2,IF(Q1286=3,2,3),IF(M1271=1,IF(Q1286=3,3,4))))),IF(W1270=W1268,IF(W1270&lt;W1267,IF(M1271=2,IF(Q1283=3,1,2),IF(M1271=1,IF(Q1283=3,2,3))),IF(W1270&gt;W1267,IF(M1271=2,IF(Q1283=3,2,3),IF(M1271=1,IF(Q1283=3,3,4))))))),"")))),"")</f>
        <v/>
      </c>
      <c r="AC1280" s="192"/>
      <c r="AD1280" s="192"/>
      <c r="AE1280" s="192"/>
      <c r="AF1280" s="192"/>
      <c r="AG1280" s="192"/>
      <c r="AH1280" s="192"/>
      <c r="AI1280" s="192"/>
      <c r="AJ1280" s="192"/>
      <c r="AK1280" s="192"/>
      <c r="AL1280" s="192"/>
      <c r="AM1280" s="192"/>
      <c r="AN1280" s="192"/>
      <c r="AO1280" s="192"/>
      <c r="AP1280" s="192"/>
      <c r="AQ1280" s="192"/>
      <c r="AR1280" s="192"/>
      <c r="AS1280" s="192"/>
      <c r="AT1280" s="192"/>
      <c r="AU1280" s="192"/>
      <c r="AV1280" s="192"/>
      <c r="AW1280" s="192"/>
      <c r="AX1280" s="192"/>
    </row>
    <row r="1281" spans="2:50" ht="15" customHeight="1" thickTop="1" thickBot="1" x14ac:dyDescent="0.35">
      <c r="B1281" s="192"/>
      <c r="C1281" s="192"/>
      <c r="D1281" s="192"/>
      <c r="E1281" s="164"/>
      <c r="F1281" s="164"/>
      <c r="G1281" s="192"/>
      <c r="H1281" s="192"/>
      <c r="I1281" s="249" t="s">
        <v>116</v>
      </c>
      <c r="J1281" s="249"/>
      <c r="K1281" s="249"/>
      <c r="L1281" s="250" t="s">
        <v>115</v>
      </c>
      <c r="M1281" s="250" t="s">
        <v>116</v>
      </c>
      <c r="N1281" s="250" t="s">
        <v>117</v>
      </c>
      <c r="O1281" s="250" t="s">
        <v>118</v>
      </c>
      <c r="P1281" s="250" t="s">
        <v>119</v>
      </c>
      <c r="Q1281" s="250" t="s">
        <v>120</v>
      </c>
      <c r="R1281" s="250"/>
      <c r="S1281" s="251"/>
      <c r="T1281" s="192"/>
      <c r="U1281" s="235"/>
      <c r="V1281" s="235"/>
      <c r="W1281" s="235"/>
      <c r="X1281" s="235"/>
      <c r="Y1281" s="235"/>
      <c r="Z1281" s="235"/>
      <c r="AA1281" s="243">
        <v>2</v>
      </c>
      <c r="AB1281" s="151" t="str">
        <f>IF(AND(COUNTBLANK(I1268:I1271)=0,Group_players=4,M1269=M1270,M1270=M1271),IF(COUNTIF(X1267:X1270,X1268)=3,AB1294,IF(AND(COUNTIF(X1267:X1270,X1268)=1,X1269&lt;&gt;X1270),IF(M1269=2,IF(SMALL(X1267:X1270,1)=X1268,1,IF(SMALL(X1267:X1270,2)=X1268,2,IF(SMALL(X1267:X1270,3)=X1268,3))),IF(M1269=1,IF(SMALL(X1267:X1270,1)=X1268,2,IF(SMALL(X1267:X1270,2)=X1268,3,IF(SMALL(X1267:X1270,3)=X1268,4))),"")),IF(COUNTIF(X1267:X1270,X1268)=1,IF(X1268&lt;X1270,IF(M1269=2,1,2),IF(M1269=1,3,3)),IF(COUNTIF(X1267:X1270,X1268)=2,IF(X1268=X1269,IF(X1268&lt;X1270,IF(M1269=2,IF(Q1288=3,1,2),IF(M1269=1,IF(Q1288=3,2,3))),IF(X1268&gt;X1270,IF(M1269=2,IF(Q1288=3,2,3),IF(M1269=1,IF(Q1288=3,3,4))))),IF(X1268=X1270,IF(X1268&lt;X1269,IF(M1269=2,IF(Q1282=3,1,2),IF(M1269=1,IF(Q1282=3,2,3))),IF(X1268&gt;X1269,IF(M1269=2,IF(Q1282=3,2,3),IF(M1269=1,IF(Q1282=3,3,4))))))),"")))),"")</f>
        <v/>
      </c>
      <c r="AC1281" s="192"/>
      <c r="AD1281" s="192"/>
      <c r="AE1281" s="192"/>
      <c r="AF1281" s="192"/>
      <c r="AG1281" s="192"/>
      <c r="AH1281" s="192"/>
      <c r="AI1281" s="192"/>
      <c r="AJ1281" s="192"/>
      <c r="AK1281" s="192"/>
      <c r="AL1281" s="192"/>
      <c r="AM1281" s="192"/>
      <c r="AN1281" s="192"/>
      <c r="AO1281" s="192"/>
      <c r="AP1281" s="192"/>
      <c r="AQ1281" s="192"/>
      <c r="AR1281" s="192"/>
      <c r="AS1281" s="192"/>
      <c r="AT1281" s="192"/>
      <c r="AU1281" s="192"/>
      <c r="AV1281" s="192"/>
      <c r="AW1281" s="192"/>
      <c r="AX1281" s="192"/>
    </row>
    <row r="1282" spans="2:50" ht="15" customHeight="1" thickTop="1" x14ac:dyDescent="0.3">
      <c r="B1282" s="192"/>
      <c r="C1282" s="192"/>
      <c r="D1282" s="192"/>
      <c r="E1282" s="164" t="str">
        <f>IF(Q1282="","",IF(Q1282=3,1,0))</f>
        <v/>
      </c>
      <c r="F1282" s="164" t="str">
        <f>IF(Q1282="","",IF(Q1282&lt;3,1,0))</f>
        <v/>
      </c>
      <c r="G1282" s="192"/>
      <c r="H1282" s="192" t="str">
        <f>IF(I1270="","",2)</f>
        <v/>
      </c>
      <c r="I1282" s="192" t="str">
        <f>IF(ISNUMBER(H1282),VLOOKUP(H1282,H1268:I1271,2,TRUE),"")</f>
        <v/>
      </c>
      <c r="J1282" s="192"/>
      <c r="K1282" s="192" t="str">
        <f>VLOOKUP(I1282,I1268:L1271,3,FALSE)</f>
        <v/>
      </c>
      <c r="L1282" s="253"/>
      <c r="M1282" s="254"/>
      <c r="N1282" s="254"/>
      <c r="O1282" s="152"/>
      <c r="P1282" s="153"/>
      <c r="Q1282" s="255" t="str">
        <f>IF(L1282="","",IF(AND(L1282-L1283&gt;1,L1282&gt;10),1,0)+IF(AND(M1282-M1283&gt;1,M1282&gt;10),1,0)+IF(AND(N1282-N1283&gt;1,N1282&gt;10),1,0)+IF(AND(O1282-O1283&gt;1,O1282&gt;10),1,0)+IF(AND(P1282-P1283&gt;1,P1282&gt;10),1,0))</f>
        <v/>
      </c>
      <c r="R1282" s="203" t="str">
        <f>IF(AND(I1282="",I1283=""),"",ABS(VLOOKUP(I1282,I1268:L1271,4,FALSE)-VLOOKUP(I1283,I1268:L1271,4,FALSE)))</f>
        <v/>
      </c>
      <c r="S1282" s="256" t="str">
        <f>IF(R1283="","",IF(Q1282=3,+R1283,-R1283))</f>
        <v/>
      </c>
      <c r="T1282" s="192"/>
      <c r="U1282" s="235"/>
      <c r="V1282" s="235"/>
      <c r="W1282" s="235"/>
      <c r="X1282" s="235"/>
      <c r="Y1282" s="235"/>
      <c r="Z1282" s="235"/>
      <c r="AA1282" s="246">
        <v>3</v>
      </c>
      <c r="AB1282" s="154" t="str">
        <f>IF(AND(COUNTBLANK(I1268:I1271)=0,Group_players=4,M1269=M1270,M1270=M1271),IF(COUNTIF(X1267:X1270,X1269)=3,AB1295,IF(AND(COUNTIF(X1267:X1270,X1269)=1,X1268&lt;&gt;X1270),IF(M1270=2,IF(SMALL(X1267:X1270,1)=X1269,1,IF(SMALL(X1267:X1270,2)=X1269,2,IF(SMALL(X1267:X1270,3)=X1269,3))),IF(M1270=1,IF(SMALL(X1267:X1270,1)=X1269,2,IF(SMALL(X1267:X1270,2)=X1269,3,IF(SMALL(X1267:X1270,3)=X1269,4))),"")),IF(COUNTIF(X1267:X1270,X1269)=1,IF(X1269&lt;X1268,IF(M1270=2,1,2),IF(M1270=2,3,4)),IF(COUNTIF(X1267:X1270,X1269)=2,IF(X1269=X1268,IF(X1269&lt;X1270,IF(M1270=2,IF(Q1289=3,1,2),IF(M1270=1,IF(Q1289=3,2,3))),IF(X1269&gt;X1270,IF(M1270=2,IF(Q1289=3,2,3),IF(M1270=1,IF(Q1289=3,3,4))))),IF(X1269=X1270,IF(X1269&lt;X1268,IF(M1270=2,IF(Q1294=3,1,2),IF(M1270=1,IF(Q1294=3,2,3))),IF(X1269&gt;X1268,IF(M1270=2,IF(Q1294=3,2,3),IF(M1270=1,IF(Q1294=3,3,4))))))),"")))),"")</f>
        <v/>
      </c>
      <c r="AC1282" s="192"/>
      <c r="AD1282" s="192"/>
      <c r="AE1282" s="192"/>
      <c r="AF1282" s="192"/>
      <c r="AG1282" s="192"/>
      <c r="AH1282" s="192"/>
      <c r="AI1282" s="192"/>
      <c r="AJ1282" s="192"/>
      <c r="AK1282" s="192"/>
      <c r="AL1282" s="192"/>
      <c r="AM1282" s="192"/>
      <c r="AN1282" s="192"/>
      <c r="AO1282" s="192"/>
      <c r="AP1282" s="192"/>
      <c r="AQ1282" s="192"/>
      <c r="AR1282" s="192"/>
      <c r="AS1282" s="192"/>
      <c r="AT1282" s="192"/>
      <c r="AU1282" s="192"/>
      <c r="AV1282" s="192"/>
      <c r="AW1282" s="192"/>
      <c r="AX1282" s="192"/>
    </row>
    <row r="1283" spans="2:50" ht="15" customHeight="1" thickBot="1" x14ac:dyDescent="0.35">
      <c r="B1283" s="192"/>
      <c r="C1283" s="192"/>
      <c r="D1283" s="192"/>
      <c r="E1283" s="164" t="str">
        <f>IF(Q1283="","",IF(Q1283=3,1,0))</f>
        <v/>
      </c>
      <c r="F1283" s="164" t="str">
        <f>IF(Q1283="","",IF(Q1283&lt;3,1,0))</f>
        <v/>
      </c>
      <c r="G1283" s="192"/>
      <c r="H1283" s="192" t="str">
        <f>IF(I1270="","",IF(I1271="",3,4))</f>
        <v/>
      </c>
      <c r="I1283" s="192" t="str">
        <f>IF(ISNUMBER(H1283),VLOOKUP(H1283,H1268:I1271,2,TRUE),"")</f>
        <v/>
      </c>
      <c r="J1283" s="192"/>
      <c r="K1283" s="192" t="str">
        <f>VLOOKUP(I1283,I1268:L1271,3,FALSE)</f>
        <v/>
      </c>
      <c r="L1283" s="155"/>
      <c r="M1283" s="259"/>
      <c r="N1283" s="259"/>
      <c r="O1283" s="156"/>
      <c r="P1283" s="157"/>
      <c r="Q1283" s="260" t="str">
        <f>IF(L1283="","",IF(AND(L1283-L1282&gt;1,L1283&gt;10),1,0)+IF(AND(M1283-M1282&gt;1,M1283&gt;10),1,0)+IF(AND(N1283-N1282&gt;1,N1283&gt;10),1,0)+IF(AND(O1283-O1282&gt;1,O1283&gt;10),1,0)+IF(AND(P1283-P1282&gt;1,P1283&gt;10),1,0))</f>
        <v/>
      </c>
      <c r="R1283" s="203" t="str">
        <f>IF(AND(Q1282&lt;&gt;3,Q1283&lt;&gt;3),"",IF(Q1282=3,IF(VLOOKUP(I1282,I1268:L1271,4,FALSE)&gt;VLOOKUP(I1283,I1268:L1271,4,FALSE),VLOOKUP(R1282,Point_dif,2,FALSE),VLOOKUP(R1282,Point_dif,3,FALSE)),IF(Q1283=3,IF(VLOOKUP(I1283,I1268:L1271,4,FALSE)&gt;VLOOKUP(I1282,I1268:L1271,4,FALSE),VLOOKUP(R1282,Point_dif,2,FALSE),VLOOKUP(R1282,Point_dif,3,FALSE)))))</f>
        <v/>
      </c>
      <c r="S1283" s="256" t="str">
        <f>IF(R1283="","",IF(Q1283=3,+R1283,-R1283))</f>
        <v/>
      </c>
      <c r="T1283" s="192"/>
      <c r="U1283" s="235"/>
      <c r="V1283" s="235"/>
      <c r="W1283" s="235"/>
      <c r="X1283" s="235"/>
      <c r="Y1283" s="235"/>
      <c r="Z1283" s="235"/>
      <c r="AA1283" s="261">
        <v>4</v>
      </c>
      <c r="AB1283" s="158" t="str">
        <f>IF(AND(COUNTBLANK(I1268:I1271)=0,Group_players=4,M1269=M1270,M1270=M1271),IF(COUNTIF(X1267:X1270,X1270)=3,AB1296,IF(AND(COUNTIF(X1267:X1270,X1270)=1,X1269&lt;&gt;X1268),IF(M1271=2,IF(SMALL(X1267:X1270,1)=X1270,1,IF(SMALL(X1267:X1270,2)=X1270,2,IF(SMALL(X1267:X1270,3)=X1270,3))),IF(M1271=1,IF(SMALL(X1267:X1270,1)=X1270,2,IF(SMALL(X1267:X1270,2)=X1270,3,IF(SMALL(X1267:X1270,3)=X1270,4))),"")),IF(COUNTIF(X1267:X1270,X1270)=1,IF(X1270&lt;X1268,IF(M1271=2,1,2),IF(M1271=2,3,4)),IF(COUNTIF(X1267:X1270,X1270)=2,IF(X1270=X1268,IF(X1270&lt;X1269,IF(M1271=2,IF(Q1283=3,1,2),IF(M1271=1,IF(Q1283=3,2,3))),IF(X1270&gt;X1269,IF(M1271=2,IF(Q1283=3,2,3),IF(M1271=1,IF(Q1283=3,3,4))))),IF(X1270=X1269,IF(X1270&lt;X1268,IF(M1271=2,IF(Q1295=3,1,2),IF(M1271=1,IF(Q1295=3,2,3))),IF(X1270&gt;X1268,IF(M1271=2,IF(Q1295=3,2,3),IF(M1271=1,IF(Q1295=3,3,4))))))),"")))),"")</f>
        <v/>
      </c>
      <c r="AC1283" s="192"/>
      <c r="AD1283" s="192"/>
      <c r="AE1283" s="192"/>
      <c r="AF1283" s="192"/>
      <c r="AG1283" s="192"/>
      <c r="AH1283" s="192"/>
      <c r="AI1283" s="192"/>
      <c r="AJ1283" s="192"/>
      <c r="AK1283" s="192"/>
      <c r="AL1283" s="192"/>
      <c r="AM1283" s="192"/>
      <c r="AN1283" s="192"/>
      <c r="AO1283" s="192"/>
      <c r="AP1283" s="192"/>
      <c r="AQ1283" s="192"/>
      <c r="AR1283" s="192"/>
      <c r="AS1283" s="192"/>
      <c r="AT1283" s="192"/>
      <c r="AU1283" s="192"/>
      <c r="AV1283" s="192"/>
      <c r="AW1283" s="192"/>
      <c r="AX1283" s="192"/>
    </row>
    <row r="1284" spans="2:50" ht="15" customHeight="1" thickTop="1" thickBot="1" x14ac:dyDescent="0.35">
      <c r="B1284" s="192"/>
      <c r="C1284" s="192"/>
      <c r="D1284" s="192"/>
      <c r="E1284" s="164"/>
      <c r="F1284" s="164"/>
      <c r="G1284" s="192"/>
      <c r="H1284" s="192"/>
      <c r="I1284" s="249" t="s">
        <v>117</v>
      </c>
      <c r="J1284" s="249"/>
      <c r="K1284" s="249"/>
      <c r="L1284" s="250" t="s">
        <v>115</v>
      </c>
      <c r="M1284" s="250" t="s">
        <v>116</v>
      </c>
      <c r="N1284" s="250" t="s">
        <v>117</v>
      </c>
      <c r="O1284" s="250" t="s">
        <v>118</v>
      </c>
      <c r="P1284" s="250" t="s">
        <v>119</v>
      </c>
      <c r="Q1284" s="250" t="s">
        <v>120</v>
      </c>
      <c r="R1284" s="250"/>
      <c r="S1284" s="251"/>
      <c r="T1284" s="263"/>
      <c r="U1284" s="264"/>
      <c r="V1284" s="242"/>
      <c r="W1284" s="242"/>
      <c r="X1284" s="264"/>
      <c r="Y1284" s="192"/>
      <c r="Z1284" s="203"/>
      <c r="AA1284" s="126" t="s">
        <v>93</v>
      </c>
      <c r="AB1284" s="265" t="s">
        <v>110</v>
      </c>
      <c r="AC1284" s="192"/>
      <c r="AD1284" s="192"/>
      <c r="AE1284" s="192"/>
      <c r="AF1284" s="192"/>
      <c r="AG1284" s="192"/>
      <c r="AH1284" s="192"/>
      <c r="AI1284" s="192"/>
      <c r="AJ1284" s="192"/>
      <c r="AK1284" s="192"/>
      <c r="AL1284" s="192"/>
      <c r="AM1284" s="192"/>
      <c r="AN1284" s="192"/>
      <c r="AO1284" s="192"/>
      <c r="AP1284" s="192"/>
      <c r="AQ1284" s="192"/>
      <c r="AR1284" s="192"/>
      <c r="AS1284" s="192"/>
      <c r="AT1284" s="192"/>
      <c r="AU1284" s="192"/>
      <c r="AV1284" s="192"/>
      <c r="AW1284" s="192"/>
      <c r="AX1284" s="192"/>
    </row>
    <row r="1285" spans="2:50" ht="15" customHeight="1" thickTop="1" x14ac:dyDescent="0.3">
      <c r="B1285" s="192"/>
      <c r="C1285" s="192"/>
      <c r="D1285" s="192"/>
      <c r="E1285" s="164" t="str">
        <f>IF(Q1285="","",IF(Q1285=3,1,0))</f>
        <v/>
      </c>
      <c r="F1285" s="164" t="str">
        <f>IF(Q1285="","",IF(Q1285&lt;3,1,0))</f>
        <v/>
      </c>
      <c r="G1285" s="192"/>
      <c r="H1285" s="192" t="str">
        <f>IF(I1270&lt;&gt;"",1,"")</f>
        <v/>
      </c>
      <c r="I1285" s="192" t="str">
        <f>IF(ISNUMBER(H1285),VLOOKUP(H1285,H1268:I1271,2,TRUE),"")</f>
        <v/>
      </c>
      <c r="J1285" s="192"/>
      <c r="K1285" s="192" t="str">
        <f>VLOOKUP(I1285,I1268:L1271,3,FALSE)</f>
        <v/>
      </c>
      <c r="L1285" s="253"/>
      <c r="M1285" s="254"/>
      <c r="N1285" s="254"/>
      <c r="O1285" s="152"/>
      <c r="P1285" s="153"/>
      <c r="Q1285" s="255" t="str">
        <f>IF(L1285="","",IF(AND(L1285-L1286&gt;1,L1285&gt;10),1,0)+IF(AND(M1285-M1286&gt;1,M1285&gt;10),1,0)+IF(AND(N1285-N1286&gt;1,N1285&gt;10),1,0)+IF(AND(O1285-O1286&gt;1,O1285&gt;10),1,0)+IF(AND(P1285-P1286&gt;1,P1285&gt;10),1,0))</f>
        <v/>
      </c>
      <c r="R1285" s="203" t="str">
        <f>IF(AND(I1285="",I1286=""),"",ABS(VLOOKUP(I1285,I1268:L1271,4,FALSE)-VLOOKUP(I1286,I1268:L1271,4,FALSE)))</f>
        <v/>
      </c>
      <c r="S1285" s="256" t="str">
        <f>IF(R1286="","",IF(Q1285=3,+R1286,-R1286))</f>
        <v/>
      </c>
      <c r="T1285" s="192"/>
      <c r="U1285" s="235"/>
      <c r="V1285" s="235"/>
      <c r="W1285" s="235"/>
      <c r="X1285" s="235"/>
      <c r="Y1285" s="235"/>
      <c r="Z1285" s="235"/>
      <c r="AA1285" s="243">
        <v>1</v>
      </c>
      <c r="AB1285" s="222" t="str">
        <f>IF(AND(COUNTBLANK(I1268:I1271)=0,Group_players=4,M1268=M1269,M1269=M1270),IF(U1275="","",IF(COUNTIF(U1275:U1278,U1275)=3,"Tied",IF(AND(COUNTIF(U1275:U1278,U1275)=1,U1276&lt;&gt;U1277),IF(M1268=2,IF(SMALL(U1275:U1278,1)=U1275,1,IF(SMALL(U1275:U1278,2)=U1275,2,IF(SMALL(U1275:U1278,3)=U1275,3))),IF(M1268=1,IF(SMALL(U1275:U1278,1)=U1275,2,IF(SMALL(U1275:U1278,2)=U1275,3,IF(SMALL(U1275:U1278,3)=U1275,4))),"")),IF(COUNTIF(U1275:U1278,U1275)=1,IF(U1275&lt;U1276,IF(M1268=2,1,2),IF(M1268=2,3,4)),IF(COUNTIF(U1275:U1278,U1275)=2,IF(U1275=U1276,IF(U1275&lt;U1277,IF(M1268=2,IF(Q1291=3,1,2),IF(M1268=1,IF(Q1291=3,2,3))),IF(U1275&gt;U1277,IF(M1268=2,IF(Q1291=3,2,3),IF(M1268=1,IF(Q1291=3,3,4))))),IF(U1275=U1277,IF(U1275&lt;U1276,IF(M1268=2,IF(Q1279=3,1,2),IF(M1268=1,IF(Q1279=3,2,3))),IF(U1275&gt;U1276,IF(M1268=2,IF(Q1279=3,2,3),IF(M1268=1,IF(Q1279=3,3,4)))))))))))),"")</f>
        <v/>
      </c>
      <c r="AC1285" s="192"/>
      <c r="AD1285" s="192"/>
      <c r="AE1285" s="192"/>
      <c r="AF1285" s="192"/>
      <c r="AG1285" s="192"/>
      <c r="AH1285" s="192"/>
      <c r="AI1285" s="192"/>
      <c r="AJ1285" s="192"/>
      <c r="AK1285" s="192"/>
      <c r="AL1285" s="192"/>
      <c r="AM1285" s="192"/>
      <c r="AN1285" s="192"/>
      <c r="AO1285" s="192"/>
      <c r="AP1285" s="192"/>
      <c r="AQ1285" s="192"/>
      <c r="AR1285" s="192"/>
      <c r="AS1285" s="192"/>
      <c r="AT1285" s="192"/>
      <c r="AU1285" s="192"/>
      <c r="AV1285" s="192"/>
      <c r="AW1285" s="192"/>
      <c r="AX1285" s="192"/>
    </row>
    <row r="1286" spans="2:50" ht="15" customHeight="1" thickBot="1" x14ac:dyDescent="0.35">
      <c r="B1286" s="192"/>
      <c r="C1286" s="192"/>
      <c r="D1286" s="192"/>
      <c r="E1286" s="164" t="str">
        <f>IF(Q1286="","",IF(Q1286=3,1,0))</f>
        <v/>
      </c>
      <c r="F1286" s="164" t="str">
        <f>IF(Q1286="","",IF(Q1286&lt;3,1,0))</f>
        <v/>
      </c>
      <c r="G1286" s="192"/>
      <c r="H1286" s="192" t="str">
        <f>IF(I1270="","",IF(I1271&lt;&gt;"",4,2))</f>
        <v/>
      </c>
      <c r="I1286" s="192" t="str">
        <f>IF(ISNUMBER(H1286),VLOOKUP(H1286,H1268:I1271,2,TRUE),"")</f>
        <v/>
      </c>
      <c r="J1286" s="192"/>
      <c r="K1286" s="192" t="str">
        <f>VLOOKUP(I1286,I1268:L1271,3,FALSE)</f>
        <v/>
      </c>
      <c r="L1286" s="155"/>
      <c r="M1286" s="259"/>
      <c r="N1286" s="259"/>
      <c r="O1286" s="156"/>
      <c r="P1286" s="157"/>
      <c r="Q1286" s="260" t="str">
        <f>IF(L1286="","",IF(AND(L1286-L1285&gt;1,L1286&gt;10),1,0)+IF(AND(M1286-M1285&gt;1,M1286&gt;10),1,0)+IF(AND(N1286-N1285&gt;1,N1286&gt;10),1,0)+IF(AND(O1286-O1285&gt;1,O1286&gt;10),1,0)+IF(AND(P1286-P1285&gt;1,P1286&gt;10),1,0))</f>
        <v/>
      </c>
      <c r="R1286" s="203" t="str">
        <f>IF(AND(Q1285&lt;&gt;3,Q1286&lt;&gt;3),"",IF(Q1285=3,IF(VLOOKUP(I1285,I1268:L1271,4,FALSE)&gt;VLOOKUP(I1286,I1268:L1271,4,FALSE),VLOOKUP(R1285,Point_dif,2,FALSE),VLOOKUP(R1285,Point_dif,3,FALSE)),IF(Q1286=3,IF(VLOOKUP(I1286,I1268:L1271,4,FALSE)&gt;VLOOKUP(I1285,I1268:L1271,4,FALSE),VLOOKUP(R1285,Point_dif,2,FALSE),VLOOKUP(R1285,Point_dif,3,FALSE)))))</f>
        <v/>
      </c>
      <c r="S1286" s="256" t="str">
        <f>IF(R1286="","",IF(Q1286=3,+R1286,-R1286))</f>
        <v/>
      </c>
      <c r="T1286" s="192"/>
      <c r="U1286" s="235"/>
      <c r="V1286" s="235"/>
      <c r="W1286" s="235"/>
      <c r="X1286" s="235"/>
      <c r="Y1286" s="235"/>
      <c r="Z1286" s="235"/>
      <c r="AA1286" s="246">
        <v>2</v>
      </c>
      <c r="AB1286" s="222" t="str">
        <f>IF(AND(COUNTBLANK(I1268:I1271)=0,Group_players=4,M1268=M1269,M1269=M1270),IF(U1276="","",IF(COUNTIF(U1275:U1278,U1276)=3,"Tied",IF(AND(COUNTIF(U1275:U1278,U1276)=1,U1275&lt;&gt;U1277),IF(M1269=2,IF(SMALL(U1275:U1278,1)=U1276,1,IF(SMALL(U1275:U1278,2)=U1276,2,IF(SMALL(U1275:U1278,3)=U1276,3))),IF(M1269=1,IF(SMALL(U1275:U1278,1)=U1276,2,IF(SMALL(U1275:U1278,2)=U1276,3,IF(SMALL(U1275:U1278,3)=U1276,4))),"")),IF(COUNTIF(U1275:U1278,U1276)=1,IF(U1276&lt;U1275,IF(M1269=2,1,2),IF(M1269=2,3,4)),IF(COUNTIF(U1275:U1278,U1276)=2,IF(U1276=U1275,IF(U1276&lt;U1277,IF(M1269=2,IF(Q1292=3,1,2),IF(M1269=1,IF(Q1292=3,2,3))),IF(U1276&gt;U1277,IF(M1269=2,IF(Q1292=3,2,3),IF(M1269=1,IF(Q1292=3,3,4))))),IF(U1276=U1277,IF(U1276&lt;U1275,IF(M1269=2,IF(Q1288=3,1,2),IF(M1269=1,IF(Q1288=3,2,3))),IF(U1276&gt;U1275,IF(M1269=2,IF(Q1288=3,2,3),IF(M1269=1,IF(Q1288=3,3,4)))))))))))),"")</f>
        <v/>
      </c>
      <c r="AC1286" s="192"/>
      <c r="AD1286" s="192"/>
      <c r="AE1286" s="192"/>
      <c r="AF1286" s="192"/>
      <c r="AG1286" s="192"/>
      <c r="AH1286" s="192"/>
      <c r="AI1286" s="192"/>
      <c r="AJ1286" s="192"/>
      <c r="AK1286" s="192"/>
      <c r="AL1286" s="192"/>
      <c r="AM1286" s="192"/>
      <c r="AN1286" s="192"/>
      <c r="AO1286" s="192"/>
      <c r="AP1286" s="192"/>
      <c r="AQ1286" s="192"/>
      <c r="AR1286" s="192"/>
      <c r="AS1286" s="192"/>
      <c r="AT1286" s="192"/>
      <c r="AU1286" s="192"/>
      <c r="AV1286" s="192"/>
      <c r="AW1286" s="192"/>
      <c r="AX1286" s="192"/>
    </row>
    <row r="1287" spans="2:50" ht="15" customHeight="1" thickTop="1" thickBot="1" x14ac:dyDescent="0.35">
      <c r="B1287" s="192"/>
      <c r="C1287" s="192"/>
      <c r="D1287" s="192"/>
      <c r="E1287" s="164"/>
      <c r="F1287" s="164"/>
      <c r="G1287" s="192"/>
      <c r="H1287" s="192"/>
      <c r="I1287" s="249" t="s">
        <v>118</v>
      </c>
      <c r="J1287" s="249"/>
      <c r="K1287" s="249"/>
      <c r="L1287" s="250" t="s">
        <v>115</v>
      </c>
      <c r="M1287" s="250" t="s">
        <v>116</v>
      </c>
      <c r="N1287" s="250" t="s">
        <v>117</v>
      </c>
      <c r="O1287" s="250" t="s">
        <v>118</v>
      </c>
      <c r="P1287" s="250" t="s">
        <v>119</v>
      </c>
      <c r="Q1287" s="250" t="s">
        <v>120</v>
      </c>
      <c r="R1287" s="250"/>
      <c r="S1287" s="251"/>
      <c r="T1287" s="192"/>
      <c r="U1287" s="235"/>
      <c r="V1287" s="235"/>
      <c r="W1287" s="235"/>
      <c r="X1287" s="235"/>
      <c r="Y1287" s="235"/>
      <c r="Z1287" s="235"/>
      <c r="AA1287" s="240">
        <v>3</v>
      </c>
      <c r="AB1287" s="241" t="str">
        <f>IF(AND(COUNTBLANK(I1268:I1271)=0,Group_players=4,M1268=M1269,M1269=M1270),IF(U1277="","",IF(COUNTIF(U1275:U1278,U1277)=3,"Tied",IF(AND(COUNTIF(U1275:U1278,U1277)=1,U1275&lt;&gt;U1276),IF(M1268=2,IF(SMALL(U1275:U1278,1)=U1277,1,IF(SMALL(U1275:U1278,2)=U1277,2,IF(SMALL(U1275:U1278,3)=U1277,3))),IF(M1270=1,IF(SMALL(U1275:U1278,1)=U1277,2,IF(SMALL(U1275:U1278,2)=U1277,3,IF(SMALL(U1275:U1278,3)=U1277,4))),"")),IF(COUNTIF(U1275:U1278,U1277)=1,IF(U1277&lt;U1276,IF(M1270=2,1,2),IF(M1270=2,3,4)),IF(COUNTIF(U1275:U1278,U1277)=2,IF(U1277=U1276,IF(U1277&lt;U1275,IF(M1270=2,IF(Q1289=3,1,2),IF(M1270=1,IF(Q1289=3,2,3))),IF(U1277&gt;U1275,IF(M1270=2,IF(Q1289=3,2,3),IF(M1270=1,IF(Q1289=3,3,4))))),IF(U1277=U1275,IF(U1277&lt;U1276,IF(M1270=2,IF(Q1280=3,1,2),IF(M1270=1,IF(Q1280=3,2,3))),IF(U1277&gt;U1276,IF(M1270=2,IF(Q1280=3,2,3),IF(M1270=1,IF(Q1280=3,3,4)))))))))))),"")</f>
        <v/>
      </c>
      <c r="AC1287" s="192"/>
      <c r="AD1287" s="192"/>
      <c r="AE1287" s="192"/>
      <c r="AF1287" s="192"/>
      <c r="AG1287" s="192"/>
      <c r="AH1287" s="192"/>
      <c r="AI1287" s="192"/>
      <c r="AJ1287" s="192"/>
      <c r="AK1287" s="192"/>
      <c r="AL1287" s="192"/>
      <c r="AM1287" s="192"/>
      <c r="AN1287" s="192"/>
      <c r="AO1287" s="192"/>
      <c r="AP1287" s="192"/>
      <c r="AQ1287" s="192"/>
      <c r="AR1287" s="192"/>
      <c r="AS1287" s="192"/>
      <c r="AT1287" s="192"/>
      <c r="AU1287" s="192"/>
      <c r="AV1287" s="192"/>
      <c r="AW1287" s="192"/>
      <c r="AX1287" s="192"/>
    </row>
    <row r="1288" spans="2:50" ht="15" customHeight="1" thickTop="1" x14ac:dyDescent="0.3">
      <c r="B1288" s="192"/>
      <c r="C1288" s="192"/>
      <c r="D1288" s="192"/>
      <c r="E1288" s="164" t="str">
        <f>IF(Q1288="","",IF(Q1288=3,1,0))</f>
        <v/>
      </c>
      <c r="F1288" s="164" t="str">
        <f>IF(Q1288="","",IF(Q1288&lt;3,1,0))</f>
        <v/>
      </c>
      <c r="G1288" s="192"/>
      <c r="H1288" s="192" t="str">
        <f>IF(I1271&lt;&gt;"",2,"")</f>
        <v/>
      </c>
      <c r="I1288" s="192" t="str">
        <f>IF(ISNUMBER(H1288),VLOOKUP(H1288,H1268:I1271,2,TRUE),"")</f>
        <v/>
      </c>
      <c r="J1288" s="192"/>
      <c r="K1288" s="192" t="str">
        <f>VLOOKUP(I1288,I1268:L1271,3,FALSE)</f>
        <v/>
      </c>
      <c r="L1288" s="253"/>
      <c r="M1288" s="254"/>
      <c r="N1288" s="254"/>
      <c r="O1288" s="152"/>
      <c r="P1288" s="153"/>
      <c r="Q1288" s="255" t="str">
        <f>IF(L1288="","",IF(AND(L1288-L1289&gt;1,L1288&gt;10),1,0)+IF(AND(M1288-M1289&gt;1,M1288&gt;10),1,0)+IF(AND(N1288-N1289&gt;1,N1288&gt;10),1,0)+IF(AND(O1288-O1289&gt;1,O1288&gt;10),1,0)+IF(AND(P1288-P1289&gt;1,P1288&gt;10),1,0))</f>
        <v/>
      </c>
      <c r="R1288" s="203" t="str">
        <f>IF(AND(I1288="",I1289=""),"",ABS(VLOOKUP(I1288,I1268:L1271,4,FALSE)-VLOOKUP(I1289,I1268:L1271,4,FALSE)))</f>
        <v/>
      </c>
      <c r="S1288" s="256" t="str">
        <f>IF(R1289="","",IF(Q1288=3,+R1289,-R1289))</f>
        <v/>
      </c>
      <c r="T1288" s="192"/>
      <c r="U1288" s="235"/>
      <c r="V1288" s="235"/>
      <c r="W1288" s="235"/>
      <c r="X1288" s="235"/>
      <c r="Y1288" s="235"/>
      <c r="Z1288" s="235"/>
      <c r="AA1288" s="243">
        <v>1</v>
      </c>
      <c r="AB1288" s="222" t="str">
        <f>IF(AND(COUNTBLANK(I1268:I1271)=0,Group_players=4,M1268=M1270,M1270=M1271),IF(V1275="","",IF(COUNTIF(V1275:V1278,V1275)=3,"Tied",IF(AND(COUNTIF(V1275:V1278,V1275)=1,V1277&lt;&gt;U1278),IF(M1268=2,IF(SMALL(V1275:V1278,1)=V1275,1,IF(SMALL(V1275:V1278,2)=V1275,2,IF(SMALL(V1275:V1278,3)=V1275,3))),IF(M1268=1,IF(SMALL(V1275:V1278,1)=V1275,2,IF(SMALL(V1275:V1278,2)=V1275,3,IF(SMALL(V1275:V1278,3)=V1275,4))),"")),IF(COUNTIF(V1275:V1278,V1275)=1,IF(V1275&lt;V1277,IF(M1268=2,1,2),IF(M1268=2,3,4)),IF(COUNTIF(V1275:V1278,V1275)=2,IF(V1275=V1277,IF(V1275&lt;V1278,IF(M1268=2,IF(Q1279=3,1,2),IF(M1268=1,IF(Q1279=3,2,3))),IF(V1275&gt;V1278,IF(M1268=2,IF(Q1279=3,2,3),IF(M1268=1,IF(Q1279=3,3,4))))),IF(V1275=V1278,IF(V1275&lt;V1277,IF(M1268=2,IF(Q1285=3,1,2),IF(M1268=1,IF(Q1285=3,2,3))),IF(V1275&gt;V1276,IF(M1268=2,IF(Q1285=3,2,3),IF(M1268=1,IF(Q1285=3,3,4)))))))))))),"")</f>
        <v/>
      </c>
      <c r="AC1288" s="192"/>
      <c r="AD1288" s="192"/>
      <c r="AE1288" s="192"/>
      <c r="AF1288" s="192"/>
      <c r="AG1288" s="192"/>
      <c r="AH1288" s="192"/>
      <c r="AI1288" s="192"/>
      <c r="AJ1288" s="192"/>
      <c r="AK1288" s="192"/>
      <c r="AL1288" s="192"/>
      <c r="AM1288" s="192"/>
      <c r="AN1288" s="192"/>
      <c r="AO1288" s="192"/>
      <c r="AP1288" s="192"/>
      <c r="AQ1288" s="192"/>
      <c r="AR1288" s="192"/>
      <c r="AS1288" s="192"/>
      <c r="AT1288" s="192"/>
      <c r="AU1288" s="192"/>
      <c r="AV1288" s="192"/>
      <c r="AW1288" s="192"/>
      <c r="AX1288" s="192"/>
    </row>
    <row r="1289" spans="2:50" ht="15" customHeight="1" thickBot="1" x14ac:dyDescent="0.35">
      <c r="B1289" s="192"/>
      <c r="C1289" s="192"/>
      <c r="D1289" s="192"/>
      <c r="E1289" s="164" t="str">
        <f>IF(Q1289="","",IF(Q1289=3,1,0))</f>
        <v/>
      </c>
      <c r="F1289" s="164" t="str">
        <f>IF(Q1289="","",IF(Q1289&lt;3,1,0))</f>
        <v/>
      </c>
      <c r="G1289" s="192"/>
      <c r="H1289" s="192" t="str">
        <f>IF(I1271&lt;&gt;"",3,"")</f>
        <v/>
      </c>
      <c r="I1289" s="192" t="str">
        <f>IF(ISNUMBER(H1289),VLOOKUP(H1289,H1268:I1271,2,TRUE),"")</f>
        <v/>
      </c>
      <c r="J1289" s="192"/>
      <c r="K1289" s="192" t="str">
        <f>VLOOKUP(I1289,I1268:L1271,3,FALSE)</f>
        <v/>
      </c>
      <c r="L1289" s="155"/>
      <c r="M1289" s="259"/>
      <c r="N1289" s="259"/>
      <c r="O1289" s="156"/>
      <c r="P1289" s="157"/>
      <c r="Q1289" s="260" t="str">
        <f>IF(L1289="","",IF(AND(L1289-L1288&gt;1,L1289&gt;10),1,0)+IF(AND(M1289-M1288&gt;1,M1289&gt;10),1,0)+IF(AND(N1289-N1288&gt;1,N1289&gt;10),1,0)+IF(AND(O1289-O1288&gt;1,O1289&gt;10),1,0)+IF(AND(P1289-P1288&gt;1,P1289&gt;10),1,0))</f>
        <v/>
      </c>
      <c r="R1289" s="203" t="str">
        <f>IF(AND(Q1288&lt;&gt;3,Q1289&lt;&gt;3),"",IF(Q1288=3,IF(VLOOKUP(I1288,I1268:L1271,4,FALSE)&gt;VLOOKUP(I1289,I1268:L1271,4,FALSE),VLOOKUP(R1288,Point_dif,2,FALSE),VLOOKUP(R1288,Point_dif,3,FALSE)),IF(Q1289=3,IF(VLOOKUP(I1289,I1268:L1271,4,FALSE)&gt;VLOOKUP(I1288,I1268:L1271,4,FALSE),VLOOKUP(R1288,Point_dif,2,FALSE),VLOOKUP(R1288,Point_dif,3,FALSE)))))</f>
        <v/>
      </c>
      <c r="S1289" s="256" t="str">
        <f>IF(R1289="","",IF(Q1289=3,+R1289,-R1289))</f>
        <v/>
      </c>
      <c r="T1289" s="192"/>
      <c r="U1289" s="159"/>
      <c r="V1289" s="266"/>
      <c r="W1289" s="266"/>
      <c r="X1289" s="266"/>
      <c r="Y1289" s="192"/>
      <c r="Z1289" s="203"/>
      <c r="AA1289" s="246">
        <v>3</v>
      </c>
      <c r="AB1289" s="222" t="str">
        <f>IF(AND(COUNTBLANK(I1268:I1271)=0,Group_players=4,M1268=M1270,M1270=M1271),IF(V1277="","",IF(COUNTIF(V1275:V1278,V1277)=3,"Tied",IF(AND(COUNTIF(V1275:V1278,V1277)=1,V1275&lt;&gt;V1278),IF(M1270=2,IF(SMALL(V1275:V1278,1)=V1277,1,IF(SMALL(V1275:V1278,2)=V1277,2,IF(SMALL(V1275:V1278,3)=V1277,3))),IF(M1270=1,IF(SMALL(V1275:V1278,1)=V1277,2,IF(SMALL(V1275:V1278,2)=V1277,3,IF(SMALL(V1275:V1278,3)=V1277,4))),"")),IF(COUNTIF(V1275:V1278,V1277)=1,IF(V1277&lt;V1275,IF(M1270=2,1,2),IF(M1270=2,3,4)),IF(COUNTIF(V1275:V1278,V1277)=2,IF(V1277=V1275,IF(V1277&lt;V1278,IF(M1270=2,IF(Q1280=3,1,2),IF(M1270=1,IF(Q1280=3,2,3))),IF(V1277&gt;V1278,IF(M1270=2,IF(Q1280=3,2,3),IF(M1270=1,IF(Q1280=3,3,4))))),IF(V1277=V1278,IF(V1277&lt;V1275,IF(M1270=2,IF(Q1294=3,1,2),IF(M1270=1,IF(Q1294=3,2,3))),IF(V1277&gt;V1275,IF(M1270=2,IF(Q1294=3,2,3),IF(M1270=1,IF(Q1294=3,3,4)))))))))))),"")</f>
        <v/>
      </c>
      <c r="AC1289" s="192"/>
      <c r="AD1289" s="192"/>
      <c r="AE1289" s="192"/>
      <c r="AF1289" s="192"/>
      <c r="AG1289" s="192"/>
      <c r="AH1289" s="192"/>
      <c r="AI1289" s="192"/>
      <c r="AJ1289" s="192"/>
      <c r="AK1289" s="192"/>
      <c r="AL1289" s="192"/>
      <c r="AM1289" s="192"/>
      <c r="AN1289" s="192"/>
      <c r="AO1289" s="192"/>
      <c r="AP1289" s="192"/>
      <c r="AQ1289" s="192"/>
      <c r="AR1289" s="192"/>
      <c r="AS1289" s="192"/>
      <c r="AT1289" s="192"/>
      <c r="AU1289" s="192"/>
      <c r="AV1289" s="192"/>
      <c r="AW1289" s="192"/>
      <c r="AX1289" s="192"/>
    </row>
    <row r="1290" spans="2:50" ht="15" customHeight="1" thickTop="1" thickBot="1" x14ac:dyDescent="0.35">
      <c r="B1290" s="192"/>
      <c r="C1290" s="192"/>
      <c r="D1290" s="192"/>
      <c r="E1290" s="164"/>
      <c r="F1290" s="164"/>
      <c r="G1290" s="192"/>
      <c r="H1290" s="192"/>
      <c r="I1290" s="249" t="s">
        <v>119</v>
      </c>
      <c r="J1290" s="249"/>
      <c r="K1290" s="249"/>
      <c r="L1290" s="250" t="s">
        <v>115</v>
      </c>
      <c r="M1290" s="250" t="s">
        <v>116</v>
      </c>
      <c r="N1290" s="250" t="s">
        <v>117</v>
      </c>
      <c r="O1290" s="250" t="s">
        <v>118</v>
      </c>
      <c r="P1290" s="250" t="s">
        <v>119</v>
      </c>
      <c r="Q1290" s="250" t="s">
        <v>120</v>
      </c>
      <c r="R1290" s="250"/>
      <c r="S1290" s="251"/>
      <c r="T1290" s="247"/>
      <c r="U1290" s="235"/>
      <c r="V1290" s="235"/>
      <c r="W1290" s="235"/>
      <c r="X1290" s="235"/>
      <c r="Y1290" s="235"/>
      <c r="Z1290" s="235"/>
      <c r="AA1290" s="240">
        <v>4</v>
      </c>
      <c r="AB1290" s="241" t="str">
        <f>IF(AND(COUNTBLANK(I1268:I1271)=0,Group_players=4,M1268=M1270,M1270=M1271),IF(V1278="","",IF(COUNTIF(V1275:V1278,V1278)=3,"Tied",IF(AND(COUNTIF(V1275:V1278,V1278)=1,V1277&lt;&gt;V1275),IF(M1271=2,IF(SMALL(V1275:V1278,1)=V1278,1,IF(SMALL(V1275:V1278,2)=V1278,2,IF(SMALL(V1275:V1278,3)=V1278,3))),IF(M1271=1,IF(SMALL(V1275:V1278,1)=V1278,2,IF(SMALL(V1275:V1278,2)=V1278,3,IF(SMALL(V1275:V1278,3)=V1278,4))),"")),IF(COUNTIF(V1275:V1278,V1278)=1,IF(V1278&lt;V1275,IF(M1271=2,1,2),IF(M1271=2,3,4)),IF(COUNTIF(V1275:V1278,V1278)=2,IF(V1278=V1275,IF(V1278&lt;V1277,IF(M1271=2,IF(Q1286=3,1,2),IF(M1271=1,IF(Q1286=3,2,3))),IF(V1278&gt;V1277,IF(M1271=2,IF(Q1286=3,2,3),IF(M1271=1,IF(Q1286=3,3,4))))),IF(V1278=V1277,IF(V1278&lt;V1275,IF(M1271=2,IF(Q1295=3,1,2),IF(M1271=1,IF(Q1295=3,2,3))),IF(V1278&gt;V1275,IF(M1271=2,IF(Q1295=3,2,3),IF(M1271=1,IF(Q1295=3,3,4)))))))))))),"")</f>
        <v/>
      </c>
      <c r="AC1290" s="192"/>
      <c r="AD1290" s="192"/>
      <c r="AE1290" s="192"/>
      <c r="AF1290" s="192"/>
      <c r="AG1290" s="192"/>
      <c r="AH1290" s="192"/>
      <c r="AI1290" s="192"/>
      <c r="AJ1290" s="192"/>
      <c r="AK1290" s="192"/>
      <c r="AL1290" s="192"/>
      <c r="AM1290" s="192"/>
      <c r="AN1290" s="192"/>
      <c r="AO1290" s="192"/>
      <c r="AP1290" s="192"/>
      <c r="AQ1290" s="192"/>
      <c r="AR1290" s="192"/>
      <c r="AS1290" s="192"/>
      <c r="AT1290" s="192"/>
      <c r="AU1290" s="192"/>
      <c r="AV1290" s="192"/>
      <c r="AW1290" s="192"/>
      <c r="AX1290" s="192"/>
    </row>
    <row r="1291" spans="2:50" ht="15" customHeight="1" thickTop="1" x14ac:dyDescent="0.3">
      <c r="B1291" s="192"/>
      <c r="C1291" s="192"/>
      <c r="D1291" s="192"/>
      <c r="E1291" s="164" t="str">
        <f>IF(Q1291="","",IF(Q1291=3,1,0))</f>
        <v/>
      </c>
      <c r="F1291" s="164" t="str">
        <f>IF(Q1291="","",IF(Q1291&lt;3,1,0))</f>
        <v/>
      </c>
      <c r="G1291" s="192"/>
      <c r="H1291" s="192" t="str">
        <f>IF(I1271&lt;&gt;"",1,"")</f>
        <v/>
      </c>
      <c r="I1291" s="192" t="str">
        <f>IF(ISNUMBER(H1291),VLOOKUP(H1291,H1268:I1271,2,TRUE),"")</f>
        <v/>
      </c>
      <c r="J1291" s="192"/>
      <c r="K1291" s="192" t="str">
        <f>VLOOKUP(I1291,I1268:L1271,3,FALSE)</f>
        <v/>
      </c>
      <c r="L1291" s="253"/>
      <c r="M1291" s="254"/>
      <c r="N1291" s="254"/>
      <c r="O1291" s="152"/>
      <c r="P1291" s="153"/>
      <c r="Q1291" s="255" t="str">
        <f>IF(L1291="","",IF(AND(L1291-L1292&gt;1,L1291&gt;10),1,0)+IF(AND(M1291-M1292&gt;1,M1291&gt;10),1,0)+IF(AND(N1291-N1292&gt;1,N1291&gt;10),1,0)+IF(AND(O1291-O1292&gt;1,O1291&gt;10),1,0)+IF(AND(P1291-P1292&gt;1,P1291&gt;10),1,0))</f>
        <v/>
      </c>
      <c r="R1291" s="203" t="str">
        <f>IF(AND(I1291="",I1292=""),"",ABS(VLOOKUP(I1291,I1268:L1271,4,FALSE)-VLOOKUP(I1292,I1268:L1271,4,FALSE)))</f>
        <v/>
      </c>
      <c r="S1291" s="256" t="str">
        <f>IF(R1292="","",IF(Q1291=3,+R1292,-R1292))</f>
        <v/>
      </c>
      <c r="T1291" s="247"/>
      <c r="U1291" s="235"/>
      <c r="V1291" s="235"/>
      <c r="W1291" s="235"/>
      <c r="X1291" s="235"/>
      <c r="Y1291" s="235"/>
      <c r="Z1291" s="235"/>
      <c r="AA1291" s="243">
        <v>1</v>
      </c>
      <c r="AB1291" s="222" t="str">
        <f>IF(AND(COUNTBLANK(I1268:I1271)=0,Group_players=4,M1268=M1269,M1269=M1271),IF(W1275="","",IF(COUNTIF(W1275:W1278,W1275)=3,"Tied",IF(AND(COUNTIF(W1275:W1278,W1275)=1,W1276&lt;&gt;W1277),IF(M1268=2,IF(SMALL(W1275:W1278,1)=W1275,1,IF(SMALL(W1275:W1278,2)=W1275,2,IF(SMALL(W1275:W1278,3)=W1275,3))),IF(M1268=1,IF(SMALL(W1275:W1278,1)=W1275,2,IF(SMALL(W1275:W1278,2)=W1275,3,IF(SMALL(W1275:W1278,3)=W1275,4))),"")),IF(COUNTIF(W1275:W1278,W1275)=1,IF(W1275&lt;W1276,IF(M1268=2,1,2),IF(M1268=2,3,4)),IF(COUNTIF(W1275:W1278,W1275)=2,IF(W1275=W1276,IF(W1275&lt;W1278,IF(M1268=2,IF(Q1291=3,1,2),IF(M1268=1,IF(Q1291=3,2,3))),IF(W1275&gt;W1278,IF(M1268=2,IF(Q1291=3,2,3),IF(M1268=1,IF(Q1291=3,3,4))))),IF(W1275=W1278,IF(W1275&lt;W1276,IF(M1268=2,IF(Q1285=3,1,2),IF(M1268=1,IF(Q1285=3,2,3))),IF(W1275&gt;W1276,IF(M1268=2,IF(Q1285=3,2,3),IF(M1268=1,IF(Q1285=3,3,4)))))))))))),"")</f>
        <v/>
      </c>
      <c r="AC1291" s="192"/>
      <c r="AD1291" s="192"/>
      <c r="AE1291" s="192"/>
      <c r="AF1291" s="192"/>
      <c r="AG1291" s="192"/>
      <c r="AH1291" s="192"/>
      <c r="AI1291" s="192"/>
      <c r="AJ1291" s="192"/>
      <c r="AK1291" s="192"/>
      <c r="AL1291" s="192"/>
      <c r="AM1291" s="192"/>
      <c r="AN1291" s="192"/>
      <c r="AO1291" s="192"/>
      <c r="AP1291" s="192"/>
      <c r="AQ1291" s="192"/>
      <c r="AR1291" s="192"/>
      <c r="AS1291" s="192"/>
      <c r="AT1291" s="192"/>
      <c r="AU1291" s="192"/>
      <c r="AV1291" s="192"/>
      <c r="AW1291" s="192"/>
      <c r="AX1291" s="192"/>
    </row>
    <row r="1292" spans="2:50" ht="15" customHeight="1" thickBot="1" x14ac:dyDescent="0.35">
      <c r="B1292" s="192"/>
      <c r="C1292" s="192"/>
      <c r="D1292" s="192"/>
      <c r="E1292" s="164" t="str">
        <f>IF(Q1292="","",IF(Q1292=3,1,0))</f>
        <v/>
      </c>
      <c r="F1292" s="164" t="str">
        <f>IF(Q1292="","",IF(Q1292&lt;3,1,0))</f>
        <v/>
      </c>
      <c r="G1292" s="192"/>
      <c r="H1292" s="192" t="str">
        <f>IF(I1271&lt;&gt;"",2,"")</f>
        <v/>
      </c>
      <c r="I1292" s="192" t="str">
        <f>IF(ISNUMBER(H1292),VLOOKUP(H1292,H1268:I1271,2,TRUE),"")</f>
        <v/>
      </c>
      <c r="J1292" s="192"/>
      <c r="K1292" s="192" t="str">
        <f>VLOOKUP(I1292,I1268:L1271,3,FALSE)</f>
        <v/>
      </c>
      <c r="L1292" s="155"/>
      <c r="M1292" s="259"/>
      <c r="N1292" s="259"/>
      <c r="O1292" s="156"/>
      <c r="P1292" s="157"/>
      <c r="Q1292" s="260" t="str">
        <f>IF(L1292="","",IF(AND(L1292-L1291&gt;1,L1292&gt;10),1,0)+IF(AND(M1292-M1291&gt;1,M1292&gt;10),1,0)+IF(AND(N1292-N1291&gt;1,N1292&gt;10),1,0)+IF(AND(O1292-O1291&gt;1,O1292&gt;10),1,0)+IF(AND(P1292-P1291&gt;1,P1292&gt;10),1,0))</f>
        <v/>
      </c>
      <c r="R1292" s="203" t="str">
        <f>IF(AND(Q1291&lt;&gt;3,Q1292&lt;&gt;3),"",IF(Q1291=3,IF(VLOOKUP(I1291,I1268:L1271,4,FALSE)&gt;VLOOKUP(I1292,I1268:L1271,4,FALSE),VLOOKUP(R1291,Point_dif,2,FALSE),VLOOKUP(R1291,Point_dif,3,FALSE)),IF(Q1292=3,IF(VLOOKUP(I1292,I1268:L1271,4,FALSE)&gt;VLOOKUP(I1292,I1268:L1271,4,FALSE),VLOOKUP(R1291,Point_dif,2,FALSE),VLOOKUP(R1291,Point_dif,3,FALSE)))))</f>
        <v/>
      </c>
      <c r="S1292" s="256" t="str">
        <f>IF(R1292="","",IF(Q1292=3,+R1292,-R1292))</f>
        <v/>
      </c>
      <c r="T1292" s="247"/>
      <c r="U1292" s="235"/>
      <c r="V1292" s="235"/>
      <c r="W1292" s="235"/>
      <c r="X1292" s="235"/>
      <c r="Y1292" s="235"/>
      <c r="Z1292" s="235"/>
      <c r="AA1292" s="246">
        <v>2</v>
      </c>
      <c r="AB1292" s="222" t="str">
        <f>IF(AND(COUNTBLANK(I1268:I1271)=0,Group_players=4,M1268=M1269,M1269=M1271),IF(W1276="","",IF(COUNTIF(W1275:W1278,W1276)=3,"Tied",IF(AND(COUNTIF(W1275:W1278,W1276)=1,W1275&lt;&gt;W1277),IF(M1269=2,IF(SMALL(W1275:W1278,1)=W1276,1,IF(SMALL(W1275:W1278,2)=W1276,2,IF(SMALL(W1275:W1278,3)=W1276,3))),IF(M1269=1,IF(SMALL(W1275:W1278,1)=W1276,2,IF(SMALL(W1275:W1278,2)=W1276,3,IF(SMALL(W1275:W1278,3)=W1276,4))),"")),IF(COUNTIF(W1275:W1278,W1276)=1,IF(W1276&lt;W1275,IF(M1269=2,1,2),IF(M1269=2,3,4)),IF(COUNTIF(W1275:W1278,W1276)=2,IF(W1276=W1275,IF(W1276&lt;W1278,IF(M1269=2,IF(Q1292=3,1,2),IF(M1269=1,IF(Q1292=3,2,3))),IF(W1276&gt;W1278,IF(M1269=2,IF(Q1292=3,2,3),IF(M1269=1,IF(Q1292=3,3,4))))),IF(W1276=W1278,IF(W1276&lt;W1275,IF(M1269=2,IF(Q1282=3,1,2),IF(M1269=1,IF(Q1282=3,2,3))),IF(W1276&gt;W1275,IF(M1269=2,IF(Q1282=3,2,3),IF(M1269=1,IF(Q1282=3,3,4)))))))))))),"")</f>
        <v/>
      </c>
      <c r="AC1292" s="192"/>
      <c r="AD1292" s="192"/>
      <c r="AE1292" s="192"/>
      <c r="AF1292" s="192"/>
      <c r="AG1292" s="192"/>
      <c r="AH1292" s="192"/>
      <c r="AI1292" s="192"/>
      <c r="AJ1292" s="192"/>
      <c r="AK1292" s="192"/>
      <c r="AL1292" s="192"/>
      <c r="AM1292" s="192"/>
      <c r="AN1292" s="192"/>
      <c r="AO1292" s="192"/>
      <c r="AP1292" s="192"/>
      <c r="AQ1292" s="192"/>
      <c r="AR1292" s="192"/>
      <c r="AS1292" s="192"/>
      <c r="AT1292" s="192"/>
      <c r="AU1292" s="192"/>
      <c r="AV1292" s="192"/>
      <c r="AW1292" s="192"/>
      <c r="AX1292" s="192"/>
    </row>
    <row r="1293" spans="2:50" ht="15" customHeight="1" thickTop="1" thickBot="1" x14ac:dyDescent="0.35">
      <c r="B1293" s="192"/>
      <c r="C1293" s="192"/>
      <c r="D1293" s="192"/>
      <c r="E1293" s="164"/>
      <c r="F1293" s="164"/>
      <c r="G1293" s="192"/>
      <c r="H1293" s="192"/>
      <c r="I1293" s="249" t="s">
        <v>121</v>
      </c>
      <c r="J1293" s="249"/>
      <c r="K1293" s="249"/>
      <c r="L1293" s="250" t="s">
        <v>115</v>
      </c>
      <c r="M1293" s="250" t="s">
        <v>116</v>
      </c>
      <c r="N1293" s="250" t="s">
        <v>117</v>
      </c>
      <c r="O1293" s="250" t="s">
        <v>118</v>
      </c>
      <c r="P1293" s="250" t="s">
        <v>119</v>
      </c>
      <c r="Q1293" s="250" t="s">
        <v>120</v>
      </c>
      <c r="R1293" s="250"/>
      <c r="S1293" s="251"/>
      <c r="T1293" s="247"/>
      <c r="U1293" s="235"/>
      <c r="V1293" s="235"/>
      <c r="W1293" s="235"/>
      <c r="X1293" s="235"/>
      <c r="Y1293" s="235"/>
      <c r="Z1293" s="235"/>
      <c r="AA1293" s="240">
        <v>4</v>
      </c>
      <c r="AB1293" s="241" t="str">
        <f>IF(AND(COUNTBLANK(I1268:I1271)=0,Group_players=4,M1268=M1269,M1269=M1271),IF(W1278="","",IF(COUNTIF(W1275:W1278,W1278)=3,"Tied",IF(AND(COUNTIF(W1275:W1278,W1278)=1,W1275&lt;&gt;W1276),IF(M1271=2,IF(SMALL(W1275:W1278,1)=W1278,1,IF(SMALL(W1275:W1278,2)=W1278,2,IF(SMALL(W1275:W1278,3)=W1278,3))),IF(M1271=1,IF(SMALL(W1275:W1278,1)=W1278,2,IF(SMALL(W1275:W1278,2)=W1278,3,IF(SMALL(W1275:W1278,3)=W1278,4))),"")),IF(COUNTIF(W1275:W1278,W1278)=1,IF(W1278&lt;W1275,IF(M1271=2,1,2),IF(M1271=2,3,4)),IF(COUNTIF(W1275:W1278,W1278)=2,IF(W1278=W1275,IF(W1278&lt;W1276,IF(M1271=2,IF(Q1286=3,1,2),IF(M1271=1,IF(Q1286=3,2,3))),IF(W1278&gt;W1277,IF(M1271=2,IF(Q1286=3,2,3),IF(M1271=1,IF(Q1286=3,3,4))))),IF(W1278=W1276,IF(W1278&lt;W1275,IF(M1271=2,IF(Q1283=3,1,2),IF(M1271=1,IF(Q1283=3,2,3))),IF(W1278&gt;W1275,IF(M1271=2,IF(Q1283=3,2,3),IF(M1271=1,IF(Q1283=3,3,4)))))))))))),"")</f>
        <v/>
      </c>
      <c r="AC1293" s="192"/>
      <c r="AD1293" s="192"/>
      <c r="AE1293" s="192"/>
      <c r="AF1293" s="192"/>
      <c r="AG1293" s="192"/>
      <c r="AH1293" s="192"/>
      <c r="AI1293" s="192"/>
      <c r="AJ1293" s="192"/>
      <c r="AK1293" s="192"/>
      <c r="AL1293" s="192"/>
      <c r="AM1293" s="192"/>
      <c r="AN1293" s="192"/>
      <c r="AO1293" s="192"/>
      <c r="AP1293" s="192"/>
      <c r="AQ1293" s="192"/>
      <c r="AR1293" s="192"/>
      <c r="AS1293" s="192"/>
      <c r="AT1293" s="192"/>
      <c r="AU1293" s="192"/>
      <c r="AV1293" s="192"/>
      <c r="AW1293" s="192"/>
      <c r="AX1293" s="192"/>
    </row>
    <row r="1294" spans="2:50" ht="15" customHeight="1" thickTop="1" x14ac:dyDescent="0.3">
      <c r="B1294" s="192"/>
      <c r="C1294" s="192"/>
      <c r="D1294" s="192"/>
      <c r="E1294" s="164" t="str">
        <f>IF(Q1294="","",IF(Q1294=3,1,0))</f>
        <v/>
      </c>
      <c r="F1294" s="164" t="str">
        <f>IF(Q1294="","",IF(Q1294&lt;3,1,0))</f>
        <v/>
      </c>
      <c r="G1294" s="192"/>
      <c r="H1294" s="192" t="str">
        <f>IF(I1271&lt;&gt;"",3,"")</f>
        <v/>
      </c>
      <c r="I1294" s="192" t="str">
        <f>IF(ISNUMBER(H1294),VLOOKUP(H1294,H1268:I1271,2,TRUE),"")</f>
        <v/>
      </c>
      <c r="J1294" s="192"/>
      <c r="K1294" s="192" t="str">
        <f>VLOOKUP(I1294,I1268:L1271,3,FALSE)</f>
        <v/>
      </c>
      <c r="L1294" s="253"/>
      <c r="M1294" s="254"/>
      <c r="N1294" s="254"/>
      <c r="O1294" s="152"/>
      <c r="P1294" s="153"/>
      <c r="Q1294" s="255" t="str">
        <f>IF(L1294="","",IF(AND(L1294-L1295&gt;1,L1294&gt;10),1,0)+IF(AND(M1294-M1295&gt;1,M1294&gt;10),1,0)+IF(AND(N1294-N1295&gt;1,N1294&gt;10),1,0)+IF(AND(O1294-O1295&gt;1,O1294&gt;10),1,0)+IF(AND(P1294-P1295&gt;1,P1294&gt;10),1,0))</f>
        <v/>
      </c>
      <c r="R1294" s="203" t="str">
        <f>IF(AND(I1294="",I1295=""),"",ABS(VLOOKUP(I1294,I1268:L1271,4,FALSE)-VLOOKUP(I1295,I1268:L1271,4,FALSE)))</f>
        <v/>
      </c>
      <c r="S1294" s="256" t="str">
        <f>IF(R1295="","",IF(Q1294=3,+R1295,-R1295))</f>
        <v/>
      </c>
      <c r="T1294" s="247"/>
      <c r="U1294" s="264"/>
      <c r="V1294" s="242"/>
      <c r="W1294" s="192"/>
      <c r="X1294" s="264"/>
      <c r="Y1294" s="192"/>
      <c r="Z1294" s="192"/>
      <c r="AA1294" s="243">
        <v>2</v>
      </c>
      <c r="AB1294" s="222" t="str">
        <f>IF(AND(COUNTBLANK(I1268:I1271)=0,Group_players=4,M1269=M1270,M1270=M1271),IF(X1276="","",IF(COUNTIF(X1275:X1278,X1276)=3,"Tied",IF(AND(COUNTIF(X1275:X1278,X1276)=1,X1277&lt;&gt;X1278),IF(M1269=2,IF(SMALL(X1275:X1278,1)=X1276,1,IF(SMALL(X1275:X1278,2)=X1276,2,IF(SMALL(X1275:X1278,3)=X1276,3))),IF(M1269=1,IF(SMALL(X1275:X1278,1)=X1276,2,IF(SMALL(X1275:X1278,2)=X1276,3,IF(SMALL(X1275:X1278,3)=X1276,4))),"")),IF(COUNTIF(X1275:X1278,X1276)=1,IF(X1276&lt;X1278,IF(M1269=2,1,2),IF(M1269=1,4)),IF(COUNTIF(X1275:X1278,X1276)=2,IF(X1276=X1277,IF(X1276&lt;X1278,IF(M1269=2,IF(Q1288=3,1,2),IF(M1269=1,IF(Q1288=3,2,3))),IF(X1276&gt;X1278,IF(M1269=2,IF(Q1288=3,2,3),IF(M1269=1,IF(Q1288=3,3,4))))),IF(X1276=X1278,IF(X1276&lt;X1277,IF(M1269=2,IF(Q1282=3,1,2),IF(M1269=1,IF(Q1282=3,2,3))),IF(X1276&gt;X1277,IF(M1269=2,IF(Q1282=3,2,3),IF(M1269=1,IF(Q1282=3,3,4)))))))))))),"")</f>
        <v/>
      </c>
      <c r="AC1294" s="192"/>
      <c r="AD1294" s="192"/>
      <c r="AE1294" s="192"/>
      <c r="AF1294" s="192"/>
      <c r="AG1294" s="192"/>
      <c r="AH1294" s="192"/>
      <c r="AI1294" s="192"/>
      <c r="AJ1294" s="192"/>
      <c r="AK1294" s="192"/>
      <c r="AL1294" s="192"/>
      <c r="AM1294" s="192"/>
      <c r="AN1294" s="192"/>
      <c r="AO1294" s="192"/>
      <c r="AP1294" s="192"/>
      <c r="AQ1294" s="192"/>
      <c r="AR1294" s="192"/>
      <c r="AS1294" s="192"/>
      <c r="AT1294" s="192"/>
      <c r="AU1294" s="192"/>
      <c r="AV1294" s="192"/>
      <c r="AW1294" s="192"/>
      <c r="AX1294" s="192"/>
    </row>
    <row r="1295" spans="2:50" ht="15" customHeight="1" thickBot="1" x14ac:dyDescent="0.35">
      <c r="B1295" s="192"/>
      <c r="C1295" s="192"/>
      <c r="D1295" s="192"/>
      <c r="E1295" s="164" t="str">
        <f>IF(Q1295="","",IF(Q1295=3,1,0))</f>
        <v/>
      </c>
      <c r="F1295" s="164" t="str">
        <f>IF(Q1295="","",IF(Q1295&lt;3,1,0))</f>
        <v/>
      </c>
      <c r="G1295" s="192"/>
      <c r="H1295" s="192" t="str">
        <f>IF(I1271&lt;&gt;"",4,"")</f>
        <v/>
      </c>
      <c r="I1295" s="192" t="str">
        <f>IF(ISNUMBER(H1295),VLOOKUP(H1295,H1268:I1271,2,TRUE),"")</f>
        <v/>
      </c>
      <c r="J1295" s="192"/>
      <c r="K1295" s="192" t="str">
        <f>VLOOKUP(I1295,I1268:L1271,3,FALSE)</f>
        <v/>
      </c>
      <c r="L1295" s="155"/>
      <c r="M1295" s="259"/>
      <c r="N1295" s="259"/>
      <c r="O1295" s="156"/>
      <c r="P1295" s="157"/>
      <c r="Q1295" s="260" t="str">
        <f>IF(L1295="","",IF(AND(L1295-L1294&gt;1,L1295&gt;10),1,0)+IF(AND(M1295-M1294&gt;1,M1295&gt;10),1,0)+IF(AND(N1295-N1294&gt;1,N1295&gt;10),1,0)+IF(AND(O1295-O1294&gt;1,O1295&gt;10),1,0)+IF(AND(P1295-P1294&gt;1,P1295&gt;10),1,0))</f>
        <v/>
      </c>
      <c r="R1295" s="203" t="str">
        <f>IF(AND(Q1294&lt;&gt;3,Q1295&lt;&gt;3),"",IF(Q1294=3,IF(VLOOKUP(I1294,I1268:L1271,4,FALSE)&gt;VLOOKUP(I1295,I1268:L1271,4,FALSE),VLOOKUP(R1294,Point_dif,2,FALSE),VLOOKUP(R1294,Point_dif,3,FALSE)),IF(Q1295=3,IF(VLOOKUP(I1295,I1268:L1271,4,FALSE)&gt;VLOOKUP(I1294,I1268:L1271,4,FALSE),VLOOKUP(R1294,Point_dif,2,FALSE),VLOOKUP(R1294,Point_dif,3,FALSE)))))</f>
        <v/>
      </c>
      <c r="S1295" s="260" t="str">
        <f>IF(R1295="","",IF(Q1295=3,+R1295,-R1295))</f>
        <v/>
      </c>
      <c r="T1295" s="247"/>
      <c r="U1295" s="235"/>
      <c r="V1295" s="235"/>
      <c r="W1295" s="235"/>
      <c r="X1295" s="235"/>
      <c r="Y1295" s="235"/>
      <c r="Z1295" s="235"/>
      <c r="AA1295" s="246">
        <v>3</v>
      </c>
      <c r="AB1295" s="222" t="str">
        <f>IF(AND(COUNTBLANK(I1268:I1271)=0,Group_players=4,Group_players=4,M1269=M1270,M1270=M1271),IF(X1277="","",IF(COUNTIF(X1275:X1278,X1277)=3,"Tied",IF(AND(COUNTIF(X1275:X1278,X1277)=1,X1276&lt;&gt;X1278),IF(M1270=2,IF(SMALL(X1275:X1278,1)=X1277,1,IF(SMALL(X1275:X1278,2)=X1277,2,IF(SMALL(X1275:X1278,3)=X1277,3))),IF(M1270=1,IF(SMALL(X1275:X1278,1)=X1277,2,IF(SMALL(X1275:X1278,2)=X1277,3,IF(SMALL(X1275:X1278,3)=X1277,4))),"")),IF(COUNTIF(X1275:X1278,X1277)=1,IF(X1277&lt;X1276,IF(M1270=2,1,2),IF(M1270=2,3,4)),IF(COUNTIF(X1275:X1278,X1277)=2,IF(X1277=X1276,IF(X1277&lt;X1278,IF(M1270=2,IF(Q1289=3,1,2),IF(M1270=1,IF(Q1289=3,2,3))),IF(X1277&gt;X1278,IF(M1270=2,IF(Q1289=3,2,3),IF(M1270=1,IF(Q1289=3,3,4))))),IF(X1277=X1278,IF(X1277&lt;X1276,IF(M1270=2,IF(Q1294=3,1,2),IF(M1270=1,IF(Q1294=3,2,3))),IF(X1277&gt;X1276,IF(M1270=2,IF(Q1294=3,2,3),IF(M1270=1,IF(Q1294=3,3,4)))))))))))),"")</f>
        <v/>
      </c>
      <c r="AC1295" s="192"/>
      <c r="AD1295" s="192"/>
      <c r="AE1295" s="192"/>
      <c r="AF1295" s="192"/>
      <c r="AG1295" s="192"/>
      <c r="AH1295" s="192"/>
      <c r="AI1295" s="192"/>
      <c r="AJ1295" s="192"/>
      <c r="AK1295" s="192"/>
      <c r="AL1295" s="192"/>
      <c r="AM1295" s="192"/>
      <c r="AN1295" s="192"/>
      <c r="AO1295" s="192"/>
      <c r="AP1295" s="192"/>
      <c r="AQ1295" s="192"/>
      <c r="AR1295" s="192"/>
      <c r="AS1295" s="192"/>
      <c r="AT1295" s="192"/>
      <c r="AU1295" s="192"/>
      <c r="AV1295" s="192"/>
      <c r="AW1295" s="192"/>
      <c r="AX1295" s="192"/>
    </row>
    <row r="1296" spans="2:50" ht="15" customHeight="1" thickTop="1" thickBot="1" x14ac:dyDescent="0.35">
      <c r="B1296" s="192"/>
      <c r="C1296" s="192"/>
      <c r="D1296" s="192"/>
      <c r="E1296" s="192"/>
      <c r="F1296" s="192"/>
      <c r="G1296" s="192"/>
      <c r="H1296" s="192"/>
      <c r="I1296" s="192"/>
      <c r="J1296" s="192"/>
      <c r="K1296" s="192"/>
      <c r="L1296" s="192"/>
      <c r="M1296" s="192"/>
      <c r="N1296" s="192"/>
      <c r="O1296" s="192"/>
      <c r="P1296" s="192"/>
      <c r="Q1296" s="192"/>
      <c r="R1296" s="192"/>
      <c r="S1296" s="192"/>
      <c r="T1296" s="247"/>
      <c r="U1296" s="235"/>
      <c r="V1296" s="235"/>
      <c r="W1296" s="235"/>
      <c r="X1296" s="235"/>
      <c r="Y1296" s="235"/>
      <c r="Z1296" s="235"/>
      <c r="AA1296" s="261">
        <v>4</v>
      </c>
      <c r="AB1296" s="233" t="str">
        <f>IF(AND(COUNTBLANK(I1268:I1271)=0,Group_players=4,M1269=M1270,M1270=M1271),IF(X1278="","",IF(COUNTIF(X1275:X1278,X1278)=3,"Tied",IF(AND(COUNTIF(X1275:X1278,X1278)=1,X1277&lt;&gt;X1276),IF(M1271=2,IF(SMALL(X1275:X1278,1)=X1278,1,IF(SMALL(X1275:X1278,2)=X1278,2,IF(SMALL(X1275:X1278,3)=X1278,3))),IF(M1271=1,IF(SMALL(X1275:X1278,1)=X1278,2,IF(SMALL(X1275:X1278,2)=X1278,3,IF(SMALL(X1275:X1278,3)=X1278,4))),"")),IF(COUNTIF(X1275:X1278,X1278)=1,IF(X1278&lt;X1276,IF(M1271=2,1,2),IF(M1271=2,3,4)),IF(COUNTIF(X1275:X1278,X1278)=2,IF(X1278=X1276,IF(X1278&lt;X1277,IF(M1271=2,IF(Q1283=3,1,2),IF(M1271=1,IF(Q1283=3,2,3))),IF(X1278&gt;X1277,IF(M1271=2,IF(Q1283=3,2,3),IF(M1271=1,IF(Q1283=3,3,4))))),IF(X1278=X1277,IF(X1278&lt;X1276,IF(M1271=2,IF(Q1295=3,1,2),IF(M1271=1,IF(Q1295=3,2,3))),IF(X1278&gt;X1276,IF(M1271=2,IF(Q1295=3,2,3),IF(M1271=1,IF(Q1295=3,3,4)))))))))))),"")</f>
        <v/>
      </c>
      <c r="AC1296" s="192"/>
      <c r="AD1296" s="192"/>
      <c r="AE1296" s="192"/>
      <c r="AF1296" s="192"/>
      <c r="AG1296" s="192"/>
      <c r="AH1296" s="192"/>
      <c r="AI1296" s="192"/>
      <c r="AJ1296" s="192"/>
      <c r="AK1296" s="192"/>
      <c r="AL1296" s="192"/>
      <c r="AM1296" s="192"/>
      <c r="AN1296" s="192"/>
      <c r="AO1296" s="192"/>
      <c r="AP1296" s="192"/>
      <c r="AQ1296" s="192"/>
      <c r="AR1296" s="192"/>
      <c r="AS1296" s="192"/>
      <c r="AT1296" s="192"/>
      <c r="AU1296" s="192"/>
      <c r="AV1296" s="192"/>
      <c r="AW1296" s="192"/>
      <c r="AX1296" s="192"/>
    </row>
    <row r="1297" spans="2:50" ht="15" customHeight="1" thickTop="1" x14ac:dyDescent="0.3">
      <c r="B1297" s="192"/>
      <c r="C1297" s="192"/>
      <c r="D1297" s="192"/>
      <c r="E1297" s="192"/>
      <c r="F1297" s="192"/>
      <c r="G1297" s="192"/>
      <c r="H1297" s="192"/>
      <c r="I1297" s="192"/>
      <c r="J1297" s="192"/>
      <c r="K1297" s="192"/>
      <c r="L1297" s="192"/>
      <c r="M1297" s="192"/>
      <c r="N1297" s="192"/>
      <c r="O1297" s="192"/>
      <c r="P1297" s="192"/>
      <c r="Q1297" s="192"/>
      <c r="R1297" s="192"/>
      <c r="S1297" s="192"/>
      <c r="T1297" s="203"/>
      <c r="U1297" s="192"/>
      <c r="V1297" s="192"/>
      <c r="W1297" s="192"/>
      <c r="X1297" s="192"/>
      <c r="Y1297" s="192"/>
      <c r="Z1297" s="192"/>
      <c r="AA1297" s="192"/>
      <c r="AB1297" s="192"/>
      <c r="AC1297" s="192"/>
      <c r="AD1297" s="192"/>
      <c r="AE1297" s="192"/>
      <c r="AF1297" s="192"/>
      <c r="AG1297" s="192"/>
      <c r="AH1297" s="192"/>
      <c r="AI1297" s="192"/>
      <c r="AJ1297" s="192"/>
      <c r="AK1297" s="192"/>
      <c r="AL1297" s="192"/>
      <c r="AM1297" s="192"/>
      <c r="AN1297" s="192"/>
      <c r="AO1297" s="192"/>
      <c r="AP1297" s="192"/>
      <c r="AQ1297" s="192"/>
      <c r="AR1297" s="192"/>
      <c r="AS1297" s="192"/>
      <c r="AT1297" s="192"/>
      <c r="AU1297" s="192"/>
      <c r="AV1297" s="192"/>
      <c r="AW1297" s="192"/>
      <c r="AX1297" s="192"/>
    </row>
    <row r="1298" spans="2:50" ht="15" customHeight="1" x14ac:dyDescent="0.3">
      <c r="B1298" s="192"/>
      <c r="C1298" s="192"/>
      <c r="D1298" s="192"/>
      <c r="E1298" s="192"/>
      <c r="F1298" s="192"/>
      <c r="G1298" s="192"/>
      <c r="H1298" s="192"/>
      <c r="I1298" s="192"/>
      <c r="J1298" s="192"/>
      <c r="K1298" s="192"/>
      <c r="L1298" s="192"/>
      <c r="M1298" s="192"/>
      <c r="N1298" s="192"/>
      <c r="O1298" s="192"/>
      <c r="P1298" s="192"/>
      <c r="Q1298" s="192"/>
      <c r="R1298" s="192"/>
      <c r="S1298" s="192"/>
      <c r="T1298" s="192"/>
      <c r="U1298" s="192"/>
      <c r="V1298" s="192"/>
      <c r="W1298" s="192"/>
      <c r="X1298" s="192"/>
      <c r="Y1298" s="192"/>
      <c r="Z1298" s="192"/>
      <c r="AA1298" s="192"/>
      <c r="AB1298" s="192"/>
      <c r="AC1298" s="192"/>
      <c r="AD1298" s="192"/>
      <c r="AE1298" s="192"/>
      <c r="AF1298" s="192"/>
      <c r="AG1298" s="192"/>
      <c r="AH1298" s="192"/>
      <c r="AI1298" s="192"/>
      <c r="AJ1298" s="192"/>
      <c r="AK1298" s="192"/>
      <c r="AL1298" s="192"/>
      <c r="AM1298" s="192"/>
      <c r="AN1298" s="192"/>
      <c r="AO1298" s="192"/>
      <c r="AP1298" s="192"/>
      <c r="AQ1298" s="192"/>
      <c r="AR1298" s="192"/>
      <c r="AS1298" s="192"/>
      <c r="AT1298" s="192"/>
      <c r="AU1298" s="192"/>
      <c r="AV1298" s="192"/>
      <c r="AW1298" s="192"/>
      <c r="AX1298" s="192"/>
    </row>
    <row r="1299" spans="2:50" ht="15" customHeight="1" x14ac:dyDescent="0.3">
      <c r="B1299" s="192"/>
      <c r="C1299" s="192"/>
      <c r="D1299" s="192"/>
      <c r="E1299" s="192"/>
      <c r="F1299" s="192"/>
      <c r="G1299" s="192"/>
      <c r="H1299" s="192"/>
      <c r="I1299" s="192"/>
      <c r="J1299" s="192"/>
      <c r="K1299" s="192"/>
      <c r="L1299" s="192"/>
      <c r="M1299" s="192"/>
      <c r="N1299" s="192"/>
      <c r="O1299" s="192"/>
      <c r="P1299" s="192"/>
      <c r="Q1299" s="192"/>
      <c r="R1299" s="192"/>
      <c r="S1299" s="192"/>
      <c r="T1299" s="192"/>
      <c r="U1299" s="192"/>
      <c r="V1299" s="192"/>
      <c r="W1299" s="192"/>
      <c r="X1299" s="192"/>
      <c r="Y1299" s="192"/>
      <c r="Z1299" s="269"/>
      <c r="AA1299" s="192"/>
      <c r="AB1299" s="192"/>
      <c r="AC1299" s="192"/>
      <c r="AD1299" s="192"/>
      <c r="AE1299" s="192"/>
      <c r="AF1299" s="192"/>
      <c r="AG1299" s="192"/>
      <c r="AH1299" s="192"/>
      <c r="AI1299" s="192"/>
      <c r="AJ1299" s="192"/>
      <c r="AK1299" s="192"/>
      <c r="AL1299" s="192"/>
      <c r="AM1299" s="192"/>
      <c r="AN1299" s="192"/>
      <c r="AO1299" s="192"/>
      <c r="AP1299" s="192"/>
      <c r="AQ1299" s="192"/>
      <c r="AR1299" s="192"/>
      <c r="AS1299" s="192"/>
      <c r="AT1299" s="192"/>
      <c r="AU1299" s="192"/>
      <c r="AV1299" s="192"/>
      <c r="AW1299" s="192"/>
      <c r="AX1299" s="192"/>
    </row>
    <row r="1300" spans="2:50" ht="15" customHeight="1" x14ac:dyDescent="0.3">
      <c r="B1300" s="192"/>
      <c r="C1300" s="192"/>
      <c r="D1300" s="192"/>
      <c r="E1300" s="192"/>
      <c r="F1300" s="192"/>
      <c r="G1300" s="192"/>
      <c r="H1300" s="192"/>
      <c r="I1300" s="192"/>
      <c r="J1300" s="192"/>
      <c r="K1300" s="192"/>
      <c r="L1300" s="192"/>
      <c r="M1300" s="192"/>
      <c r="N1300" s="192"/>
      <c r="O1300" s="192"/>
      <c r="P1300" s="192"/>
      <c r="Q1300" s="192"/>
      <c r="R1300" s="192"/>
      <c r="S1300" s="192"/>
      <c r="T1300" s="192"/>
      <c r="U1300" s="192"/>
      <c r="V1300" s="192"/>
      <c r="W1300" s="192"/>
      <c r="X1300" s="192"/>
      <c r="Y1300" s="192"/>
      <c r="Z1300" s="192"/>
      <c r="AA1300" s="192"/>
      <c r="AB1300" s="192"/>
      <c r="AC1300" s="192"/>
      <c r="AD1300" s="192"/>
      <c r="AE1300" s="192"/>
      <c r="AF1300" s="192"/>
      <c r="AG1300" s="192"/>
      <c r="AH1300" s="192"/>
      <c r="AI1300" s="192"/>
      <c r="AJ1300" s="192"/>
      <c r="AK1300" s="192"/>
      <c r="AL1300" s="192"/>
      <c r="AM1300" s="192"/>
      <c r="AN1300" s="192"/>
      <c r="AO1300" s="192"/>
      <c r="AP1300" s="192"/>
      <c r="AQ1300" s="192"/>
      <c r="AR1300" s="192"/>
      <c r="AS1300" s="192"/>
      <c r="AT1300" s="192"/>
      <c r="AU1300" s="192"/>
      <c r="AV1300" s="192"/>
      <c r="AW1300" s="192"/>
      <c r="AX1300" s="192"/>
    </row>
    <row r="1301" spans="2:50" ht="15" customHeight="1" x14ac:dyDescent="0.3">
      <c r="B1301" s="192"/>
      <c r="C1301" s="192"/>
      <c r="D1301" s="192"/>
      <c r="E1301" s="192"/>
      <c r="F1301" s="192"/>
      <c r="G1301" s="192"/>
      <c r="H1301" s="192"/>
      <c r="I1301" s="192"/>
      <c r="J1301" s="192"/>
      <c r="K1301" s="192"/>
      <c r="L1301" s="192"/>
      <c r="M1301" s="192"/>
      <c r="N1301" s="192"/>
      <c r="O1301" s="192"/>
      <c r="P1301" s="192"/>
      <c r="Q1301" s="192"/>
      <c r="R1301" s="192"/>
      <c r="S1301" s="192"/>
      <c r="T1301" s="192"/>
      <c r="U1301" s="192"/>
      <c r="V1301" s="192"/>
      <c r="W1301" s="192"/>
      <c r="X1301" s="192"/>
      <c r="Y1301" s="192"/>
      <c r="Z1301" s="192"/>
      <c r="AA1301" s="192"/>
      <c r="AB1301" s="192"/>
      <c r="AC1301" s="192"/>
      <c r="AD1301" s="192"/>
      <c r="AE1301" s="192"/>
      <c r="AF1301" s="192"/>
      <c r="AG1301" s="192"/>
      <c r="AH1301" s="192"/>
      <c r="AI1301" s="192"/>
      <c r="AJ1301" s="192"/>
      <c r="AK1301" s="192"/>
      <c r="AL1301" s="192"/>
      <c r="AM1301" s="192"/>
      <c r="AN1301" s="192"/>
      <c r="AO1301" s="192"/>
      <c r="AP1301" s="192"/>
      <c r="AQ1301" s="192"/>
      <c r="AR1301" s="192"/>
      <c r="AS1301" s="192"/>
      <c r="AT1301" s="192"/>
      <c r="AU1301" s="192"/>
      <c r="AV1301" s="192"/>
      <c r="AW1301" s="192"/>
      <c r="AX1301" s="192"/>
    </row>
    <row r="1302" spans="2:50" ht="15" customHeight="1" thickBot="1" x14ac:dyDescent="0.4">
      <c r="B1302" s="192"/>
      <c r="C1302" s="192"/>
      <c r="D1302" s="192"/>
      <c r="E1302" s="192"/>
      <c r="F1302" s="192"/>
      <c r="G1302" s="192"/>
      <c r="H1302" s="192"/>
      <c r="I1302" s="383" t="s">
        <v>158</v>
      </c>
      <c r="J1302" s="383"/>
      <c r="K1302" s="383"/>
      <c r="L1302" s="383"/>
      <c r="M1302" s="383"/>
      <c r="N1302" s="383"/>
      <c r="O1302" s="383"/>
      <c r="P1302" s="383"/>
      <c r="Q1302" s="383"/>
      <c r="R1302" s="383"/>
      <c r="S1302" s="192"/>
      <c r="T1302" s="192"/>
      <c r="U1302" s="370" t="s">
        <v>92</v>
      </c>
      <c r="V1302" s="371"/>
      <c r="W1302" s="371"/>
      <c r="X1302" s="372"/>
      <c r="Y1302" s="192"/>
      <c r="Z1302" s="192"/>
      <c r="AA1302" s="192"/>
      <c r="AB1302" s="192"/>
      <c r="AC1302" s="192"/>
      <c r="AD1302" s="192"/>
      <c r="AE1302" s="192"/>
      <c r="AF1302" s="192"/>
      <c r="AG1302" s="192"/>
      <c r="AH1302" s="192"/>
      <c r="AI1302" s="192"/>
      <c r="AJ1302" s="192"/>
      <c r="AK1302" s="192"/>
      <c r="AL1302" s="192"/>
      <c r="AM1302" s="192"/>
      <c r="AN1302" s="192"/>
      <c r="AO1302" s="192"/>
      <c r="AP1302" s="192"/>
      <c r="AQ1302" s="192"/>
      <c r="AR1302" s="192"/>
      <c r="AS1302" s="192"/>
      <c r="AT1302" s="192"/>
      <c r="AU1302" s="192"/>
      <c r="AV1302" s="192"/>
      <c r="AW1302" s="192"/>
      <c r="AX1302" s="192"/>
    </row>
    <row r="1303" spans="2:50" ht="15" customHeight="1" thickTop="1" thickBot="1" x14ac:dyDescent="0.35">
      <c r="B1303" s="192"/>
      <c r="C1303" s="192"/>
      <c r="D1303" s="192"/>
      <c r="E1303" s="192"/>
      <c r="F1303" s="192"/>
      <c r="G1303" s="192"/>
      <c r="H1303" s="192"/>
      <c r="I1303" s="400" t="s">
        <v>93</v>
      </c>
      <c r="J1303" s="160"/>
      <c r="K1303" s="396" t="s">
        <v>94</v>
      </c>
      <c r="L1303" s="398" t="s">
        <v>95</v>
      </c>
      <c r="M1303" s="390" t="s">
        <v>96</v>
      </c>
      <c r="N1303" s="390" t="s">
        <v>97</v>
      </c>
      <c r="O1303" s="373" t="s">
        <v>98</v>
      </c>
      <c r="P1303" s="373" t="str">
        <f>IF(COUNT(U1304:X1315)=3,"LM/WM Ratio",IF(COUNT(U1304:X1315)=6,"LP/WP Ratio",""))</f>
        <v/>
      </c>
      <c r="Q1303" s="390" t="s">
        <v>99</v>
      </c>
      <c r="R1303" s="392" t="s">
        <v>100</v>
      </c>
      <c r="S1303" s="192"/>
      <c r="T1303" s="120"/>
      <c r="U1303" s="121" t="s">
        <v>101</v>
      </c>
      <c r="V1303" s="122" t="s">
        <v>102</v>
      </c>
      <c r="W1303" s="122" t="s">
        <v>103</v>
      </c>
      <c r="X1303" s="123" t="s">
        <v>104</v>
      </c>
      <c r="Y1303" s="380" t="s">
        <v>105</v>
      </c>
      <c r="Z1303" s="379"/>
      <c r="AA1303" s="378" t="s">
        <v>106</v>
      </c>
      <c r="AB1303" s="379"/>
      <c r="AC1303" s="192"/>
      <c r="AD1303" s="192"/>
      <c r="AE1303" s="192"/>
      <c r="AF1303" s="192"/>
      <c r="AG1303" s="192"/>
      <c r="AH1303" s="192"/>
      <c r="AI1303" s="192"/>
      <c r="AJ1303" s="192"/>
      <c r="AK1303" s="192"/>
      <c r="AL1303" s="192"/>
      <c r="AM1303" s="192"/>
      <c r="AN1303" s="192"/>
      <c r="AO1303" s="192"/>
      <c r="AP1303" s="192"/>
      <c r="AQ1303" s="192"/>
      <c r="AR1303" s="192"/>
      <c r="AS1303" s="192"/>
      <c r="AT1303" s="192"/>
      <c r="AU1303" s="192"/>
      <c r="AV1303" s="192"/>
      <c r="AW1303" s="192"/>
      <c r="AX1303" s="192"/>
    </row>
    <row r="1304" spans="2:50" ht="15" customHeight="1" thickTop="1" thickBot="1" x14ac:dyDescent="0.35">
      <c r="B1304" s="192"/>
      <c r="C1304" s="192"/>
      <c r="D1304" s="192"/>
      <c r="E1304" s="192"/>
      <c r="F1304" s="192"/>
      <c r="G1304" s="192"/>
      <c r="H1304" s="192"/>
      <c r="I1304" s="401"/>
      <c r="J1304" s="161"/>
      <c r="K1304" s="397"/>
      <c r="L1304" s="399"/>
      <c r="M1304" s="391"/>
      <c r="N1304" s="391"/>
      <c r="O1304" s="374"/>
      <c r="P1304" s="374"/>
      <c r="Q1304" s="391"/>
      <c r="R1304" s="393"/>
      <c r="S1304" s="192"/>
      <c r="T1304" s="208">
        <v>1</v>
      </c>
      <c r="U1304" s="209" t="str">
        <f>IF(M1305="","",IF(COUNTIF(M1305:M1307,M1305)=3,IF(COUNTBLANK(I1305:I1308)=1,(Q1317+Q1323)/(Q1316+Q1322),IF(COUNTBLANK(I1305:I1308)=0,(Q1329+Q1317)/(Q1328+Q1316),"")),""))</f>
        <v/>
      </c>
      <c r="V1304" s="125" t="str">
        <f>IF(AND(COUNTBLANK(I1305:I1308)=0,M1305=M1307,M1307=M1308),(Q1317+Q1323)/(Q1316+Q1322),"")</f>
        <v/>
      </c>
      <c r="W1304" s="210" t="str">
        <f>IF(AND(COUNTBLANK(I1305:I1308)=0,M1305=M1306,M1306=M1308),(Q1329+Q1323)/(Q1328+Q1322),"")</f>
        <v/>
      </c>
      <c r="X1304" s="211"/>
      <c r="Y1304" s="169" t="s">
        <v>93</v>
      </c>
      <c r="Z1304" s="170" t="s">
        <v>107</v>
      </c>
      <c r="AA1304" s="169" t="s">
        <v>93</v>
      </c>
      <c r="AB1304" s="170" t="s">
        <v>107</v>
      </c>
      <c r="AC1304" s="192"/>
      <c r="AD1304" s="192"/>
      <c r="AE1304" s="192"/>
      <c r="AF1304" s="192"/>
      <c r="AG1304" s="192"/>
      <c r="AH1304" s="192"/>
      <c r="AI1304" s="192"/>
      <c r="AJ1304" s="192"/>
      <c r="AK1304" s="192"/>
      <c r="AL1304" s="192"/>
      <c r="AM1304" s="192"/>
      <c r="AN1304" s="192"/>
      <c r="AO1304" s="192"/>
      <c r="AP1304" s="192"/>
      <c r="AQ1304" s="192"/>
      <c r="AR1304" s="192"/>
      <c r="AS1304" s="192"/>
      <c r="AT1304" s="192"/>
      <c r="AU1304" s="192"/>
      <c r="AV1304" s="192"/>
      <c r="AW1304" s="192"/>
      <c r="AX1304" s="192"/>
    </row>
    <row r="1305" spans="2:50" ht="15" customHeight="1" thickTop="1" thickBot="1" x14ac:dyDescent="0.35">
      <c r="B1305" s="192"/>
      <c r="C1305" s="192"/>
      <c r="D1305" s="192"/>
      <c r="E1305" s="192"/>
      <c r="F1305" s="192" t="str">
        <f>IF(I1305="","",VLOOKUP(I1305,Siembra,2,FALSE))</f>
        <v/>
      </c>
      <c r="G1305" s="192" t="str">
        <f>O1305</f>
        <v/>
      </c>
      <c r="H1305" s="192">
        <v>1</v>
      </c>
      <c r="I1305" s="128" t="str">
        <f>IF(K1305="","",IF(ISNUMBER(Sorteo!$A$17),VLOOKUP(K1305,Draw,2,FALSE),""))</f>
        <v/>
      </c>
      <c r="J1305" s="129" t="str">
        <f>O1305</f>
        <v/>
      </c>
      <c r="K1305" s="130" t="str">
        <f>IF($K$9="","",IF(Group_players=4,IF(Tablas!CQ$3="","",Tablas!CQ$3),IF(Group_players=3,IF(Tablas!CQ$11="","",Tablas!CQ$11),"")))</f>
        <v/>
      </c>
      <c r="L1305" s="131" t="str">
        <f>IF(K1305="","",VLOOKUP(I1305,Siembra,3,FALSE))</f>
        <v/>
      </c>
      <c r="M1305" s="132" t="str">
        <f>IF(AND(Q1316="",Q1317=""),"",IF(I1305="","",SUMIFS(E1316:E1332,I1316:I1332,I1305)))</f>
        <v/>
      </c>
      <c r="N1305" s="132" t="str">
        <f>IF(M1305="","",IF(I1305="","",SUMIFS(F1316:F1332,I1316:I1332,I1305)))</f>
        <v/>
      </c>
      <c r="O1305" s="132" t="str">
        <f>IF(M1305="","",IF(COUNTBLANK(I1305:I1308)=1,IF(M1305=2,1,IF(M1305=0,3,IF(AND(M1305=1,M1306&lt;&gt;1),2,IF(COUNTIF(M1305:M1307,1)&gt;1,Z1305)))),IF(COUNTBLANK(I1305:I1308)=0,IF(COUNTIF(M1305:M1308,M1305)=1,IF(M1305=3,1,IF(M1305=2,2,IF(M1305=1,3,IF(M1305=0,4)))),IF(Group_players=3,Z1305,IF(COUNTIF(M1305:M1308,M1305)=2,AB1305,IF(AND(M1305=M1306,M1306=M1307),AB1309,IF(AND(M1305=M1307,M1307=M1308),AB1312,IF(AND(M1305=M1306,M1306=M1308),AB1315,"")))))),99)))</f>
        <v/>
      </c>
      <c r="P1305" s="133" t="str">
        <f>IF(COUNT(U1304:X1315)=3,IF(ISNUMBER(U1304),U1304,IF(ISNUMBER(V1304),V1304,IF(ISNUMBER(W1304),W1304,IF(X1304="","")))),IF(COUNT(U1304:X1315)=6,IF(ISNUMBER(U1312),U1312,IF(ISNUMBER(V1312),V1312,IF(ISNUMBER(W1312),W1312,IF(ISBLANK(X1304),"")))),""))</f>
        <v/>
      </c>
      <c r="Q1305" s="132" t="str">
        <f>IF(M1305="","",SUMIF(I1316:S1332,I1305,S1316:S1332))</f>
        <v/>
      </c>
      <c r="R1305" s="134" t="str">
        <f>IF(M1305="","",L1305+Q1305)</f>
        <v/>
      </c>
      <c r="S1305" s="203"/>
      <c r="T1305" s="208">
        <v>2</v>
      </c>
      <c r="U1305" s="209" t="str">
        <f>IF(M1306="","",IF(COUNTIF(M1305:M1307,M1306)=3,IF(COUNTBLANK(I1305:I1308)=1,(Q1320+Q1322)/(Q1319+Q1323),IF(COUNTBLANK(I1305:I1308)=0,(Q1326+Q1328)/(Q1325+Q1329),"")),""))</f>
        <v/>
      </c>
      <c r="V1305" s="135"/>
      <c r="W1305" s="212" t="str">
        <f>IF(AND(COUNTBLANK(I1305:I1308)=0,M1306=M1305,M1305=M1308),(Q1328+Q1320)/(Q1329+Q1319),"")</f>
        <v/>
      </c>
      <c r="X1305" s="213" t="str">
        <f>IF(AND(COUNTBLANK(I1305:I1308)=0,M1306=M1307,M1307=M1308),(Q1326+Q1320)/(Q1325+Q1319),"")</f>
        <v/>
      </c>
      <c r="Y1305" s="214">
        <v>1</v>
      </c>
      <c r="Z1305" s="215" t="str">
        <f>IF(U1304="","",IF(OR(Group_players=3,AND(Group_players=4,COUNTBLANK(I1305:I1308)=1)),IF(COUNTIF(M1305:M1307,M1305)=1,"",IF(AND(U1304=U1305,U1305=U1306),Z1309,IF(AND(U1304&lt;&gt;U1305,U1304&lt;&gt;U1306,U1305&lt;&gt;U1306),(IF(SMALL(U1304:U1306,1)=U1304,1,IF(SMALL(U1304:U1306,2)=U1304,2,IF(SMALL(U1304:U1306,3)=U1304,3)))),IF(AND(U1304&lt;U1305,U1305=U1306),1,IF(AND(U1304&gt;U1305,U1305=U1306),3,IF(AND(U1304=U1305,U1304&lt;U1306),(IF(Q1322=3,1,2)),IF(AND(U1304=U1305,U1304&gt;U1306),(IF(Q1322=3,2,3)),IF(AND(U1304=U1306,U1304&lt;U1305),(IF(Q1316=3,1,2)),IF(AND(U1304=U1306,U1304&gt;U1305),(IF(Q1316=3,2,3)),99))))))))),""))</f>
        <v/>
      </c>
      <c r="AA1305" s="216">
        <v>1</v>
      </c>
      <c r="AB1305" s="217" t="str">
        <f>IF(COUNTIF(M1305:M1308,M1305)&lt;&gt;2,"",IF(COUNTIF(M1305:M1308,M1305)=1,"",IF(AND(COUNTIF(M1305:M1308,M1305)=2,M1305=2),IF(M1305=M1306,IF(Q1328=3,1,2),IF(M1305=M1307,IF(Q1316=3,1,2),IF(M1305=M1308,IF(Q1322=3,1,2)))),IF(AND(COUNTIF(M1305:M1308,M1305)=2,M1305=1),IF(M1305=M1306,IF(Q1328=3,3,4),IF(M1305=M1307,IF(Q1316=3,3,4),IF(M1305=M1308,IF(Q1322=3,3,4)))),IF(COUNTIF(M1305:M1308,M1305)=3,AB1309)))))</f>
        <v/>
      </c>
      <c r="AC1305" s="192"/>
      <c r="AD1305" s="192"/>
      <c r="AE1305" s="192"/>
      <c r="AF1305" s="192"/>
      <c r="AG1305" s="192"/>
      <c r="AH1305" s="192"/>
      <c r="AI1305" s="192"/>
      <c r="AJ1305" s="192"/>
      <c r="AK1305" s="192"/>
      <c r="AL1305" s="192"/>
      <c r="AM1305" s="192"/>
      <c r="AN1305" s="192"/>
      <c r="AO1305" s="192"/>
      <c r="AP1305" s="192"/>
      <c r="AQ1305" s="192"/>
      <c r="AR1305" s="192"/>
      <c r="AS1305" s="192"/>
      <c r="AT1305" s="192"/>
      <c r="AU1305" s="192"/>
      <c r="AV1305" s="192"/>
      <c r="AW1305" s="192"/>
      <c r="AX1305" s="192"/>
    </row>
    <row r="1306" spans="2:50" ht="15" customHeight="1" thickTop="1" thickBot="1" x14ac:dyDescent="0.35">
      <c r="B1306" s="192"/>
      <c r="C1306" s="192"/>
      <c r="D1306" s="192"/>
      <c r="E1306" s="192"/>
      <c r="F1306" s="192" t="str">
        <f>IF(I1306="","",VLOOKUP(I1306,Siembra,2,FALSE))</f>
        <v/>
      </c>
      <c r="G1306" s="192" t="str">
        <f>O1306</f>
        <v/>
      </c>
      <c r="H1306" s="192">
        <v>2</v>
      </c>
      <c r="I1306" s="128" t="str">
        <f>IF(K1306="","",IF(ISNUMBER(Sorteo!$A$17),VLOOKUP(K1306,Draw,2,FALSE),""))</f>
        <v/>
      </c>
      <c r="J1306" s="129" t="str">
        <f>O1306</f>
        <v/>
      </c>
      <c r="K1306" s="136" t="str">
        <f>IF($K$9="","",IF(Group_players=4,IF(Tablas!CQ$4="","",Tablas!CQ$4),IF(Group_players=3,IF(Tablas!CQ$12="","",Tablas!CQ$12),"")))</f>
        <v/>
      </c>
      <c r="L1306" s="137" t="str">
        <f>IF(K1306="","",VLOOKUP(I1306,Siembra,3,FALSE))</f>
        <v/>
      </c>
      <c r="M1306" s="132" t="str">
        <f>IF(AND(L1316="",L1317=""),"",IF(I1306="","",SUMIFS(E1316:E1333,I1316:I1333,I1306)))</f>
        <v/>
      </c>
      <c r="N1306" s="138" t="str">
        <f>IF(M1306="","",IF(I1306="","",SUMIFS(F1316:F1332,I1316:I1332,I1306)))</f>
        <v/>
      </c>
      <c r="O1306" s="132" t="str">
        <f>IF(M1306="","",IF(COUNTBLANK(I1305:I1308)=1,IF(M1306=2,1,IF(M1306=0,3,IF(AND(M1306=1,M1307&lt;&gt;1),2,IF(COUNTIF(M1305:M1308,1)&gt;1,Z1306)))),IF(COUNTBLANK(I1305:I1308)=0,IF(COUNTIF(M1305:M1308,M1306)=1,IF(M1306=3,1,IF(M1306=2,2,IF(M1306=1,3,IF(M1306=0,4)))),IF(Group_players=3,Z1306,IF(COUNTIF(M1305:M1308,M1306)=2,AB1306,IF(AND(M1306=M1305,M1305=M1307),AB1310,IF(AND(M1306=M1305,M1305=M1308),AB1316,IF(AND(M1306=M1307,M1307=M1308),AB1318,"")))))))))</f>
        <v/>
      </c>
      <c r="P1306" s="133" t="str">
        <f>IF(COUNT(U1304:X1315)=3,IF(ISNUMBER(U1305),U1305,IF(ISNUMBER(W1305),W1305,IF(ISNUMBER(X1305),X1305,IF(X1305="","")))),IF(COUNT(U1304:X1315)=6,IF(ISNUMBER(U1313),U1313,IF(ISNUMBER(W1313),W1313,IF(ISNUMBER(X1313),X1313,IF(ISBLANK(X1312),"")))),""))</f>
        <v/>
      </c>
      <c r="Q1306" s="138" t="str">
        <f>IF(M1306="","",SUMIF(I1316:S1332,I1306,S1316:$S1332))</f>
        <v/>
      </c>
      <c r="R1306" s="139" t="str">
        <f>IF(M1306="","",L1306+Q1306)</f>
        <v/>
      </c>
      <c r="S1306" s="203"/>
      <c r="T1306" s="208">
        <v>3</v>
      </c>
      <c r="U1306" s="209" t="str">
        <f>IF(M1307="","",IF(COUNTIF(M1305:M1307,M1307)=3,IF(COUNTBLANK(I1305:I1308)=1,(Q1316+Q1319)/(Q1317+Q1320),IF(COUNTBLANK(I1305:I1308)=0,(Q1316+Q1325)/(Q1317+Q1326),"")),""))</f>
        <v/>
      </c>
      <c r="V1306" s="125" t="str">
        <f>IF(AND(COUNTBLANK(I1305:I1308)=0,M1307=M1308,M1308=M1305),(Q1316+Q1332)/(Q1317+Q1331),"")</f>
        <v/>
      </c>
      <c r="W1306" s="218"/>
      <c r="X1306" s="213" t="str">
        <f>IF(AND(COUNTBLANK(I1305:I1308)=0,M1307=M1308,M1308=M1306),(Q1325+Q1332)/(Q1326+Q1331),"")</f>
        <v/>
      </c>
      <c r="Y1306" s="219">
        <v>2</v>
      </c>
      <c r="Z1306" s="220" t="str">
        <f>IF(U1305="","",IF(OR(Group_players=3,AND(Group_players=4,COUNTBLANK(I1305:I1308)=1)),IF(COUNTIF(M1305:M1307,M1306)=1,"",IF(AND(U1305=U1304,U1305=U1306),Z1310,IF(AND(U1305&lt;&gt;U1304,U1305&lt;&gt;U1306,U1304&lt;&gt;U1306),(IF(SMALL(U1304:U1306,1)=U1305,1,IF(SMALL(U1304:U1306,2)=U1305,2,IF(SMALL(U1304:U1306,3)=U1305,3)))),IF(AND(U1305&lt;U1304,U1304=U1306),1,IF(AND(U1305&gt;U1304,U1304=U1306),3,IF(AND(U1305=U1304,U1305&lt;U1306),(IF(Q1323=3,1,2)),IF(AND(U1305=U1304,U1305&gt;U1306),(IF(Q1323=3,2,3)),IF(AND(U1305=U1306,U1305&lt;U1304),(IF(Q1319=3,1,2)),IF(AND(U1305=U1306,U1305&gt;U1304),(IF(Q1319=3,2,3)),99))))))))),""))</f>
        <v/>
      </c>
      <c r="AA1306" s="221">
        <v>2</v>
      </c>
      <c r="AB1306" s="222" t="str">
        <f>IF(COUNTIF(M1305:M1308,M1306)&lt;&gt;2,"",IF(COUNTIF(M1305:M1308,M1306)=1,"",IF(AND(COUNTIF(M1305:M1308,M1306)=2,M1306=2),IF(M1306=M1305,IF(Q1329=3,1,2),IF(M1306=M1307,IF(Q1325=3,1,2),IF(M1306=M1308,IF(Q1319=3,1,2)))),IF(AND(COUNTIF(M1305:M1308,M1306)=2,M1306=1),IF(M1306=M1305,IF(Q1329=3,3,4),IF(M1306=M1307,IF(Q1325=3,3,4),IF(M1306=M1308,IF(Q1319=3,3,4)))),AB1311))))</f>
        <v/>
      </c>
      <c r="AC1306" s="192"/>
      <c r="AD1306" s="192"/>
      <c r="AE1306" s="192"/>
      <c r="AF1306" s="192"/>
      <c r="AG1306" s="192"/>
      <c r="AH1306" s="192"/>
      <c r="AI1306" s="192"/>
      <c r="AJ1306" s="192"/>
      <c r="AK1306" s="192"/>
      <c r="AL1306" s="192"/>
      <c r="AM1306" s="192"/>
      <c r="AN1306" s="192"/>
      <c r="AO1306" s="192"/>
      <c r="AP1306" s="192"/>
      <c r="AQ1306" s="192"/>
      <c r="AR1306" s="192"/>
      <c r="AS1306" s="192"/>
      <c r="AT1306" s="192"/>
      <c r="AU1306" s="192"/>
      <c r="AV1306" s="192"/>
      <c r="AW1306" s="192"/>
      <c r="AX1306" s="192"/>
    </row>
    <row r="1307" spans="2:50" ht="15" customHeight="1" thickBot="1" x14ac:dyDescent="0.35">
      <c r="B1307" s="192"/>
      <c r="C1307" s="192"/>
      <c r="D1307" s="192"/>
      <c r="E1307" s="192"/>
      <c r="F1307" s="192" t="str">
        <f>IF(I1307="","",VLOOKUP(I1307,Siembra,2,FALSE))</f>
        <v/>
      </c>
      <c r="G1307" s="192" t="str">
        <f>O1307</f>
        <v/>
      </c>
      <c r="H1307" s="192">
        <v>3</v>
      </c>
      <c r="I1307" s="128" t="str">
        <f>IF(K1307="","",IF(ISNUMBER(Sorteo!$A$17),VLOOKUP(K1307,Draw,2,FALSE),""))</f>
        <v/>
      </c>
      <c r="J1307" s="129" t="str">
        <f>O1307</f>
        <v/>
      </c>
      <c r="K1307" s="136" t="str">
        <f>IF($K$9="","",IF(Group_players=4,IF(Tablas!CQ$5="","",Tablas!CQ$5),IF(Group_players=3,IF(Tablas!CQ$13="","",Tablas!CQ$13),"")))</f>
        <v/>
      </c>
      <c r="L1307" s="137" t="str">
        <f>IF(K1307="","",VLOOKUP(I1307,Siembra,3,FALSE))</f>
        <v/>
      </c>
      <c r="M1307" s="132" t="str">
        <f>IF(AND(L1317="",L1316=""),"",IF(I1307="","",SUMIFS(E1316:E1334,I1316:I1334,I1307)))</f>
        <v/>
      </c>
      <c r="N1307" s="138" t="str">
        <f>IF(M1307="","",IF(I1307="","",SUMIFS(F1316:F1332,I1316:I1332,I1307)))</f>
        <v/>
      </c>
      <c r="O1307" s="132" t="str">
        <f>IF(M1307="","",IF(COUNTBLANK(I1305:I1308)=1,IF(M1307=2,1,IF(M1307=0,3,IF(AND(M1307=1,M1307&lt;&gt;M1305),2,IF(COUNTIF(M1305:M1308,1)&gt;1,Z1307)))),IF(COUNTBLANK(I1305:I1308)=0,IF(COUNTIF(M1305:M1308,M1307)=1,IF(M1307=3,1,IF(M1307=2,2,IF(M1307=1,3,IF(M1307=0,4)))),IF(Group_players=3,Z1307,IF(COUNTIF(M1305:M1308,M1307)=2,AB1307,IF(AND(M1307=M1305,M1305=M1306),AB1311,IF(AND(M1307=M1305,M1305=M1308),AB1313,IF(AND(M1307=M1306,M1306=M1308),AB1319,"")))))))))</f>
        <v/>
      </c>
      <c r="P1307" s="133" t="str">
        <f>IF(COUNT(U1304:X1315)=3,IF(ISNUMBER(U1306),U1306,IF(ISNUMBER(V1306),V1306,IF(ISNUMBER(X1306),X1306,IF(W1306="","")))),IF(COUNT(U1304:X1315)=6,IF(ISNUMBER(U1314),U1314,IF(ISNUMBER(V1314),V1314,IF(ISNUMBER(X1314),X1314,""))),""))</f>
        <v/>
      </c>
      <c r="Q1307" s="138" t="str">
        <f>IF(M1307="","",SUMIF(I1316:S1332,I1307,S1316:S1332))</f>
        <v/>
      </c>
      <c r="R1307" s="139" t="str">
        <f>IF(M1307="","",L1307+Q1307)</f>
        <v/>
      </c>
      <c r="S1307" s="203"/>
      <c r="T1307" s="208">
        <v>4</v>
      </c>
      <c r="U1307" s="223"/>
      <c r="V1307" s="140" t="str">
        <f>IF(AND(COUNTBLANK(I1305:I1308)=0,M1308=M1305,M1305=M1307),(Q1322+Q1331)/(Q1323+Q1332),"")</f>
        <v/>
      </c>
      <c r="W1307" s="224" t="str">
        <f>IF(AND(COUNTBLANK(I1305:I1308)=0,M1308=M1305,M1305=M1306),(Q1322+Q1319)/(Q1323+Q1320),"")</f>
        <v/>
      </c>
      <c r="X1307" s="225" t="str">
        <f>IF(AND(COUNTBLANK(I1305:I1308)=0,M1308=M1306,M1306=M1307),(Q1319+Q1331)/(Q1320+Q1332),"")</f>
        <v/>
      </c>
      <c r="Y1307" s="226">
        <v>3</v>
      </c>
      <c r="Z1307" s="227" t="str">
        <f>IF(U1306="","",IF(OR(Group_players=3,AND(Group_players=4,COUNTBLANK(I1305:I1308)=1)),IF(COUNTIF(M1305:M1307,M1307)=1,"",IF(AND(U1306=U1304,U1306=U1305),Z1311,IF(AND(U1306&lt;&gt;U1305,U1305&lt;&gt;U1304,U1306&lt;&gt;U1304),(IF(SMALL(U1304:U1306,1)=U1306,1,IF(SMALL(U1304:U1306,2)=U1306,2,IF(SMALL(U1304:U1306,3)=U1306,3)))),IF(AND(U1306&lt;U1305,U1305=U1304),1,IF(AND(U1306&gt;U1305,U1305=U1304),3,IF(AND(U1306=U1305,U1306&lt;U1304),(IF(Q1320=3,1,2)),IF(AND(U1306=U1305,U1306&gt;U1304),(IF(Q1320=3,2,3)),IF(AND(U1306=U1304,U1306&lt;U1305),(IF(Q1317=3,1,2)),IF(AND(U1306=U1304,U1306&gt;U1305),(IF(Q1317=3,2,3)),99))))))))),""))</f>
        <v/>
      </c>
      <c r="AA1307" s="221">
        <v>3</v>
      </c>
      <c r="AB1307" s="222" t="str">
        <f>IF(COUNTIF(M1305:M1308,M1307)&lt;&gt;2,"",IF(COUNTIF(M1305:M1308,M1307)=1,"",IF(AND(COUNTIF(M1305:M1308,M1307)=2,M1307=2),IF(M1307=M1305,IF(Q1317=3,1,2),IF(M1307=M1306,IF(Q1326=3,1,2),IF(M1307=M1308,IF(Q1331=3,1,2)))),IF(AND(COUNTIF(M1305:M1308,M1307)=2,M1307=1),IF(M1307=M1305,IF(Q1317=3,3,4),IF(M1307=M1306,IF(Q1326=3,3,4),IF(M1307=M1308,IF(Q1331=3,3,4)))),AB1311))))</f>
        <v/>
      </c>
      <c r="AC1307" s="192"/>
      <c r="AD1307" s="192"/>
      <c r="AE1307" s="192"/>
      <c r="AF1307" s="192"/>
      <c r="AG1307" s="192"/>
      <c r="AH1307" s="192"/>
      <c r="AI1307" s="192"/>
      <c r="AJ1307" s="192"/>
      <c r="AK1307" s="192"/>
      <c r="AL1307" s="192"/>
      <c r="AM1307" s="192"/>
      <c r="AN1307" s="192"/>
      <c r="AO1307" s="192"/>
      <c r="AP1307" s="192"/>
      <c r="AQ1307" s="192"/>
      <c r="AR1307" s="192"/>
      <c r="AS1307" s="192"/>
      <c r="AT1307" s="192"/>
      <c r="AU1307" s="192"/>
      <c r="AV1307" s="192"/>
      <c r="AW1307" s="192"/>
      <c r="AX1307" s="192"/>
    </row>
    <row r="1308" spans="2:50" ht="15" customHeight="1" thickTop="1" thickBot="1" x14ac:dyDescent="0.35">
      <c r="B1308" s="192"/>
      <c r="C1308" s="192"/>
      <c r="D1308" s="192"/>
      <c r="E1308" s="192"/>
      <c r="F1308" s="192" t="str">
        <f>IF(I1308="","",VLOOKUP(I1308,Siembra,2,FALSE))</f>
        <v/>
      </c>
      <c r="G1308" s="192" t="str">
        <f>O1308</f>
        <v/>
      </c>
      <c r="H1308" s="192">
        <v>4</v>
      </c>
      <c r="I1308" s="141" t="str">
        <f>IF(K1308="","",IF(ISNUMBER(Sorteo!$A$17),VLOOKUP(K1308,Draw,2,FALSE),""))</f>
        <v/>
      </c>
      <c r="J1308" s="142" t="str">
        <f>O1308</f>
        <v/>
      </c>
      <c r="K1308" s="143" t="str">
        <f>IF($K$9="","",IF(Group_players=4,IF(Tablas!CQ6="","",Tablas!CQ6),""))</f>
        <v/>
      </c>
      <c r="L1308" s="144" t="str">
        <f>IF(K1308="","",VLOOKUP(I1308,Siembra,3,FALSE))</f>
        <v/>
      </c>
      <c r="M1308" s="145" t="str">
        <f>IF(AND(Q1319="",Q1320=""),"",IF(I1308="","",SUMIFS(E1316:E1335,I1316:I1335,I1308)))</f>
        <v/>
      </c>
      <c r="N1308" s="145" t="str">
        <f>IF(M1308="","",IF(I1308="","",SUMIFS(F1316:F1332,I1316:I1332,I1308)))</f>
        <v/>
      </c>
      <c r="O1308" s="145" t="str">
        <f>IF(M1308="","",IF(COUNTIF(M1305:M1308,M1308)=1,IF(M1308=3,1,IF(M1308=2,2,IF(M1308=1,3,IF(M1308=0,4)))),IF(COUNTIF(M1305:M1308,M1308)=2,AB1308,IF(AND(M1308=M1305,M1305=M1307),AB1314,IF(AND(M1308=M1305,M1305=M1306),AB1317,IF(AND(M1308=M1306,M1306=M1307),AB1320,""))))))</f>
        <v/>
      </c>
      <c r="P1308" s="146" t="str">
        <f>IF(COUNT(U1304:X1315)=3,IF(ISNUMBER(V1307),V1307,IF(ISNUMBER(W1307),W1307,IF(ISNUMBER(X1307),X1307,IF(X1307="","")))),IF(COUNT(U1304:X1315)=6,IF(ISNUMBER(V1315),V1315,IF(ISNUMBER(W1315),W1315,IF(ISNUMBER(X1315),X1315,""))),""))</f>
        <v/>
      </c>
      <c r="Q1308" s="145" t="str">
        <f>IF(M1308="","",SUMIF(I1316:S1332,I1308,S1316:$S1332))</f>
        <v/>
      </c>
      <c r="R1308" s="147" t="str">
        <f>IF(M1308="","",L1308+Q1308)</f>
        <v/>
      </c>
      <c r="S1308" s="203"/>
      <c r="T1308" s="192"/>
      <c r="U1308" s="192"/>
      <c r="V1308" s="192"/>
      <c r="W1308" s="192"/>
      <c r="X1308" s="192"/>
      <c r="Y1308" s="230" t="s">
        <v>93</v>
      </c>
      <c r="Z1308" s="231" t="s">
        <v>110</v>
      </c>
      <c r="AA1308" s="232">
        <v>4</v>
      </c>
      <c r="AB1308" s="233" t="str">
        <f>IF(COUNTIF(M1305:M1308,M1308)&lt;&gt;2,"",IF(COUNTIF(M1305:M1308,M1308)=1,"",IF(AND(COUNTIF(M1305:M1308,M1308)=2,M1308=2),IF(M1308=M1305,IF(Q1323=3,1,2),IF(M1308=M1306,IF(Q1320=3,1,2),IF(M1308=M1307,IF(Q1332=3,1,2)))),IF(AND(COUNTIF(M1305:M1308,M1308)=2,M1308=1),IF(M1308=M1305,IF(Q1323=3,3,4),IF(M1308=M1306,IF(Q1320=3,3,4),IF(M1308=M1307,IF(Q1332=3,3,4)))),AB1314))))</f>
        <v/>
      </c>
      <c r="AC1308" s="192"/>
      <c r="AD1308" s="192"/>
      <c r="AE1308" s="192"/>
      <c r="AF1308" s="192"/>
      <c r="AG1308" s="192"/>
      <c r="AH1308" s="192"/>
      <c r="AI1308" s="192"/>
      <c r="AJ1308" s="192"/>
      <c r="AK1308" s="192"/>
      <c r="AL1308" s="192"/>
      <c r="AM1308" s="192"/>
      <c r="AN1308" s="192"/>
      <c r="AO1308" s="192"/>
      <c r="AP1308" s="192"/>
      <c r="AQ1308" s="192"/>
      <c r="AR1308" s="192"/>
      <c r="AS1308" s="192"/>
      <c r="AT1308" s="192"/>
      <c r="AU1308" s="192"/>
      <c r="AV1308" s="192"/>
      <c r="AW1308" s="192"/>
      <c r="AX1308" s="192"/>
    </row>
    <row r="1309" spans="2:50" ht="15" customHeight="1" thickTop="1" x14ac:dyDescent="0.3">
      <c r="B1309" s="192"/>
      <c r="C1309" s="192"/>
      <c r="D1309" s="192"/>
      <c r="E1309" s="192"/>
      <c r="F1309" s="192"/>
      <c r="G1309" s="192"/>
      <c r="H1309" s="192"/>
      <c r="I1309" s="192"/>
      <c r="J1309" s="192"/>
      <c r="K1309" s="192"/>
      <c r="L1309" s="192"/>
      <c r="M1309" s="192"/>
      <c r="N1309" s="192"/>
      <c r="O1309" s="192"/>
      <c r="P1309" s="192"/>
      <c r="Q1309" s="192"/>
      <c r="R1309" s="192"/>
      <c r="S1309" s="192"/>
      <c r="T1309" s="208"/>
      <c r="U1309" s="192"/>
      <c r="V1309" s="148"/>
      <c r="W1309" s="148"/>
      <c r="X1309" s="234"/>
      <c r="Y1309" s="214">
        <v>1</v>
      </c>
      <c r="Z1309" s="215" t="str">
        <f>IF(U1312="","",IF(OR(Group_players=3,AND(Group_players=4,COUNTBLANK(I1305:I1308)=1)),IF(COUNTIF(M1305:M1307,M1305)=1,"",IF(COUNTIF(U1304:U1306,U1304)=3,IF(AND(U1312=U1313,U1313=U1314),"Tied",IF(AND(U1312&lt;&gt;U1313,U1312&lt;&gt;U1314,U1313&lt;&gt;U1314),(IF(SMALL(U1312:U1314,1)=U1312,1,IF(SMALL(U1312:U1314,2)=U1312,2,IF(SMALL(U1312:U1314,3)=U1312,3)))),IF(AND(U1312&lt;U1313,U1313=U1314),1,IF(AND(U1312&gt;U1313,U1313=U1314),3,IF(AND(U1312=U1313,U1312&lt;U1314),(IF(Q1322=3,1,2)),IF(AND(U1312=U1313,U1312&gt;U1314),(IF(Q1322=3,2,3)),IF(AND(U1312=U1314,U1312&lt;U1313),(IF(Q1316=3,1,2)),IF(AND(U1312=U1314,U1312&gt;U1313),(IF(Q1316=3,2,3)),99)))))))),"")),""))</f>
        <v/>
      </c>
      <c r="AA1309" s="208">
        <v>1</v>
      </c>
      <c r="AB1309" s="222" t="str">
        <f>IF(AND(COUNTBLANK(I1305:I1308)=0,Group_players=4,M1305=M1306,M1306=M1307),IF(COUNTIF(U1304:U1307,U1304)=3,AB1322,IF(AND(COUNTIF(U1304:U1307,U1304)=1,U1305&lt;&gt;U1306),IF(M1305=2,IF(SMALL(U1304:U1307,1)=U1304,1,IF(SMALL(U1304:U1307,2)=U1304,2,IF(SMALL(U1304:U1307,3)=U1304,3))),IF(M1305=1,IF(SMALL(U1304:U1307,1)=U1304,2,IF(SMALL(U1304:U1307,2)=U1304,3,IF(SMALL(U1304:U1307,3)=U1304,4))),"")),IF(COUNTIF(U1304:U1307,U1304)=1,IF(U1304&lt;U1305,IF(M1305=2,1,2),IF(M1305=2,3,4)),IF(COUNTIF(U1304:U1307,U1304)=2,IF(U1304=U1305,IF(U1304&lt;U1306,IF(M1305=2,IF(Q1328=3,1,2),IF(M1305=1,IF(Q1328=3,2,3))),IF(U1304&gt;U1306,IF(M1305=2,IF(Q1328=3,2,3),IF(M1305=1,IF(Q1328=3,3,4))))),IF(U1304=U1306,IF(U1304&lt;U1305,IF(M1305=2,IF(Q1316=3,1,2),IF(M1305=1,IF(Q1316=3,2,3))),IF(U1304&gt;U1305,IF(M1305=2,IF(Q1316=3,2,3),IF(M1305=1,IF(Q1316=3,3,4))))))),"")))),"")</f>
        <v/>
      </c>
      <c r="AC1309" s="192"/>
      <c r="AD1309" s="192"/>
      <c r="AE1309" s="192"/>
      <c r="AF1309" s="192"/>
      <c r="AG1309" s="192"/>
      <c r="AH1309" s="192"/>
      <c r="AI1309" s="192"/>
      <c r="AJ1309" s="192"/>
      <c r="AK1309" s="192"/>
      <c r="AL1309" s="192"/>
      <c r="AM1309" s="192"/>
      <c r="AN1309" s="192"/>
      <c r="AO1309" s="192"/>
      <c r="AP1309" s="192"/>
      <c r="AQ1309" s="192"/>
      <c r="AR1309" s="192"/>
      <c r="AS1309" s="192"/>
      <c r="AT1309" s="192"/>
      <c r="AU1309" s="192"/>
      <c r="AV1309" s="192"/>
      <c r="AW1309" s="192"/>
      <c r="AX1309" s="192"/>
    </row>
    <row r="1310" spans="2:50" ht="15" customHeight="1" thickBot="1" x14ac:dyDescent="0.35">
      <c r="B1310" s="192"/>
      <c r="C1310" s="192"/>
      <c r="D1310" s="192"/>
      <c r="E1310" s="192"/>
      <c r="F1310" s="192"/>
      <c r="G1310" s="192"/>
      <c r="H1310" s="192"/>
      <c r="I1310" s="269"/>
      <c r="J1310" s="269"/>
      <c r="K1310" s="192"/>
      <c r="L1310" s="192"/>
      <c r="M1310" s="192"/>
      <c r="N1310" s="192"/>
      <c r="O1310" s="192"/>
      <c r="P1310" s="192"/>
      <c r="Q1310" s="192"/>
      <c r="R1310" s="192"/>
      <c r="S1310" s="192"/>
      <c r="T1310" s="208"/>
      <c r="U1310" s="368" t="s">
        <v>111</v>
      </c>
      <c r="V1310" s="369"/>
      <c r="W1310" s="369"/>
      <c r="X1310" s="369"/>
      <c r="Y1310" s="236">
        <v>2</v>
      </c>
      <c r="Z1310" s="220" t="str">
        <f>IF(U1305="","",IF(OR(Group_players=3,AND(Group_players=4,COUNTBLANK(I1305:I1308)=1)),IF(COUNTIF(M1305:M1307,M1306)=1,"",IF(COUNTIF(U1304:U1306,U1305)=3,IF(AND(U1313=U1312,U1313=U1314),"Tied",IF(AND(U1313&lt;&gt;U1312,U1313&lt;&gt;U1314,U1312&lt;&gt;U1314),(IF(SMALL(U1312:U1314,1)=U1313,1,IF(SMALL(U1312:U1314,2)=U1313,2,IF(SMALL(U1312:U1314,3)=U1313,3)))),IF(AND(U1313&lt;U1312,U1312=U1314),1,IF(AND(U1313&gt;U1312,U1312=U1314),3,IF(AND(U1313=U1312,U1313&lt;U1314),(IF(Q1323=3,1,2)),IF(AND(U1313=U1312,U1313&gt;U1314),(IF(Q1323=3,2,3)),IF(AND(U1313=U1314,U1313&lt;U1312),(IF(Q1319=3,1,2)),IF(AND(U1313=U1314,U1313&gt;U1312),(IF(Q1319=3,2,3)),99)))))))),"")),""))</f>
        <v/>
      </c>
      <c r="AA1310" s="208">
        <v>2</v>
      </c>
      <c r="AB1310" s="222" t="str">
        <f>IF(AND(COUNTBLANK(I1305:I1308)=0,Group_players=4,M1305=M1306,M1306=M1307),IF(COUNTIF(U1304:U1307,U1305)=3,AB1323,IF(AND(COUNTIF(U1304:U1307,U1305)=1,U1304&lt;&gt;U1306),IF(M1306=2,IF(SMALL(U1304:U1307,1)=U1305,1,IF(SMALL(U1304:U1307,2)=U1305,2,IF(SMALL(U1304:U1307,3)=U1305,3))),IF(M1306=1,IF(SMALL(U1304:U1307,1)=U1305,2,IF(SMALL(U1304:U1307,2)=U1305,3,IF(SMALL(U1304:U1307,3)=U1305,4))),"")),IF(COUNTIF(U1304:U1306,U1305)=1,IF(U1305&lt;U1304,IF(M1306=2,1,2),IF(M1306=2,3,99)),IF(COUNTIF(U1304:U1307,U1305)=2,IF(U1305=U1304,IF(U1305&lt;U1306,IF(M1306=2,IF(Q1329=3,1,2),IF(M1306=1,IF(Q1329=3,2,3))),IF(U1305&gt;U1306,IF(M1306=2,IF(Q1329=3,2,3),IF(M1306=1,IF(Q1329=3,3,4))))),IF(U1305=U1306,IF(U1305&lt;U1304,IF(M1306=2,IF(Q1325=3,1,2),IF(M1306=1,IF(Q1325=3,2,3))),IF(U1305&gt;U1304,IF(M1306=2,IF(Q1325=3,2,3),IF(M1306=1,IF(Q1325=3,3,4))))))),"")))),"")</f>
        <v/>
      </c>
      <c r="AC1310" s="192"/>
      <c r="AD1310" s="192"/>
      <c r="AE1310" s="192"/>
      <c r="AF1310" s="192"/>
      <c r="AG1310" s="192"/>
      <c r="AH1310" s="192"/>
      <c r="AI1310" s="192"/>
      <c r="AJ1310" s="192"/>
      <c r="AK1310" s="192"/>
      <c r="AL1310" s="192"/>
      <c r="AM1310" s="192"/>
      <c r="AN1310" s="192"/>
      <c r="AO1310" s="192"/>
      <c r="AP1310" s="192"/>
      <c r="AQ1310" s="192"/>
      <c r="AR1310" s="192"/>
      <c r="AS1310" s="192"/>
      <c r="AT1310" s="192"/>
      <c r="AU1310" s="192"/>
      <c r="AV1310" s="192"/>
      <c r="AW1310" s="192"/>
      <c r="AX1310" s="192"/>
    </row>
    <row r="1311" spans="2:50" ht="15" customHeight="1" thickTop="1" thickBot="1" x14ac:dyDescent="0.35">
      <c r="B1311" s="192"/>
      <c r="C1311" s="192"/>
      <c r="D1311" s="192"/>
      <c r="E1311" s="192"/>
      <c r="F1311" s="192"/>
      <c r="G1311" s="192"/>
      <c r="H1311" s="192"/>
      <c r="I1311" s="192"/>
      <c r="J1311" s="192"/>
      <c r="K1311" s="192"/>
      <c r="L1311" s="192"/>
      <c r="M1311" s="192"/>
      <c r="N1311" s="192"/>
      <c r="O1311" s="192"/>
      <c r="P1311" s="192"/>
      <c r="Q1311" s="192"/>
      <c r="R1311" s="192"/>
      <c r="S1311" s="192"/>
      <c r="T1311" s="120"/>
      <c r="U1311" s="121" t="s">
        <v>101</v>
      </c>
      <c r="V1311" s="122" t="s">
        <v>102</v>
      </c>
      <c r="W1311" s="122" t="s">
        <v>103</v>
      </c>
      <c r="X1311" s="123" t="s">
        <v>104</v>
      </c>
      <c r="Y1311" s="238">
        <v>3</v>
      </c>
      <c r="Z1311" s="239" t="str">
        <f>IF(U1306="","",IF(OR(Group_players=3,AND(Group_players=4,COUNTBLANK(I1305:I1308)=1)),IF(COUNTIF(M1305:M1307,M1307)=1,"",IF(COUNTIF(U1304:U1306,U1306)=3,IF(AND(U1314=U1312,U1314=U1313),"Tied",IF(AND(U1314&lt;&gt;U1313,U1313&lt;&gt;U1312,U1314&lt;&gt;U1312),(IF(SMALL(U1312:U1314,1)=U1314,1,IF(SMALL(U1312:U1314,2)=U1314,2,IF(SMALL(U1312:U1314,3)=U1314,3)))),IF(AND(U1314&lt;U1313,U1313=U1312),1,IF(AND(U1314&gt;U1313,U1313=U1312),3,IF(AND(U1314=U1313,U1314&lt;U1312),(IF(Q1320=3,1,2)),IF(AND(U1314=U1313,U1314&gt;U1312),(IF(Q1320=3,2,3)),IF(AND(U1314=U1312,U1314&lt;U1313),(IF(Q1317=3,1,2)),IF(AND(U1314=U1312,U1314&gt;U1313),(IF(Q1317=3,2,3)),99)))))))),"")),""))</f>
        <v/>
      </c>
      <c r="AA1311" s="240">
        <v>3</v>
      </c>
      <c r="AB1311" s="241" t="str">
        <f>IF(AND(COUNTBLANK(I1305:I1308)=0,Group_players=4,M1305=M1306,M1306=M1307),IF(COUNTIF(U1304:U1307,U1306)=3,AB1324,IF(AND(COUNTIF(U1304:U1307,U1306)=1,U1304&lt;&gt;U1305),IF(M1305=2,IF(SMALL(U1304:U1307,1)=U1306,1,IF(SMALL(U1304:U1307,2)=U1306,2,IF(SMALL(U1304:U1307,3)=U1306,3))),IF(M1307=1,IF(SMALL(U1304:U1307,1)=U1306,2,IF(SMALL(U1304:U1307,2)=U1306,3,IF(SMALL(U1304:U1307,3)=U1306,4))),"")),IF(COUNTIF(U1304:U1307,U1306)=1,IF(U1306&lt;U1305,IF(M1307=2,1,2),IF(M1307=2,3,4)),IF(COUNTIF(U1304:U1307,U1306)=2,IF(U1306=U1305,IF(U1306&lt;U1304,IF(M1307=2,IF(Q1326=3,1,2),IF(M1307=1,IF(Q1326=3,2,3))),IF(U1306&gt;U1304,IF(M1307=2,IF(Q1326=3,2,3),IF(M1307=1,IF(Q1326=3,3,4))))),IF(U1306=U1304,IF(U1306&lt;U1305,IF(M1307=2,IF(Q1317=3,1,2),IF(M1307=1,IF(Q1317=3,2,3))),IF(U1306&gt;U1305,IF(M1307=2,IF(Q1317=3,2,3),IF(M1307=1,IF(Q1317=3,3,4))))))),"")))),"")</f>
        <v/>
      </c>
      <c r="AC1311" s="192"/>
      <c r="AD1311" s="192"/>
      <c r="AE1311" s="192"/>
      <c r="AF1311" s="192"/>
      <c r="AG1311" s="192"/>
      <c r="AH1311" s="192"/>
      <c r="AI1311" s="192"/>
      <c r="AJ1311" s="192"/>
      <c r="AK1311" s="192"/>
      <c r="AL1311" s="192"/>
      <c r="AM1311" s="192"/>
      <c r="AN1311" s="192"/>
      <c r="AO1311" s="192"/>
      <c r="AP1311" s="192"/>
      <c r="AQ1311" s="192"/>
      <c r="AR1311" s="192"/>
      <c r="AS1311" s="192"/>
      <c r="AT1311" s="192"/>
      <c r="AU1311" s="192"/>
      <c r="AV1311" s="192"/>
      <c r="AW1311" s="192"/>
      <c r="AX1311" s="192"/>
    </row>
    <row r="1312" spans="2:50" ht="15" customHeight="1" thickTop="1" thickBot="1" x14ac:dyDescent="0.35">
      <c r="B1312" s="192"/>
      <c r="C1312" s="192"/>
      <c r="D1312" s="192"/>
      <c r="E1312" s="192"/>
      <c r="F1312" s="192"/>
      <c r="G1312" s="192"/>
      <c r="H1312" s="192"/>
      <c r="I1312" s="192"/>
      <c r="J1312" s="192"/>
      <c r="K1312" s="192"/>
      <c r="L1312" s="192"/>
      <c r="M1312" s="192"/>
      <c r="N1312" s="192"/>
      <c r="O1312" s="192"/>
      <c r="P1312" s="192"/>
      <c r="Q1312" s="192"/>
      <c r="R1312" s="192"/>
      <c r="S1312" s="192"/>
      <c r="T1312" s="208">
        <v>1</v>
      </c>
      <c r="U1312" s="209" t="str">
        <f>IF(U1304="","",IF(OR(U1304&lt;&gt;U1305,U1304&lt;&gt;U1306),"",IF(COUNTIF(M1305:M1307,M1305)=1,"",IF(COUNTBLANK(I1305:I1308)=1,(SUM(L1317:P1317)+SUM(L1323:P1323))/(SUM(L1316:P1316)+SUM(L1322:P1322)),IF(COUNTBLANK(I1305:I1308)=0,(SUM(L1329:P1329)+SUM(L1317:P1317))/(SUM(L1328:P1328)+SUM(L1316:P1316)),"")))))</f>
        <v/>
      </c>
      <c r="V1312" s="125" t="str">
        <f>IF(V1304="","",IF(OR(V1304&lt;&gt;V1306,V1304&lt;&gt;V1307),"",IF(AND(COUNTBLANK(I1305:I1308)=0,M1305=M1307,M1307=M1308),(SUM(L1317:P1317)+SUM(L1323:P1323))/(SUM(L1316:P1316)+SUM(L1322:P1322)),"")))</f>
        <v/>
      </c>
      <c r="W1312" s="210" t="str">
        <f>IF(W1304="","",IF(OR(W1304&lt;&gt;W1305,W1304&lt;&gt;W1307),"",IF(AND(COUNTBLANK(I1305:I1308)=0,M1305=M1306,M1306=M1308),(SUM(L1329:P1329)+SUM(L1323:P1323))/(SUM(L1328:P1328)+SUM(L1322:P1322)),"")))</f>
        <v/>
      </c>
      <c r="X1312" s="211"/>
      <c r="Y1312" s="242"/>
      <c r="Z1312" s="242"/>
      <c r="AA1312" s="243">
        <v>1</v>
      </c>
      <c r="AB1312" s="244" t="str">
        <f>IF(AND(COUNTBLANK(I1305:I1308)=0,Group_players=4,M1305=M1307,M1307=M1308),IF(COUNTIF(V1304:V1307,V1304)=3,AB1325,IF(AND(COUNTIF(V1304:V1307,V1304)=1,V1306&lt;&gt;U1315),IF(M1305=2,IF(SMALL(V1304:V1307,1)=V1304,1,IF(SMALL(V1304:V1307,2)=V1304,2,IF(SMALL(V1304:V1307,3)=V1304,3))),IF(M1305=1,IF(SMALL(V1304:V1307,1)=V1304,2,IF(SMALL(V1304:V1307,2)=V1304,3,IF(SMALL(V1304:V1307,3)=V1304,4))),"")),IF(COUNTIF(V1304:V1307,V1304)=1,IF(V1304&lt;V1306,IF(M1305=2,1,2),IF(M1305=2,3,4)),IF(COUNTIF(V1304:V1307,V1304)=2,IF(V1304=V1306,IF(V1304&lt;V1307,IF(M1305=2,IF(Q1316=3,1,2),IF(M1305=1,IF(Q1316=3,2,3))),IF(V1304&gt;V1307,IF(M1305=2,IF(Q1316=3,2,3),IF(M1305=1,IF(Q1316=3,3,4))))),IF(V1304=V1307,IF(V1304&lt;V1306,IF(M1305=2,IF(Q1322=3,1,2),IF(M1305=1,IF(Q1322=3,2,3))),IF(V1304&gt;V1305,IF(M1305=2,IF(Q1322=3,2,3),IF(M1305=1,IF(Q1322=3,3,4))))))),"")))),"")</f>
        <v/>
      </c>
      <c r="AC1312" s="192"/>
      <c r="AD1312" s="192"/>
      <c r="AE1312" s="192"/>
      <c r="AF1312" s="192"/>
      <c r="AG1312" s="192"/>
      <c r="AH1312" s="192"/>
      <c r="AI1312" s="192"/>
      <c r="AJ1312" s="192"/>
      <c r="AK1312" s="192"/>
      <c r="AL1312" s="192"/>
      <c r="AM1312" s="192"/>
      <c r="AN1312" s="192"/>
      <c r="AO1312" s="192"/>
      <c r="AP1312" s="192"/>
      <c r="AQ1312" s="192"/>
      <c r="AR1312" s="192"/>
      <c r="AS1312" s="192"/>
      <c r="AT1312" s="192"/>
      <c r="AU1312" s="192"/>
      <c r="AV1312" s="192"/>
      <c r="AW1312" s="192"/>
      <c r="AX1312" s="192"/>
    </row>
    <row r="1313" spans="2:50" ht="15" customHeight="1" thickTop="1" thickBot="1" x14ac:dyDescent="0.35">
      <c r="B1313" s="192"/>
      <c r="C1313" s="192"/>
      <c r="D1313" s="192"/>
      <c r="E1313" s="117"/>
      <c r="F1313" s="117"/>
      <c r="G1313" s="117"/>
      <c r="H1313" s="192"/>
      <c r="I1313" s="192"/>
      <c r="J1313" s="192"/>
      <c r="K1313" s="192"/>
      <c r="L1313" s="192"/>
      <c r="M1313" s="192"/>
      <c r="N1313" s="192"/>
      <c r="O1313" s="192"/>
      <c r="P1313" s="192"/>
      <c r="Q1313" s="192"/>
      <c r="R1313" s="192"/>
      <c r="S1313" s="394" t="s">
        <v>112</v>
      </c>
      <c r="T1313" s="208">
        <v>2</v>
      </c>
      <c r="U1313" s="209" t="str">
        <f>IF(U1304="","",IF(OR(U1305&lt;&gt;U1304,U1305&lt;&gt;U1306),"",IF(COUNTIF(M1305:M1307,M1306)=1,"",IF(COUNTBLANK(I1305:I1308)=1,(SUM(L1320:P1320)+SUM(L1322:P1322))/(SUM(L1319:P1319)+SUM(L1323:P1323)),IF(COUNTBLANK(I1305:I1308)=0,(SUM(L1328:P1328)+SUM(L1326:P1326))/(SUM(L1329:P1329)+SUM(L1325:P1325)))))))</f>
        <v/>
      </c>
      <c r="V1313" s="135"/>
      <c r="W1313" s="212" t="str">
        <f>IF(W1304="","",IF(OR(W1305&lt;&gt;W1304,W1305&lt;&gt;W1307),"",IF(AND(COUNTBLANK(I1305:I1308)=0,M1305=M1306,M1306=M1308),(SUM(L1320:P1320)+SUM(L1328:P1328))/(SUM(L1329:P1329)+SUM(L1319:P1319)),"")))</f>
        <v/>
      </c>
      <c r="X1313" s="245" t="str">
        <f>IF(X1305="","",IF(OR(X1305&lt;&gt;X1306,X1305&lt;&gt;X1307),"",IF(AND(COUNTBLANK(I1305:I1308)=0,M1306=M1307,M1307=M1308),(SUM(L1326:P1326)+SUM(L1320:P1320))/(SUM(L1325:P1325)+SUM(L1319:P1319)),"")))</f>
        <v/>
      </c>
      <c r="Y1313" s="242"/>
      <c r="Z1313" s="203"/>
      <c r="AA1313" s="246">
        <v>3</v>
      </c>
      <c r="AB1313" s="222" t="str">
        <f>IF(AND(COUNTBLANK(I1305:I1308)=0,Group_players=4,M1305=M1307,M1307=M1308),IF(COUNTIF(V1304:V1307,V1306)=3,AB1326,IF(AND(COUNTIF(V1304:V1307,V1306)=1,V1304&lt;&gt;V1307),IF(M1307=2,IF(SMALL(V1304:V1307,1)=V1306,1,IF(SMALL(V1304:V1307,2)=V1306,2,IF(SMALL(V1304:V1307,3)=V1306,3))),IF(M1307=1,IF(SMALL(V1304:V1307,1)=V1306,2,IF(SMALL(V1304:V1307,2)=V1306,3,IF(SMALL(V1304:V1307,3)=V1306,4))),"")),IF(COUNTIF(V1304:V1307,V1306)=1,IF(V1306&lt;V1304,IF(M1307=2,1,2),IF(M1307=2,3,4)),IF(COUNTIF(V1304:V1307,V1306)=2,IF(V1306=V1304,IF(V1306&lt;V1307,IF(M1307=2,IF(Q1317=3,1,2),IF(M1307=1,IF(Q1317=3,2,3))),IF(V1306&gt;V1307,IF(M1307=2,IF(Q1317=3,2,3),IF(M1307=1,IF(Q1317=3,3,4))))),IF(V1306=V1307,IF(V1306&lt;V1304,IF(M1307=2,IF(Q1331=3,1,2),IF(M1307=1,IF(Q1331=3,2,3))),IF(V1306&gt;V1304,IF(M1307=2,IF(Q1331=3,2,3),IF(M1307=1,IF(Q1331=3,3,4))))))),"")))),"")</f>
        <v/>
      </c>
      <c r="AC1313" s="192"/>
      <c r="AD1313" s="192"/>
      <c r="AE1313" s="192"/>
      <c r="AF1313" s="192"/>
      <c r="AG1313" s="192"/>
      <c r="AH1313" s="192"/>
      <c r="AI1313" s="192"/>
      <c r="AJ1313" s="192"/>
      <c r="AK1313" s="192"/>
      <c r="AL1313" s="192"/>
      <c r="AM1313" s="192"/>
      <c r="AN1313" s="192"/>
      <c r="AO1313" s="192"/>
      <c r="AP1313" s="192"/>
      <c r="AQ1313" s="192"/>
      <c r="AR1313" s="192"/>
      <c r="AS1313" s="192"/>
      <c r="AT1313" s="192"/>
      <c r="AU1313" s="192"/>
      <c r="AV1313" s="192"/>
      <c r="AW1313" s="192"/>
      <c r="AX1313" s="192"/>
    </row>
    <row r="1314" spans="2:50" ht="15" customHeight="1" thickTop="1" thickBot="1" x14ac:dyDescent="0.35">
      <c r="B1314" s="192"/>
      <c r="C1314" s="192"/>
      <c r="D1314" s="192"/>
      <c r="E1314" s="117"/>
      <c r="F1314" s="117"/>
      <c r="G1314" s="117"/>
      <c r="H1314" s="192"/>
      <c r="I1314" s="192"/>
      <c r="J1314" s="192"/>
      <c r="K1314" s="192"/>
      <c r="L1314" s="192"/>
      <c r="M1314" s="192"/>
      <c r="N1314" s="192"/>
      <c r="O1314" s="192"/>
      <c r="P1314" s="192"/>
      <c r="Q1314" s="192"/>
      <c r="R1314" s="247"/>
      <c r="S1314" s="395"/>
      <c r="T1314" s="208">
        <v>3</v>
      </c>
      <c r="U1314" s="209" t="str">
        <f>IF(U1304="","",IF(OR(U1306&lt;&gt;U1304,U1306&lt;&gt;U1305),"",IF(COUNTIF(M1305:M1307,M1307)=1,"",IF(COUNTBLANK(I1305:I1308)=1,(SUM(L1316:P1316)+SUM(L1319:P1319))/(SUM(L1317:P1317)+SUM(L1320:P1320)),IF(COUNTBLANK(I1305:I1308)=0,(SUM(L1316:P1316)+SUM(L1325:P1325))/(SUM(L1317:P1317)+SUM(L1326:P1326)))))))</f>
        <v/>
      </c>
      <c r="V1314" s="125" t="str">
        <f>IF(V1304="","",IF(OR(V1306&lt;&gt;V1304,V1306&lt;&gt;V1307),"",IF(AND(COUNTBLANK(I1305:I1308)=0,M1305=M1307,M1307=M1308),(SUM(L1316:P1316)+SUM(L1332:P1332))/(SUM(L1317:P1317)+SUM(L1331:P1331)),"")))</f>
        <v/>
      </c>
      <c r="W1314" s="218"/>
      <c r="X1314" s="245" t="str">
        <f>IF(X1305="","",IF(OR(X1306&lt;&gt;X1305,X1306&lt;&gt;X1307),"",IF(AND(COUNTBLANK(I1305:I1308)=0,M1306=M1307,M1307=M1308),(SUM(L1325:P1325)+SUM(L1332:P1332))/(SUM(L1326:P1326)+SUM(L1331:P1331)),"")))</f>
        <v/>
      </c>
      <c r="Y1314" s="208"/>
      <c r="Z1314" s="203"/>
      <c r="AA1314" s="240">
        <v>4</v>
      </c>
      <c r="AB1314" s="222" t="str">
        <f>IF(AND(COUNTBLANK(I1305:I1308)=0,Group_players=4,M1305=M1307,M1307=M1308),IF(COUNTIF(V1304:V1307,V1307)=3,AB1327,IF(AND(COUNTIF(V1304:V1307,V1307)=1,V1306&lt;&gt;V1304),IF(M1308=2,IF(SMALL(V1304:V1307,1)=V1307,1,IF(SMALL(V1304:V1307,2)=V1307,2,IF(SMALL(V1304:V1307,3)=V1307,3))),IF(M1308=1,IF(SMALL(V1304:V1307,1)=V1307,2,IF(SMALL(V1304:V1307,2)=V1307,3,IF(SMALL(V1304:V1307,3)=V1307,4))),"")),IF(COUNTIF(V1304:V1307,V1307)=1,IF(V1307&lt;V1304,IF(M1308=2,1,2),IF(M1308=2,3,4)),IF(COUNTIF(V1304:V1307,V1307)=2,IF(V1307=V1304,IF(V1307&lt;V1306,IF(M1308=2,IF(Q1323=3,1,2),IF(M1308=1,IF(Q1323=3,2,3))),IF(V1307&gt;V1306,IF(M1308=2,IF(Q1323=3,2,3),IF(M1308=1,IF(Q1323=3,3,4))))),IF(V1307=V1306,IF(V1307&lt;V1304,IF(M1308=2,IF(Q1332=3,1,2),IF(M1308=1,IF(Q1332=3,2,3))),IF(V1307&gt;V1304,IF(M1308=2,IF(Q1332=3,2,3),IF(M1308=1,IF(Q1332=3,3,4))))))),"")))),"")</f>
        <v/>
      </c>
      <c r="AC1314" s="192"/>
      <c r="AD1314" s="192"/>
      <c r="AE1314" s="192"/>
      <c r="AF1314" s="192"/>
      <c r="AG1314" s="192"/>
      <c r="AH1314" s="192"/>
      <c r="AI1314" s="192"/>
      <c r="AJ1314" s="192"/>
      <c r="AK1314" s="192"/>
      <c r="AL1314" s="192"/>
      <c r="AM1314" s="192"/>
      <c r="AN1314" s="192"/>
      <c r="AO1314" s="192"/>
      <c r="AP1314" s="192"/>
      <c r="AQ1314" s="192"/>
      <c r="AR1314" s="192"/>
      <c r="AS1314" s="192"/>
      <c r="AT1314" s="192"/>
      <c r="AU1314" s="192"/>
      <c r="AV1314" s="192"/>
      <c r="AW1314" s="192"/>
      <c r="AX1314" s="192"/>
    </row>
    <row r="1315" spans="2:50" ht="15" customHeight="1" thickTop="1" thickBot="1" x14ac:dyDescent="0.35">
      <c r="B1315" s="192"/>
      <c r="C1315" s="192"/>
      <c r="D1315" s="192"/>
      <c r="E1315" s="168" t="s">
        <v>113</v>
      </c>
      <c r="F1315" s="168" t="s">
        <v>114</v>
      </c>
      <c r="G1315" s="117"/>
      <c r="H1315" s="192"/>
      <c r="I1315" s="249" t="s">
        <v>115</v>
      </c>
      <c r="J1315" s="249"/>
      <c r="K1315" s="249"/>
      <c r="L1315" s="250" t="s">
        <v>115</v>
      </c>
      <c r="M1315" s="250" t="s">
        <v>116</v>
      </c>
      <c r="N1315" s="250" t="s">
        <v>117</v>
      </c>
      <c r="O1315" s="250" t="s">
        <v>118</v>
      </c>
      <c r="P1315" s="250" t="s">
        <v>119</v>
      </c>
      <c r="Q1315" s="250" t="s">
        <v>120</v>
      </c>
      <c r="R1315" s="250"/>
      <c r="S1315" s="251"/>
      <c r="T1315" s="208">
        <v>4</v>
      </c>
      <c r="U1315" s="223"/>
      <c r="V1315" s="140" t="str">
        <f>IF(V1304="","",IF(OR(V1307&lt;&gt;V1304,V1307&lt;&gt;V1306),"",IF(AND(COUNTBLANK(I1305:I1308)=0,M1305=M1307,M1307=M1308),(SUM(L1322:P1322)+SUM(L1331:P1331))/(SUM(L1323:P1323)+SUM(L1332:P1332)),"")))</f>
        <v/>
      </c>
      <c r="W1315" s="224" t="str">
        <f>IF(W1304="","",IF(OR(W1307&lt;&gt;W1304,W1307&lt;&gt;W1305),"",IF(AND(COUNTBLANK(I1305:I1308)=0,M1305=M1306,M1306=M1308),(SUM(L1322:P1322)+SUM(L1319:P1319))/(SUM(L1323:P1323)+SUM(L1320:P1320)),"")))</f>
        <v/>
      </c>
      <c r="X1315" s="252" t="str">
        <f>IF(X1305="","",IF(OR(X1307&lt;&gt;X1305,X1307&lt;&gt;X1306),"",IF(AND(COUNTBLANK(I1305:I1308)=0,M1306=M1307,M1307=M1308),(SUM(L1319:P1319)+SUM(L1331:P1331))/(SUM(L1320:P1320)+SUM(L1332:P1332)),"")))</f>
        <v/>
      </c>
      <c r="Y1315" s="192"/>
      <c r="Z1315" s="203"/>
      <c r="AA1315" s="243">
        <v>1</v>
      </c>
      <c r="AB1315" s="151" t="str">
        <f>IF(AND(COUNTBLANK(I1305:I1308)=0,Group_players=4,M1305=M1306,M1306=M1308),IF(COUNTIF(W1304:W1307,W1304)=3,AB1328,IF(AND(COUNTIF(W1304:W1307,W1304)=1,W1305&lt;&gt;W1307),IF(M1305=2,IF(SMALL(W1304:W1307,1)=W1304,1,IF(SMALL(W1304:W1307,2)=W1304,2,IF(SMALL(W1304:W1307,3)=W1304,3))),IF(M1305=1,IF(SMALL(W1304:W1307,1)=W1304,2,IF(SMALL(W1304:W1307,2)=W1304,3,IF(SMALL(W1304:W1307,3)=W1304,4))),"")),IF(COUNTIF(W1304:W1307,W1304)=1,IF(W1304&lt;W1305,IF(M1305=2,1,2),IF(M1305=2,3,4)),IF(COUNTIF(W1304:W1307,W1304)=2,IF(W1304=W1305,IF(W1304&lt;W1307,IF(M1305=2,IF(Q1328=3,1,2),IF(M1305=1,IF(Q1328=3,2,3))),IF(W1304&gt;W1307,IF(M1305=2,IF(Q1328=3,2,3),IF(M1305=1,IF(Q1328=3,3,4))))),IF(W1304=W1307,IF(W1304&lt;W1305,IF(M1305=2,IF(Q1322=3,1,2),IF(M1305=1,IF(Q1322=3,2,3))),IF(W1304&gt;W1305,IF(M1305=2,IF(Q1322=3,2,3),IF(M1305=1,IF(Q1322=3,3,4))))))),"")))),"")</f>
        <v/>
      </c>
      <c r="AC1315" s="192"/>
      <c r="AD1315" s="192"/>
      <c r="AE1315" s="192"/>
      <c r="AF1315" s="192"/>
      <c r="AG1315" s="192"/>
      <c r="AH1315" s="192"/>
      <c r="AI1315" s="192"/>
      <c r="AJ1315" s="192"/>
      <c r="AK1315" s="192"/>
      <c r="AL1315" s="192"/>
      <c r="AM1315" s="192"/>
      <c r="AN1315" s="192"/>
      <c r="AO1315" s="192"/>
      <c r="AP1315" s="192"/>
      <c r="AQ1315" s="192"/>
      <c r="AR1315" s="192"/>
      <c r="AS1315" s="192"/>
      <c r="AT1315" s="192"/>
      <c r="AU1315" s="192"/>
      <c r="AV1315" s="192"/>
      <c r="AW1315" s="192"/>
      <c r="AX1315" s="192"/>
    </row>
    <row r="1316" spans="2:50" ht="15" customHeight="1" thickTop="1" x14ac:dyDescent="0.3">
      <c r="B1316" s="192"/>
      <c r="C1316" s="192"/>
      <c r="D1316" s="192"/>
      <c r="E1316" s="164" t="str">
        <f>IF(Q1316="","",IF(Q1316=3,1,0))</f>
        <v/>
      </c>
      <c r="F1316" s="164" t="str">
        <f>IF(Q1316="","",IF(Q1316&lt;3,1,0))</f>
        <v/>
      </c>
      <c r="G1316" s="192"/>
      <c r="H1316" s="192" t="str">
        <f>IF(I1305="","",1)</f>
        <v/>
      </c>
      <c r="I1316" s="192" t="str">
        <f>IF(ISNUMBER(H1316),VLOOKUP(H1316,H1305:I1308,2,TRUE),"")</f>
        <v/>
      </c>
      <c r="J1316" s="192"/>
      <c r="K1316" s="192" t="str">
        <f>VLOOKUP(I1316,I1305:L1308,3,FALSE)</f>
        <v/>
      </c>
      <c r="L1316" s="253"/>
      <c r="M1316" s="254"/>
      <c r="N1316" s="254"/>
      <c r="O1316" s="152"/>
      <c r="P1316" s="153"/>
      <c r="Q1316" s="255" t="str">
        <f>IF(L1316="","",IF(AND(L1316-L1317&gt;1,L1316&gt;10),1,0)+IF(AND(M1316-M1317&gt;1,M1316&gt;10),1,0)+IF(AND(N1316-N1317&gt;1,N1316&gt;10),1,0)+IF(AND(O1316-O1317&gt;1,O1316&gt;10),1,0)+IF(AND(P1316-P1317&gt;1,P1316&gt;10),1,0))</f>
        <v/>
      </c>
      <c r="R1316" s="203" t="str">
        <f>IF(AND(I1316="",I1317=""),"",ABS(VLOOKUP(I1316,I1305:L1308,4,FALSE)-VLOOKUP(I1317,I1305:L1308,4,FALSE)))</f>
        <v/>
      </c>
      <c r="S1316" s="256" t="str">
        <f>IF(R1317="","",IF(Q1316=3,+R1317,-R1317))</f>
        <v/>
      </c>
      <c r="T1316" s="257"/>
      <c r="U1316" s="258"/>
      <c r="V1316" s="258"/>
      <c r="W1316" s="258"/>
      <c r="X1316" s="258"/>
      <c r="Y1316" s="192"/>
      <c r="Z1316" s="203"/>
      <c r="AA1316" s="246">
        <v>2</v>
      </c>
      <c r="AB1316" s="154" t="str">
        <f>IF(AND(COUNTBLANK(I1305:I1308)=0,Group_players=4,M1305=M1306,M1306=M1308),IF(COUNTIF(W1304:W1307,W1305)=3,AB1329,IF(AND(COUNTIF(W1304:W1307,W1305)=1,W1304&lt;&gt;W1306),IF(M1306=2,IF(SMALL(W1304:W1307,1)=W1305,1,IF(SMALL(W1304:W1307,2)=W1305,2,IF(SMALL(W1304:W1307,3)=W1305,3))),IF(M1306=1,IF(SMALL(W1304:W1307,1)=W1305,2,IF(SMALL(W1304:W1307,2)=W1305,3,IF(SMALL(W1304:W1307,3)=W1305,4))),"")),IF(COUNTIF(W1304:W1307,W1305)=1,IF(W1305&lt;W1304,IF(M1306=2,1,2),IF(M1306=2,3,4)),IF(COUNTIF(W1304:W1307,W1305)=2,IF(W1305=W1304,IF(W1305&lt;W1307,IF(M1306=2,IF(Q1329=3,1,2),IF(M1306=1,IF(Q1329=3,2,3))),IF(W1305&gt;W1307,IF(M1306=2,IF(Q1329=3,2,3),IF(M1306=1,IF(Q1329=3,3,4))))),IF(W1305=W1307,IF(W1305&lt;W1304,IF(M1306=2,IF(Q1319=3,1,2),IF(M1306=1,IF(Q1319=3,2,3))),IF(W1305&gt;W1304,IF(M1306=2,IF(Q1319=3,2,3),IF(M1306=1,IF(Q1319=3,3,4))))))),"")))),"")</f>
        <v/>
      </c>
      <c r="AC1316" s="192"/>
      <c r="AD1316" s="192"/>
      <c r="AE1316" s="192"/>
      <c r="AF1316" s="192"/>
      <c r="AG1316" s="192"/>
      <c r="AH1316" s="192"/>
      <c r="AI1316" s="192"/>
      <c r="AJ1316" s="192"/>
      <c r="AK1316" s="192"/>
      <c r="AL1316" s="192"/>
      <c r="AM1316" s="192"/>
      <c r="AN1316" s="192"/>
      <c r="AO1316" s="192"/>
      <c r="AP1316" s="192"/>
      <c r="AQ1316" s="192"/>
      <c r="AR1316" s="192"/>
      <c r="AS1316" s="192"/>
      <c r="AT1316" s="192"/>
      <c r="AU1316" s="192"/>
      <c r="AV1316" s="192"/>
      <c r="AW1316" s="192"/>
      <c r="AX1316" s="192"/>
    </row>
    <row r="1317" spans="2:50" ht="15" customHeight="1" thickBot="1" x14ac:dyDescent="0.35">
      <c r="B1317" s="192"/>
      <c r="C1317" s="192"/>
      <c r="D1317" s="192"/>
      <c r="E1317" s="164" t="str">
        <f>IF(Q1317="","",IF(Q1317=3,1,0))</f>
        <v/>
      </c>
      <c r="F1317" s="164" t="str">
        <f>IF(Q1317="","",IF(Q1317&lt;3,1,0))</f>
        <v/>
      </c>
      <c r="G1317" s="192"/>
      <c r="H1317" s="192" t="str">
        <f>IF(I1306="","",IF(I1307="",2,3))</f>
        <v/>
      </c>
      <c r="I1317" s="192" t="str">
        <f>IF(ISNUMBER(H1317),VLOOKUP(H1317,H1305:I1308,2,TRUE),"")</f>
        <v/>
      </c>
      <c r="J1317" s="192"/>
      <c r="K1317" s="192" t="str">
        <f>VLOOKUP(I1317,I1305:L1308,3,FALSE)</f>
        <v/>
      </c>
      <c r="L1317" s="155"/>
      <c r="M1317" s="259"/>
      <c r="N1317" s="259"/>
      <c r="O1317" s="156"/>
      <c r="P1317" s="157"/>
      <c r="Q1317" s="260" t="str">
        <f>IF(L1317="","",IF(AND(L1317-L1316&gt;1,L1317&gt;10),1,0)+IF(AND(M1317-M1316&gt;1,M1317&gt;10),1,0)+IF(AND(N1317-N1316&gt;1,N1317&gt;10),1,0)+IF(AND(O1317-O1316&gt;1,O1317&gt;10),1,0)+IF(AND(P1317-P1316&gt;1,P1317&gt;10),1,0))</f>
        <v/>
      </c>
      <c r="R1317" s="203" t="str">
        <f>IF(AND(Q1316&lt;&gt;3,Q1317&lt;&gt;3),"",IF(Q1316=3,IF(VLOOKUP(I1316,I1305:L1308,4,FALSE)&gt;VLOOKUP(I1317,I1305:L1308,4,FALSE),VLOOKUP(R1316,Point_dif,2,FALSE),VLOOKUP(R1316,Point_dif,3,FALSE)),IF(Q1317=3,IF(VLOOKUP(I1317,I1305:L1308,4,FALSE)&gt;VLOOKUP(I1316,I1305:L1308,4,FALSE),VLOOKUP(R1316,Point_dif,2,FALSE),VLOOKUP(R1316,Point_dif,3,FALSE)))))</f>
        <v/>
      </c>
      <c r="S1317" s="256" t="str">
        <f>IF(R1317="","",IF(Q1317=3,+R1317,-R1317))</f>
        <v/>
      </c>
      <c r="T1317" s="192"/>
      <c r="U1317" s="235"/>
      <c r="V1317" s="235"/>
      <c r="W1317" s="235"/>
      <c r="X1317" s="235"/>
      <c r="Y1317" s="235"/>
      <c r="Z1317" s="235"/>
      <c r="AA1317" s="240">
        <v>4</v>
      </c>
      <c r="AB1317" s="158" t="str">
        <f>IF(AND(COUNTBLANK(I1305:I1308)=0,Group_players=4,M1305=M1306,M1306=M1308),IF(COUNTIF(W1304:W1307,W1307)=3,AB1330,IF(AND(COUNTIF(W1304:W1307,W1307)=1,W1304&lt;&gt;W1305),IF(M1308=2,IF(SMALL(W1304:W1307,1)=W1307,1,IF(SMALL(W1304:W1307,2)=W1307,2,IF(SMALL(W1304:W1307,3)=W1307,3))),IF(M1308=1,IF(SMALL(W1304:W1307,1)=W1307,2,IF(SMALL(W1304:W1307,2)=W1307,3,IF(SMALL(W1304:W1307,3)=W1307,4))),"")),IF(COUNTIF(W1304:W1307,W1307)=1,IF(W1307&lt;W1304,IF(M1308=2,1,2),IF(M1308=2,3,4)),IF(COUNTIF(W1304:W1307,W1307)=2,IF(W1307=W1304,IF(W1307&lt;W1305,IF(M1308=2,IF(Q1323=3,1,2),IF(M1308=1,IF(Q1323=3,2,3))),IF(W1307&gt;W1306,IF(M1308=2,IF(Q1323=3,2,3),IF(M1308=1,IF(Q1323=3,3,4))))),IF(W1307=W1305,IF(W1307&lt;W1304,IF(M1308=2,IF(Q1320=3,1,2),IF(M1308=1,IF(Q1320=3,2,3))),IF(W1307&gt;W1304,IF(M1308=2,IF(Q1320=3,2,3),IF(M1308=1,IF(Q1320=3,3,4))))))),"")))),"")</f>
        <v/>
      </c>
      <c r="AC1317" s="192"/>
      <c r="AD1317" s="192"/>
      <c r="AE1317" s="192"/>
      <c r="AF1317" s="192"/>
      <c r="AG1317" s="192"/>
      <c r="AH1317" s="192"/>
      <c r="AI1317" s="192"/>
      <c r="AJ1317" s="192"/>
      <c r="AK1317" s="192"/>
      <c r="AL1317" s="192"/>
      <c r="AM1317" s="192"/>
      <c r="AN1317" s="192"/>
      <c r="AO1317" s="192"/>
      <c r="AP1317" s="192"/>
      <c r="AQ1317" s="192"/>
      <c r="AR1317" s="192"/>
      <c r="AS1317" s="192"/>
      <c r="AT1317" s="192"/>
      <c r="AU1317" s="192"/>
      <c r="AV1317" s="192"/>
      <c r="AW1317" s="192"/>
      <c r="AX1317" s="192"/>
    </row>
    <row r="1318" spans="2:50" ht="15" customHeight="1" thickTop="1" thickBot="1" x14ac:dyDescent="0.35">
      <c r="B1318" s="192"/>
      <c r="C1318" s="192"/>
      <c r="D1318" s="192"/>
      <c r="E1318" s="164"/>
      <c r="F1318" s="164"/>
      <c r="G1318" s="192"/>
      <c r="H1318" s="192"/>
      <c r="I1318" s="249" t="s">
        <v>116</v>
      </c>
      <c r="J1318" s="249"/>
      <c r="K1318" s="249"/>
      <c r="L1318" s="250" t="s">
        <v>115</v>
      </c>
      <c r="M1318" s="250" t="s">
        <v>116</v>
      </c>
      <c r="N1318" s="250" t="s">
        <v>117</v>
      </c>
      <c r="O1318" s="250" t="s">
        <v>118</v>
      </c>
      <c r="P1318" s="250" t="s">
        <v>119</v>
      </c>
      <c r="Q1318" s="250" t="s">
        <v>120</v>
      </c>
      <c r="R1318" s="250"/>
      <c r="S1318" s="251"/>
      <c r="T1318" s="192"/>
      <c r="U1318" s="235"/>
      <c r="V1318" s="235"/>
      <c r="W1318" s="235"/>
      <c r="X1318" s="235"/>
      <c r="Y1318" s="235"/>
      <c r="Z1318" s="235"/>
      <c r="AA1318" s="243">
        <v>2</v>
      </c>
      <c r="AB1318" s="151" t="str">
        <f>IF(AND(COUNTBLANK(I1305:I1308)=0,Group_players=4,M1306=M1307,M1307=M1308),IF(COUNTIF(X1304:X1307,X1305)=3,AB1331,IF(AND(COUNTIF(X1304:X1307,X1305)=1,X1306&lt;&gt;X1307),IF(M1306=2,IF(SMALL(X1304:X1307,1)=X1305,1,IF(SMALL(X1304:X1307,2)=X1305,2,IF(SMALL(X1304:X1307,3)=X1305,3))),IF(M1306=1,IF(SMALL(X1304:X1307,1)=X1305,2,IF(SMALL(X1304:X1307,2)=X1305,3,IF(SMALL(X1304:X1307,3)=X1305,4))),"")),IF(COUNTIF(X1304:X1307,X1305)=1,IF(X1305&lt;X1307,IF(M1306=2,1,2),IF(M1306=1,3,3)),IF(COUNTIF(X1304:X1307,X1305)=2,IF(X1305=X1306,IF(X1305&lt;X1307,IF(M1306=2,IF(Q1325=3,1,2),IF(M1306=1,IF(Q1325=3,2,3))),IF(X1305&gt;X1307,IF(M1306=2,IF(Q1325=3,2,3),IF(M1306=1,IF(Q1325=3,3,4))))),IF(X1305=X1307,IF(X1305&lt;X1306,IF(M1306=2,IF(Q1319=3,1,2),IF(M1306=1,IF(Q1319=3,2,3))),IF(X1305&gt;X1306,IF(M1306=2,IF(Q1319=3,2,3),IF(M1306=1,IF(Q1319=3,3,4))))))),"")))),"")</f>
        <v/>
      </c>
      <c r="AC1318" s="192"/>
      <c r="AD1318" s="192"/>
      <c r="AE1318" s="192"/>
      <c r="AF1318" s="192"/>
      <c r="AG1318" s="192"/>
      <c r="AH1318" s="192"/>
      <c r="AI1318" s="192"/>
      <c r="AJ1318" s="192"/>
      <c r="AK1318" s="192"/>
      <c r="AL1318" s="192"/>
      <c r="AM1318" s="192"/>
      <c r="AN1318" s="192"/>
      <c r="AO1318" s="192"/>
      <c r="AP1318" s="192"/>
      <c r="AQ1318" s="192"/>
      <c r="AR1318" s="192"/>
      <c r="AS1318" s="192"/>
      <c r="AT1318" s="192"/>
      <c r="AU1318" s="192"/>
      <c r="AV1318" s="192"/>
      <c r="AW1318" s="192"/>
      <c r="AX1318" s="192"/>
    </row>
    <row r="1319" spans="2:50" ht="15" customHeight="1" thickTop="1" x14ac:dyDescent="0.3">
      <c r="B1319" s="192"/>
      <c r="C1319" s="192"/>
      <c r="D1319" s="192"/>
      <c r="E1319" s="164" t="str">
        <f>IF(Q1319="","",IF(Q1319=3,1,0))</f>
        <v/>
      </c>
      <c r="F1319" s="164" t="str">
        <f>IF(Q1319="","",IF(Q1319&lt;3,1,0))</f>
        <v/>
      </c>
      <c r="G1319" s="192"/>
      <c r="H1319" s="192" t="str">
        <f>IF(I1307="","",2)</f>
        <v/>
      </c>
      <c r="I1319" s="192" t="str">
        <f>IF(ISNUMBER(H1319),VLOOKUP(H1319,H1305:I1308,2,TRUE),"")</f>
        <v/>
      </c>
      <c r="J1319" s="192"/>
      <c r="K1319" s="192" t="str">
        <f>VLOOKUP(I1319,I1305:L1308,3,FALSE)</f>
        <v/>
      </c>
      <c r="L1319" s="253"/>
      <c r="M1319" s="254"/>
      <c r="N1319" s="254"/>
      <c r="O1319" s="152"/>
      <c r="P1319" s="153"/>
      <c r="Q1319" s="255" t="str">
        <f>IF(L1319="","",IF(AND(L1319-L1320&gt;1,L1319&gt;10),1,0)+IF(AND(M1319-M1320&gt;1,M1319&gt;10),1,0)+IF(AND(N1319-N1320&gt;1,N1319&gt;10),1,0)+IF(AND(O1319-O1320&gt;1,O1319&gt;10),1,0)+IF(AND(P1319-P1320&gt;1,P1319&gt;10),1,0))</f>
        <v/>
      </c>
      <c r="R1319" s="203" t="str">
        <f>IF(AND(I1319="",I1320=""),"",ABS(VLOOKUP(I1319,I1305:L1308,4,FALSE)-VLOOKUP(I1320,I1305:L1308,4,FALSE)))</f>
        <v/>
      </c>
      <c r="S1319" s="256" t="str">
        <f>IF(R1320="","",IF(Q1319=3,+R1320,-R1320))</f>
        <v/>
      </c>
      <c r="T1319" s="192"/>
      <c r="U1319" s="235"/>
      <c r="V1319" s="235"/>
      <c r="W1319" s="235"/>
      <c r="X1319" s="235"/>
      <c r="Y1319" s="235"/>
      <c r="Z1319" s="235"/>
      <c r="AA1319" s="246">
        <v>3</v>
      </c>
      <c r="AB1319" s="154" t="str">
        <f>IF(AND(COUNTBLANK(I1305:I1308)=0,Group_players=4,M1306=M1307,M1307=M1308),IF(COUNTIF(X1304:X1307,X1306)=3,AB1332,IF(AND(COUNTIF(X1304:X1307,X1306)=1,X1305&lt;&gt;X1307),IF(M1307=2,IF(SMALL(X1304:X1307,1)=X1306,1,IF(SMALL(X1304:X1307,2)=X1306,2,IF(SMALL(X1304:X1307,3)=X1306,3))),IF(M1307=1,IF(SMALL(X1304:X1307,1)=X1306,2,IF(SMALL(X1304:X1307,2)=X1306,3,IF(SMALL(X1304:X1307,3)=X1306,4))),"")),IF(COUNTIF(X1304:X1307,X1306)=1,IF(X1306&lt;X1305,IF(M1307=2,1,2),IF(M1307=2,3,4)),IF(COUNTIF(X1304:X1307,X1306)=2,IF(X1306=X1305,IF(X1306&lt;X1307,IF(M1307=2,IF(Q1326=3,1,2),IF(M1307=1,IF(Q1326=3,2,3))),IF(X1306&gt;X1307,IF(M1307=2,IF(Q1326=3,2,3),IF(M1307=1,IF(Q1326=3,3,4))))),IF(X1306=X1307,IF(X1306&lt;X1305,IF(M1307=2,IF(Q1331=3,1,2),IF(M1307=1,IF(Q1331=3,2,3))),IF(X1306&gt;X1305,IF(M1307=2,IF(Q1331=3,2,3),IF(M1307=1,IF(Q1331=3,3,4))))))),"")))),"")</f>
        <v/>
      </c>
      <c r="AC1319" s="192"/>
      <c r="AD1319" s="192"/>
      <c r="AE1319" s="192"/>
      <c r="AF1319" s="192"/>
      <c r="AG1319" s="192"/>
      <c r="AH1319" s="192"/>
      <c r="AI1319" s="192"/>
      <c r="AJ1319" s="192"/>
      <c r="AK1319" s="192"/>
      <c r="AL1319" s="192"/>
      <c r="AM1319" s="192"/>
      <c r="AN1319" s="192"/>
      <c r="AO1319" s="192"/>
      <c r="AP1319" s="192"/>
      <c r="AQ1319" s="192"/>
      <c r="AR1319" s="192"/>
      <c r="AS1319" s="192"/>
      <c r="AT1319" s="192"/>
      <c r="AU1319" s="192"/>
      <c r="AV1319" s="192"/>
      <c r="AW1319" s="192"/>
      <c r="AX1319" s="192"/>
    </row>
    <row r="1320" spans="2:50" ht="15" customHeight="1" thickBot="1" x14ac:dyDescent="0.35">
      <c r="B1320" s="192"/>
      <c r="C1320" s="192"/>
      <c r="D1320" s="192"/>
      <c r="E1320" s="164" t="str">
        <f>IF(Q1320="","",IF(Q1320=3,1,0))</f>
        <v/>
      </c>
      <c r="F1320" s="164" t="str">
        <f>IF(Q1320="","",IF(Q1320&lt;3,1,0))</f>
        <v/>
      </c>
      <c r="G1320" s="192"/>
      <c r="H1320" s="192" t="str">
        <f>IF(I1307="","",IF(I1308="",3,4))</f>
        <v/>
      </c>
      <c r="I1320" s="192" t="str">
        <f>IF(ISNUMBER(H1320),VLOOKUP(H1320,H1305:I1308,2,TRUE),"")</f>
        <v/>
      </c>
      <c r="J1320" s="192"/>
      <c r="K1320" s="192" t="str">
        <f>VLOOKUP(I1320,I1305:L1308,3,FALSE)</f>
        <v/>
      </c>
      <c r="L1320" s="155"/>
      <c r="M1320" s="259"/>
      <c r="N1320" s="259"/>
      <c r="O1320" s="156"/>
      <c r="P1320" s="157"/>
      <c r="Q1320" s="260" t="str">
        <f>IF(L1320="","",IF(AND(L1320-L1319&gt;1,L1320&gt;10),1,0)+IF(AND(M1320-M1319&gt;1,M1320&gt;10),1,0)+IF(AND(N1320-N1319&gt;1,N1320&gt;10),1,0)+IF(AND(O1320-O1319&gt;1,O1320&gt;10),1,0)+IF(AND(P1320-P1319&gt;1,P1320&gt;10),1,0))</f>
        <v/>
      </c>
      <c r="R1320" s="203" t="str">
        <f>IF(AND(Q1319&lt;&gt;3,Q1320&lt;&gt;3),"",IF(Q1319=3,IF(VLOOKUP(I1319,I1305:L1308,4,FALSE)&gt;VLOOKUP(I1320,I1305:L1308,4,FALSE),VLOOKUP(R1319,Point_dif,2,FALSE),VLOOKUP(R1319,Point_dif,3,FALSE)),IF(Q1320=3,IF(VLOOKUP(I1320,I1305:L1308,4,FALSE)&gt;VLOOKUP(I1319,I1305:L1308,4,FALSE),VLOOKUP(R1319,Point_dif,2,FALSE),VLOOKUP(R1319,Point_dif,3,FALSE)))))</f>
        <v/>
      </c>
      <c r="S1320" s="256" t="str">
        <f>IF(R1320="","",IF(Q1320=3,+R1320,-R1320))</f>
        <v/>
      </c>
      <c r="T1320" s="192"/>
      <c r="U1320" s="235"/>
      <c r="V1320" s="235"/>
      <c r="W1320" s="235"/>
      <c r="X1320" s="235"/>
      <c r="Y1320" s="235"/>
      <c r="Z1320" s="235"/>
      <c r="AA1320" s="261">
        <v>4</v>
      </c>
      <c r="AB1320" s="158" t="str">
        <f>IF(AND(COUNTBLANK(I1305:I1308)=0,Group_players=4,M1306=M1307,M1307=M1308),IF(COUNTIF(X1304:X1307,X1307)=3,AB1333,IF(AND(COUNTIF(X1304:X1307,X1307)=1,X1306&lt;&gt;X1305),IF(M1308=2,IF(SMALL(X1304:X1307,1)=X1307,1,IF(SMALL(X1304:X1307,2)=X1307,2,IF(SMALL(X1304:X1307,3)=X1307,3))),IF(M1308=1,IF(SMALL(X1304:X1307,1)=X1307,2,IF(SMALL(X1304:X1307,2)=X1307,3,IF(SMALL(X1304:X1307,3)=X1307,4))),"")),IF(COUNTIF(X1304:X1307,X1307)=1,IF(X1307&lt;X1305,IF(M1308=2,1,2),IF(M1308=2,3,4)),IF(COUNTIF(X1304:X1307,X1307)=2,IF(X1307=X1305,IF(X1307&lt;X1306,IF(M1308=2,IF(Q1320=3,1,2),IF(M1308=1,IF(Q1320=3,2,3))),IF(X1307&gt;X1306,IF(M1308=2,IF(Q1320=3,2,3),IF(M1308=1,IF(Q1320=3,3,4))))),IF(X1307=X1306,IF(X1307&lt;X1305,IF(M1308=2,IF(Q1332=3,1,2),IF(M1308=1,IF(Q1332=3,2,3))),IF(X1307&gt;X1305,IF(M1308=2,IF(Q1332=3,2,3),IF(M1308=1,IF(Q1332=3,3,4))))))),"")))),"")</f>
        <v/>
      </c>
      <c r="AC1320" s="192"/>
      <c r="AD1320" s="192"/>
      <c r="AE1320" s="192"/>
      <c r="AF1320" s="192"/>
      <c r="AG1320" s="192"/>
      <c r="AH1320" s="192"/>
      <c r="AI1320" s="192"/>
      <c r="AJ1320" s="192"/>
      <c r="AK1320" s="192"/>
      <c r="AL1320" s="192"/>
      <c r="AM1320" s="192"/>
      <c r="AN1320" s="192"/>
      <c r="AO1320" s="192"/>
      <c r="AP1320" s="192"/>
      <c r="AQ1320" s="192"/>
      <c r="AR1320" s="192"/>
      <c r="AS1320" s="192"/>
      <c r="AT1320" s="192"/>
      <c r="AU1320" s="192"/>
      <c r="AV1320" s="192"/>
      <c r="AW1320" s="192"/>
      <c r="AX1320" s="192"/>
    </row>
    <row r="1321" spans="2:50" ht="15" customHeight="1" thickTop="1" thickBot="1" x14ac:dyDescent="0.35">
      <c r="B1321" s="192"/>
      <c r="C1321" s="192"/>
      <c r="D1321" s="192"/>
      <c r="E1321" s="164"/>
      <c r="F1321" s="164"/>
      <c r="G1321" s="192"/>
      <c r="H1321" s="192"/>
      <c r="I1321" s="249" t="s">
        <v>117</v>
      </c>
      <c r="J1321" s="249"/>
      <c r="K1321" s="249"/>
      <c r="L1321" s="250" t="s">
        <v>115</v>
      </c>
      <c r="M1321" s="250" t="s">
        <v>116</v>
      </c>
      <c r="N1321" s="250" t="s">
        <v>117</v>
      </c>
      <c r="O1321" s="250" t="s">
        <v>118</v>
      </c>
      <c r="P1321" s="250" t="s">
        <v>119</v>
      </c>
      <c r="Q1321" s="250" t="s">
        <v>120</v>
      </c>
      <c r="R1321" s="250"/>
      <c r="S1321" s="251"/>
      <c r="T1321" s="263"/>
      <c r="U1321" s="264"/>
      <c r="V1321" s="242"/>
      <c r="W1321" s="242"/>
      <c r="X1321" s="264"/>
      <c r="Y1321" s="192"/>
      <c r="Z1321" s="203"/>
      <c r="AA1321" s="126" t="s">
        <v>93</v>
      </c>
      <c r="AB1321" s="265" t="s">
        <v>110</v>
      </c>
      <c r="AC1321" s="192"/>
      <c r="AD1321" s="192"/>
      <c r="AE1321" s="192"/>
      <c r="AF1321" s="192"/>
      <c r="AG1321" s="192"/>
      <c r="AH1321" s="192"/>
      <c r="AI1321" s="192"/>
      <c r="AJ1321" s="192"/>
      <c r="AK1321" s="192"/>
      <c r="AL1321" s="192"/>
      <c r="AM1321" s="192"/>
      <c r="AN1321" s="192"/>
      <c r="AO1321" s="192"/>
      <c r="AP1321" s="192"/>
      <c r="AQ1321" s="192"/>
      <c r="AR1321" s="192"/>
      <c r="AS1321" s="192"/>
      <c r="AT1321" s="192"/>
      <c r="AU1321" s="192"/>
      <c r="AV1321" s="192"/>
      <c r="AW1321" s="192"/>
      <c r="AX1321" s="192"/>
    </row>
    <row r="1322" spans="2:50" ht="15" customHeight="1" thickTop="1" x14ac:dyDescent="0.3">
      <c r="B1322" s="192"/>
      <c r="C1322" s="192"/>
      <c r="D1322" s="192"/>
      <c r="E1322" s="164" t="str">
        <f>IF(Q1322="","",IF(Q1322=3,1,0))</f>
        <v/>
      </c>
      <c r="F1322" s="164" t="str">
        <f>IF(Q1322="","",IF(Q1322&lt;3,1,0))</f>
        <v/>
      </c>
      <c r="G1322" s="192"/>
      <c r="H1322" s="192" t="str">
        <f>IF(I1307&lt;&gt;"",1,"")</f>
        <v/>
      </c>
      <c r="I1322" s="192" t="str">
        <f>IF(ISNUMBER(H1322),VLOOKUP(H1322,H1305:I1308,2,TRUE),"")</f>
        <v/>
      </c>
      <c r="J1322" s="192"/>
      <c r="K1322" s="192" t="str">
        <f>VLOOKUP(I1322,I1305:L1308,3,FALSE)</f>
        <v/>
      </c>
      <c r="L1322" s="253"/>
      <c r="M1322" s="254"/>
      <c r="N1322" s="254"/>
      <c r="O1322" s="152"/>
      <c r="P1322" s="153"/>
      <c r="Q1322" s="255" t="str">
        <f>IF(L1322="","",IF(AND(L1322-L1323&gt;1,L1322&gt;10),1,0)+IF(AND(M1322-M1323&gt;1,M1322&gt;10),1,0)+IF(AND(N1322-N1323&gt;1,N1322&gt;10),1,0)+IF(AND(O1322-O1323&gt;1,O1322&gt;10),1,0)+IF(AND(P1322-P1323&gt;1,P1322&gt;10),1,0))</f>
        <v/>
      </c>
      <c r="R1322" s="203" t="str">
        <f>IF(AND(I1322="",I1323=""),"",ABS(VLOOKUP(I1322,I1305:L1308,4,FALSE)-VLOOKUP(I1323,I1305:L1308,4,FALSE)))</f>
        <v/>
      </c>
      <c r="S1322" s="256" t="str">
        <f>IF(R1323="","",IF(Q1322=3,+R1323,-R1323))</f>
        <v/>
      </c>
      <c r="T1322" s="192"/>
      <c r="U1322" s="235"/>
      <c r="V1322" s="235"/>
      <c r="W1322" s="235"/>
      <c r="X1322" s="235"/>
      <c r="Y1322" s="235"/>
      <c r="Z1322" s="235"/>
      <c r="AA1322" s="243">
        <v>1</v>
      </c>
      <c r="AB1322" s="222" t="str">
        <f>IF(AND(COUNTBLANK(I1305:I1308)=0,Group_players=4,M1305=M1306,M1306=M1307),IF(U1312="","",IF(COUNTIF(U1312:U1315,U1312)=3,"Tied",IF(AND(COUNTIF(U1312:U1315,U1312)=1,U1313&lt;&gt;U1314),IF(M1305=2,IF(SMALL(U1312:U1315,1)=U1312,1,IF(SMALL(U1312:U1315,2)=U1312,2,IF(SMALL(U1312:U1315,3)=U1312,3))),IF(M1305=1,IF(SMALL(U1312:U1315,1)=U1312,2,IF(SMALL(U1312:U1315,2)=U1312,3,IF(SMALL(U1312:U1315,3)=U1312,4))),"")),IF(COUNTIF(U1312:U1315,U1312)=1,IF(U1312&lt;U1313,IF(M1305=2,1,2),IF(M1305=2,3,4)),IF(COUNTIF(U1312:U1315,U1312)=2,IF(U1312=U1313,IF(U1312&lt;U1314,IF(M1305=2,IF(Q1328=3,1,2),IF(M1305=1,IF(Q1328=3,2,3))),IF(U1312&gt;U1314,IF(M1305=2,IF(Q1328=3,2,3),IF(M1305=1,IF(Q1328=3,3,4))))),IF(U1312=U1314,IF(U1312&lt;U1313,IF(M1305=2,IF(Q1316=3,1,2),IF(M1305=1,IF(Q1316=3,2,3))),IF(U1312&gt;U1313,IF(M1305=2,IF(Q1316=3,2,3),IF(M1305=1,IF(Q1316=3,3,4)))))))))))),"")</f>
        <v/>
      </c>
      <c r="AC1322" s="192"/>
      <c r="AD1322" s="192"/>
      <c r="AE1322" s="192"/>
      <c r="AF1322" s="192"/>
      <c r="AG1322" s="192"/>
      <c r="AH1322" s="192"/>
      <c r="AI1322" s="192"/>
      <c r="AJ1322" s="192"/>
      <c r="AK1322" s="192"/>
      <c r="AL1322" s="192"/>
      <c r="AM1322" s="192"/>
      <c r="AN1322" s="192"/>
      <c r="AO1322" s="192"/>
      <c r="AP1322" s="192"/>
      <c r="AQ1322" s="192"/>
      <c r="AR1322" s="192"/>
      <c r="AS1322" s="192"/>
      <c r="AT1322" s="192"/>
      <c r="AU1322" s="192"/>
      <c r="AV1322" s="192"/>
      <c r="AW1322" s="192"/>
      <c r="AX1322" s="192"/>
    </row>
    <row r="1323" spans="2:50" ht="15" customHeight="1" thickBot="1" x14ac:dyDescent="0.35">
      <c r="B1323" s="192"/>
      <c r="C1323" s="192"/>
      <c r="D1323" s="192"/>
      <c r="E1323" s="164" t="str">
        <f>IF(Q1323="","",IF(Q1323=3,1,0))</f>
        <v/>
      </c>
      <c r="F1323" s="164" t="str">
        <f>IF(Q1323="","",IF(Q1323&lt;3,1,0))</f>
        <v/>
      </c>
      <c r="G1323" s="192"/>
      <c r="H1323" s="192" t="str">
        <f>IF(I1307="","",IF(I1308&lt;&gt;"",4,2))</f>
        <v/>
      </c>
      <c r="I1323" s="192" t="str">
        <f>IF(ISNUMBER(H1323),VLOOKUP(H1323,H1305:I1308,2,TRUE),"")</f>
        <v/>
      </c>
      <c r="J1323" s="192"/>
      <c r="K1323" s="192" t="str">
        <f>VLOOKUP(I1323,I1305:L1308,3,FALSE)</f>
        <v/>
      </c>
      <c r="L1323" s="155"/>
      <c r="M1323" s="259"/>
      <c r="N1323" s="259"/>
      <c r="O1323" s="156"/>
      <c r="P1323" s="157"/>
      <c r="Q1323" s="260" t="str">
        <f>IF(L1323="","",IF(AND(L1323-L1322&gt;1,L1323&gt;10),1,0)+IF(AND(M1323-M1322&gt;1,M1323&gt;10),1,0)+IF(AND(N1323-N1322&gt;1,N1323&gt;10),1,0)+IF(AND(O1323-O1322&gt;1,O1323&gt;10),1,0)+IF(AND(P1323-P1322&gt;1,P1323&gt;10),1,0))</f>
        <v/>
      </c>
      <c r="R1323" s="203" t="str">
        <f>IF(AND(Q1322&lt;&gt;3,Q1323&lt;&gt;3),"",IF(Q1322=3,IF(VLOOKUP(I1322,I1305:L1308,4,FALSE)&gt;VLOOKUP(I1323,I1305:L1308,4,FALSE),VLOOKUP(R1322,Point_dif,2,FALSE),VLOOKUP(R1322,Point_dif,3,FALSE)),IF(Q1323=3,IF(VLOOKUP(I1323,I1305:L1308,4,FALSE)&gt;VLOOKUP(I1322,I1305:L1308,4,FALSE),VLOOKUP(R1322,Point_dif,2,FALSE),VLOOKUP(R1322,Point_dif,3,FALSE)))))</f>
        <v/>
      </c>
      <c r="S1323" s="256" t="str">
        <f>IF(R1323="","",IF(Q1323=3,+R1323,-R1323))</f>
        <v/>
      </c>
      <c r="T1323" s="192"/>
      <c r="U1323" s="235"/>
      <c r="V1323" s="235"/>
      <c r="W1323" s="235"/>
      <c r="X1323" s="235"/>
      <c r="Y1323" s="235"/>
      <c r="Z1323" s="235"/>
      <c r="AA1323" s="246">
        <v>2</v>
      </c>
      <c r="AB1323" s="222" t="str">
        <f>IF(AND(COUNTBLANK(I1305:I1308)=0,Group_players=4,M1305=M1306,M1306=M1307),IF(U1313="","",IF(COUNTIF(U1312:U1315,U1313)=3,"Tied",IF(AND(COUNTIF(U1312:U1315,U1313)=1,U1312&lt;&gt;U1314),IF(M1306=2,IF(SMALL(U1312:U1315,1)=U1313,1,IF(SMALL(U1312:U1315,2)=U1313,2,IF(SMALL(U1312:U1315,3)=U1313,3))),IF(M1306=1,IF(SMALL(U1312:U1315,1)=U1313,2,IF(SMALL(U1312:U1315,2)=U1313,3,IF(SMALL(U1312:U1315,3)=U1313,4))),"")),IF(COUNTIF(U1312:U1315,U1313)=1,IF(U1313&lt;U1312,IF(M1306=2,1,2),IF(M1306=2,3,4)),IF(COUNTIF(U1312:U1315,U1313)=2,IF(U1313=U1312,IF(U1313&lt;U1314,IF(M1306=2,IF(Q1329=3,1,2),IF(M1306=1,IF(Q1329=3,2,3))),IF(U1313&gt;U1314,IF(M1306=2,IF(Q1329=3,2,3),IF(M1306=1,IF(Q1329=3,3,4))))),IF(U1313=U1314,IF(U1313&lt;U1312,IF(M1306=2,IF(Q1325=3,1,2),IF(M1306=1,IF(Q1325=3,2,3))),IF(U1313&gt;U1312,IF(M1306=2,IF(Q1325=3,2,3),IF(M1306=1,IF(Q1325=3,3,4)))))))))))),"")</f>
        <v/>
      </c>
      <c r="AC1323" s="192"/>
      <c r="AD1323" s="192"/>
      <c r="AE1323" s="192"/>
      <c r="AF1323" s="192"/>
      <c r="AG1323" s="192"/>
      <c r="AH1323" s="192"/>
      <c r="AI1323" s="192"/>
      <c r="AJ1323" s="192"/>
      <c r="AK1323" s="192"/>
      <c r="AL1323" s="192"/>
      <c r="AM1323" s="192"/>
      <c r="AN1323" s="192"/>
      <c r="AO1323" s="192"/>
      <c r="AP1323" s="192"/>
      <c r="AQ1323" s="192"/>
      <c r="AR1323" s="192"/>
      <c r="AS1323" s="192"/>
      <c r="AT1323" s="192"/>
      <c r="AU1323" s="192"/>
      <c r="AV1323" s="192"/>
      <c r="AW1323" s="192"/>
      <c r="AX1323" s="192"/>
    </row>
    <row r="1324" spans="2:50" ht="15" customHeight="1" thickTop="1" thickBot="1" x14ac:dyDescent="0.35">
      <c r="B1324" s="192"/>
      <c r="C1324" s="192"/>
      <c r="D1324" s="192"/>
      <c r="E1324" s="164"/>
      <c r="F1324" s="164"/>
      <c r="G1324" s="192"/>
      <c r="H1324" s="192"/>
      <c r="I1324" s="249" t="s">
        <v>118</v>
      </c>
      <c r="J1324" s="249"/>
      <c r="K1324" s="249"/>
      <c r="L1324" s="250" t="s">
        <v>115</v>
      </c>
      <c r="M1324" s="250" t="s">
        <v>116</v>
      </c>
      <c r="N1324" s="250" t="s">
        <v>117</v>
      </c>
      <c r="O1324" s="250" t="s">
        <v>118</v>
      </c>
      <c r="P1324" s="250" t="s">
        <v>119</v>
      </c>
      <c r="Q1324" s="250" t="s">
        <v>120</v>
      </c>
      <c r="R1324" s="250"/>
      <c r="S1324" s="251"/>
      <c r="T1324" s="192"/>
      <c r="U1324" s="235"/>
      <c r="V1324" s="235"/>
      <c r="W1324" s="235"/>
      <c r="X1324" s="235"/>
      <c r="Y1324" s="235"/>
      <c r="Z1324" s="235"/>
      <c r="AA1324" s="240">
        <v>3</v>
      </c>
      <c r="AB1324" s="241" t="str">
        <f>IF(AND(COUNTBLANK(I1305:I1308)=0,Group_players=4,M1305=M1306,M1306=M1307),IF(U1314="","",IF(COUNTIF(U1312:U1315,U1314)=3,"Tied",IF(AND(COUNTIF(U1312:U1315,U1314)=1,U1312&lt;&gt;U1313),IF(M1305=2,IF(SMALL(U1312:U1315,1)=U1314,1,IF(SMALL(U1312:U1315,2)=U1314,2,IF(SMALL(U1312:U1315,3)=U1314,3))),IF(M1307=1,IF(SMALL(U1312:U1315,1)=U1314,2,IF(SMALL(U1312:U1315,2)=U1314,3,IF(SMALL(U1312:U1315,3)=U1314,4))),"")),IF(COUNTIF(U1312:U1315,U1314)=1,IF(U1314&lt;U1313,IF(M1307=2,1,2),IF(M1307=2,3,4)),IF(COUNTIF(U1312:U1315,U1314)=2,IF(U1314=U1313,IF(U1314&lt;U1312,IF(M1307=2,IF(Q1326=3,1,2),IF(M1307=1,IF(Q1326=3,2,3))),IF(U1314&gt;U1312,IF(M1307=2,IF(Q1326=3,2,3),IF(M1307=1,IF(Q1326=3,3,4))))),IF(U1314=U1312,IF(U1314&lt;U1313,IF(M1307=2,IF(Q1317=3,1,2),IF(M1307=1,IF(Q1317=3,2,3))),IF(U1314&gt;U1313,IF(M1307=2,IF(Q1317=3,2,3),IF(M1307=1,IF(Q1317=3,3,4)))))))))))),"")</f>
        <v/>
      </c>
      <c r="AC1324" s="192"/>
      <c r="AD1324" s="192"/>
      <c r="AE1324" s="192"/>
      <c r="AF1324" s="192"/>
      <c r="AG1324" s="192"/>
      <c r="AH1324" s="192"/>
      <c r="AI1324" s="192"/>
      <c r="AJ1324" s="192"/>
      <c r="AK1324" s="192"/>
      <c r="AL1324" s="192"/>
      <c r="AM1324" s="192"/>
      <c r="AN1324" s="192"/>
      <c r="AO1324" s="192"/>
      <c r="AP1324" s="192"/>
      <c r="AQ1324" s="192"/>
      <c r="AR1324" s="192"/>
      <c r="AS1324" s="192"/>
      <c r="AT1324" s="192"/>
      <c r="AU1324" s="192"/>
      <c r="AV1324" s="192"/>
      <c r="AW1324" s="192"/>
      <c r="AX1324" s="192"/>
    </row>
    <row r="1325" spans="2:50" ht="15" customHeight="1" thickTop="1" x14ac:dyDescent="0.3">
      <c r="B1325" s="192"/>
      <c r="C1325" s="192"/>
      <c r="D1325" s="192"/>
      <c r="E1325" s="164" t="str">
        <f>IF(Q1325="","",IF(Q1325=3,1,0))</f>
        <v/>
      </c>
      <c r="F1325" s="164" t="str">
        <f>IF(Q1325="","",IF(Q1325&lt;3,1,0))</f>
        <v/>
      </c>
      <c r="G1325" s="192"/>
      <c r="H1325" s="192" t="str">
        <f>IF(I1308&lt;&gt;"",2,"")</f>
        <v/>
      </c>
      <c r="I1325" s="192" t="str">
        <f>IF(ISNUMBER(H1325),VLOOKUP(H1325,H1305:I1308,2,TRUE),"")</f>
        <v/>
      </c>
      <c r="J1325" s="192"/>
      <c r="K1325" s="192" t="str">
        <f>VLOOKUP(I1325,I1305:L1308,3,FALSE)</f>
        <v/>
      </c>
      <c r="L1325" s="253"/>
      <c r="M1325" s="254"/>
      <c r="N1325" s="254"/>
      <c r="O1325" s="152"/>
      <c r="P1325" s="153"/>
      <c r="Q1325" s="255" t="str">
        <f>IF(L1325="","",IF(AND(L1325-L1326&gt;1,L1325&gt;10),1,0)+IF(AND(M1325-M1326&gt;1,M1325&gt;10),1,0)+IF(AND(N1325-N1326&gt;1,N1325&gt;10),1,0)+IF(AND(O1325-O1326&gt;1,O1325&gt;10),1,0)+IF(AND(P1325-P1326&gt;1,P1325&gt;10),1,0))</f>
        <v/>
      </c>
      <c r="R1325" s="203" t="str">
        <f>IF(AND(I1325="",I1326=""),"",ABS(VLOOKUP(I1325,I1305:L1308,4,FALSE)-VLOOKUP(I1326,I1305:L1308,4,FALSE)))</f>
        <v/>
      </c>
      <c r="S1325" s="256" t="str">
        <f>IF(R1326="","",IF(Q1325=3,+R1326,-R1326))</f>
        <v/>
      </c>
      <c r="T1325" s="192"/>
      <c r="U1325" s="235"/>
      <c r="V1325" s="235"/>
      <c r="W1325" s="235"/>
      <c r="X1325" s="235"/>
      <c r="Y1325" s="235"/>
      <c r="Z1325" s="235"/>
      <c r="AA1325" s="243">
        <v>1</v>
      </c>
      <c r="AB1325" s="222" t="str">
        <f>IF(AND(COUNTBLANK(I1305:I1308)=0,Group_players=4,M1305=M1307,M1307=M1308),IF(V1312="","",IF(COUNTIF(V1312:V1315,V1312)=3,"Tied",IF(AND(COUNTIF(V1312:V1315,V1312)=1,V1314&lt;&gt;U1315),IF(M1305=2,IF(SMALL(V1312:V1315,1)=V1312,1,IF(SMALL(V1312:V1315,2)=V1312,2,IF(SMALL(V1312:V1315,3)=V1312,3))),IF(M1305=1,IF(SMALL(V1312:V1315,1)=V1312,2,IF(SMALL(V1312:V1315,2)=V1312,3,IF(SMALL(V1312:V1315,3)=V1312,4))),"")),IF(COUNTIF(V1312:V1315,V1312)=1,IF(V1312&lt;V1314,IF(M1305=2,1,2),IF(M1305=2,3,4)),IF(COUNTIF(V1312:V1315,V1312)=2,IF(V1312=V1314,IF(V1312&lt;V1315,IF(M1305=2,IF(Q1316=3,1,2),IF(M1305=1,IF(Q1316=3,2,3))),IF(V1312&gt;V1315,IF(M1305=2,IF(Q1316=3,2,3),IF(M1305=1,IF(Q1316=3,3,4))))),IF(V1312=V1315,IF(V1312&lt;V1314,IF(M1305=2,IF(Q1322=3,1,2),IF(M1305=1,IF(Q1322=3,2,3))),IF(V1312&gt;V1313,IF(M1305=2,IF(Q1322=3,2,3),IF(M1305=1,IF(Q1322=3,3,4)))))))))))),"")</f>
        <v/>
      </c>
      <c r="AC1325" s="192"/>
      <c r="AD1325" s="192"/>
      <c r="AE1325" s="192"/>
      <c r="AF1325" s="192"/>
      <c r="AG1325" s="192"/>
      <c r="AH1325" s="192"/>
      <c r="AI1325" s="192"/>
      <c r="AJ1325" s="192"/>
      <c r="AK1325" s="192"/>
      <c r="AL1325" s="192"/>
      <c r="AM1325" s="192"/>
      <c r="AN1325" s="192"/>
      <c r="AO1325" s="192"/>
      <c r="AP1325" s="192"/>
      <c r="AQ1325" s="192"/>
      <c r="AR1325" s="192"/>
      <c r="AS1325" s="192"/>
      <c r="AT1325" s="192"/>
      <c r="AU1325" s="192"/>
      <c r="AV1325" s="192"/>
      <c r="AW1325" s="192"/>
      <c r="AX1325" s="192"/>
    </row>
    <row r="1326" spans="2:50" ht="15" customHeight="1" thickBot="1" x14ac:dyDescent="0.35">
      <c r="B1326" s="192"/>
      <c r="C1326" s="192"/>
      <c r="D1326" s="192"/>
      <c r="E1326" s="164" t="str">
        <f>IF(Q1326="","",IF(Q1326=3,1,0))</f>
        <v/>
      </c>
      <c r="F1326" s="164" t="str">
        <f>IF(Q1326="","",IF(Q1326&lt;3,1,0))</f>
        <v/>
      </c>
      <c r="G1326" s="192"/>
      <c r="H1326" s="192" t="str">
        <f>IF(I1308&lt;&gt;"",3,"")</f>
        <v/>
      </c>
      <c r="I1326" s="192" t="str">
        <f>IF(ISNUMBER(H1326),VLOOKUP(H1326,H1305:I1308,2,TRUE),"")</f>
        <v/>
      </c>
      <c r="J1326" s="192"/>
      <c r="K1326" s="192" t="str">
        <f>VLOOKUP(I1326,I1305:L1308,3,FALSE)</f>
        <v/>
      </c>
      <c r="L1326" s="155"/>
      <c r="M1326" s="259"/>
      <c r="N1326" s="259"/>
      <c r="O1326" s="156"/>
      <c r="P1326" s="157"/>
      <c r="Q1326" s="260" t="str">
        <f>IF(L1326="","",IF(AND(L1326-L1325&gt;1,L1326&gt;10),1,0)+IF(AND(M1326-M1325&gt;1,M1326&gt;10),1,0)+IF(AND(N1326-N1325&gt;1,N1326&gt;10),1,0)+IF(AND(O1326-O1325&gt;1,O1326&gt;10),1,0)+IF(AND(P1326-P1325&gt;1,P1326&gt;10),1,0))</f>
        <v/>
      </c>
      <c r="R1326" s="203" t="str">
        <f>IF(AND(Q1325&lt;&gt;3,Q1326&lt;&gt;3),"",IF(Q1325=3,IF(VLOOKUP(I1325,I1305:L1308,4,FALSE)&gt;VLOOKUP(I1326,I1305:L1308,4,FALSE),VLOOKUP(R1325,Point_dif,2,FALSE),VLOOKUP(R1325,Point_dif,3,FALSE)),IF(Q1326=3,IF(VLOOKUP(I1326,I1305:L1308,4,FALSE)&gt;VLOOKUP(I1325,I1305:L1308,4,FALSE),VLOOKUP(R1325,Point_dif,2,FALSE),VLOOKUP(R1325,Point_dif,3,FALSE)))))</f>
        <v/>
      </c>
      <c r="S1326" s="256" t="str">
        <f>IF(R1326="","",IF(Q1326=3,+R1326,-R1326))</f>
        <v/>
      </c>
      <c r="T1326" s="192"/>
      <c r="U1326" s="159"/>
      <c r="V1326" s="266"/>
      <c r="W1326" s="266"/>
      <c r="X1326" s="266"/>
      <c r="Y1326" s="192"/>
      <c r="Z1326" s="203"/>
      <c r="AA1326" s="246">
        <v>3</v>
      </c>
      <c r="AB1326" s="222" t="str">
        <f>IF(AND(COUNTBLANK(I1305:I1308)=0,Group_players=4,M1305=M1307,M1307=M1308),IF(V1314="","",IF(COUNTIF(V1312:V1315,V1314)=3,"Tied",IF(AND(COUNTIF(V1312:V1315,V1314)=1,V1312&lt;&gt;V1315),IF(M1307=2,IF(SMALL(V1312:V1315,1)=V1314,1,IF(SMALL(V1312:V1315,2)=V1314,2,IF(SMALL(V1312:V1315,3)=V1314,3))),IF(M1307=1,IF(SMALL(V1312:V1315,1)=V1314,2,IF(SMALL(V1312:V1315,2)=V1314,3,IF(SMALL(V1312:V1315,3)=V1314,4))),"")),IF(COUNTIF(V1312:V1315,V1314)=1,IF(V1314&lt;V1312,IF(M1307=2,1,2),IF(M1307=2,3,4)),IF(COUNTIF(V1312:V1315,V1314)=2,IF(V1314=V1312,IF(V1314&lt;V1315,IF(M1307=2,IF(Q1317=3,1,2),IF(M1307=1,IF(Q1317=3,2,3))),IF(V1314&gt;V1315,IF(M1307=2,IF(Q1317=3,2,3),IF(M1307=1,IF(Q1317=3,3,4))))),IF(V1314=V1315,IF(V1314&lt;V1312,IF(M1307=2,IF(Q1331=3,1,2),IF(M1307=1,IF(Q1331=3,2,3))),IF(V1314&gt;V1312,IF(M1307=2,IF(Q1331=3,2,3),IF(M1307=1,IF(Q1331=3,3,4)))))))))))),"")</f>
        <v/>
      </c>
      <c r="AC1326" s="192"/>
      <c r="AD1326" s="192"/>
      <c r="AE1326" s="192"/>
      <c r="AF1326" s="192"/>
      <c r="AG1326" s="192"/>
      <c r="AH1326" s="192"/>
      <c r="AI1326" s="192"/>
      <c r="AJ1326" s="192"/>
      <c r="AK1326" s="192"/>
      <c r="AL1326" s="192"/>
      <c r="AM1326" s="192"/>
      <c r="AN1326" s="192"/>
      <c r="AO1326" s="192"/>
      <c r="AP1326" s="192"/>
      <c r="AQ1326" s="192"/>
      <c r="AR1326" s="192"/>
      <c r="AS1326" s="192"/>
      <c r="AT1326" s="192"/>
      <c r="AU1326" s="192"/>
      <c r="AV1326" s="192"/>
      <c r="AW1326" s="192"/>
      <c r="AX1326" s="192"/>
    </row>
    <row r="1327" spans="2:50" ht="15" customHeight="1" thickTop="1" thickBot="1" x14ac:dyDescent="0.35">
      <c r="B1327" s="192"/>
      <c r="C1327" s="192"/>
      <c r="D1327" s="192"/>
      <c r="E1327" s="164"/>
      <c r="F1327" s="164"/>
      <c r="G1327" s="192"/>
      <c r="H1327" s="192"/>
      <c r="I1327" s="249" t="s">
        <v>119</v>
      </c>
      <c r="J1327" s="249"/>
      <c r="K1327" s="249"/>
      <c r="L1327" s="250" t="s">
        <v>115</v>
      </c>
      <c r="M1327" s="250" t="s">
        <v>116</v>
      </c>
      <c r="N1327" s="250" t="s">
        <v>117</v>
      </c>
      <c r="O1327" s="250" t="s">
        <v>118</v>
      </c>
      <c r="P1327" s="250" t="s">
        <v>119</v>
      </c>
      <c r="Q1327" s="250" t="s">
        <v>120</v>
      </c>
      <c r="R1327" s="250"/>
      <c r="S1327" s="251"/>
      <c r="T1327" s="247"/>
      <c r="U1327" s="235"/>
      <c r="V1327" s="235"/>
      <c r="W1327" s="235"/>
      <c r="X1327" s="235"/>
      <c r="Y1327" s="235"/>
      <c r="Z1327" s="235"/>
      <c r="AA1327" s="240">
        <v>4</v>
      </c>
      <c r="AB1327" s="241" t="str">
        <f>IF(AND(COUNTBLANK(I1305:I1308)=0,Group_players=4,M1305=M1307,M1307=M1308),IF(V1315="","",IF(COUNTIF(V1312:V1315,V1315)=3,"Tied",IF(AND(COUNTIF(V1312:V1315,V1315)=1,V1314&lt;&gt;V1312),IF(M1308=2,IF(SMALL(V1312:V1315,1)=V1315,1,IF(SMALL(V1312:V1315,2)=V1315,2,IF(SMALL(V1312:V1315,3)=V1315,3))),IF(M1308=1,IF(SMALL(V1312:V1315,1)=V1315,2,IF(SMALL(V1312:V1315,2)=V1315,3,IF(SMALL(V1312:V1315,3)=V1315,4))),"")),IF(COUNTIF(V1312:V1315,V1315)=1,IF(V1315&lt;V1312,IF(M1308=2,1,2),IF(M1308=2,3,4)),IF(COUNTIF(V1312:V1315,V1315)=2,IF(V1315=V1312,IF(V1315&lt;V1314,IF(M1308=2,IF(Q1323=3,1,2),IF(M1308=1,IF(Q1323=3,2,3))),IF(V1315&gt;V1314,IF(M1308=2,IF(Q1323=3,2,3),IF(M1308=1,IF(Q1323=3,3,4))))),IF(V1315=V1314,IF(V1315&lt;V1312,IF(M1308=2,IF(Q1332=3,1,2),IF(M1308=1,IF(Q1332=3,2,3))),IF(V1315&gt;V1312,IF(M1308=2,IF(Q1332=3,2,3),IF(M1308=1,IF(Q1332=3,3,4)))))))))))),"")</f>
        <v/>
      </c>
      <c r="AC1327" s="192"/>
      <c r="AD1327" s="192"/>
      <c r="AE1327" s="192"/>
      <c r="AF1327" s="192"/>
      <c r="AG1327" s="192"/>
      <c r="AH1327" s="192"/>
      <c r="AI1327" s="192"/>
      <c r="AJ1327" s="192"/>
      <c r="AK1327" s="192"/>
      <c r="AL1327" s="192"/>
      <c r="AM1327" s="192"/>
      <c r="AN1327" s="192"/>
      <c r="AO1327" s="192"/>
      <c r="AP1327" s="192"/>
      <c r="AQ1327" s="192"/>
      <c r="AR1327" s="192"/>
      <c r="AS1327" s="192"/>
      <c r="AT1327" s="192"/>
      <c r="AU1327" s="192"/>
      <c r="AV1327" s="192"/>
      <c r="AW1327" s="192"/>
      <c r="AX1327" s="192"/>
    </row>
    <row r="1328" spans="2:50" ht="15" customHeight="1" thickTop="1" x14ac:dyDescent="0.3">
      <c r="B1328" s="192"/>
      <c r="C1328" s="192"/>
      <c r="D1328" s="192"/>
      <c r="E1328" s="164" t="str">
        <f>IF(Q1328="","",IF(Q1328=3,1,0))</f>
        <v/>
      </c>
      <c r="F1328" s="164" t="str">
        <f>IF(Q1328="","",IF(Q1328&lt;3,1,0))</f>
        <v/>
      </c>
      <c r="G1328" s="192"/>
      <c r="H1328" s="192" t="str">
        <f>IF(I1308&lt;&gt;"",1,"")</f>
        <v/>
      </c>
      <c r="I1328" s="192" t="str">
        <f>IF(ISNUMBER(H1328),VLOOKUP(H1328,H1305:I1308,2,TRUE),"")</f>
        <v/>
      </c>
      <c r="J1328" s="192"/>
      <c r="K1328" s="192" t="str">
        <f>VLOOKUP(I1328,I1305:L1308,3,FALSE)</f>
        <v/>
      </c>
      <c r="L1328" s="253"/>
      <c r="M1328" s="254"/>
      <c r="N1328" s="254"/>
      <c r="O1328" s="152"/>
      <c r="P1328" s="153"/>
      <c r="Q1328" s="255" t="str">
        <f>IF(L1328="","",IF(AND(L1328-L1329&gt;1,L1328&gt;10),1,0)+IF(AND(M1328-M1329&gt;1,M1328&gt;10),1,0)+IF(AND(N1328-N1329&gt;1,N1328&gt;10),1,0)+IF(AND(O1328-O1329&gt;1,O1328&gt;10),1,0)+IF(AND(P1328-P1329&gt;1,P1328&gt;10),1,0))</f>
        <v/>
      </c>
      <c r="R1328" s="203" t="str">
        <f>IF(AND(I1328="",I1329=""),"",ABS(VLOOKUP(I1328,I1305:L1308,4,FALSE)-VLOOKUP(I1329,I1305:L1308,4,FALSE)))</f>
        <v/>
      </c>
      <c r="S1328" s="256" t="str">
        <f>IF(R1329="","",IF(Q1328=3,+R1329,-R1329))</f>
        <v/>
      </c>
      <c r="T1328" s="247"/>
      <c r="U1328" s="235"/>
      <c r="V1328" s="235"/>
      <c r="W1328" s="235"/>
      <c r="X1328" s="235"/>
      <c r="Y1328" s="235"/>
      <c r="Z1328" s="235"/>
      <c r="AA1328" s="243">
        <v>1</v>
      </c>
      <c r="AB1328" s="222" t="str">
        <f>IF(AND(COUNTBLANK(I1305:I1308)=0,Group_players=4,M1305=M1306,M1306=M1308),IF(W1312="","",IF(COUNTIF(W1312:W1315,W1312)=3,"Tied",IF(AND(COUNTIF(W1312:W1315,W1312)=1,W1313&lt;&gt;W1314),IF(M1305=2,IF(SMALL(W1312:W1315,1)=W1312,1,IF(SMALL(W1312:W1315,2)=W1312,2,IF(SMALL(W1312:W1315,3)=W1312,3))),IF(M1305=1,IF(SMALL(W1312:W1315,1)=W1312,2,IF(SMALL(W1312:W1315,2)=W1312,3,IF(SMALL(W1312:W1315,3)=W1312,4))),"")),IF(COUNTIF(W1312:W1315,W1312)=1,IF(W1312&lt;W1313,IF(M1305=2,1,2),IF(M1305=2,3,4)),IF(COUNTIF(W1312:W1315,W1312)=2,IF(W1312=W1313,IF(W1312&lt;W1315,IF(M1305=2,IF(Q1328=3,1,2),IF(M1305=1,IF(Q1328=3,2,3))),IF(W1312&gt;W1315,IF(M1305=2,IF(Q1328=3,2,3),IF(M1305=1,IF(Q1328=3,3,4))))),IF(W1312=W1315,IF(W1312&lt;W1313,IF(M1305=2,IF(Q1322=3,1,2),IF(M1305=1,IF(Q1322=3,2,3))),IF(W1312&gt;W1313,IF(M1305=2,IF(Q1322=3,2,3),IF(M1305=1,IF(Q1322=3,3,4)))))))))))),"")</f>
        <v/>
      </c>
      <c r="AC1328" s="192"/>
      <c r="AD1328" s="192"/>
      <c r="AE1328" s="192"/>
      <c r="AF1328" s="192"/>
      <c r="AG1328" s="192"/>
      <c r="AH1328" s="192"/>
      <c r="AI1328" s="192"/>
      <c r="AJ1328" s="192"/>
      <c r="AK1328" s="192"/>
      <c r="AL1328" s="192"/>
      <c r="AM1328" s="192"/>
      <c r="AN1328" s="192"/>
      <c r="AO1328" s="192"/>
      <c r="AP1328" s="192"/>
      <c r="AQ1328" s="192"/>
      <c r="AR1328" s="192"/>
      <c r="AS1328" s="192"/>
      <c r="AT1328" s="192"/>
      <c r="AU1328" s="192"/>
      <c r="AV1328" s="192"/>
      <c r="AW1328" s="192"/>
      <c r="AX1328" s="192"/>
    </row>
    <row r="1329" spans="2:50" ht="15" customHeight="1" thickBot="1" x14ac:dyDescent="0.35">
      <c r="B1329" s="192"/>
      <c r="C1329" s="192"/>
      <c r="D1329" s="192"/>
      <c r="E1329" s="164" t="str">
        <f>IF(Q1329="","",IF(Q1329=3,1,0))</f>
        <v/>
      </c>
      <c r="F1329" s="164" t="str">
        <f>IF(Q1329="","",IF(Q1329&lt;3,1,0))</f>
        <v/>
      </c>
      <c r="G1329" s="192"/>
      <c r="H1329" s="192" t="str">
        <f>IF(I1308&lt;&gt;"",2,"")</f>
        <v/>
      </c>
      <c r="I1329" s="192" t="str">
        <f>IF(ISNUMBER(H1329),VLOOKUP(H1329,H1305:I1308,2,TRUE),"")</f>
        <v/>
      </c>
      <c r="J1329" s="192"/>
      <c r="K1329" s="192" t="str">
        <f>VLOOKUP(I1329,I1305:L1308,3,FALSE)</f>
        <v/>
      </c>
      <c r="L1329" s="155"/>
      <c r="M1329" s="259"/>
      <c r="N1329" s="259"/>
      <c r="O1329" s="156"/>
      <c r="P1329" s="157"/>
      <c r="Q1329" s="260" t="str">
        <f>IF(L1329="","",IF(AND(L1329-L1328&gt;1,L1329&gt;10),1,0)+IF(AND(M1329-M1328&gt;1,M1329&gt;10),1,0)+IF(AND(N1329-N1328&gt;1,N1329&gt;10),1,0)+IF(AND(O1329-O1328&gt;1,O1329&gt;10),1,0)+IF(AND(P1329-P1328&gt;1,P1329&gt;10),1,0))</f>
        <v/>
      </c>
      <c r="R1329" s="203" t="str">
        <f>IF(AND(Q1328&lt;&gt;3,Q1329&lt;&gt;3),"",IF(Q1328=3,IF(VLOOKUP(I1328,I1305:L1308,4,FALSE)&gt;VLOOKUP(I1329,I1305:L1308,4,FALSE),VLOOKUP(R1328,Point_dif,2,FALSE),VLOOKUP(R1328,Point_dif,3,FALSE)),IF(Q1329=3,IF(VLOOKUP(I1329,I1305:L1308,4,FALSE)&gt;VLOOKUP(I1329,I1305:L1308,4,FALSE),VLOOKUP(R1328,Point_dif,2,FALSE),VLOOKUP(R1328,Point_dif,3,FALSE)))))</f>
        <v/>
      </c>
      <c r="S1329" s="256" t="str">
        <f>IF(R1329="","",IF(Q1329=3,+R1329,-R1329))</f>
        <v/>
      </c>
      <c r="T1329" s="247"/>
      <c r="U1329" s="235"/>
      <c r="V1329" s="235"/>
      <c r="W1329" s="235"/>
      <c r="X1329" s="235"/>
      <c r="Y1329" s="235"/>
      <c r="Z1329" s="235"/>
      <c r="AA1329" s="246">
        <v>2</v>
      </c>
      <c r="AB1329" s="222" t="str">
        <f>IF(AND(COUNTBLANK(I1305:I1308)=0,Group_players=4,M1305=M1306,M1306=M1308),IF(W1313="","",IF(COUNTIF(W1312:W1315,W1313)=3,"Tied",IF(AND(COUNTIF(W1312:W1315,W1313)=1,W1312&lt;&gt;W1314),IF(M1306=2,IF(SMALL(W1312:W1315,1)=W1313,1,IF(SMALL(W1312:W1315,2)=W1313,2,IF(SMALL(W1312:W1315,3)=W1313,3))),IF(M1306=1,IF(SMALL(W1312:W1315,1)=W1313,2,IF(SMALL(W1312:W1315,2)=W1313,3,IF(SMALL(W1312:W1315,3)=W1313,4))),"")),IF(COUNTIF(W1312:W1315,W1313)=1,IF(W1313&lt;W1312,IF(M1306=2,1,2),IF(M1306=2,3,4)),IF(COUNTIF(W1312:W1315,W1313)=2,IF(W1313=W1312,IF(W1313&lt;W1315,IF(M1306=2,IF(Q1329=3,1,2),IF(M1306=1,IF(Q1329=3,2,3))),IF(W1313&gt;W1315,IF(M1306=2,IF(Q1329=3,2,3),IF(M1306=1,IF(Q1329=3,3,4))))),IF(W1313=W1315,IF(W1313&lt;W1312,IF(M1306=2,IF(Q1319=3,1,2),IF(M1306=1,IF(Q1319=3,2,3))),IF(W1313&gt;W1312,IF(M1306=2,IF(Q1319=3,2,3),IF(M1306=1,IF(Q1319=3,3,4)))))))))))),"")</f>
        <v/>
      </c>
      <c r="AC1329" s="192"/>
      <c r="AD1329" s="192"/>
      <c r="AE1329" s="192"/>
      <c r="AF1329" s="192"/>
      <c r="AG1329" s="192"/>
      <c r="AH1329" s="192"/>
      <c r="AI1329" s="192"/>
      <c r="AJ1329" s="192"/>
      <c r="AK1329" s="192"/>
      <c r="AL1329" s="192"/>
      <c r="AM1329" s="192"/>
      <c r="AN1329" s="192"/>
      <c r="AO1329" s="192"/>
      <c r="AP1329" s="192"/>
      <c r="AQ1329" s="192"/>
      <c r="AR1329" s="192"/>
      <c r="AS1329" s="192"/>
      <c r="AT1329" s="192"/>
      <c r="AU1329" s="192"/>
      <c r="AV1329" s="192"/>
      <c r="AW1329" s="192"/>
      <c r="AX1329" s="192"/>
    </row>
    <row r="1330" spans="2:50" ht="15" customHeight="1" thickTop="1" thickBot="1" x14ac:dyDescent="0.35">
      <c r="B1330" s="192"/>
      <c r="C1330" s="192"/>
      <c r="D1330" s="192"/>
      <c r="E1330" s="164"/>
      <c r="F1330" s="164"/>
      <c r="G1330" s="192"/>
      <c r="H1330" s="192"/>
      <c r="I1330" s="249" t="s">
        <v>121</v>
      </c>
      <c r="J1330" s="249"/>
      <c r="K1330" s="249"/>
      <c r="L1330" s="250" t="s">
        <v>115</v>
      </c>
      <c r="M1330" s="250" t="s">
        <v>116</v>
      </c>
      <c r="N1330" s="250" t="s">
        <v>117</v>
      </c>
      <c r="O1330" s="250" t="s">
        <v>118</v>
      </c>
      <c r="P1330" s="250" t="s">
        <v>119</v>
      </c>
      <c r="Q1330" s="250" t="s">
        <v>120</v>
      </c>
      <c r="R1330" s="250"/>
      <c r="S1330" s="251"/>
      <c r="T1330" s="247"/>
      <c r="U1330" s="235"/>
      <c r="V1330" s="235"/>
      <c r="W1330" s="235"/>
      <c r="X1330" s="235"/>
      <c r="Y1330" s="235"/>
      <c r="Z1330" s="235"/>
      <c r="AA1330" s="240">
        <v>4</v>
      </c>
      <c r="AB1330" s="241" t="str">
        <f>IF(AND(COUNTBLANK(I1305:I1308)=0,Group_players=4,M1305=M1306,M1306=M1308),IF(W1315="","",IF(COUNTIF(W1312:W1315,W1315)=3,"Tied",IF(AND(COUNTIF(W1312:W1315,W1315)=1,W1312&lt;&gt;W1313),IF(M1308=2,IF(SMALL(W1312:W1315,1)=W1315,1,IF(SMALL(W1312:W1315,2)=W1315,2,IF(SMALL(W1312:W1315,3)=W1315,3))),IF(M1308=1,IF(SMALL(W1312:W1315,1)=W1315,2,IF(SMALL(W1312:W1315,2)=W1315,3,IF(SMALL(W1312:W1315,3)=W1315,4))),"")),IF(COUNTIF(W1312:W1315,W1315)=1,IF(W1315&lt;W1312,IF(M1308=2,1,2),IF(M1308=2,3,4)),IF(COUNTIF(W1312:W1315,W1315)=2,IF(W1315=W1312,IF(W1315&lt;W1313,IF(M1308=2,IF(Q1323=3,1,2),IF(M1308=1,IF(Q1323=3,2,3))),IF(W1315&gt;W1314,IF(M1308=2,IF(Q1323=3,2,3),IF(M1308=1,IF(Q1323=3,3,4))))),IF(W1315=W1313,IF(W1315&lt;W1312,IF(M1308=2,IF(Q1320=3,1,2),IF(M1308=1,IF(Q1320=3,2,3))),IF(W1315&gt;W1312,IF(M1308=2,IF(Q1320=3,2,3),IF(M1308=1,IF(Q1320=3,3,4)))))))))))),"")</f>
        <v/>
      </c>
      <c r="AC1330" s="192"/>
      <c r="AD1330" s="192"/>
      <c r="AE1330" s="192"/>
      <c r="AF1330" s="192"/>
      <c r="AG1330" s="192"/>
      <c r="AH1330" s="192"/>
      <c r="AI1330" s="192"/>
      <c r="AJ1330" s="192"/>
      <c r="AK1330" s="192"/>
      <c r="AL1330" s="192"/>
      <c r="AM1330" s="192"/>
      <c r="AN1330" s="192"/>
      <c r="AO1330" s="192"/>
      <c r="AP1330" s="192"/>
      <c r="AQ1330" s="192"/>
      <c r="AR1330" s="192"/>
      <c r="AS1330" s="192"/>
      <c r="AT1330" s="192"/>
      <c r="AU1330" s="192"/>
      <c r="AV1330" s="192"/>
      <c r="AW1330" s="192"/>
      <c r="AX1330" s="192"/>
    </row>
    <row r="1331" spans="2:50" ht="15" customHeight="1" thickTop="1" x14ac:dyDescent="0.3">
      <c r="B1331" s="192"/>
      <c r="C1331" s="192"/>
      <c r="D1331" s="192"/>
      <c r="E1331" s="164" t="str">
        <f>IF(Q1331="","",IF(Q1331=3,1,0))</f>
        <v/>
      </c>
      <c r="F1331" s="164" t="str">
        <f>IF(Q1331="","",IF(Q1331&lt;3,1,0))</f>
        <v/>
      </c>
      <c r="G1331" s="192"/>
      <c r="H1331" s="192" t="str">
        <f>IF(I1308&lt;&gt;"",3,"")</f>
        <v/>
      </c>
      <c r="I1331" s="192" t="str">
        <f>IF(ISNUMBER(H1331),VLOOKUP(H1331,H1305:I1308,2,TRUE),"")</f>
        <v/>
      </c>
      <c r="J1331" s="192"/>
      <c r="K1331" s="192" t="str">
        <f>VLOOKUP(I1331,I1305:L1308,3,FALSE)</f>
        <v/>
      </c>
      <c r="L1331" s="253"/>
      <c r="M1331" s="254"/>
      <c r="N1331" s="254"/>
      <c r="O1331" s="152"/>
      <c r="P1331" s="153"/>
      <c r="Q1331" s="255" t="str">
        <f>IF(L1331="","",IF(AND(L1331-L1332&gt;1,L1331&gt;10),1,0)+IF(AND(M1331-M1332&gt;1,M1331&gt;10),1,0)+IF(AND(N1331-N1332&gt;1,N1331&gt;10),1,0)+IF(AND(O1331-O1332&gt;1,O1331&gt;10),1,0)+IF(AND(P1331-P1332&gt;1,P1331&gt;10),1,0))</f>
        <v/>
      </c>
      <c r="R1331" s="203" t="str">
        <f>IF(AND(I1331="",I1332=""),"",ABS(VLOOKUP(I1331,I1305:L1308,4,FALSE)-VLOOKUP(I1332,I1305:L1308,4,FALSE)))</f>
        <v/>
      </c>
      <c r="S1331" s="256" t="str">
        <f>IF(R1332="","",IF(Q1331=3,+R1332,-R1332))</f>
        <v/>
      </c>
      <c r="T1331" s="247"/>
      <c r="U1331" s="264"/>
      <c r="V1331" s="242"/>
      <c r="W1331" s="192"/>
      <c r="X1331" s="264"/>
      <c r="Y1331" s="192"/>
      <c r="Z1331" s="192"/>
      <c r="AA1331" s="243">
        <v>2</v>
      </c>
      <c r="AB1331" s="222" t="str">
        <f>IF(AND(COUNTBLANK(I1305:I1308)=0,Group_players=4,M1306=M1307,M1307=M1308),IF(X1313="","",IF(COUNTIF(X1312:X1315,X1313)=3,"Tied",IF(AND(COUNTIF(X1312:X1315,X1313)=1,X1314&lt;&gt;X1315),IF(M1306=2,IF(SMALL(X1312:X1315,1)=X1313,1,IF(SMALL(X1312:X1315,2)=X1313,2,IF(SMALL(X1312:X1315,3)=X1313,3))),IF(M1306=1,IF(SMALL(X1312:X1315,1)=X1313,2,IF(SMALL(X1312:X1315,2)=X1313,3,IF(SMALL(X1312:X1315,3)=X1313,4))),"")),IF(COUNTIF(X1312:X1315,X1313)=1,IF(X1313&lt;X1315,IF(M1306=2,1,2),IF(M1306=1,4)),IF(COUNTIF(X1312:X1315,X1313)=2,IF(X1313=X1314,IF(X1313&lt;X1315,IF(M1306=2,IF(Q1325=3,1,2),IF(M1306=1,IF(Q1325=3,2,3))),IF(X1313&gt;X1315,IF(M1306=2,IF(Q1325=3,2,3),IF(M1306=1,IF(Q1325=3,3,4))))),IF(X1313=X1315,IF(X1313&lt;X1314,IF(M1306=2,IF(Q1319=3,1,2),IF(M1306=1,IF(Q1319=3,2,3))),IF(X1313&gt;X1314,IF(M1306=2,IF(Q1319=3,2,3),IF(M1306=1,IF(Q1319=3,3,4)))))))))))),"")</f>
        <v/>
      </c>
      <c r="AC1331" s="192"/>
      <c r="AD1331" s="192"/>
      <c r="AE1331" s="192"/>
      <c r="AF1331" s="192"/>
      <c r="AG1331" s="192"/>
      <c r="AH1331" s="192"/>
      <c r="AI1331" s="192"/>
      <c r="AJ1331" s="192"/>
      <c r="AK1331" s="192"/>
      <c r="AL1331" s="192"/>
      <c r="AM1331" s="192"/>
      <c r="AN1331" s="192"/>
      <c r="AO1331" s="192"/>
      <c r="AP1331" s="192"/>
      <c r="AQ1331" s="192"/>
      <c r="AR1331" s="192"/>
      <c r="AS1331" s="192"/>
      <c r="AT1331" s="192"/>
      <c r="AU1331" s="192"/>
      <c r="AV1331" s="192"/>
      <c r="AW1331" s="192"/>
      <c r="AX1331" s="192"/>
    </row>
    <row r="1332" spans="2:50" ht="15" customHeight="1" thickBot="1" x14ac:dyDescent="0.35">
      <c r="B1332" s="192"/>
      <c r="C1332" s="192"/>
      <c r="D1332" s="192"/>
      <c r="E1332" s="164" t="str">
        <f>IF(Q1332="","",IF(Q1332=3,1,0))</f>
        <v/>
      </c>
      <c r="F1332" s="164" t="str">
        <f>IF(Q1332="","",IF(Q1332&lt;3,1,0))</f>
        <v/>
      </c>
      <c r="G1332" s="192"/>
      <c r="H1332" s="192" t="str">
        <f>IF(I1308&lt;&gt;"",4,"")</f>
        <v/>
      </c>
      <c r="I1332" s="192" t="str">
        <f>IF(ISNUMBER(H1332),VLOOKUP(H1332,H1305:I1308,2,TRUE),"")</f>
        <v/>
      </c>
      <c r="J1332" s="192"/>
      <c r="K1332" s="192" t="str">
        <f>VLOOKUP(I1332,I1305:L1308,3,FALSE)</f>
        <v/>
      </c>
      <c r="L1332" s="155"/>
      <c r="M1332" s="259"/>
      <c r="N1332" s="259"/>
      <c r="O1332" s="156"/>
      <c r="P1332" s="157"/>
      <c r="Q1332" s="260" t="str">
        <f>IF(L1332="","",IF(AND(L1332-L1331&gt;1,L1332&gt;10),1,0)+IF(AND(M1332-M1331&gt;1,M1332&gt;10),1,0)+IF(AND(N1332-N1331&gt;1,N1332&gt;10),1,0)+IF(AND(O1332-O1331&gt;1,O1332&gt;10),1,0)+IF(AND(P1332-P1331&gt;1,P1332&gt;10),1,0))</f>
        <v/>
      </c>
      <c r="R1332" s="203" t="str">
        <f>IF(AND(Q1331&lt;&gt;3,Q1332&lt;&gt;3),"",IF(Q1331=3,IF(VLOOKUP(I1331,I1305:L1308,4,FALSE)&gt;VLOOKUP(I1332,I1305:L1308,4,FALSE),VLOOKUP(R1331,Point_dif,2,FALSE),VLOOKUP(R1331,Point_dif,3,FALSE)),IF(Q1332=3,IF(VLOOKUP(I1332,I1305:L1308,4,FALSE)&gt;VLOOKUP(I1331,I1305:L1308,4,FALSE),VLOOKUP(R1331,Point_dif,2,FALSE),VLOOKUP(R1331,Point_dif,3,FALSE)))))</f>
        <v/>
      </c>
      <c r="S1332" s="260" t="str">
        <f>IF(R1332="","",IF(Q1332=3,+R1332,-R1332))</f>
        <v/>
      </c>
      <c r="T1332" s="247"/>
      <c r="U1332" s="235"/>
      <c r="V1332" s="235"/>
      <c r="W1332" s="235"/>
      <c r="X1332" s="235"/>
      <c r="Y1332" s="235"/>
      <c r="Z1332" s="235"/>
      <c r="AA1332" s="246">
        <v>3</v>
      </c>
      <c r="AB1332" s="222" t="str">
        <f>IF(AND(COUNTBLANK(I1305:I1308)=0,Group_players=4,Group_players=4,M1306=M1307,M1307=M1308),IF(X1314="","",IF(COUNTIF(X1312:X1315,X1314)=3,"Tied",IF(AND(COUNTIF(X1312:X1315,X1314)=1,X1313&lt;&gt;X1315),IF(M1307=2,IF(SMALL(X1312:X1315,1)=X1314,1,IF(SMALL(X1312:X1315,2)=X1314,2,IF(SMALL(X1312:X1315,3)=X1314,3))),IF(M1307=1,IF(SMALL(X1312:X1315,1)=X1314,2,IF(SMALL(X1312:X1315,2)=X1314,3,IF(SMALL(X1312:X1315,3)=X1314,4))),"")),IF(COUNTIF(X1312:X1315,X1314)=1,IF(X1314&lt;X1313,IF(M1307=2,1,2),IF(M1307=2,3,4)),IF(COUNTIF(X1312:X1315,X1314)=2,IF(X1314=X1313,IF(X1314&lt;X1315,IF(M1307=2,IF(Q1326=3,1,2),IF(M1307=1,IF(Q1326=3,2,3))),IF(X1314&gt;X1315,IF(M1307=2,IF(Q1326=3,2,3),IF(M1307=1,IF(Q1326=3,3,4))))),IF(X1314=X1315,IF(X1314&lt;X1313,IF(M1307=2,IF(Q1331=3,1,2),IF(M1307=1,IF(Q1331=3,2,3))),IF(X1314&gt;X1313,IF(M1307=2,IF(Q1331=3,2,3),IF(M1307=1,IF(Q1331=3,3,4)))))))))))),"")</f>
        <v/>
      </c>
      <c r="AC1332" s="192"/>
      <c r="AD1332" s="192"/>
      <c r="AE1332" s="192"/>
      <c r="AF1332" s="192"/>
      <c r="AG1332" s="192"/>
      <c r="AH1332" s="192"/>
      <c r="AI1332" s="192"/>
      <c r="AJ1332" s="192"/>
      <c r="AK1332" s="192"/>
      <c r="AL1332" s="192"/>
      <c r="AM1332" s="192"/>
      <c r="AN1332" s="192"/>
      <c r="AO1332" s="192"/>
      <c r="AP1332" s="192"/>
      <c r="AQ1332" s="192"/>
      <c r="AR1332" s="192"/>
      <c r="AS1332" s="192"/>
      <c r="AT1332" s="192"/>
      <c r="AU1332" s="192"/>
      <c r="AV1332" s="192"/>
      <c r="AW1332" s="192"/>
      <c r="AX1332" s="192"/>
    </row>
    <row r="1333" spans="2:50" ht="15" customHeight="1" thickTop="1" thickBot="1" x14ac:dyDescent="0.35">
      <c r="B1333" s="192"/>
      <c r="C1333" s="192"/>
      <c r="D1333" s="192"/>
      <c r="E1333" s="192"/>
      <c r="F1333" s="192"/>
      <c r="G1333" s="192"/>
      <c r="H1333" s="192"/>
      <c r="I1333" s="192"/>
      <c r="J1333" s="192"/>
      <c r="K1333" s="192"/>
      <c r="L1333" s="192"/>
      <c r="M1333" s="192"/>
      <c r="N1333" s="192"/>
      <c r="O1333" s="192"/>
      <c r="P1333" s="192"/>
      <c r="Q1333" s="192"/>
      <c r="R1333" s="192"/>
      <c r="S1333" s="192"/>
      <c r="T1333" s="247"/>
      <c r="U1333" s="235"/>
      <c r="V1333" s="235"/>
      <c r="W1333" s="235"/>
      <c r="X1333" s="235"/>
      <c r="Y1333" s="235"/>
      <c r="Z1333" s="235"/>
      <c r="AA1333" s="261">
        <v>4</v>
      </c>
      <c r="AB1333" s="233" t="str">
        <f>IF(AND(COUNTBLANK(I1305:I1308)=0,Group_players=4,M1306=M1307,M1307=M1308),IF(X1315="","",IF(COUNTIF(X1312:X1315,X1315)=3,"Tied",IF(AND(COUNTIF(X1312:X1315,X1315)=1,X1314&lt;&gt;X1313),IF(M1308=2,IF(SMALL(X1312:X1315,1)=X1315,1,IF(SMALL(X1312:X1315,2)=X1315,2,IF(SMALL(X1312:X1315,3)=X1315,3))),IF(M1308=1,IF(SMALL(X1312:X1315,1)=X1315,2,IF(SMALL(X1312:X1315,2)=X1315,3,IF(SMALL(X1312:X1315,3)=X1315,4))),"")),IF(COUNTIF(X1312:X1315,X1315)=1,IF(X1315&lt;X1313,IF(M1308=2,1,2),IF(M1308=2,3,4)),IF(COUNTIF(X1312:X1315,X1315)=2,IF(X1315=X1313,IF(X1315&lt;X1314,IF(M1308=2,IF(Q1320=3,1,2),IF(M1308=1,IF(Q1320=3,2,3))),IF(X1315&gt;X1314,IF(M1308=2,IF(Q1320=3,2,3),IF(M1308=1,IF(Q1320=3,3,4))))),IF(X1315=X1314,IF(X1315&lt;X1313,IF(M1308=2,IF(Q1332=3,1,2),IF(M1308=1,IF(Q1332=3,2,3))),IF(X1315&gt;X1313,IF(M1308=2,IF(Q1332=3,2,3),IF(M1308=1,IF(Q1332=3,3,4)))))))))))),"")</f>
        <v/>
      </c>
      <c r="AC1333" s="192"/>
      <c r="AD1333" s="192"/>
      <c r="AE1333" s="192"/>
      <c r="AF1333" s="192"/>
      <c r="AG1333" s="192"/>
      <c r="AH1333" s="192"/>
      <c r="AI1333" s="192"/>
      <c r="AJ1333" s="192"/>
      <c r="AK1333" s="192"/>
      <c r="AL1333" s="192"/>
      <c r="AM1333" s="192"/>
      <c r="AN1333" s="192"/>
      <c r="AO1333" s="192"/>
      <c r="AP1333" s="192"/>
      <c r="AQ1333" s="192"/>
      <c r="AR1333" s="192"/>
      <c r="AS1333" s="192"/>
      <c r="AT1333" s="192"/>
      <c r="AU1333" s="192"/>
      <c r="AV1333" s="192"/>
      <c r="AW1333" s="192"/>
      <c r="AX1333" s="192"/>
    </row>
    <row r="1334" spans="2:50" ht="15" customHeight="1" thickTop="1" x14ac:dyDescent="0.3">
      <c r="B1334" s="192"/>
      <c r="C1334" s="192"/>
      <c r="D1334" s="192"/>
      <c r="E1334" s="192"/>
      <c r="F1334" s="192"/>
      <c r="G1334" s="192"/>
      <c r="H1334" s="192"/>
      <c r="I1334" s="192"/>
      <c r="J1334" s="192"/>
      <c r="K1334" s="192"/>
      <c r="L1334" s="192"/>
      <c r="M1334" s="192"/>
      <c r="N1334" s="192"/>
      <c r="O1334" s="192"/>
      <c r="P1334" s="192"/>
      <c r="Q1334" s="192"/>
      <c r="R1334" s="192"/>
      <c r="S1334" s="192"/>
      <c r="T1334" s="203"/>
      <c r="U1334" s="192"/>
      <c r="V1334" s="192"/>
      <c r="W1334" s="192"/>
      <c r="X1334" s="192"/>
      <c r="Y1334" s="192"/>
      <c r="Z1334" s="192"/>
      <c r="AA1334" s="192"/>
      <c r="AB1334" s="192"/>
      <c r="AC1334" s="192"/>
      <c r="AD1334" s="192"/>
      <c r="AE1334" s="192"/>
      <c r="AF1334" s="192"/>
      <c r="AG1334" s="192"/>
      <c r="AH1334" s="192"/>
      <c r="AI1334" s="192"/>
      <c r="AJ1334" s="192"/>
      <c r="AK1334" s="192"/>
      <c r="AL1334" s="192"/>
      <c r="AM1334" s="192"/>
      <c r="AN1334" s="192"/>
      <c r="AO1334" s="192"/>
      <c r="AP1334" s="192"/>
      <c r="AQ1334" s="192"/>
      <c r="AR1334" s="192"/>
      <c r="AS1334" s="192"/>
      <c r="AT1334" s="192"/>
      <c r="AU1334" s="192"/>
      <c r="AV1334" s="192"/>
      <c r="AW1334" s="192"/>
      <c r="AX1334" s="192"/>
    </row>
    <row r="1335" spans="2:50" ht="15" customHeight="1" x14ac:dyDescent="0.3">
      <c r="B1335" s="192"/>
      <c r="C1335" s="192"/>
      <c r="D1335" s="192"/>
      <c r="E1335" s="192"/>
      <c r="F1335" s="192"/>
      <c r="G1335" s="192"/>
      <c r="H1335" s="192"/>
      <c r="I1335" s="192"/>
      <c r="J1335" s="192"/>
      <c r="K1335" s="192"/>
      <c r="L1335" s="192"/>
      <c r="M1335" s="192"/>
      <c r="N1335" s="192"/>
      <c r="O1335" s="192"/>
      <c r="P1335" s="192"/>
      <c r="Q1335" s="192"/>
      <c r="R1335" s="192"/>
      <c r="S1335" s="192"/>
      <c r="T1335" s="192"/>
      <c r="U1335" s="192"/>
      <c r="V1335" s="192"/>
      <c r="W1335" s="192"/>
      <c r="X1335" s="192"/>
      <c r="Y1335" s="192"/>
      <c r="Z1335" s="192"/>
      <c r="AA1335" s="192"/>
      <c r="AB1335" s="192"/>
      <c r="AC1335" s="192"/>
      <c r="AD1335" s="192"/>
      <c r="AE1335" s="192"/>
      <c r="AF1335" s="192"/>
      <c r="AG1335" s="192"/>
      <c r="AH1335" s="192"/>
      <c r="AI1335" s="192"/>
      <c r="AJ1335" s="192"/>
      <c r="AK1335" s="192"/>
      <c r="AL1335" s="192"/>
      <c r="AM1335" s="192"/>
      <c r="AN1335" s="192"/>
      <c r="AO1335" s="192"/>
      <c r="AP1335" s="192"/>
      <c r="AQ1335" s="192"/>
      <c r="AR1335" s="192"/>
      <c r="AS1335" s="192"/>
      <c r="AT1335" s="192"/>
      <c r="AU1335" s="192"/>
      <c r="AV1335" s="192"/>
      <c r="AW1335" s="192"/>
      <c r="AX1335" s="192"/>
    </row>
    <row r="1336" spans="2:50" ht="15" customHeight="1" x14ac:dyDescent="0.3">
      <c r="B1336" s="192"/>
      <c r="C1336" s="192"/>
      <c r="D1336" s="192"/>
      <c r="E1336" s="192"/>
      <c r="F1336" s="192"/>
      <c r="G1336" s="192"/>
      <c r="H1336" s="192"/>
      <c r="I1336" s="192"/>
      <c r="J1336" s="192"/>
      <c r="K1336" s="192"/>
      <c r="L1336" s="192"/>
      <c r="M1336" s="192"/>
      <c r="N1336" s="192"/>
      <c r="O1336" s="192"/>
      <c r="P1336" s="192"/>
      <c r="Q1336" s="192"/>
      <c r="R1336" s="192"/>
      <c r="S1336" s="192"/>
      <c r="T1336" s="192"/>
      <c r="U1336" s="192"/>
      <c r="V1336" s="192"/>
      <c r="W1336" s="192"/>
      <c r="X1336" s="192"/>
      <c r="Y1336" s="192"/>
      <c r="Z1336" s="269"/>
      <c r="AA1336" s="192"/>
      <c r="AB1336" s="192"/>
      <c r="AC1336" s="192"/>
      <c r="AD1336" s="192"/>
      <c r="AE1336" s="192"/>
      <c r="AF1336" s="192"/>
      <c r="AG1336" s="192"/>
      <c r="AH1336" s="192"/>
      <c r="AI1336" s="192"/>
      <c r="AJ1336" s="192"/>
      <c r="AK1336" s="192"/>
      <c r="AL1336" s="192"/>
      <c r="AM1336" s="192"/>
      <c r="AN1336" s="192"/>
      <c r="AO1336" s="192"/>
      <c r="AP1336" s="192"/>
      <c r="AQ1336" s="192"/>
      <c r="AR1336" s="192"/>
      <c r="AS1336" s="192"/>
      <c r="AT1336" s="192"/>
      <c r="AU1336" s="192"/>
      <c r="AV1336" s="192"/>
      <c r="AW1336" s="192"/>
      <c r="AX1336" s="192"/>
    </row>
    <row r="1337" spans="2:50" ht="15" customHeight="1" x14ac:dyDescent="0.3">
      <c r="B1337" s="192"/>
      <c r="C1337" s="192"/>
      <c r="D1337" s="192"/>
      <c r="E1337" s="192"/>
      <c r="F1337" s="192"/>
      <c r="G1337" s="192"/>
      <c r="H1337" s="192"/>
      <c r="I1337" s="192"/>
      <c r="J1337" s="192"/>
      <c r="K1337" s="192"/>
      <c r="L1337" s="192"/>
      <c r="M1337" s="192"/>
      <c r="N1337" s="192"/>
      <c r="O1337" s="192"/>
      <c r="P1337" s="192"/>
      <c r="Q1337" s="192"/>
      <c r="R1337" s="192"/>
      <c r="S1337" s="192"/>
      <c r="T1337" s="192"/>
      <c r="U1337" s="192"/>
      <c r="V1337" s="192"/>
      <c r="W1337" s="192"/>
      <c r="X1337" s="192"/>
      <c r="Y1337" s="192"/>
      <c r="Z1337" s="192"/>
      <c r="AA1337" s="192"/>
      <c r="AB1337" s="192"/>
      <c r="AC1337" s="192"/>
      <c r="AD1337" s="192"/>
      <c r="AE1337" s="192"/>
      <c r="AF1337" s="192"/>
      <c r="AG1337" s="192"/>
      <c r="AH1337" s="192"/>
      <c r="AI1337" s="192"/>
      <c r="AJ1337" s="192"/>
      <c r="AK1337" s="192"/>
      <c r="AL1337" s="192"/>
      <c r="AM1337" s="192"/>
      <c r="AN1337" s="192"/>
      <c r="AO1337" s="192"/>
      <c r="AP1337" s="192"/>
      <c r="AQ1337" s="192"/>
      <c r="AR1337" s="192"/>
      <c r="AS1337" s="192"/>
      <c r="AT1337" s="192"/>
      <c r="AU1337" s="192"/>
      <c r="AV1337" s="192"/>
      <c r="AW1337" s="192"/>
      <c r="AX1337" s="192"/>
    </row>
    <row r="1338" spans="2:50" ht="15" customHeight="1" x14ac:dyDescent="0.3">
      <c r="B1338" s="192"/>
      <c r="C1338" s="192"/>
      <c r="D1338" s="192"/>
      <c r="E1338" s="192"/>
      <c r="F1338" s="192"/>
      <c r="G1338" s="192"/>
      <c r="H1338" s="192"/>
      <c r="I1338" s="192"/>
      <c r="J1338" s="192"/>
      <c r="K1338" s="192"/>
      <c r="L1338" s="192"/>
      <c r="M1338" s="192"/>
      <c r="N1338" s="192"/>
      <c r="O1338" s="192"/>
      <c r="P1338" s="192"/>
      <c r="Q1338" s="192"/>
      <c r="R1338" s="192"/>
      <c r="S1338" s="192"/>
      <c r="T1338" s="192"/>
      <c r="U1338" s="192"/>
      <c r="V1338" s="192"/>
      <c r="W1338" s="192"/>
      <c r="X1338" s="192"/>
      <c r="Y1338" s="192"/>
      <c r="Z1338" s="192"/>
      <c r="AA1338" s="192"/>
      <c r="AB1338" s="192"/>
      <c r="AC1338" s="192"/>
      <c r="AD1338" s="192"/>
      <c r="AE1338" s="192"/>
      <c r="AF1338" s="192"/>
      <c r="AG1338" s="192"/>
      <c r="AH1338" s="192"/>
      <c r="AI1338" s="192"/>
      <c r="AJ1338" s="192"/>
      <c r="AK1338" s="192"/>
      <c r="AL1338" s="192"/>
      <c r="AM1338" s="192"/>
      <c r="AN1338" s="192"/>
      <c r="AO1338" s="192"/>
      <c r="AP1338" s="192"/>
      <c r="AQ1338" s="192"/>
      <c r="AR1338" s="192"/>
      <c r="AS1338" s="192"/>
      <c r="AT1338" s="192"/>
      <c r="AU1338" s="192"/>
      <c r="AV1338" s="192"/>
      <c r="AW1338" s="192"/>
      <c r="AX1338" s="192"/>
    </row>
    <row r="1339" spans="2:50" ht="15" customHeight="1" thickBot="1" x14ac:dyDescent="0.4">
      <c r="B1339" s="192"/>
      <c r="C1339" s="192"/>
      <c r="D1339" s="192"/>
      <c r="E1339" s="192"/>
      <c r="F1339" s="192"/>
      <c r="G1339" s="192"/>
      <c r="H1339" s="192"/>
      <c r="I1339" s="383" t="s">
        <v>159</v>
      </c>
      <c r="J1339" s="383"/>
      <c r="K1339" s="383"/>
      <c r="L1339" s="383"/>
      <c r="M1339" s="383"/>
      <c r="N1339" s="383"/>
      <c r="O1339" s="383"/>
      <c r="P1339" s="383"/>
      <c r="Q1339" s="383"/>
      <c r="R1339" s="383"/>
      <c r="S1339" s="192"/>
      <c r="T1339" s="192"/>
      <c r="U1339" s="370" t="s">
        <v>92</v>
      </c>
      <c r="V1339" s="371"/>
      <c r="W1339" s="371"/>
      <c r="X1339" s="372"/>
      <c r="Y1339" s="192"/>
      <c r="Z1339" s="192"/>
      <c r="AA1339" s="192"/>
      <c r="AB1339" s="192"/>
      <c r="AC1339" s="192"/>
      <c r="AD1339" s="192"/>
      <c r="AE1339" s="192"/>
      <c r="AF1339" s="192"/>
      <c r="AG1339" s="192"/>
      <c r="AH1339" s="192"/>
      <c r="AI1339" s="192"/>
      <c r="AJ1339" s="192"/>
      <c r="AK1339" s="192"/>
      <c r="AL1339" s="192"/>
      <c r="AM1339" s="192"/>
      <c r="AN1339" s="192"/>
      <c r="AO1339" s="192"/>
      <c r="AP1339" s="192"/>
      <c r="AQ1339" s="192"/>
      <c r="AR1339" s="192"/>
      <c r="AS1339" s="192"/>
      <c r="AT1339" s="192"/>
      <c r="AU1339" s="192"/>
      <c r="AV1339" s="192"/>
      <c r="AW1339" s="192"/>
      <c r="AX1339" s="192"/>
    </row>
    <row r="1340" spans="2:50" ht="15" customHeight="1" thickTop="1" thickBot="1" x14ac:dyDescent="0.35">
      <c r="B1340" s="192"/>
      <c r="C1340" s="192"/>
      <c r="D1340" s="192"/>
      <c r="E1340" s="192"/>
      <c r="F1340" s="192"/>
      <c r="G1340" s="192"/>
      <c r="H1340" s="192"/>
      <c r="I1340" s="400" t="s">
        <v>93</v>
      </c>
      <c r="J1340" s="160"/>
      <c r="K1340" s="396" t="s">
        <v>94</v>
      </c>
      <c r="L1340" s="398" t="s">
        <v>95</v>
      </c>
      <c r="M1340" s="390" t="s">
        <v>96</v>
      </c>
      <c r="N1340" s="390" t="s">
        <v>97</v>
      </c>
      <c r="O1340" s="373" t="s">
        <v>98</v>
      </c>
      <c r="P1340" s="373" t="str">
        <f>IF(COUNT(U1341:X1352)=3,"LM/WM Ratio",IF(COUNT(U1341:X1352)=6,"LP/WP Ratio",""))</f>
        <v/>
      </c>
      <c r="Q1340" s="390" t="s">
        <v>99</v>
      </c>
      <c r="R1340" s="392" t="s">
        <v>100</v>
      </c>
      <c r="S1340" s="192"/>
      <c r="T1340" s="120"/>
      <c r="U1340" s="121" t="s">
        <v>101</v>
      </c>
      <c r="V1340" s="122" t="s">
        <v>102</v>
      </c>
      <c r="W1340" s="122" t="s">
        <v>103</v>
      </c>
      <c r="X1340" s="123" t="s">
        <v>104</v>
      </c>
      <c r="Y1340" s="380" t="s">
        <v>105</v>
      </c>
      <c r="Z1340" s="379"/>
      <c r="AA1340" s="378" t="s">
        <v>106</v>
      </c>
      <c r="AB1340" s="379"/>
      <c r="AC1340" s="192"/>
      <c r="AD1340" s="192"/>
      <c r="AE1340" s="192"/>
      <c r="AF1340" s="192"/>
      <c r="AG1340" s="192"/>
      <c r="AH1340" s="192"/>
      <c r="AI1340" s="192"/>
      <c r="AJ1340" s="192"/>
      <c r="AK1340" s="192"/>
      <c r="AL1340" s="192"/>
      <c r="AM1340" s="192"/>
      <c r="AN1340" s="192"/>
      <c r="AO1340" s="192"/>
      <c r="AP1340" s="192"/>
      <c r="AQ1340" s="192"/>
      <c r="AR1340" s="192"/>
      <c r="AS1340" s="192"/>
      <c r="AT1340" s="192"/>
      <c r="AU1340" s="192"/>
      <c r="AV1340" s="192"/>
      <c r="AW1340" s="192"/>
      <c r="AX1340" s="192"/>
    </row>
    <row r="1341" spans="2:50" ht="15" customHeight="1" thickTop="1" thickBot="1" x14ac:dyDescent="0.35">
      <c r="B1341" s="192"/>
      <c r="C1341" s="192"/>
      <c r="D1341" s="192"/>
      <c r="E1341" s="192"/>
      <c r="F1341" s="192"/>
      <c r="G1341" s="192"/>
      <c r="H1341" s="192"/>
      <c r="I1341" s="401"/>
      <c r="J1341" s="161"/>
      <c r="K1341" s="397"/>
      <c r="L1341" s="399"/>
      <c r="M1341" s="391"/>
      <c r="N1341" s="391"/>
      <c r="O1341" s="374"/>
      <c r="P1341" s="374"/>
      <c r="Q1341" s="391"/>
      <c r="R1341" s="393"/>
      <c r="S1341" s="192"/>
      <c r="T1341" s="208">
        <v>1</v>
      </c>
      <c r="U1341" s="209" t="str">
        <f>IF(M1342="","",IF(COUNTIF(M1342:M1344,M1342)=3,IF(COUNTBLANK(I1342:I1345)=1,(Q1354+Q1360)/(Q1353+Q1359),IF(COUNTBLANK(I1342:I1345)=0,(Q1366+Q1354)/(Q1365+Q1353),"")),""))</f>
        <v/>
      </c>
      <c r="V1341" s="125" t="str">
        <f>IF(AND(COUNTBLANK(I1342:I1345)=0,M1342=M1344,M1344=M1345),(Q1354+Q1360)/(Q1353+Q1359),"")</f>
        <v/>
      </c>
      <c r="W1341" s="210" t="str">
        <f>IF(AND(COUNTBLANK(I1342:I1345)=0,M1342=M1343,M1343=M1345),(Q1366+Q1360)/(Q1365+Q1359),"")</f>
        <v/>
      </c>
      <c r="X1341" s="211"/>
      <c r="Y1341" s="169" t="s">
        <v>93</v>
      </c>
      <c r="Z1341" s="170" t="s">
        <v>107</v>
      </c>
      <c r="AA1341" s="169" t="s">
        <v>93</v>
      </c>
      <c r="AB1341" s="170" t="s">
        <v>107</v>
      </c>
      <c r="AC1341" s="192"/>
      <c r="AD1341" s="192"/>
      <c r="AE1341" s="192"/>
      <c r="AF1341" s="192"/>
      <c r="AG1341" s="192"/>
      <c r="AH1341" s="192"/>
      <c r="AI1341" s="192"/>
      <c r="AJ1341" s="192"/>
      <c r="AK1341" s="192"/>
      <c r="AL1341" s="192"/>
      <c r="AM1341" s="192"/>
      <c r="AN1341" s="192"/>
      <c r="AO1341" s="192"/>
      <c r="AP1341" s="192"/>
      <c r="AQ1341" s="192"/>
      <c r="AR1341" s="192"/>
      <c r="AS1341" s="192"/>
      <c r="AT1341" s="192"/>
      <c r="AU1341" s="192"/>
      <c r="AV1341" s="192"/>
      <c r="AW1341" s="192"/>
      <c r="AX1341" s="192"/>
    </row>
    <row r="1342" spans="2:50" ht="15" customHeight="1" thickTop="1" thickBot="1" x14ac:dyDescent="0.35">
      <c r="B1342" s="192"/>
      <c r="C1342" s="192"/>
      <c r="D1342" s="192"/>
      <c r="E1342" s="192"/>
      <c r="F1342" s="192" t="str">
        <f>IF(I1342="","",VLOOKUP(I1342,Siembra,2,FALSE))</f>
        <v/>
      </c>
      <c r="G1342" s="192" t="str">
        <f>O1342</f>
        <v/>
      </c>
      <c r="H1342" s="192">
        <v>1</v>
      </c>
      <c r="I1342" s="128" t="str">
        <f>IF(K1342="","",IF(ISNUMBER(Sorteo!$A$17),VLOOKUP(K1342,Draw,2,FALSE),""))</f>
        <v/>
      </c>
      <c r="J1342" s="129" t="str">
        <f>O1342</f>
        <v/>
      </c>
      <c r="K1342" s="130" t="str">
        <f>IF($K$9="","",IF(Group_players=4,IF(Tablas!CR$3="","",Tablas!CR$3),IF(Group_players=3,IF(Tablas!CR$11="","",Tablas!CR$11),"")))</f>
        <v/>
      </c>
      <c r="L1342" s="131" t="str">
        <f>IF(K1342="","",VLOOKUP(I1342,Siembra,3,FALSE))</f>
        <v/>
      </c>
      <c r="M1342" s="132" t="str">
        <f>IF(AND(Q1353="",Q1354=""),"",IF(I1342="","",SUMIFS(E1353:E1369,I1353:I1369,I1342)))</f>
        <v/>
      </c>
      <c r="N1342" s="132" t="str">
        <f>IF(M1342="","",IF(I1342="","",SUMIFS(F1353:F1369,I1353:I1369,I1342)))</f>
        <v/>
      </c>
      <c r="O1342" s="132" t="str">
        <f>IF(M1342="","",IF(COUNTBLANK(I1342:I1345)=1,IF(M1342=2,1,IF(M1342=0,3,IF(AND(M1342=1,M1343&lt;&gt;1),2,IF(COUNTIF(M1342:M1344,1)&gt;1,Z1342)))),IF(COUNTBLANK(I1342:I1345)=0,IF(COUNTIF(M1342:M1345,M1342)=1,IF(M1342=3,1,IF(M1342=2,2,IF(M1342=1,3,IF(M1342=0,4)))),IF(Group_players=3,Z1342,IF(COUNTIF(M1342:M1345,M1342)=2,AB1342,IF(AND(M1342=M1343,M1343=M1344),AB1346,IF(AND(M1342=M1344,M1344=M1345),AB1349,IF(AND(M1342=M1343,M1343=M1345),AB1352,"")))))),99)))</f>
        <v/>
      </c>
      <c r="P1342" s="133" t="str">
        <f>IF(COUNT(U1341:X1352)=3,IF(ISNUMBER(U1341),U1341,IF(ISNUMBER(V1341),V1341,IF(ISNUMBER(W1341),W1341,IF(X1341="","")))),IF(COUNT(U1341:X1352)=6,IF(ISNUMBER(U1349),U1349,IF(ISNUMBER(V1349),V1349,IF(ISNUMBER(W1349),W1349,IF(ISBLANK(X1341),"")))),""))</f>
        <v/>
      </c>
      <c r="Q1342" s="132" t="str">
        <f>IF(M1342="","",SUMIF(I1353:S1369,I1342,S1353:S1369))</f>
        <v/>
      </c>
      <c r="R1342" s="134" t="str">
        <f>IF(M1342="","",L1342+Q1342)</f>
        <v/>
      </c>
      <c r="S1342" s="203"/>
      <c r="T1342" s="208">
        <v>2</v>
      </c>
      <c r="U1342" s="209" t="str">
        <f>IF(M1343="","",IF(COUNTIF(M1342:M1344,M1343)=3,IF(COUNTBLANK(I1342:I1345)=1,(Q1357+Q1359)/(Q1356+Q1360),IF(COUNTBLANK(I1342:I1345)=0,(Q1363+Q1365)/(Q1362+Q1366),"")),""))</f>
        <v/>
      </c>
      <c r="V1342" s="135"/>
      <c r="W1342" s="212" t="str">
        <f>IF(AND(COUNTBLANK(I1342:I1345)=0,M1343=M1342,M1342=M1345),(Q1365+Q1357)/(Q1366+Q1356),"")</f>
        <v/>
      </c>
      <c r="X1342" s="213" t="str">
        <f>IF(AND(COUNTBLANK(I1342:I1345)=0,M1343=M1344,M1344=M1345),(Q1363+Q1357)/(Q1362+Q1356),"")</f>
        <v/>
      </c>
      <c r="Y1342" s="214">
        <v>1</v>
      </c>
      <c r="Z1342" s="215" t="str">
        <f>IF(U1341="","",IF(OR(Group_players=3,AND(Group_players=4,COUNTBLANK(I1342:I1345)=1)),IF(COUNTIF(M1342:M1344,M1342)=1,"",IF(AND(U1341=U1342,U1342=U1343),Z1346,IF(AND(U1341&lt;&gt;U1342,U1341&lt;&gt;U1343,U1342&lt;&gt;U1343),(IF(SMALL(U1341:U1343,1)=U1341,1,IF(SMALL(U1341:U1343,2)=U1341,2,IF(SMALL(U1341:U1343,3)=U1341,3)))),IF(AND(U1341&lt;U1342,U1342=U1343),1,IF(AND(U1341&gt;U1342,U1342=U1343),3,IF(AND(U1341=U1342,U1341&lt;U1343),(IF(Q1359=3,1,2)),IF(AND(U1341=U1342,U1341&gt;U1343),(IF(Q1359=3,2,3)),IF(AND(U1341=U1343,U1341&lt;U1342),(IF(Q1353=3,1,2)),IF(AND(U1341=U1343,U1341&gt;U1342),(IF(Q1353=3,2,3)),99))))))))),""))</f>
        <v/>
      </c>
      <c r="AA1342" s="216">
        <v>1</v>
      </c>
      <c r="AB1342" s="217" t="str">
        <f>IF(COUNTIF(M1342:M1345,M1342)&lt;&gt;2,"",IF(COUNTIF(M1342:M1345,M1342)=1,"",IF(AND(COUNTIF(M1342:M1345,M1342)=2,M1342=2),IF(M1342=M1343,IF(Q1365=3,1,2),IF(M1342=M1344,IF(Q1353=3,1,2),IF(M1342=M1345,IF(Q1359=3,1,2)))),IF(AND(COUNTIF(M1342:M1345,M1342)=2,M1342=1),IF(M1342=M1343,IF(Q1365=3,3,4),IF(M1342=M1344,IF(Q1353=3,3,4),IF(M1342=M1345,IF(Q1359=3,3,4)))),IF(COUNTIF(M1342:M1345,M1342)=3,AB1346)))))</f>
        <v/>
      </c>
      <c r="AC1342" s="192"/>
      <c r="AD1342" s="192"/>
      <c r="AE1342" s="192"/>
      <c r="AF1342" s="192"/>
      <c r="AG1342" s="192"/>
      <c r="AH1342" s="192"/>
      <c r="AI1342" s="192"/>
      <c r="AJ1342" s="192"/>
      <c r="AK1342" s="192"/>
      <c r="AL1342" s="192"/>
      <c r="AM1342" s="192"/>
      <c r="AN1342" s="192"/>
      <c r="AO1342" s="192"/>
      <c r="AP1342" s="192"/>
      <c r="AQ1342" s="192"/>
      <c r="AR1342" s="192"/>
      <c r="AS1342" s="192"/>
      <c r="AT1342" s="192"/>
      <c r="AU1342" s="192"/>
      <c r="AV1342" s="192"/>
      <c r="AW1342" s="192"/>
      <c r="AX1342" s="192"/>
    </row>
    <row r="1343" spans="2:50" ht="15" customHeight="1" thickTop="1" thickBot="1" x14ac:dyDescent="0.35">
      <c r="B1343" s="192"/>
      <c r="C1343" s="192"/>
      <c r="D1343" s="192"/>
      <c r="E1343" s="192"/>
      <c r="F1343" s="192" t="str">
        <f>IF(I1343="","",VLOOKUP(I1343,Siembra,2,FALSE))</f>
        <v/>
      </c>
      <c r="G1343" s="192" t="str">
        <f>O1343</f>
        <v/>
      </c>
      <c r="H1343" s="192">
        <v>2</v>
      </c>
      <c r="I1343" s="128" t="str">
        <f>IF(K1343="","",IF(ISNUMBER(Sorteo!$A$17),VLOOKUP(K1343,Draw,2,FALSE),""))</f>
        <v/>
      </c>
      <c r="J1343" s="129" t="str">
        <f>O1343</f>
        <v/>
      </c>
      <c r="K1343" s="136" t="str">
        <f>IF($K$9="","",IF(Group_players=4,IF(Tablas!CR$4="","",Tablas!CR$4),IF(Group_players=3,IF(Tablas!CR$12="","",Tablas!CR$12),"")))</f>
        <v/>
      </c>
      <c r="L1343" s="137" t="str">
        <f>IF(K1343="","",VLOOKUP(I1343,Siembra,3,FALSE))</f>
        <v/>
      </c>
      <c r="M1343" s="132" t="str">
        <f>IF(AND(L1353="",L1354=""),"",IF(I1343="","",SUMIFS(E1353:E1370,I1353:I1370,I1343)))</f>
        <v/>
      </c>
      <c r="N1343" s="138" t="str">
        <f>IF(M1343="","",IF(I1343="","",SUMIFS(F1353:F1369,I1353:I1369,I1343)))</f>
        <v/>
      </c>
      <c r="O1343" s="132" t="str">
        <f>IF(M1343="","",IF(COUNTBLANK(I1342:I1345)=1,IF(M1343=2,1,IF(M1343=0,3,IF(AND(M1343=1,M1344&lt;&gt;1),2,IF(COUNTIF(M1342:M1345,1)&gt;1,Z1343)))),IF(COUNTBLANK(I1342:I1345)=0,IF(COUNTIF(M1342:M1345,M1343)=1,IF(M1343=3,1,IF(M1343=2,2,IF(M1343=1,3,IF(M1343=0,4)))),IF(Group_players=3,Z1343,IF(COUNTIF(M1342:M1345,M1343)=2,AB1343,IF(AND(M1343=M1342,M1342=M1344),AB1347,IF(AND(M1343=M1342,M1342=M1345),AB1353,IF(AND(M1343=M1344,M1344=M1345),AB1355,"")))))))))</f>
        <v/>
      </c>
      <c r="P1343" s="133" t="str">
        <f>IF(COUNT(U1341:X1352)=3,IF(ISNUMBER(U1342),U1342,IF(ISNUMBER(W1342),W1342,IF(ISNUMBER(X1342),X1342,IF(X1342="","")))),IF(COUNT(U1341:X1352)=6,IF(ISNUMBER(U1350),U1350,IF(ISNUMBER(W1350),W1350,IF(ISNUMBER(X1350),X1350,IF(ISBLANK(X1349),"")))),""))</f>
        <v/>
      </c>
      <c r="Q1343" s="138" t="str">
        <f>IF(M1343="","",SUMIF(I1353:S1369,I1343,S1353:$S1369))</f>
        <v/>
      </c>
      <c r="R1343" s="139" t="str">
        <f>IF(M1343="","",L1343+Q1343)</f>
        <v/>
      </c>
      <c r="S1343" s="203"/>
      <c r="T1343" s="208">
        <v>3</v>
      </c>
      <c r="U1343" s="209" t="str">
        <f>IF(M1344="","",IF(COUNTIF(M1342:M1344,M1344)=3,IF(COUNTBLANK(I1342:I1345)=1,(Q1353+Q1356)/(Q1354+Q1357),IF(COUNTBLANK(I1342:I1345)=0,(Q1353+Q1362)/(Q1354+Q1363),"")),""))</f>
        <v/>
      </c>
      <c r="V1343" s="125" t="str">
        <f>IF(AND(COUNTBLANK(I1342:I1345)=0,M1344=M1345,M1345=M1342),(Q1353+Q1369)/(Q1354+Q1368),"")</f>
        <v/>
      </c>
      <c r="W1343" s="218"/>
      <c r="X1343" s="213" t="str">
        <f>IF(AND(COUNTBLANK(I1342:I1345)=0,M1344=M1345,M1345=M1343),(Q1362+Q1369)/(Q1363+Q1368),"")</f>
        <v/>
      </c>
      <c r="Y1343" s="219">
        <v>2</v>
      </c>
      <c r="Z1343" s="220" t="str">
        <f>IF(U1342="","",IF(OR(Group_players=3,AND(Group_players=4,COUNTBLANK(I1342:I1345)=1)),IF(COUNTIF(M1342:M1344,M1343)=1,"",IF(AND(U1342=U1341,U1342=U1343),Z1347,IF(AND(U1342&lt;&gt;U1341,U1342&lt;&gt;U1343,U1341&lt;&gt;U1343),(IF(SMALL(U1341:U1343,1)=U1342,1,IF(SMALL(U1341:U1343,2)=U1342,2,IF(SMALL(U1341:U1343,3)=U1342,3)))),IF(AND(U1342&lt;U1341,U1341=U1343),1,IF(AND(U1342&gt;U1341,U1341=U1343),3,IF(AND(U1342=U1341,U1342&lt;U1343),(IF(Q1360=3,1,2)),IF(AND(U1342=U1341,U1342&gt;U1343),(IF(Q1360=3,2,3)),IF(AND(U1342=U1343,U1342&lt;U1341),(IF(Q1356=3,1,2)),IF(AND(U1342=U1343,U1342&gt;U1341),(IF(Q1356=3,2,3)),99))))))))),""))</f>
        <v/>
      </c>
      <c r="AA1343" s="221">
        <v>2</v>
      </c>
      <c r="AB1343" s="222" t="str">
        <f>IF(COUNTIF(M1342:M1345,M1343)&lt;&gt;2,"",IF(COUNTIF(M1342:M1345,M1343)=1,"",IF(AND(COUNTIF(M1342:M1345,M1343)=2,M1343=2),IF(M1343=M1342,IF(Q1366=3,1,2),IF(M1343=M1344,IF(Q1362=3,1,2),IF(M1343=M1345,IF(Q1356=3,1,2)))),IF(AND(COUNTIF(M1342:M1345,M1343)=2,M1343=1),IF(M1343=M1342,IF(Q1366=3,3,4),IF(M1343=M1344,IF(Q1362=3,3,4),IF(M1343=M1345,IF(Q1356=3,3,4)))),AB1348))))</f>
        <v/>
      </c>
      <c r="AC1343" s="192"/>
      <c r="AD1343" s="192"/>
      <c r="AE1343" s="192"/>
      <c r="AF1343" s="192"/>
      <c r="AG1343" s="192"/>
      <c r="AH1343" s="192"/>
      <c r="AI1343" s="192"/>
      <c r="AJ1343" s="192"/>
      <c r="AK1343" s="192"/>
      <c r="AL1343" s="192"/>
      <c r="AM1343" s="192"/>
      <c r="AN1343" s="192"/>
      <c r="AO1343" s="192"/>
      <c r="AP1343" s="192"/>
      <c r="AQ1343" s="192"/>
      <c r="AR1343" s="192"/>
      <c r="AS1343" s="192"/>
      <c r="AT1343" s="192"/>
      <c r="AU1343" s="192"/>
      <c r="AV1343" s="192"/>
      <c r="AW1343" s="192"/>
      <c r="AX1343" s="192"/>
    </row>
    <row r="1344" spans="2:50" ht="15" customHeight="1" thickBot="1" x14ac:dyDescent="0.35">
      <c r="B1344" s="192"/>
      <c r="C1344" s="192"/>
      <c r="D1344" s="192"/>
      <c r="E1344" s="192"/>
      <c r="F1344" s="192" t="str">
        <f>IF(I1344="","",VLOOKUP(I1344,Siembra,2,FALSE))</f>
        <v/>
      </c>
      <c r="G1344" s="192" t="str">
        <f>O1344</f>
        <v/>
      </c>
      <c r="H1344" s="192">
        <v>3</v>
      </c>
      <c r="I1344" s="128" t="str">
        <f>IF(K1344="","",IF(ISNUMBER(Sorteo!$A$17),VLOOKUP(K1344,Draw,2,FALSE),""))</f>
        <v/>
      </c>
      <c r="J1344" s="129" t="str">
        <f>O1344</f>
        <v/>
      </c>
      <c r="K1344" s="136" t="str">
        <f>IF($K$9="","",IF(Group_players=4,IF(Tablas!CR$5="","",Tablas!CR$5),IF(Group_players=3,IF(Tablas!CR$13="","",Tablas!CR$13),"")))</f>
        <v/>
      </c>
      <c r="L1344" s="137" t="str">
        <f>IF(K1344="","",VLOOKUP(I1344,Siembra,3,FALSE))</f>
        <v/>
      </c>
      <c r="M1344" s="132" t="str">
        <f>IF(AND(L1354="",L1353=""),"",IF(I1344="","",SUMIFS(E1353:E1371,I1353:I1371,I1344)))</f>
        <v/>
      </c>
      <c r="N1344" s="138" t="str">
        <f>IF(M1344="","",IF(I1344="","",SUMIFS(F1353:F1369,I1353:I1369,I1344)))</f>
        <v/>
      </c>
      <c r="O1344" s="132" t="str">
        <f>IF(M1344="","",IF(COUNTBLANK(I1342:I1345)=1,IF(M1344=2,1,IF(M1344=0,3,IF(AND(M1344=1,M1344&lt;&gt;M1342),2,IF(COUNTIF(M1342:M1345,1)&gt;1,Z1344)))),IF(COUNTBLANK(I1342:I1345)=0,IF(COUNTIF(M1342:M1345,M1344)=1,IF(M1344=3,1,IF(M1344=2,2,IF(M1344=1,3,IF(M1344=0,4)))),IF(Group_players=3,Z1344,IF(COUNTIF(M1342:M1345,M1344)=2,AB1344,IF(AND(M1344=M1342,M1342=M1343),AB1348,IF(AND(M1344=M1342,M1342=M1345),AB1350,IF(AND(M1344=M1343,M1343=M1345),AB1356,"")))))))))</f>
        <v/>
      </c>
      <c r="P1344" s="133" t="str">
        <f>IF(COUNT(U1341:X1352)=3,IF(ISNUMBER(U1343),U1343,IF(ISNUMBER(V1343),V1343,IF(ISNUMBER(X1343),X1343,IF(W1343="","")))),IF(COUNT(U1341:X1352)=6,IF(ISNUMBER(U1351),U1351,IF(ISNUMBER(V1351),V1351,IF(ISNUMBER(X1351),X1351,""))),""))</f>
        <v/>
      </c>
      <c r="Q1344" s="138" t="str">
        <f>IF(M1344="","",SUMIF(I1353:S1369,I1344,S1353:S1369))</f>
        <v/>
      </c>
      <c r="R1344" s="139" t="str">
        <f>IF(M1344="","",L1344+Q1344)</f>
        <v/>
      </c>
      <c r="S1344" s="203"/>
      <c r="T1344" s="208">
        <v>4</v>
      </c>
      <c r="U1344" s="223"/>
      <c r="V1344" s="140" t="str">
        <f>IF(AND(COUNTBLANK(I1342:I1345)=0,M1345=M1342,M1342=M1344),(Q1359+Q1368)/(Q1360+Q1369),"")</f>
        <v/>
      </c>
      <c r="W1344" s="224" t="str">
        <f>IF(AND(COUNTBLANK(I1342:I1345)=0,M1345=M1342,M1342=M1343),(Q1359+Q1356)/(Q1360+Q1357),"")</f>
        <v/>
      </c>
      <c r="X1344" s="225" t="str">
        <f>IF(AND(COUNTBLANK(I1342:I1345)=0,M1345=M1343,M1343=M1344),(Q1356+Q1368)/(Q1357+Q1369),"")</f>
        <v/>
      </c>
      <c r="Y1344" s="226">
        <v>3</v>
      </c>
      <c r="Z1344" s="227" t="str">
        <f>IF(U1343="","",IF(OR(Group_players=3,AND(Group_players=4,COUNTBLANK(I1342:I1345)=1)),IF(COUNTIF(M1342:M1344,M1344)=1,"",IF(AND(U1343=U1341,U1343=U1342),Z1348,IF(AND(U1343&lt;&gt;U1342,U1342&lt;&gt;U1341,U1343&lt;&gt;U1341),(IF(SMALL(U1341:U1343,1)=U1343,1,IF(SMALL(U1341:U1343,2)=U1343,2,IF(SMALL(U1341:U1343,3)=U1343,3)))),IF(AND(U1343&lt;U1342,U1342=U1341),1,IF(AND(U1343&gt;U1342,U1342=U1341),3,IF(AND(U1343=U1342,U1343&lt;U1341),(IF(Q1357=3,1,2)),IF(AND(U1343=U1342,U1343&gt;U1341),(IF(Q1357=3,2,3)),IF(AND(U1343=U1341,U1343&lt;U1342),(IF(Q1354=3,1,2)),IF(AND(U1343=U1341,U1343&gt;U1342),(IF(Q1354=3,2,3)),99))))))))),""))</f>
        <v/>
      </c>
      <c r="AA1344" s="221">
        <v>3</v>
      </c>
      <c r="AB1344" s="222" t="str">
        <f>IF(COUNTIF(M1342:M1345,M1344)&lt;&gt;2,"",IF(COUNTIF(M1342:M1345,M1344)=1,"",IF(AND(COUNTIF(M1342:M1345,M1344)=2,M1344=2),IF(M1344=M1342,IF(Q1354=3,1,2),IF(M1344=M1343,IF(Q1363=3,1,2),IF(M1344=M1345,IF(Q1368=3,1,2)))),IF(AND(COUNTIF(M1342:M1345,M1344)=2,M1344=1),IF(M1344=M1342,IF(Q1354=3,3,4),IF(M1344=M1343,IF(Q1363=3,3,4),IF(M1344=M1345,IF(Q1368=3,3,4)))),AB1348))))</f>
        <v/>
      </c>
      <c r="AC1344" s="192"/>
      <c r="AD1344" s="192"/>
      <c r="AE1344" s="192"/>
      <c r="AF1344" s="192"/>
      <c r="AG1344" s="192"/>
      <c r="AH1344" s="192"/>
      <c r="AI1344" s="192"/>
      <c r="AJ1344" s="192"/>
      <c r="AK1344" s="192"/>
      <c r="AL1344" s="192"/>
      <c r="AM1344" s="192"/>
      <c r="AN1344" s="192"/>
      <c r="AO1344" s="192"/>
      <c r="AP1344" s="192"/>
      <c r="AQ1344" s="192"/>
      <c r="AR1344" s="192"/>
      <c r="AS1344" s="192"/>
      <c r="AT1344" s="192"/>
      <c r="AU1344" s="192"/>
      <c r="AV1344" s="192"/>
      <c r="AW1344" s="192"/>
      <c r="AX1344" s="192"/>
    </row>
    <row r="1345" spans="2:50" ht="15" customHeight="1" thickTop="1" thickBot="1" x14ac:dyDescent="0.35">
      <c r="B1345" s="192"/>
      <c r="C1345" s="192"/>
      <c r="D1345" s="192"/>
      <c r="E1345" s="192"/>
      <c r="F1345" s="192" t="str">
        <f>IF(I1345="","",VLOOKUP(I1345,Siembra,2,FALSE))</f>
        <v/>
      </c>
      <c r="G1345" s="192" t="str">
        <f>O1345</f>
        <v/>
      </c>
      <c r="H1345" s="192">
        <v>4</v>
      </c>
      <c r="I1345" s="141" t="str">
        <f>IF(K1345="","",IF(ISNUMBER(Sorteo!$A$17),VLOOKUP(K1345,Draw,2,FALSE),""))</f>
        <v/>
      </c>
      <c r="J1345" s="142" t="str">
        <f>O1345</f>
        <v/>
      </c>
      <c r="K1345" s="143" t="str">
        <f>IF($K$9="","",IF(Group_players=4,IF(Tablas!CR6="","",Tablas!CR6),""))</f>
        <v/>
      </c>
      <c r="L1345" s="144" t="str">
        <f>IF(K1345="","",VLOOKUP(I1345,Siembra,3,FALSE))</f>
        <v/>
      </c>
      <c r="M1345" s="145" t="str">
        <f>IF(AND(Q1356="",Q1357=""),"",IF(I1345="","",SUMIFS(E1353:E1372,I1353:I1372,I1345)))</f>
        <v/>
      </c>
      <c r="N1345" s="145" t="str">
        <f>IF(M1345="","",IF(I1345="","",SUMIFS(F1353:F1369,I1353:I1369,I1345)))</f>
        <v/>
      </c>
      <c r="O1345" s="145" t="str">
        <f>IF(M1345="","",IF(COUNTIF(M1342:M1345,M1345)=1,IF(M1345=3,1,IF(M1345=2,2,IF(M1345=1,3,IF(M1345=0,4)))),IF(COUNTIF(M1342:M1345,M1345)=2,AB1345,IF(AND(M1345=M1342,M1342=M1344),AB1351,IF(AND(M1345=M1342,M1342=M1343),AB1354,IF(AND(M1345=M1343,M1343=M1344),AB1357,""))))))</f>
        <v/>
      </c>
      <c r="P1345" s="146" t="str">
        <f>IF(COUNT(U1341:X1352)=3,IF(ISNUMBER(V1344),V1344,IF(ISNUMBER(W1344),W1344,IF(ISNUMBER(X1344),X1344,IF(X1344="","")))),IF(COUNT(U1341:X1352)=6,IF(ISNUMBER(V1352),V1352,IF(ISNUMBER(W1352),W1352,IF(ISNUMBER(X1352),X1352,""))),""))</f>
        <v/>
      </c>
      <c r="Q1345" s="145" t="str">
        <f>IF(M1345="","",SUMIF(I1353:S1369,I1345,S1353:$S1369))</f>
        <v/>
      </c>
      <c r="R1345" s="147" t="str">
        <f>IF(M1345="","",L1345+Q1345)</f>
        <v/>
      </c>
      <c r="S1345" s="203"/>
      <c r="T1345" s="192"/>
      <c r="U1345" s="192"/>
      <c r="V1345" s="192"/>
      <c r="W1345" s="192"/>
      <c r="X1345" s="192"/>
      <c r="Y1345" s="230" t="s">
        <v>93</v>
      </c>
      <c r="Z1345" s="231" t="s">
        <v>110</v>
      </c>
      <c r="AA1345" s="232">
        <v>4</v>
      </c>
      <c r="AB1345" s="233" t="str">
        <f>IF(COUNTIF(M1342:M1345,M1345)&lt;&gt;2,"",IF(COUNTIF(M1342:M1345,M1345)=1,"",IF(AND(COUNTIF(M1342:M1345,M1345)=2,M1345=2),IF(M1345=M1342,IF(Q1360=3,1,2),IF(M1345=M1343,IF(Q1357=3,1,2),IF(M1345=M1344,IF(Q1369=3,1,2)))),IF(AND(COUNTIF(M1342:M1345,M1345)=2,M1345=1),IF(M1345=M1342,IF(Q1360=3,3,4),IF(M1345=M1343,IF(Q1357=3,3,4),IF(M1345=M1344,IF(Q1369=3,3,4)))),AB1351))))</f>
        <v/>
      </c>
      <c r="AC1345" s="192"/>
      <c r="AD1345" s="192"/>
      <c r="AE1345" s="192"/>
      <c r="AF1345" s="192"/>
      <c r="AG1345" s="192"/>
      <c r="AH1345" s="192"/>
      <c r="AI1345" s="192"/>
      <c r="AJ1345" s="192"/>
      <c r="AK1345" s="192"/>
      <c r="AL1345" s="192"/>
      <c r="AM1345" s="192"/>
      <c r="AN1345" s="192"/>
      <c r="AO1345" s="192"/>
      <c r="AP1345" s="192"/>
      <c r="AQ1345" s="192"/>
      <c r="AR1345" s="192"/>
      <c r="AS1345" s="192"/>
      <c r="AT1345" s="192"/>
      <c r="AU1345" s="192"/>
      <c r="AV1345" s="192"/>
      <c r="AW1345" s="192"/>
      <c r="AX1345" s="192"/>
    </row>
    <row r="1346" spans="2:50" ht="15" customHeight="1" thickTop="1" x14ac:dyDescent="0.3">
      <c r="B1346" s="192"/>
      <c r="C1346" s="192"/>
      <c r="D1346" s="192"/>
      <c r="E1346" s="192"/>
      <c r="F1346" s="192"/>
      <c r="G1346" s="192"/>
      <c r="H1346" s="192"/>
      <c r="I1346" s="192"/>
      <c r="J1346" s="192"/>
      <c r="K1346" s="192"/>
      <c r="L1346" s="192"/>
      <c r="M1346" s="192"/>
      <c r="N1346" s="192"/>
      <c r="O1346" s="192"/>
      <c r="P1346" s="192"/>
      <c r="Q1346" s="192"/>
      <c r="R1346" s="192"/>
      <c r="S1346" s="192"/>
      <c r="T1346" s="208"/>
      <c r="U1346" s="192"/>
      <c r="V1346" s="148"/>
      <c r="W1346" s="148"/>
      <c r="X1346" s="234"/>
      <c r="Y1346" s="214">
        <v>1</v>
      </c>
      <c r="Z1346" s="215" t="str">
        <f>IF(U1349="","",IF(OR(Group_players=3,AND(Group_players=4,COUNTBLANK(I1342:I1345)=1)),IF(COUNTIF(M1342:M1344,M1342)=1,"",IF(COUNTIF(U1341:U1343,U1341)=3,IF(AND(U1349=U1350,U1350=U1351),"Tied",IF(AND(U1349&lt;&gt;U1350,U1349&lt;&gt;U1351,U1350&lt;&gt;U1351),(IF(SMALL(U1349:U1351,1)=U1349,1,IF(SMALL(U1349:U1351,2)=U1349,2,IF(SMALL(U1349:U1351,3)=U1349,3)))),IF(AND(U1349&lt;U1350,U1350=U1351),1,IF(AND(U1349&gt;U1350,U1350=U1351),3,IF(AND(U1349=U1350,U1349&lt;U1351),(IF(Q1359=3,1,2)),IF(AND(U1349=U1350,U1349&gt;U1351),(IF(Q1359=3,2,3)),IF(AND(U1349=U1351,U1349&lt;U1350),(IF(Q1353=3,1,2)),IF(AND(U1349=U1351,U1349&gt;U1350),(IF(Q1353=3,2,3)),99)))))))),"")),""))</f>
        <v/>
      </c>
      <c r="AA1346" s="208">
        <v>1</v>
      </c>
      <c r="AB1346" s="222" t="str">
        <f>IF(AND(COUNTBLANK(I1342:I1345)=0,Group_players=4,M1342=M1343,M1343=M1344),IF(COUNTIF(U1341:U1344,U1341)=3,AB1359,IF(AND(COUNTIF(U1341:U1344,U1341)=1,U1342&lt;&gt;U1343),IF(M1342=2,IF(SMALL(U1341:U1344,1)=U1341,1,IF(SMALL(U1341:U1344,2)=U1341,2,IF(SMALL(U1341:U1344,3)=U1341,3))),IF(M1342=1,IF(SMALL(U1341:U1344,1)=U1341,2,IF(SMALL(U1341:U1344,2)=U1341,3,IF(SMALL(U1341:U1344,3)=U1341,4))),"")),IF(COUNTIF(U1341:U1344,U1341)=1,IF(U1341&lt;U1342,IF(M1342=2,1,2),IF(M1342=2,3,4)),IF(COUNTIF(U1341:U1344,U1341)=2,IF(U1341=U1342,IF(U1341&lt;U1343,IF(M1342=2,IF(Q1365=3,1,2),IF(M1342=1,IF(Q1365=3,2,3))),IF(U1341&gt;U1343,IF(M1342=2,IF(Q1365=3,2,3),IF(M1342=1,IF(Q1365=3,3,4))))),IF(U1341=U1343,IF(U1341&lt;U1342,IF(M1342=2,IF(Q1353=3,1,2),IF(M1342=1,IF(Q1353=3,2,3))),IF(U1341&gt;U1342,IF(M1342=2,IF(Q1353=3,2,3),IF(M1342=1,IF(Q1353=3,3,4))))))),"")))),"")</f>
        <v/>
      </c>
      <c r="AC1346" s="192"/>
      <c r="AD1346" s="192"/>
      <c r="AE1346" s="192"/>
      <c r="AF1346" s="192"/>
      <c r="AG1346" s="192"/>
      <c r="AH1346" s="192"/>
      <c r="AI1346" s="192"/>
      <c r="AJ1346" s="192"/>
      <c r="AK1346" s="192"/>
      <c r="AL1346" s="192"/>
      <c r="AM1346" s="192"/>
      <c r="AN1346" s="192"/>
      <c r="AO1346" s="192"/>
      <c r="AP1346" s="192"/>
      <c r="AQ1346" s="192"/>
      <c r="AR1346" s="192"/>
      <c r="AS1346" s="192"/>
      <c r="AT1346" s="192"/>
      <c r="AU1346" s="192"/>
      <c r="AV1346" s="192"/>
      <c r="AW1346" s="192"/>
      <c r="AX1346" s="192"/>
    </row>
    <row r="1347" spans="2:50" ht="15" customHeight="1" thickBot="1" x14ac:dyDescent="0.35">
      <c r="B1347" s="192"/>
      <c r="C1347" s="192"/>
      <c r="D1347" s="192"/>
      <c r="E1347" s="192"/>
      <c r="F1347" s="192"/>
      <c r="G1347" s="192"/>
      <c r="H1347" s="192"/>
      <c r="I1347" s="269"/>
      <c r="J1347" s="269"/>
      <c r="K1347" s="192"/>
      <c r="L1347" s="192"/>
      <c r="M1347" s="192"/>
      <c r="N1347" s="192"/>
      <c r="O1347" s="192"/>
      <c r="P1347" s="192"/>
      <c r="Q1347" s="192"/>
      <c r="R1347" s="192"/>
      <c r="S1347" s="192"/>
      <c r="T1347" s="208"/>
      <c r="U1347" s="368" t="s">
        <v>111</v>
      </c>
      <c r="V1347" s="369"/>
      <c r="W1347" s="369"/>
      <c r="X1347" s="369"/>
      <c r="Y1347" s="236">
        <v>2</v>
      </c>
      <c r="Z1347" s="220" t="str">
        <f>IF(U1342="","",IF(OR(Group_players=3,AND(Group_players=4,COUNTBLANK(I1342:I1345)=1)),IF(COUNTIF(M1342:M1344,M1343)=1,"",IF(COUNTIF(U1341:U1343,U1342)=3,IF(AND(U1350=U1349,U1350=U1351),"Tied",IF(AND(U1350&lt;&gt;U1349,U1350&lt;&gt;U1351,U1349&lt;&gt;U1351),(IF(SMALL(U1349:U1351,1)=U1350,1,IF(SMALL(U1349:U1351,2)=U1350,2,IF(SMALL(U1349:U1351,3)=U1350,3)))),IF(AND(U1350&lt;U1349,U1349=U1351),1,IF(AND(U1350&gt;U1349,U1349=U1351),3,IF(AND(U1350=U1349,U1350&lt;U1351),(IF(Q1360=3,1,2)),IF(AND(U1350=U1349,U1350&gt;U1351),(IF(Q1360=3,2,3)),IF(AND(U1350=U1351,U1350&lt;U1349),(IF(Q1356=3,1,2)),IF(AND(U1350=U1351,U1350&gt;U1349),(IF(Q1356=3,2,3)),99)))))))),"")),""))</f>
        <v/>
      </c>
      <c r="AA1347" s="208">
        <v>2</v>
      </c>
      <c r="AB1347" s="222" t="str">
        <f>IF(AND(COUNTBLANK(I1342:I1345)=0,Group_players=4,M1342=M1343,M1343=M1344),IF(COUNTIF(U1341:U1344,U1342)=3,AB1360,IF(AND(COUNTIF(U1341:U1344,U1342)=1,U1341&lt;&gt;U1343),IF(M1343=2,IF(SMALL(U1341:U1344,1)=U1342,1,IF(SMALL(U1341:U1344,2)=U1342,2,IF(SMALL(U1341:U1344,3)=U1342,3))),IF(M1343=1,IF(SMALL(U1341:U1344,1)=U1342,2,IF(SMALL(U1341:U1344,2)=U1342,3,IF(SMALL(U1341:U1344,3)=U1342,4))),"")),IF(COUNTIF(U1341:U1343,U1342)=1,IF(U1342&lt;U1341,IF(M1343=2,1,2),IF(M1343=2,3,99)),IF(COUNTIF(U1341:U1344,U1342)=2,IF(U1342=U1341,IF(U1342&lt;U1343,IF(M1343=2,IF(Q1366=3,1,2),IF(M1343=1,IF(Q1366=3,2,3))),IF(U1342&gt;U1343,IF(M1343=2,IF(Q1366=3,2,3),IF(M1343=1,IF(Q1366=3,3,4))))),IF(U1342=U1343,IF(U1342&lt;U1341,IF(M1343=2,IF(Q1362=3,1,2),IF(M1343=1,IF(Q1362=3,2,3))),IF(U1342&gt;U1341,IF(M1343=2,IF(Q1362=3,2,3),IF(M1343=1,IF(Q1362=3,3,4))))))),"")))),"")</f>
        <v/>
      </c>
      <c r="AC1347" s="192"/>
      <c r="AD1347" s="192"/>
      <c r="AE1347" s="192"/>
      <c r="AF1347" s="192"/>
      <c r="AG1347" s="192"/>
      <c r="AH1347" s="192"/>
      <c r="AI1347" s="192"/>
      <c r="AJ1347" s="192"/>
      <c r="AK1347" s="192"/>
      <c r="AL1347" s="192"/>
      <c r="AM1347" s="192"/>
      <c r="AN1347" s="192"/>
      <c r="AO1347" s="192"/>
      <c r="AP1347" s="192"/>
      <c r="AQ1347" s="192"/>
      <c r="AR1347" s="192"/>
      <c r="AS1347" s="192"/>
      <c r="AT1347" s="192"/>
      <c r="AU1347" s="192"/>
      <c r="AV1347" s="192"/>
      <c r="AW1347" s="192"/>
      <c r="AX1347" s="192"/>
    </row>
    <row r="1348" spans="2:50" ht="15" customHeight="1" thickTop="1" thickBot="1" x14ac:dyDescent="0.35">
      <c r="B1348" s="192"/>
      <c r="C1348" s="192"/>
      <c r="D1348" s="192"/>
      <c r="E1348" s="192"/>
      <c r="F1348" s="192"/>
      <c r="G1348" s="192"/>
      <c r="H1348" s="192"/>
      <c r="I1348" s="192"/>
      <c r="J1348" s="192"/>
      <c r="K1348" s="192"/>
      <c r="L1348" s="192"/>
      <c r="M1348" s="192"/>
      <c r="N1348" s="192"/>
      <c r="O1348" s="192"/>
      <c r="P1348" s="192"/>
      <c r="Q1348" s="192"/>
      <c r="R1348" s="192"/>
      <c r="S1348" s="192"/>
      <c r="T1348" s="120"/>
      <c r="U1348" s="121" t="s">
        <v>101</v>
      </c>
      <c r="V1348" s="122" t="s">
        <v>102</v>
      </c>
      <c r="W1348" s="122" t="s">
        <v>103</v>
      </c>
      <c r="X1348" s="123" t="s">
        <v>104</v>
      </c>
      <c r="Y1348" s="238">
        <v>3</v>
      </c>
      <c r="Z1348" s="239" t="str">
        <f>IF(U1343="","",IF(OR(Group_players=3,AND(Group_players=4,COUNTBLANK(I1342:I1345)=1)),IF(COUNTIF(M1342:M1344,M1344)=1,"",IF(COUNTIF(U1341:U1343,U1343)=3,IF(AND(U1351=U1349,U1351=U1350),"Tied",IF(AND(U1351&lt;&gt;U1350,U1350&lt;&gt;U1349,U1351&lt;&gt;U1349),(IF(SMALL(U1349:U1351,1)=U1351,1,IF(SMALL(U1349:U1351,2)=U1351,2,IF(SMALL(U1349:U1351,3)=U1351,3)))),IF(AND(U1351&lt;U1350,U1350=U1349),1,IF(AND(U1351&gt;U1350,U1350=U1349),3,IF(AND(U1351=U1350,U1351&lt;U1349),(IF(Q1357=3,1,2)),IF(AND(U1351=U1350,U1351&gt;U1349),(IF(Q1357=3,2,3)),IF(AND(U1351=U1349,U1351&lt;U1350),(IF(Q1354=3,1,2)),IF(AND(U1351=U1349,U1351&gt;U1350),(IF(Q1354=3,2,3)),99)))))))),"")),""))</f>
        <v/>
      </c>
      <c r="AA1348" s="240">
        <v>3</v>
      </c>
      <c r="AB1348" s="241" t="str">
        <f>IF(AND(COUNTBLANK(I1342:I1345)=0,Group_players=4,M1342=M1343,M1343=M1344),IF(COUNTIF(U1341:U1344,U1343)=3,AB1361,IF(AND(COUNTIF(U1341:U1344,U1343)=1,U1341&lt;&gt;U1342),IF(M1342=2,IF(SMALL(U1341:U1344,1)=U1343,1,IF(SMALL(U1341:U1344,2)=U1343,2,IF(SMALL(U1341:U1344,3)=U1343,3))),IF(M1344=1,IF(SMALL(U1341:U1344,1)=U1343,2,IF(SMALL(U1341:U1344,2)=U1343,3,IF(SMALL(U1341:U1344,3)=U1343,4))),"")),IF(COUNTIF(U1341:U1344,U1343)=1,IF(U1343&lt;U1342,IF(M1344=2,1,2),IF(M1344=2,3,4)),IF(COUNTIF(U1341:U1344,U1343)=2,IF(U1343=U1342,IF(U1343&lt;U1341,IF(M1344=2,IF(Q1363=3,1,2),IF(M1344=1,IF(Q1363=3,2,3))),IF(U1343&gt;U1341,IF(M1344=2,IF(Q1363=3,2,3),IF(M1344=1,IF(Q1363=3,3,4))))),IF(U1343=U1341,IF(U1343&lt;U1342,IF(M1344=2,IF(Q1354=3,1,2),IF(M1344=1,IF(Q1354=3,2,3))),IF(U1343&gt;U1342,IF(M1344=2,IF(Q1354=3,2,3),IF(M1344=1,IF(Q1354=3,3,4))))))),"")))),"")</f>
        <v/>
      </c>
      <c r="AC1348" s="192"/>
      <c r="AD1348" s="192"/>
      <c r="AE1348" s="192"/>
      <c r="AF1348" s="192"/>
      <c r="AG1348" s="192"/>
      <c r="AH1348" s="192"/>
      <c r="AI1348" s="192"/>
      <c r="AJ1348" s="192"/>
      <c r="AK1348" s="192"/>
      <c r="AL1348" s="192"/>
      <c r="AM1348" s="192"/>
      <c r="AN1348" s="192"/>
      <c r="AO1348" s="192"/>
      <c r="AP1348" s="192"/>
      <c r="AQ1348" s="192"/>
      <c r="AR1348" s="192"/>
      <c r="AS1348" s="192"/>
      <c r="AT1348" s="192"/>
      <c r="AU1348" s="192"/>
      <c r="AV1348" s="192"/>
      <c r="AW1348" s="192"/>
      <c r="AX1348" s="192"/>
    </row>
    <row r="1349" spans="2:50" ht="15" customHeight="1" thickTop="1" thickBot="1" x14ac:dyDescent="0.35">
      <c r="B1349" s="192"/>
      <c r="C1349" s="192"/>
      <c r="D1349" s="192"/>
      <c r="E1349" s="192"/>
      <c r="F1349" s="192"/>
      <c r="G1349" s="192"/>
      <c r="H1349" s="192"/>
      <c r="I1349" s="192"/>
      <c r="J1349" s="192"/>
      <c r="K1349" s="192"/>
      <c r="L1349" s="192"/>
      <c r="M1349" s="192"/>
      <c r="N1349" s="192"/>
      <c r="O1349" s="192"/>
      <c r="P1349" s="192"/>
      <c r="Q1349" s="192"/>
      <c r="R1349" s="192"/>
      <c r="S1349" s="192"/>
      <c r="T1349" s="208">
        <v>1</v>
      </c>
      <c r="U1349" s="209" t="str">
        <f>IF(U1341="","",IF(OR(U1341&lt;&gt;U1342,U1341&lt;&gt;U1343),"",IF(COUNTIF(M1342:M1344,M1342)=1,"",IF(COUNTBLANK(I1342:I1345)=1,(SUM(L1354:P1354)+SUM(L1360:P1360))/(SUM(L1353:P1353)+SUM(L1359:P1359)),IF(COUNTBLANK(I1342:I1345)=0,(SUM(L1366:P1366)+SUM(L1354:P1354))/(SUM(L1365:P1365)+SUM(L1353:P1353)),"")))))</f>
        <v/>
      </c>
      <c r="V1349" s="125" t="str">
        <f>IF(V1341="","",IF(OR(V1341&lt;&gt;V1343,V1341&lt;&gt;V1344),"",IF(AND(COUNTBLANK(I1342:I1345)=0,M1342=M1344,M1344=M1345),(SUM(L1354:P1354)+SUM(L1360:P1360))/(SUM(L1353:P1353)+SUM(L1359:P1359)),"")))</f>
        <v/>
      </c>
      <c r="W1349" s="210" t="str">
        <f>IF(W1341="","",IF(OR(W1341&lt;&gt;W1342,W1341&lt;&gt;W1344),"",IF(AND(COUNTBLANK(I1342:I1345)=0,M1342=M1343,M1343=M1345),(SUM(L1366:P1366)+SUM(L1360:P1360))/(SUM(L1365:P1365)+SUM(L1359:P1359)),"")))</f>
        <v/>
      </c>
      <c r="X1349" s="211"/>
      <c r="Y1349" s="242"/>
      <c r="Z1349" s="242"/>
      <c r="AA1349" s="243">
        <v>1</v>
      </c>
      <c r="AB1349" s="244" t="str">
        <f>IF(AND(COUNTBLANK(I1342:I1345)=0,Group_players=4,M1342=M1344,M1344=M1345),IF(COUNTIF(V1341:V1344,V1341)=3,AB1362,IF(AND(COUNTIF(V1341:V1344,V1341)=1,V1343&lt;&gt;U1352),IF(M1342=2,IF(SMALL(V1341:V1344,1)=V1341,1,IF(SMALL(V1341:V1344,2)=V1341,2,IF(SMALL(V1341:V1344,3)=V1341,3))),IF(M1342=1,IF(SMALL(V1341:V1344,1)=V1341,2,IF(SMALL(V1341:V1344,2)=V1341,3,IF(SMALL(V1341:V1344,3)=V1341,4))),"")),IF(COUNTIF(V1341:V1344,V1341)=1,IF(V1341&lt;V1343,IF(M1342=2,1,2),IF(M1342=2,3,4)),IF(COUNTIF(V1341:V1344,V1341)=2,IF(V1341=V1343,IF(V1341&lt;V1344,IF(M1342=2,IF(Q1353=3,1,2),IF(M1342=1,IF(Q1353=3,2,3))),IF(V1341&gt;V1344,IF(M1342=2,IF(Q1353=3,2,3),IF(M1342=1,IF(Q1353=3,3,4))))),IF(V1341=V1344,IF(V1341&lt;V1343,IF(M1342=2,IF(Q1359=3,1,2),IF(M1342=1,IF(Q1359=3,2,3))),IF(V1341&gt;V1342,IF(M1342=2,IF(Q1359=3,2,3),IF(M1342=1,IF(Q1359=3,3,4))))))),"")))),"")</f>
        <v/>
      </c>
      <c r="AC1349" s="192"/>
      <c r="AD1349" s="192"/>
      <c r="AE1349" s="192"/>
      <c r="AF1349" s="192"/>
      <c r="AG1349" s="192"/>
      <c r="AH1349" s="192"/>
      <c r="AI1349" s="192"/>
      <c r="AJ1349" s="192"/>
      <c r="AK1349" s="192"/>
      <c r="AL1349" s="192"/>
      <c r="AM1349" s="192"/>
      <c r="AN1349" s="192"/>
      <c r="AO1349" s="192"/>
      <c r="AP1349" s="192"/>
      <c r="AQ1349" s="192"/>
      <c r="AR1349" s="192"/>
      <c r="AS1349" s="192"/>
      <c r="AT1349" s="192"/>
      <c r="AU1349" s="192"/>
      <c r="AV1349" s="192"/>
      <c r="AW1349" s="192"/>
      <c r="AX1349" s="192"/>
    </row>
    <row r="1350" spans="2:50" ht="15" customHeight="1" thickTop="1" thickBot="1" x14ac:dyDescent="0.35">
      <c r="B1350" s="192"/>
      <c r="C1350" s="192"/>
      <c r="D1350" s="192"/>
      <c r="E1350" s="117"/>
      <c r="F1350" s="117"/>
      <c r="G1350" s="117"/>
      <c r="H1350" s="192"/>
      <c r="I1350" s="192"/>
      <c r="J1350" s="192"/>
      <c r="K1350" s="192"/>
      <c r="L1350" s="192"/>
      <c r="M1350" s="192"/>
      <c r="N1350" s="192"/>
      <c r="O1350" s="192"/>
      <c r="P1350" s="192"/>
      <c r="Q1350" s="192"/>
      <c r="R1350" s="192"/>
      <c r="S1350" s="394" t="s">
        <v>112</v>
      </c>
      <c r="T1350" s="208">
        <v>2</v>
      </c>
      <c r="U1350" s="209" t="str">
        <f>IF(U1341="","",IF(OR(U1342&lt;&gt;U1341,U1342&lt;&gt;U1343),"",IF(COUNTIF(M1342:M1344,M1343)=1,"",IF(COUNTBLANK(I1342:I1345)=1,(SUM(L1357:P1357)+SUM(L1359:P1359))/(SUM(L1356:P1356)+SUM(L1360:P1360)),IF(COUNTBLANK(I1342:I1345)=0,(SUM(L1365:P1365)+SUM(L1363:P1363))/(SUM(L1366:P1366)+SUM(L1362:P1362)))))))</f>
        <v/>
      </c>
      <c r="V1350" s="135"/>
      <c r="W1350" s="212" t="str">
        <f>IF(W1341="","",IF(OR(W1342&lt;&gt;W1341,W1342&lt;&gt;W1344),"",IF(AND(COUNTBLANK(I1342:I1345)=0,M1342=M1343,M1343=M1345),(SUM(L1357:P1357)+SUM(L1365:P1365))/(SUM(L1366:P1366)+SUM(L1356:P1356)),"")))</f>
        <v/>
      </c>
      <c r="X1350" s="245" t="str">
        <f>IF(X1342="","",IF(OR(X1342&lt;&gt;X1343,X1342&lt;&gt;X1344),"",IF(AND(COUNTBLANK(I1342:I1345)=0,M1343=M1344,M1344=M1345),(SUM(L1363:P1363)+SUM(L1357:P1357))/(SUM(L1362:P1362)+SUM(L1356:P1356)),"")))</f>
        <v/>
      </c>
      <c r="Y1350" s="242"/>
      <c r="Z1350" s="203"/>
      <c r="AA1350" s="246">
        <v>3</v>
      </c>
      <c r="AB1350" s="222" t="str">
        <f>IF(AND(COUNTBLANK(I1342:I1345)=0,Group_players=4,M1342=M1344,M1344=M1345),IF(COUNTIF(V1341:V1344,V1343)=3,AB1363,IF(AND(COUNTIF(V1341:V1344,V1343)=1,V1341&lt;&gt;V1344),IF(M1344=2,IF(SMALL(V1341:V1344,1)=V1343,1,IF(SMALL(V1341:V1344,2)=V1343,2,IF(SMALL(V1341:V1344,3)=V1343,3))),IF(M1344=1,IF(SMALL(V1341:V1344,1)=V1343,2,IF(SMALL(V1341:V1344,2)=V1343,3,IF(SMALL(V1341:V1344,3)=V1343,4))),"")),IF(COUNTIF(V1341:V1344,V1343)=1,IF(V1343&lt;V1341,IF(M1344=2,1,2),IF(M1344=2,3,4)),IF(COUNTIF(V1341:V1344,V1343)=2,IF(V1343=V1341,IF(V1343&lt;V1344,IF(M1344=2,IF(Q1354=3,1,2),IF(M1344=1,IF(Q1354=3,2,3))),IF(V1343&gt;V1344,IF(M1344=2,IF(Q1354=3,2,3),IF(M1344=1,IF(Q1354=3,3,4))))),IF(V1343=V1344,IF(V1343&lt;V1341,IF(M1344=2,IF(Q1368=3,1,2),IF(M1344=1,IF(Q1368=3,2,3))),IF(V1343&gt;V1341,IF(M1344=2,IF(Q1368=3,2,3),IF(M1344=1,IF(Q1368=3,3,4))))))),"")))),"")</f>
        <v/>
      </c>
      <c r="AC1350" s="192"/>
      <c r="AD1350" s="192"/>
      <c r="AE1350" s="192"/>
      <c r="AF1350" s="192"/>
      <c r="AG1350" s="192"/>
      <c r="AH1350" s="192"/>
      <c r="AI1350" s="192"/>
      <c r="AJ1350" s="192"/>
      <c r="AK1350" s="192"/>
      <c r="AL1350" s="192"/>
      <c r="AM1350" s="192"/>
      <c r="AN1350" s="192"/>
      <c r="AO1350" s="192"/>
      <c r="AP1350" s="192"/>
      <c r="AQ1350" s="192"/>
      <c r="AR1350" s="192"/>
      <c r="AS1350" s="192"/>
      <c r="AT1350" s="192"/>
      <c r="AU1350" s="192"/>
      <c r="AV1350" s="192"/>
      <c r="AW1350" s="192"/>
      <c r="AX1350" s="192"/>
    </row>
    <row r="1351" spans="2:50" ht="15" customHeight="1" thickTop="1" thickBot="1" x14ac:dyDescent="0.35">
      <c r="B1351" s="192"/>
      <c r="C1351" s="192"/>
      <c r="D1351" s="192"/>
      <c r="E1351" s="117"/>
      <c r="F1351" s="117"/>
      <c r="G1351" s="117"/>
      <c r="H1351" s="192"/>
      <c r="I1351" s="192"/>
      <c r="J1351" s="192"/>
      <c r="K1351" s="192"/>
      <c r="L1351" s="192"/>
      <c r="M1351" s="192"/>
      <c r="N1351" s="192"/>
      <c r="O1351" s="192"/>
      <c r="P1351" s="192"/>
      <c r="Q1351" s="192"/>
      <c r="R1351" s="247"/>
      <c r="S1351" s="395"/>
      <c r="T1351" s="208">
        <v>3</v>
      </c>
      <c r="U1351" s="209" t="str">
        <f>IF(U1341="","",IF(OR(U1343&lt;&gt;U1341,U1343&lt;&gt;U1342),"",IF(COUNTIF(M1342:M1344,M1344)=1,"",IF(COUNTBLANK(I1342:I1345)=1,(SUM(L1353:P1353)+SUM(L1356:P1356))/(SUM(L1354:P1354)+SUM(L1357:P1357)),IF(COUNTBLANK(I1342:I1345)=0,(SUM(L1353:P1353)+SUM(L1362:P1362))/(SUM(L1354:P1354)+SUM(L1363:P1363)))))))</f>
        <v/>
      </c>
      <c r="V1351" s="125" t="str">
        <f>IF(V1341="","",IF(OR(V1343&lt;&gt;V1341,V1343&lt;&gt;V1344),"",IF(AND(COUNTBLANK(I1342:I1345)=0,M1342=M1344,M1344=M1345),(SUM(L1353:P1353)+SUM(L1369:P1369))/(SUM(L1354:P1354)+SUM(L1368:P1368)),"")))</f>
        <v/>
      </c>
      <c r="W1351" s="218"/>
      <c r="X1351" s="245" t="str">
        <f>IF(X1342="","",IF(OR(X1343&lt;&gt;X1342,X1343&lt;&gt;X1344),"",IF(AND(COUNTBLANK(I1342:I1345)=0,M1343=M1344,M1344=M1345),(SUM(L1362:P1362)+SUM(L1369:P1369))/(SUM(L1363:P1363)+SUM(L1368:P1368)),"")))</f>
        <v/>
      </c>
      <c r="Y1351" s="208"/>
      <c r="Z1351" s="203"/>
      <c r="AA1351" s="240">
        <v>4</v>
      </c>
      <c r="AB1351" s="222" t="str">
        <f>IF(AND(COUNTBLANK(I1342:I1345)=0,Group_players=4,M1342=M1344,M1344=M1345),IF(COUNTIF(V1341:V1344,V1344)=3,AB1364,IF(AND(COUNTIF(V1341:V1344,V1344)=1,V1343&lt;&gt;V1341),IF(M1345=2,IF(SMALL(V1341:V1344,1)=V1344,1,IF(SMALL(V1341:V1344,2)=V1344,2,IF(SMALL(V1341:V1344,3)=V1344,3))),IF(M1345=1,IF(SMALL(V1341:V1344,1)=V1344,2,IF(SMALL(V1341:V1344,2)=V1344,3,IF(SMALL(V1341:V1344,3)=V1344,4))),"")),IF(COUNTIF(V1341:V1344,V1344)=1,IF(V1344&lt;V1341,IF(M1345=2,1,2),IF(M1345=2,3,4)),IF(COUNTIF(V1341:V1344,V1344)=2,IF(V1344=V1341,IF(V1344&lt;V1343,IF(M1345=2,IF(Q1360=3,1,2),IF(M1345=1,IF(Q1360=3,2,3))),IF(V1344&gt;V1343,IF(M1345=2,IF(Q1360=3,2,3),IF(M1345=1,IF(Q1360=3,3,4))))),IF(V1344=V1343,IF(V1344&lt;V1341,IF(M1345=2,IF(Q1369=3,1,2),IF(M1345=1,IF(Q1369=3,2,3))),IF(V1344&gt;V1341,IF(M1345=2,IF(Q1369=3,2,3),IF(M1345=1,IF(Q1369=3,3,4))))))),"")))),"")</f>
        <v/>
      </c>
      <c r="AC1351" s="192"/>
      <c r="AD1351" s="192"/>
      <c r="AE1351" s="192"/>
      <c r="AF1351" s="192"/>
      <c r="AG1351" s="192"/>
      <c r="AH1351" s="192"/>
      <c r="AI1351" s="192"/>
      <c r="AJ1351" s="192"/>
      <c r="AK1351" s="192"/>
      <c r="AL1351" s="192"/>
      <c r="AM1351" s="192"/>
      <c r="AN1351" s="192"/>
      <c r="AO1351" s="192"/>
      <c r="AP1351" s="192"/>
      <c r="AQ1351" s="192"/>
      <c r="AR1351" s="192"/>
      <c r="AS1351" s="192"/>
      <c r="AT1351" s="192"/>
      <c r="AU1351" s="192"/>
      <c r="AV1351" s="192"/>
      <c r="AW1351" s="192"/>
      <c r="AX1351" s="192"/>
    </row>
    <row r="1352" spans="2:50" ht="15" customHeight="1" thickTop="1" thickBot="1" x14ac:dyDescent="0.35">
      <c r="B1352" s="192"/>
      <c r="C1352" s="192"/>
      <c r="D1352" s="192"/>
      <c r="E1352" s="168" t="s">
        <v>113</v>
      </c>
      <c r="F1352" s="168" t="s">
        <v>114</v>
      </c>
      <c r="G1352" s="117"/>
      <c r="H1352" s="192"/>
      <c r="I1352" s="249" t="s">
        <v>115</v>
      </c>
      <c r="J1352" s="249"/>
      <c r="K1352" s="249"/>
      <c r="L1352" s="250" t="s">
        <v>115</v>
      </c>
      <c r="M1352" s="250" t="s">
        <v>116</v>
      </c>
      <c r="N1352" s="250" t="s">
        <v>117</v>
      </c>
      <c r="O1352" s="250" t="s">
        <v>118</v>
      </c>
      <c r="P1352" s="250" t="s">
        <v>119</v>
      </c>
      <c r="Q1352" s="250" t="s">
        <v>120</v>
      </c>
      <c r="R1352" s="250"/>
      <c r="S1352" s="251"/>
      <c r="T1352" s="208">
        <v>4</v>
      </c>
      <c r="U1352" s="223"/>
      <c r="V1352" s="140" t="str">
        <f>IF(V1341="","",IF(OR(V1344&lt;&gt;V1341,V1344&lt;&gt;V1343),"",IF(AND(COUNTBLANK(I1342:I1345)=0,M1342=M1344,M1344=M1345),(SUM(L1359:P1359)+SUM(L1368:P1368))/(SUM(L1360:P1360)+SUM(L1369:P1369)),"")))</f>
        <v/>
      </c>
      <c r="W1352" s="224" t="str">
        <f>IF(W1341="","",IF(OR(W1344&lt;&gt;W1341,W1344&lt;&gt;W1342),"",IF(AND(COUNTBLANK(I1342:I1345)=0,M1342=M1343,M1343=M1345),(SUM(L1359:P1359)+SUM(L1356:P1356))/(SUM(L1360:P1360)+SUM(L1357:P1357)),"")))</f>
        <v/>
      </c>
      <c r="X1352" s="252" t="str">
        <f>IF(X1342="","",IF(OR(X1344&lt;&gt;X1342,X1344&lt;&gt;X1343),"",IF(AND(COUNTBLANK(I1342:I1345)=0,M1343=M1344,M1344=M1345),(SUM(L1356:P1356)+SUM(L1368:P1368))/(SUM(L1357:P1357)+SUM(L1369:P1369)),"")))</f>
        <v/>
      </c>
      <c r="Y1352" s="192"/>
      <c r="Z1352" s="203"/>
      <c r="AA1352" s="243">
        <v>1</v>
      </c>
      <c r="AB1352" s="151" t="str">
        <f>IF(AND(COUNTBLANK(I1342:I1345)=0,Group_players=4,M1342=M1343,M1343=M1345),IF(COUNTIF(W1341:W1344,W1341)=3,AB1365,IF(AND(COUNTIF(W1341:W1344,W1341)=1,W1342&lt;&gt;W1344),IF(M1342=2,IF(SMALL(W1341:W1344,1)=W1341,1,IF(SMALL(W1341:W1344,2)=W1341,2,IF(SMALL(W1341:W1344,3)=W1341,3))),IF(M1342=1,IF(SMALL(W1341:W1344,1)=W1341,2,IF(SMALL(W1341:W1344,2)=W1341,3,IF(SMALL(W1341:W1344,3)=W1341,4))),"")),IF(COUNTIF(W1341:W1344,W1341)=1,IF(W1341&lt;W1342,IF(M1342=2,1,2),IF(M1342=2,3,4)),IF(COUNTIF(W1341:W1344,W1341)=2,IF(W1341=W1342,IF(W1341&lt;W1344,IF(M1342=2,IF(Q1365=3,1,2),IF(M1342=1,IF(Q1365=3,2,3))),IF(W1341&gt;W1344,IF(M1342=2,IF(Q1365=3,2,3),IF(M1342=1,IF(Q1365=3,3,4))))),IF(W1341=W1344,IF(W1341&lt;W1342,IF(M1342=2,IF(Q1359=3,1,2),IF(M1342=1,IF(Q1359=3,2,3))),IF(W1341&gt;W1342,IF(M1342=2,IF(Q1359=3,2,3),IF(M1342=1,IF(Q1359=3,3,4))))))),"")))),"")</f>
        <v/>
      </c>
      <c r="AC1352" s="192"/>
      <c r="AD1352" s="192"/>
      <c r="AE1352" s="192"/>
      <c r="AF1352" s="192"/>
      <c r="AG1352" s="192"/>
      <c r="AH1352" s="192"/>
      <c r="AI1352" s="192"/>
      <c r="AJ1352" s="192"/>
      <c r="AK1352" s="192"/>
      <c r="AL1352" s="192"/>
      <c r="AM1352" s="192"/>
      <c r="AN1352" s="192"/>
      <c r="AO1352" s="192"/>
      <c r="AP1352" s="192"/>
      <c r="AQ1352" s="192"/>
      <c r="AR1352" s="192"/>
      <c r="AS1352" s="192"/>
      <c r="AT1352" s="192"/>
      <c r="AU1352" s="192"/>
      <c r="AV1352" s="192"/>
      <c r="AW1352" s="192"/>
      <c r="AX1352" s="192"/>
    </row>
    <row r="1353" spans="2:50" ht="15" customHeight="1" thickTop="1" x14ac:dyDescent="0.3">
      <c r="B1353" s="192"/>
      <c r="C1353" s="192"/>
      <c r="D1353" s="192"/>
      <c r="E1353" s="164" t="str">
        <f>IF(Q1353="","",IF(Q1353=3,1,0))</f>
        <v/>
      </c>
      <c r="F1353" s="164" t="str">
        <f>IF(Q1353="","",IF(Q1353&lt;3,1,0))</f>
        <v/>
      </c>
      <c r="G1353" s="192"/>
      <c r="H1353" s="192" t="str">
        <f>IF(I1342="","",1)</f>
        <v/>
      </c>
      <c r="I1353" s="192" t="str">
        <f>IF(ISNUMBER(H1353),VLOOKUP(H1353,H1342:I1345,2,TRUE),"")</f>
        <v/>
      </c>
      <c r="J1353" s="192"/>
      <c r="K1353" s="192" t="str">
        <f>VLOOKUP(I1353,I1342:L1345,3,FALSE)</f>
        <v/>
      </c>
      <c r="L1353" s="253"/>
      <c r="M1353" s="254"/>
      <c r="N1353" s="254"/>
      <c r="O1353" s="152"/>
      <c r="P1353" s="153"/>
      <c r="Q1353" s="255" t="str">
        <f>IF(L1353="","",IF(AND(L1353-L1354&gt;1,L1353&gt;10),1,0)+IF(AND(M1353-M1354&gt;1,M1353&gt;10),1,0)+IF(AND(N1353-N1354&gt;1,N1353&gt;10),1,0)+IF(AND(O1353-O1354&gt;1,O1353&gt;10),1,0)+IF(AND(P1353-P1354&gt;1,P1353&gt;10),1,0))</f>
        <v/>
      </c>
      <c r="R1353" s="203" t="str">
        <f>IF(AND(I1353="",I1354=""),"",ABS(VLOOKUP(I1353,I1342:L1345,4,FALSE)-VLOOKUP(I1354,I1342:L1345,4,FALSE)))</f>
        <v/>
      </c>
      <c r="S1353" s="256" t="str">
        <f>IF(R1354="","",IF(Q1353=3,+R1354,-R1354))</f>
        <v/>
      </c>
      <c r="T1353" s="257"/>
      <c r="U1353" s="258"/>
      <c r="V1353" s="258"/>
      <c r="W1353" s="258"/>
      <c r="X1353" s="258"/>
      <c r="Y1353" s="192"/>
      <c r="Z1353" s="203"/>
      <c r="AA1353" s="246">
        <v>2</v>
      </c>
      <c r="AB1353" s="154" t="str">
        <f>IF(AND(COUNTBLANK(I1342:I1345)=0,Group_players=4,M1342=M1343,M1343=M1345),IF(COUNTIF(W1341:W1344,W1342)=3,AB1366,IF(AND(COUNTIF(W1341:W1344,W1342)=1,W1341&lt;&gt;W1343),IF(M1343=2,IF(SMALL(W1341:W1344,1)=W1342,1,IF(SMALL(W1341:W1344,2)=W1342,2,IF(SMALL(W1341:W1344,3)=W1342,3))),IF(M1343=1,IF(SMALL(W1341:W1344,1)=W1342,2,IF(SMALL(W1341:W1344,2)=W1342,3,IF(SMALL(W1341:W1344,3)=W1342,4))),"")),IF(COUNTIF(W1341:W1344,W1342)=1,IF(W1342&lt;W1341,IF(M1343=2,1,2),IF(M1343=2,3,4)),IF(COUNTIF(W1341:W1344,W1342)=2,IF(W1342=W1341,IF(W1342&lt;W1344,IF(M1343=2,IF(Q1366=3,1,2),IF(M1343=1,IF(Q1366=3,2,3))),IF(W1342&gt;W1344,IF(M1343=2,IF(Q1366=3,2,3),IF(M1343=1,IF(Q1366=3,3,4))))),IF(W1342=W1344,IF(W1342&lt;W1341,IF(M1343=2,IF(Q1356=3,1,2),IF(M1343=1,IF(Q1356=3,2,3))),IF(W1342&gt;W1341,IF(M1343=2,IF(Q1356=3,2,3),IF(M1343=1,IF(Q1356=3,3,4))))))),"")))),"")</f>
        <v/>
      </c>
      <c r="AC1353" s="192"/>
      <c r="AD1353" s="192"/>
      <c r="AE1353" s="192"/>
      <c r="AF1353" s="192"/>
      <c r="AG1353" s="192"/>
      <c r="AH1353" s="192"/>
      <c r="AI1353" s="192"/>
      <c r="AJ1353" s="192"/>
      <c r="AK1353" s="192"/>
      <c r="AL1353" s="192"/>
      <c r="AM1353" s="192"/>
      <c r="AN1353" s="192"/>
      <c r="AO1353" s="192"/>
      <c r="AP1353" s="192"/>
      <c r="AQ1353" s="192"/>
      <c r="AR1353" s="192"/>
      <c r="AS1353" s="192"/>
      <c r="AT1353" s="192"/>
      <c r="AU1353" s="192"/>
      <c r="AV1353" s="192"/>
      <c r="AW1353" s="192"/>
      <c r="AX1353" s="192"/>
    </row>
    <row r="1354" spans="2:50" ht="15" customHeight="1" thickBot="1" x14ac:dyDescent="0.35">
      <c r="B1354" s="192"/>
      <c r="C1354" s="192"/>
      <c r="D1354" s="192"/>
      <c r="E1354" s="164" t="str">
        <f>IF(Q1354="","",IF(Q1354=3,1,0))</f>
        <v/>
      </c>
      <c r="F1354" s="164" t="str">
        <f>IF(Q1354="","",IF(Q1354&lt;3,1,0))</f>
        <v/>
      </c>
      <c r="G1354" s="192"/>
      <c r="H1354" s="192" t="str">
        <f>IF(I1343="","",IF(I1344="",2,3))</f>
        <v/>
      </c>
      <c r="I1354" s="192" t="str">
        <f>IF(ISNUMBER(H1354),VLOOKUP(H1354,H1342:I1345,2,TRUE),"")</f>
        <v/>
      </c>
      <c r="J1354" s="192"/>
      <c r="K1354" s="192" t="str">
        <f>VLOOKUP(I1354,I1342:L1345,3,FALSE)</f>
        <v/>
      </c>
      <c r="L1354" s="155"/>
      <c r="M1354" s="259"/>
      <c r="N1354" s="259"/>
      <c r="O1354" s="156"/>
      <c r="P1354" s="157"/>
      <c r="Q1354" s="260" t="str">
        <f>IF(L1354="","",IF(AND(L1354-L1353&gt;1,L1354&gt;10),1,0)+IF(AND(M1354-M1353&gt;1,M1354&gt;10),1,0)+IF(AND(N1354-N1353&gt;1,N1354&gt;10),1,0)+IF(AND(O1354-O1353&gt;1,O1354&gt;10),1,0)+IF(AND(P1354-P1353&gt;1,P1354&gt;10),1,0))</f>
        <v/>
      </c>
      <c r="R1354" s="203" t="str">
        <f>IF(AND(Q1353&lt;&gt;3,Q1354&lt;&gt;3),"",IF(Q1353=3,IF(VLOOKUP(I1353,I1342:L1345,4,FALSE)&gt;VLOOKUP(I1354,I1342:L1345,4,FALSE),VLOOKUP(R1353,Point_dif,2,FALSE),VLOOKUP(R1353,Point_dif,3,FALSE)),IF(Q1354=3,IF(VLOOKUP(I1354,I1342:L1345,4,FALSE)&gt;VLOOKUP(I1353,I1342:L1345,4,FALSE),VLOOKUP(R1353,Point_dif,2,FALSE),VLOOKUP(R1353,Point_dif,3,FALSE)))))</f>
        <v/>
      </c>
      <c r="S1354" s="256" t="str">
        <f>IF(R1354="","",IF(Q1354=3,+R1354,-R1354))</f>
        <v/>
      </c>
      <c r="T1354" s="192"/>
      <c r="U1354" s="235"/>
      <c r="V1354" s="235"/>
      <c r="W1354" s="235"/>
      <c r="X1354" s="235"/>
      <c r="Y1354" s="235"/>
      <c r="Z1354" s="235"/>
      <c r="AA1354" s="240">
        <v>4</v>
      </c>
      <c r="AB1354" s="158" t="str">
        <f>IF(AND(COUNTBLANK(I1342:I1345)=0,Group_players=4,M1342=M1343,M1343=M1345),IF(COUNTIF(W1341:W1344,W1344)=3,AB1367,IF(AND(COUNTIF(W1341:W1344,W1344)=1,W1341&lt;&gt;W1342),IF(M1345=2,IF(SMALL(W1341:W1344,1)=W1344,1,IF(SMALL(W1341:W1344,2)=W1344,2,IF(SMALL(W1341:W1344,3)=W1344,3))),IF(M1345=1,IF(SMALL(W1341:W1344,1)=W1344,2,IF(SMALL(W1341:W1344,2)=W1344,3,IF(SMALL(W1341:W1344,3)=W1344,4))),"")),IF(COUNTIF(W1341:W1344,W1344)=1,IF(W1344&lt;W1341,IF(M1345=2,1,2),IF(M1345=2,3,4)),IF(COUNTIF(W1341:W1344,W1344)=2,IF(W1344=W1341,IF(W1344&lt;W1342,IF(M1345=2,IF(Q1360=3,1,2),IF(M1345=1,IF(Q1360=3,2,3))),IF(W1344&gt;W1343,IF(M1345=2,IF(Q1360=3,2,3),IF(M1345=1,IF(Q1360=3,3,4))))),IF(W1344=W1342,IF(W1344&lt;W1341,IF(M1345=2,IF(Q1357=3,1,2),IF(M1345=1,IF(Q1357=3,2,3))),IF(W1344&gt;W1341,IF(M1345=2,IF(Q1357=3,2,3),IF(M1345=1,IF(Q1357=3,3,4))))))),"")))),"")</f>
        <v/>
      </c>
      <c r="AC1354" s="192"/>
      <c r="AD1354" s="192"/>
      <c r="AE1354" s="192"/>
      <c r="AF1354" s="192"/>
      <c r="AG1354" s="192"/>
      <c r="AH1354" s="192"/>
      <c r="AI1354" s="192"/>
      <c r="AJ1354" s="192"/>
      <c r="AK1354" s="192"/>
      <c r="AL1354" s="192"/>
      <c r="AM1354" s="192"/>
      <c r="AN1354" s="192"/>
      <c r="AO1354" s="192"/>
      <c r="AP1354" s="192"/>
      <c r="AQ1354" s="192"/>
      <c r="AR1354" s="192"/>
      <c r="AS1354" s="192"/>
      <c r="AT1354" s="192"/>
      <c r="AU1354" s="192"/>
      <c r="AV1354" s="192"/>
      <c r="AW1354" s="192"/>
      <c r="AX1354" s="192"/>
    </row>
    <row r="1355" spans="2:50" ht="15" customHeight="1" thickTop="1" thickBot="1" x14ac:dyDescent="0.35">
      <c r="B1355" s="192"/>
      <c r="C1355" s="192"/>
      <c r="D1355" s="192"/>
      <c r="E1355" s="164"/>
      <c r="F1355" s="164"/>
      <c r="G1355" s="192"/>
      <c r="H1355" s="192"/>
      <c r="I1355" s="249" t="s">
        <v>116</v>
      </c>
      <c r="J1355" s="249"/>
      <c r="K1355" s="249"/>
      <c r="L1355" s="250" t="s">
        <v>115</v>
      </c>
      <c r="M1355" s="250" t="s">
        <v>116</v>
      </c>
      <c r="N1355" s="250" t="s">
        <v>117</v>
      </c>
      <c r="O1355" s="250" t="s">
        <v>118</v>
      </c>
      <c r="P1355" s="250" t="s">
        <v>119</v>
      </c>
      <c r="Q1355" s="250" t="s">
        <v>120</v>
      </c>
      <c r="R1355" s="250"/>
      <c r="S1355" s="251"/>
      <c r="T1355" s="192"/>
      <c r="U1355" s="235"/>
      <c r="V1355" s="235"/>
      <c r="W1355" s="235"/>
      <c r="X1355" s="235"/>
      <c r="Y1355" s="235"/>
      <c r="Z1355" s="235"/>
      <c r="AA1355" s="243">
        <v>2</v>
      </c>
      <c r="AB1355" s="151" t="str">
        <f>IF(AND(COUNTBLANK(I1342:I1345)=0,Group_players=4,M1343=M1344,M1344=M1345),IF(COUNTIF(X1341:X1344,X1342)=3,AB1368,IF(AND(COUNTIF(X1341:X1344,X1342)=1,X1343&lt;&gt;X1344),IF(M1343=2,IF(SMALL(X1341:X1344,1)=X1342,1,IF(SMALL(X1341:X1344,2)=X1342,2,IF(SMALL(X1341:X1344,3)=X1342,3))),IF(M1343=1,IF(SMALL(X1341:X1344,1)=X1342,2,IF(SMALL(X1341:X1344,2)=X1342,3,IF(SMALL(X1341:X1344,3)=X1342,4))),"")),IF(COUNTIF(X1341:X1344,X1342)=1,IF(X1342&lt;X1344,IF(M1343=2,1,2),IF(M1343=1,3,3)),IF(COUNTIF(X1341:X1344,X1342)=2,IF(X1342=X1343,IF(X1342&lt;X1344,IF(M1343=2,IF(Q1362=3,1,2),IF(M1343=1,IF(Q1362=3,2,3))),IF(X1342&gt;X1344,IF(M1343=2,IF(Q1362=3,2,3),IF(M1343=1,IF(Q1362=3,3,4))))),IF(X1342=X1344,IF(X1342&lt;X1343,IF(M1343=2,IF(Q1356=3,1,2),IF(M1343=1,IF(Q1356=3,2,3))),IF(X1342&gt;X1343,IF(M1343=2,IF(Q1356=3,2,3),IF(M1343=1,IF(Q1356=3,3,4))))))),"")))),"")</f>
        <v/>
      </c>
      <c r="AC1355" s="192"/>
      <c r="AD1355" s="192"/>
      <c r="AE1355" s="192"/>
      <c r="AF1355" s="192"/>
      <c r="AG1355" s="192"/>
      <c r="AH1355" s="192"/>
      <c r="AI1355" s="192"/>
      <c r="AJ1355" s="192"/>
      <c r="AK1355" s="192"/>
      <c r="AL1355" s="192"/>
      <c r="AM1355" s="192"/>
      <c r="AN1355" s="192"/>
      <c r="AO1355" s="192"/>
      <c r="AP1355" s="192"/>
      <c r="AQ1355" s="192"/>
      <c r="AR1355" s="192"/>
      <c r="AS1355" s="192"/>
      <c r="AT1355" s="192"/>
      <c r="AU1355" s="192"/>
      <c r="AV1355" s="192"/>
      <c r="AW1355" s="192"/>
      <c r="AX1355" s="192"/>
    </row>
    <row r="1356" spans="2:50" ht="15" customHeight="1" thickTop="1" x14ac:dyDescent="0.3">
      <c r="B1356" s="192"/>
      <c r="C1356" s="192"/>
      <c r="D1356" s="192"/>
      <c r="E1356" s="164" t="str">
        <f>IF(Q1356="","",IF(Q1356=3,1,0))</f>
        <v/>
      </c>
      <c r="F1356" s="164" t="str">
        <f>IF(Q1356="","",IF(Q1356&lt;3,1,0))</f>
        <v/>
      </c>
      <c r="G1356" s="192"/>
      <c r="H1356" s="192" t="str">
        <f>IF(I1344="","",2)</f>
        <v/>
      </c>
      <c r="I1356" s="192" t="str">
        <f>IF(ISNUMBER(H1356),VLOOKUP(H1356,H1342:I1345,2,TRUE),"")</f>
        <v/>
      </c>
      <c r="J1356" s="192"/>
      <c r="K1356" s="192" t="str">
        <f>VLOOKUP(I1356,I1342:L1345,3,FALSE)</f>
        <v/>
      </c>
      <c r="L1356" s="253"/>
      <c r="M1356" s="254"/>
      <c r="N1356" s="254"/>
      <c r="O1356" s="152"/>
      <c r="P1356" s="153"/>
      <c r="Q1356" s="255" t="str">
        <f>IF(L1356="","",IF(AND(L1356-L1357&gt;1,L1356&gt;10),1,0)+IF(AND(M1356-M1357&gt;1,M1356&gt;10),1,0)+IF(AND(N1356-N1357&gt;1,N1356&gt;10),1,0)+IF(AND(O1356-O1357&gt;1,O1356&gt;10),1,0)+IF(AND(P1356-P1357&gt;1,P1356&gt;10),1,0))</f>
        <v/>
      </c>
      <c r="R1356" s="203" t="str">
        <f>IF(AND(I1356="",I1357=""),"",ABS(VLOOKUP(I1356,I1342:L1345,4,FALSE)-VLOOKUP(I1357,I1342:L1345,4,FALSE)))</f>
        <v/>
      </c>
      <c r="S1356" s="256" t="str">
        <f>IF(R1357="","",IF(Q1356=3,+R1357,-R1357))</f>
        <v/>
      </c>
      <c r="T1356" s="192"/>
      <c r="U1356" s="235"/>
      <c r="V1356" s="235"/>
      <c r="W1356" s="235"/>
      <c r="X1356" s="235"/>
      <c r="Y1356" s="235"/>
      <c r="Z1356" s="235"/>
      <c r="AA1356" s="246">
        <v>3</v>
      </c>
      <c r="AB1356" s="154" t="str">
        <f>IF(AND(COUNTBLANK(I1342:I1345)=0,Group_players=4,M1343=M1344,M1344=M1345),IF(COUNTIF(X1341:X1344,X1343)=3,AB1369,IF(AND(COUNTIF(X1341:X1344,X1343)=1,X1342&lt;&gt;X1344),IF(M1344=2,IF(SMALL(X1341:X1344,1)=X1343,1,IF(SMALL(X1341:X1344,2)=X1343,2,IF(SMALL(X1341:X1344,3)=X1343,3))),IF(M1344=1,IF(SMALL(X1341:X1344,1)=X1343,2,IF(SMALL(X1341:X1344,2)=X1343,3,IF(SMALL(X1341:X1344,3)=X1343,4))),"")),IF(COUNTIF(X1341:X1344,X1343)=1,IF(X1343&lt;X1342,IF(M1344=2,1,2),IF(M1344=2,3,4)),IF(COUNTIF(X1341:X1344,X1343)=2,IF(X1343=X1342,IF(X1343&lt;X1344,IF(M1344=2,IF(Q1363=3,1,2),IF(M1344=1,IF(Q1363=3,2,3))),IF(X1343&gt;X1344,IF(M1344=2,IF(Q1363=3,2,3),IF(M1344=1,IF(Q1363=3,3,4))))),IF(X1343=X1344,IF(X1343&lt;X1342,IF(M1344=2,IF(Q1368=3,1,2),IF(M1344=1,IF(Q1368=3,2,3))),IF(X1343&gt;X1342,IF(M1344=2,IF(Q1368=3,2,3),IF(M1344=1,IF(Q1368=3,3,4))))))),"")))),"")</f>
        <v/>
      </c>
      <c r="AC1356" s="192"/>
      <c r="AD1356" s="192"/>
      <c r="AE1356" s="192"/>
      <c r="AF1356" s="192"/>
      <c r="AG1356" s="192"/>
      <c r="AH1356" s="192"/>
      <c r="AI1356" s="192"/>
      <c r="AJ1356" s="192"/>
      <c r="AK1356" s="192"/>
      <c r="AL1356" s="192"/>
      <c r="AM1356" s="192"/>
      <c r="AN1356" s="192"/>
      <c r="AO1356" s="192"/>
      <c r="AP1356" s="192"/>
      <c r="AQ1356" s="192"/>
      <c r="AR1356" s="192"/>
      <c r="AS1356" s="192"/>
      <c r="AT1356" s="192"/>
      <c r="AU1356" s="192"/>
      <c r="AV1356" s="192"/>
      <c r="AW1356" s="192"/>
      <c r="AX1356" s="192"/>
    </row>
    <row r="1357" spans="2:50" ht="15" customHeight="1" thickBot="1" x14ac:dyDescent="0.35">
      <c r="B1357" s="192"/>
      <c r="C1357" s="192"/>
      <c r="D1357" s="192"/>
      <c r="E1357" s="164" t="str">
        <f>IF(Q1357="","",IF(Q1357=3,1,0))</f>
        <v/>
      </c>
      <c r="F1357" s="164" t="str">
        <f>IF(Q1357="","",IF(Q1357&lt;3,1,0))</f>
        <v/>
      </c>
      <c r="G1357" s="192"/>
      <c r="H1357" s="192" t="str">
        <f>IF(I1344="","",IF(I1345="",3,4))</f>
        <v/>
      </c>
      <c r="I1357" s="192" t="str">
        <f>IF(ISNUMBER(H1357),VLOOKUP(H1357,H1342:I1345,2,TRUE),"")</f>
        <v/>
      </c>
      <c r="J1357" s="192"/>
      <c r="K1357" s="192" t="str">
        <f>VLOOKUP(I1357,I1342:L1345,3,FALSE)</f>
        <v/>
      </c>
      <c r="L1357" s="155"/>
      <c r="M1357" s="259"/>
      <c r="N1357" s="259"/>
      <c r="O1357" s="156"/>
      <c r="P1357" s="157"/>
      <c r="Q1357" s="260" t="str">
        <f>IF(L1357="","",IF(AND(L1357-L1356&gt;1,L1357&gt;10),1,0)+IF(AND(M1357-M1356&gt;1,M1357&gt;10),1,0)+IF(AND(N1357-N1356&gt;1,N1357&gt;10),1,0)+IF(AND(O1357-O1356&gt;1,O1357&gt;10),1,0)+IF(AND(P1357-P1356&gt;1,P1357&gt;10),1,0))</f>
        <v/>
      </c>
      <c r="R1357" s="203" t="str">
        <f>IF(AND(Q1356&lt;&gt;3,Q1357&lt;&gt;3),"",IF(Q1356=3,IF(VLOOKUP(I1356,I1342:L1345,4,FALSE)&gt;VLOOKUP(I1357,I1342:L1345,4,FALSE),VLOOKUP(R1356,Point_dif,2,FALSE),VLOOKUP(R1356,Point_dif,3,FALSE)),IF(Q1357=3,IF(VLOOKUP(I1357,I1342:L1345,4,FALSE)&gt;VLOOKUP(I1356,I1342:L1345,4,FALSE),VLOOKUP(R1356,Point_dif,2,FALSE),VLOOKUP(R1356,Point_dif,3,FALSE)))))</f>
        <v/>
      </c>
      <c r="S1357" s="256" t="str">
        <f>IF(R1357="","",IF(Q1357=3,+R1357,-R1357))</f>
        <v/>
      </c>
      <c r="T1357" s="192"/>
      <c r="U1357" s="235"/>
      <c r="V1357" s="235"/>
      <c r="W1357" s="235"/>
      <c r="X1357" s="235"/>
      <c r="Y1357" s="235"/>
      <c r="Z1357" s="235"/>
      <c r="AA1357" s="261">
        <v>4</v>
      </c>
      <c r="AB1357" s="158" t="str">
        <f>IF(AND(COUNTBLANK(I1342:I1345)=0,Group_players=4,M1343=M1344,M1344=M1345),IF(COUNTIF(X1341:X1344,X1344)=3,AB1370,IF(AND(COUNTIF(X1341:X1344,X1344)=1,X1343&lt;&gt;X1342),IF(M1345=2,IF(SMALL(X1341:X1344,1)=X1344,1,IF(SMALL(X1341:X1344,2)=X1344,2,IF(SMALL(X1341:X1344,3)=X1344,3))),IF(M1345=1,IF(SMALL(X1341:X1344,1)=X1344,2,IF(SMALL(X1341:X1344,2)=X1344,3,IF(SMALL(X1341:X1344,3)=X1344,4))),"")),IF(COUNTIF(X1341:X1344,X1344)=1,IF(X1344&lt;X1342,IF(M1345=2,1,2),IF(M1345=2,3,4)),IF(COUNTIF(X1341:X1344,X1344)=2,IF(X1344=X1342,IF(X1344&lt;X1343,IF(M1345=2,IF(Q1357=3,1,2),IF(M1345=1,IF(Q1357=3,2,3))),IF(X1344&gt;X1343,IF(M1345=2,IF(Q1357=3,2,3),IF(M1345=1,IF(Q1357=3,3,4))))),IF(X1344=X1343,IF(X1344&lt;X1342,IF(M1345=2,IF(Q1369=3,1,2),IF(M1345=1,IF(Q1369=3,2,3))),IF(X1344&gt;X1342,IF(M1345=2,IF(Q1369=3,2,3),IF(M1345=1,IF(Q1369=3,3,4))))))),"")))),"")</f>
        <v/>
      </c>
      <c r="AC1357" s="192"/>
      <c r="AD1357" s="192"/>
      <c r="AE1357" s="192"/>
      <c r="AF1357" s="192"/>
      <c r="AG1357" s="192"/>
      <c r="AH1357" s="192"/>
      <c r="AI1357" s="192"/>
      <c r="AJ1357" s="192"/>
      <c r="AK1357" s="192"/>
      <c r="AL1357" s="192"/>
      <c r="AM1357" s="192"/>
      <c r="AN1357" s="192"/>
      <c r="AO1357" s="192"/>
      <c r="AP1357" s="192"/>
      <c r="AQ1357" s="192"/>
      <c r="AR1357" s="192"/>
      <c r="AS1357" s="192"/>
      <c r="AT1357" s="192"/>
      <c r="AU1357" s="192"/>
      <c r="AV1357" s="192"/>
      <c r="AW1357" s="192"/>
      <c r="AX1357" s="192"/>
    </row>
    <row r="1358" spans="2:50" ht="15" customHeight="1" thickTop="1" thickBot="1" x14ac:dyDescent="0.35">
      <c r="B1358" s="192"/>
      <c r="C1358" s="192"/>
      <c r="D1358" s="192"/>
      <c r="E1358" s="164"/>
      <c r="F1358" s="164"/>
      <c r="G1358" s="192"/>
      <c r="H1358" s="192"/>
      <c r="I1358" s="249" t="s">
        <v>117</v>
      </c>
      <c r="J1358" s="249"/>
      <c r="K1358" s="249"/>
      <c r="L1358" s="250" t="s">
        <v>115</v>
      </c>
      <c r="M1358" s="250" t="s">
        <v>116</v>
      </c>
      <c r="N1358" s="250" t="s">
        <v>117</v>
      </c>
      <c r="O1358" s="250" t="s">
        <v>118</v>
      </c>
      <c r="P1358" s="250" t="s">
        <v>119</v>
      </c>
      <c r="Q1358" s="250" t="s">
        <v>120</v>
      </c>
      <c r="R1358" s="250"/>
      <c r="S1358" s="251"/>
      <c r="T1358" s="263"/>
      <c r="U1358" s="264"/>
      <c r="V1358" s="242"/>
      <c r="W1358" s="242"/>
      <c r="X1358" s="264"/>
      <c r="Y1358" s="192"/>
      <c r="Z1358" s="203"/>
      <c r="AA1358" s="126" t="s">
        <v>93</v>
      </c>
      <c r="AB1358" s="265" t="s">
        <v>110</v>
      </c>
      <c r="AC1358" s="192"/>
      <c r="AD1358" s="192"/>
      <c r="AE1358" s="192"/>
      <c r="AF1358" s="192"/>
      <c r="AG1358" s="192"/>
      <c r="AH1358" s="192"/>
      <c r="AI1358" s="192"/>
      <c r="AJ1358" s="192"/>
      <c r="AK1358" s="192"/>
      <c r="AL1358" s="192"/>
      <c r="AM1358" s="192"/>
      <c r="AN1358" s="192"/>
      <c r="AO1358" s="192"/>
      <c r="AP1358" s="192"/>
      <c r="AQ1358" s="192"/>
      <c r="AR1358" s="192"/>
      <c r="AS1358" s="192"/>
      <c r="AT1358" s="192"/>
      <c r="AU1358" s="192"/>
      <c r="AV1358" s="192"/>
      <c r="AW1358" s="192"/>
      <c r="AX1358" s="192"/>
    </row>
    <row r="1359" spans="2:50" ht="15" customHeight="1" thickTop="1" x14ac:dyDescent="0.3">
      <c r="B1359" s="192"/>
      <c r="C1359" s="192"/>
      <c r="D1359" s="192"/>
      <c r="E1359" s="164" t="str">
        <f>IF(Q1359="","",IF(Q1359=3,1,0))</f>
        <v/>
      </c>
      <c r="F1359" s="164" t="str">
        <f>IF(Q1359="","",IF(Q1359&lt;3,1,0))</f>
        <v/>
      </c>
      <c r="G1359" s="192"/>
      <c r="H1359" s="192" t="str">
        <f>IF(I1344&lt;&gt;"",1,"")</f>
        <v/>
      </c>
      <c r="I1359" s="192" t="str">
        <f>IF(ISNUMBER(H1359),VLOOKUP(H1359,H1342:I1345,2,TRUE),"")</f>
        <v/>
      </c>
      <c r="J1359" s="192"/>
      <c r="K1359" s="192" t="str">
        <f>VLOOKUP(I1359,I1342:L1345,3,FALSE)</f>
        <v/>
      </c>
      <c r="L1359" s="253"/>
      <c r="M1359" s="254"/>
      <c r="N1359" s="254"/>
      <c r="O1359" s="152"/>
      <c r="P1359" s="153"/>
      <c r="Q1359" s="255" t="str">
        <f>IF(L1359="","",IF(AND(L1359-L1360&gt;1,L1359&gt;10),1,0)+IF(AND(M1359-M1360&gt;1,M1359&gt;10),1,0)+IF(AND(N1359-N1360&gt;1,N1359&gt;10),1,0)+IF(AND(O1359-O1360&gt;1,O1359&gt;10),1,0)+IF(AND(P1359-P1360&gt;1,P1359&gt;10),1,0))</f>
        <v/>
      </c>
      <c r="R1359" s="203" t="str">
        <f>IF(AND(I1359="",I1360=""),"",ABS(VLOOKUP(I1359,I1342:L1345,4,FALSE)-VLOOKUP(I1360,I1342:L1345,4,FALSE)))</f>
        <v/>
      </c>
      <c r="S1359" s="256" t="str">
        <f>IF(R1360="","",IF(Q1359=3,+R1360,-R1360))</f>
        <v/>
      </c>
      <c r="T1359" s="192"/>
      <c r="U1359" s="235"/>
      <c r="V1359" s="235"/>
      <c r="W1359" s="235"/>
      <c r="X1359" s="235"/>
      <c r="Y1359" s="235"/>
      <c r="Z1359" s="235"/>
      <c r="AA1359" s="243">
        <v>1</v>
      </c>
      <c r="AB1359" s="222" t="str">
        <f>IF(AND(COUNTBLANK(I1342:I1345)=0,Group_players=4,M1342=M1343,M1343=M1344),IF(U1349="","",IF(COUNTIF(U1349:U1352,U1349)=3,"Tied",IF(AND(COUNTIF(U1349:U1352,U1349)=1,U1350&lt;&gt;U1351),IF(M1342=2,IF(SMALL(U1349:U1352,1)=U1349,1,IF(SMALL(U1349:U1352,2)=U1349,2,IF(SMALL(U1349:U1352,3)=U1349,3))),IF(M1342=1,IF(SMALL(U1349:U1352,1)=U1349,2,IF(SMALL(U1349:U1352,2)=U1349,3,IF(SMALL(U1349:U1352,3)=U1349,4))),"")),IF(COUNTIF(U1349:U1352,U1349)=1,IF(U1349&lt;U1350,IF(M1342=2,1,2),IF(M1342=2,3,4)),IF(COUNTIF(U1349:U1352,U1349)=2,IF(U1349=U1350,IF(U1349&lt;U1351,IF(M1342=2,IF(Q1365=3,1,2),IF(M1342=1,IF(Q1365=3,2,3))),IF(U1349&gt;U1351,IF(M1342=2,IF(Q1365=3,2,3),IF(M1342=1,IF(Q1365=3,3,4))))),IF(U1349=U1351,IF(U1349&lt;U1350,IF(M1342=2,IF(Q1353=3,1,2),IF(M1342=1,IF(Q1353=3,2,3))),IF(U1349&gt;U1350,IF(M1342=2,IF(Q1353=3,2,3),IF(M1342=1,IF(Q1353=3,3,4)))))))))))),"")</f>
        <v/>
      </c>
      <c r="AC1359" s="192"/>
      <c r="AD1359" s="192"/>
      <c r="AE1359" s="192"/>
      <c r="AF1359" s="192"/>
      <c r="AG1359" s="192"/>
      <c r="AH1359" s="192"/>
      <c r="AI1359" s="192"/>
      <c r="AJ1359" s="192"/>
      <c r="AK1359" s="192"/>
      <c r="AL1359" s="192"/>
      <c r="AM1359" s="192"/>
      <c r="AN1359" s="192"/>
      <c r="AO1359" s="192"/>
      <c r="AP1359" s="192"/>
      <c r="AQ1359" s="192"/>
      <c r="AR1359" s="192"/>
      <c r="AS1359" s="192"/>
      <c r="AT1359" s="192"/>
      <c r="AU1359" s="192"/>
      <c r="AV1359" s="192"/>
      <c r="AW1359" s="192"/>
      <c r="AX1359" s="192"/>
    </row>
    <row r="1360" spans="2:50" ht="15" customHeight="1" thickBot="1" x14ac:dyDescent="0.35">
      <c r="B1360" s="192"/>
      <c r="C1360" s="192"/>
      <c r="D1360" s="192"/>
      <c r="E1360" s="164" t="str">
        <f>IF(Q1360="","",IF(Q1360=3,1,0))</f>
        <v/>
      </c>
      <c r="F1360" s="164" t="str">
        <f>IF(Q1360="","",IF(Q1360&lt;3,1,0))</f>
        <v/>
      </c>
      <c r="G1360" s="192"/>
      <c r="H1360" s="192" t="str">
        <f>IF(I1344="","",IF(I1345&lt;&gt;"",4,2))</f>
        <v/>
      </c>
      <c r="I1360" s="192" t="str">
        <f>IF(ISNUMBER(H1360),VLOOKUP(H1360,H1342:I1345,2,TRUE),"")</f>
        <v/>
      </c>
      <c r="J1360" s="192"/>
      <c r="K1360" s="192" t="str">
        <f>VLOOKUP(I1360,I1342:L1345,3,FALSE)</f>
        <v/>
      </c>
      <c r="L1360" s="155"/>
      <c r="M1360" s="259"/>
      <c r="N1360" s="259"/>
      <c r="O1360" s="156"/>
      <c r="P1360" s="157"/>
      <c r="Q1360" s="260" t="str">
        <f>IF(L1360="","",IF(AND(L1360-L1359&gt;1,L1360&gt;10),1,0)+IF(AND(M1360-M1359&gt;1,M1360&gt;10),1,0)+IF(AND(N1360-N1359&gt;1,N1360&gt;10),1,0)+IF(AND(O1360-O1359&gt;1,O1360&gt;10),1,0)+IF(AND(P1360-P1359&gt;1,P1360&gt;10),1,0))</f>
        <v/>
      </c>
      <c r="R1360" s="203" t="str">
        <f>IF(AND(Q1359&lt;&gt;3,Q1360&lt;&gt;3),"",IF(Q1359=3,IF(VLOOKUP(I1359,I1342:L1345,4,FALSE)&gt;VLOOKUP(I1360,I1342:L1345,4,FALSE),VLOOKUP(R1359,Point_dif,2,FALSE),VLOOKUP(R1359,Point_dif,3,FALSE)),IF(Q1360=3,IF(VLOOKUP(I1360,I1342:L1345,4,FALSE)&gt;VLOOKUP(I1359,I1342:L1345,4,FALSE),VLOOKUP(R1359,Point_dif,2,FALSE),VLOOKUP(R1359,Point_dif,3,FALSE)))))</f>
        <v/>
      </c>
      <c r="S1360" s="256" t="str">
        <f>IF(R1360="","",IF(Q1360=3,+R1360,-R1360))</f>
        <v/>
      </c>
      <c r="T1360" s="192"/>
      <c r="U1360" s="235"/>
      <c r="V1360" s="235"/>
      <c r="W1360" s="235"/>
      <c r="X1360" s="235"/>
      <c r="Y1360" s="235"/>
      <c r="Z1360" s="235"/>
      <c r="AA1360" s="246">
        <v>2</v>
      </c>
      <c r="AB1360" s="222" t="str">
        <f>IF(AND(COUNTBLANK(I1342:I1345)=0,Group_players=4,M1342=M1343,M1343=M1344),IF(U1350="","",IF(COUNTIF(U1349:U1352,U1350)=3,"Tied",IF(AND(COUNTIF(U1349:U1352,U1350)=1,U1349&lt;&gt;U1351),IF(M1343=2,IF(SMALL(U1349:U1352,1)=U1350,1,IF(SMALL(U1349:U1352,2)=U1350,2,IF(SMALL(U1349:U1352,3)=U1350,3))),IF(M1343=1,IF(SMALL(U1349:U1352,1)=U1350,2,IF(SMALL(U1349:U1352,2)=U1350,3,IF(SMALL(U1349:U1352,3)=U1350,4))),"")),IF(COUNTIF(U1349:U1352,U1350)=1,IF(U1350&lt;U1349,IF(M1343=2,1,2),IF(M1343=2,3,4)),IF(COUNTIF(U1349:U1352,U1350)=2,IF(U1350=U1349,IF(U1350&lt;U1351,IF(M1343=2,IF(Q1366=3,1,2),IF(M1343=1,IF(Q1366=3,2,3))),IF(U1350&gt;U1351,IF(M1343=2,IF(Q1366=3,2,3),IF(M1343=1,IF(Q1366=3,3,4))))),IF(U1350=U1351,IF(U1350&lt;U1349,IF(M1343=2,IF(Q1362=3,1,2),IF(M1343=1,IF(Q1362=3,2,3))),IF(U1350&gt;U1349,IF(M1343=2,IF(Q1362=3,2,3),IF(M1343=1,IF(Q1362=3,3,4)))))))))))),"")</f>
        <v/>
      </c>
      <c r="AC1360" s="192"/>
      <c r="AD1360" s="192"/>
      <c r="AE1360" s="192"/>
      <c r="AF1360" s="192"/>
      <c r="AG1360" s="192"/>
      <c r="AH1360" s="192"/>
      <c r="AI1360" s="192"/>
      <c r="AJ1360" s="192"/>
      <c r="AK1360" s="192"/>
      <c r="AL1360" s="192"/>
      <c r="AM1360" s="192"/>
      <c r="AN1360" s="192"/>
      <c r="AO1360" s="192"/>
      <c r="AP1360" s="192"/>
      <c r="AQ1360" s="192"/>
      <c r="AR1360" s="192"/>
      <c r="AS1360" s="192"/>
      <c r="AT1360" s="192"/>
      <c r="AU1360" s="192"/>
      <c r="AV1360" s="192"/>
      <c r="AW1360" s="192"/>
      <c r="AX1360" s="192"/>
    </row>
    <row r="1361" spans="2:50" ht="15" customHeight="1" thickTop="1" thickBot="1" x14ac:dyDescent="0.35">
      <c r="B1361" s="192"/>
      <c r="C1361" s="192"/>
      <c r="D1361" s="192"/>
      <c r="E1361" s="164"/>
      <c r="F1361" s="164"/>
      <c r="G1361" s="192"/>
      <c r="H1361" s="192"/>
      <c r="I1361" s="249" t="s">
        <v>118</v>
      </c>
      <c r="J1361" s="249"/>
      <c r="K1361" s="249"/>
      <c r="L1361" s="250" t="s">
        <v>115</v>
      </c>
      <c r="M1361" s="250" t="s">
        <v>116</v>
      </c>
      <c r="N1361" s="250" t="s">
        <v>117</v>
      </c>
      <c r="O1361" s="250" t="s">
        <v>118</v>
      </c>
      <c r="P1361" s="250" t="s">
        <v>119</v>
      </c>
      <c r="Q1361" s="250" t="s">
        <v>120</v>
      </c>
      <c r="R1361" s="250"/>
      <c r="S1361" s="251"/>
      <c r="T1361" s="192"/>
      <c r="U1361" s="235"/>
      <c r="V1361" s="235"/>
      <c r="W1361" s="235"/>
      <c r="X1361" s="235"/>
      <c r="Y1361" s="235"/>
      <c r="Z1361" s="235"/>
      <c r="AA1361" s="240">
        <v>3</v>
      </c>
      <c r="AB1361" s="241" t="str">
        <f>IF(AND(COUNTBLANK(I1342:I1345)=0,Group_players=4,M1342=M1343,M1343=M1344),IF(U1351="","",IF(COUNTIF(U1349:U1352,U1351)=3,"Tied",IF(AND(COUNTIF(U1349:U1352,U1351)=1,U1349&lt;&gt;U1350),IF(M1342=2,IF(SMALL(U1349:U1352,1)=U1351,1,IF(SMALL(U1349:U1352,2)=U1351,2,IF(SMALL(U1349:U1352,3)=U1351,3))),IF(M1344=1,IF(SMALL(U1349:U1352,1)=U1351,2,IF(SMALL(U1349:U1352,2)=U1351,3,IF(SMALL(U1349:U1352,3)=U1351,4))),"")),IF(COUNTIF(U1349:U1352,U1351)=1,IF(U1351&lt;U1350,IF(M1344=2,1,2),IF(M1344=2,3,4)),IF(COUNTIF(U1349:U1352,U1351)=2,IF(U1351=U1350,IF(U1351&lt;U1349,IF(M1344=2,IF(Q1363=3,1,2),IF(M1344=1,IF(Q1363=3,2,3))),IF(U1351&gt;U1349,IF(M1344=2,IF(Q1363=3,2,3),IF(M1344=1,IF(Q1363=3,3,4))))),IF(U1351=U1349,IF(U1351&lt;U1350,IF(M1344=2,IF(Q1354=3,1,2),IF(M1344=1,IF(Q1354=3,2,3))),IF(U1351&gt;U1350,IF(M1344=2,IF(Q1354=3,2,3),IF(M1344=1,IF(Q1354=3,3,4)))))))))))),"")</f>
        <v/>
      </c>
      <c r="AC1361" s="192"/>
      <c r="AD1361" s="192"/>
      <c r="AE1361" s="192"/>
      <c r="AF1361" s="192"/>
      <c r="AG1361" s="192"/>
      <c r="AH1361" s="192"/>
      <c r="AI1361" s="192"/>
      <c r="AJ1361" s="192"/>
      <c r="AK1361" s="192"/>
      <c r="AL1361" s="192"/>
      <c r="AM1361" s="192"/>
      <c r="AN1361" s="192"/>
      <c r="AO1361" s="192"/>
      <c r="AP1361" s="192"/>
      <c r="AQ1361" s="192"/>
      <c r="AR1361" s="192"/>
      <c r="AS1361" s="192"/>
      <c r="AT1361" s="192"/>
      <c r="AU1361" s="192"/>
      <c r="AV1361" s="192"/>
      <c r="AW1361" s="192"/>
      <c r="AX1361" s="192"/>
    </row>
    <row r="1362" spans="2:50" ht="15" customHeight="1" thickTop="1" x14ac:dyDescent="0.3">
      <c r="B1362" s="192"/>
      <c r="C1362" s="192"/>
      <c r="D1362" s="192"/>
      <c r="E1362" s="164" t="str">
        <f>IF(Q1362="","",IF(Q1362=3,1,0))</f>
        <v/>
      </c>
      <c r="F1362" s="164" t="str">
        <f>IF(Q1362="","",IF(Q1362&lt;3,1,0))</f>
        <v/>
      </c>
      <c r="G1362" s="192"/>
      <c r="H1362" s="192" t="str">
        <f>IF(I1345&lt;&gt;"",2,"")</f>
        <v/>
      </c>
      <c r="I1362" s="192" t="str">
        <f>IF(ISNUMBER(H1362),VLOOKUP(H1362,H1342:I1345,2,TRUE),"")</f>
        <v/>
      </c>
      <c r="J1362" s="192"/>
      <c r="K1362" s="192" t="str">
        <f>VLOOKUP(I1362,I1342:L1345,3,FALSE)</f>
        <v/>
      </c>
      <c r="L1362" s="253"/>
      <c r="M1362" s="254"/>
      <c r="N1362" s="254"/>
      <c r="O1362" s="152"/>
      <c r="P1362" s="153"/>
      <c r="Q1362" s="255" t="str">
        <f>IF(L1362="","",IF(AND(L1362-L1363&gt;1,L1362&gt;10),1,0)+IF(AND(M1362-M1363&gt;1,M1362&gt;10),1,0)+IF(AND(N1362-N1363&gt;1,N1362&gt;10),1,0)+IF(AND(O1362-O1363&gt;1,O1362&gt;10),1,0)+IF(AND(P1362-P1363&gt;1,P1362&gt;10),1,0))</f>
        <v/>
      </c>
      <c r="R1362" s="203" t="str">
        <f>IF(AND(I1362="",I1363=""),"",ABS(VLOOKUP(I1362,I1342:L1345,4,FALSE)-VLOOKUP(I1363,I1342:L1345,4,FALSE)))</f>
        <v/>
      </c>
      <c r="S1362" s="256" t="str">
        <f>IF(R1363="","",IF(Q1362=3,+R1363,-R1363))</f>
        <v/>
      </c>
      <c r="T1362" s="192"/>
      <c r="U1362" s="235"/>
      <c r="V1362" s="235"/>
      <c r="W1362" s="235"/>
      <c r="X1362" s="235"/>
      <c r="Y1362" s="235"/>
      <c r="Z1362" s="235"/>
      <c r="AA1362" s="243">
        <v>1</v>
      </c>
      <c r="AB1362" s="222" t="str">
        <f>IF(AND(COUNTBLANK(I1342:I1345)=0,Group_players=4,M1342=M1344,M1344=M1345),IF(V1349="","",IF(COUNTIF(V1349:V1352,V1349)=3,"Tied",IF(AND(COUNTIF(V1349:V1352,V1349)=1,V1351&lt;&gt;U1352),IF(M1342=2,IF(SMALL(V1349:V1352,1)=V1349,1,IF(SMALL(V1349:V1352,2)=V1349,2,IF(SMALL(V1349:V1352,3)=V1349,3))),IF(M1342=1,IF(SMALL(V1349:V1352,1)=V1349,2,IF(SMALL(V1349:V1352,2)=V1349,3,IF(SMALL(V1349:V1352,3)=V1349,4))),"")),IF(COUNTIF(V1349:V1352,V1349)=1,IF(V1349&lt;V1351,IF(M1342=2,1,2),IF(M1342=2,3,4)),IF(COUNTIF(V1349:V1352,V1349)=2,IF(V1349=V1351,IF(V1349&lt;V1352,IF(M1342=2,IF(Q1353=3,1,2),IF(M1342=1,IF(Q1353=3,2,3))),IF(V1349&gt;V1352,IF(M1342=2,IF(Q1353=3,2,3),IF(M1342=1,IF(Q1353=3,3,4))))),IF(V1349=V1352,IF(V1349&lt;V1351,IF(M1342=2,IF(Q1359=3,1,2),IF(M1342=1,IF(Q1359=3,2,3))),IF(V1349&gt;V1350,IF(M1342=2,IF(Q1359=3,2,3),IF(M1342=1,IF(Q1359=3,3,4)))))))))))),"")</f>
        <v/>
      </c>
      <c r="AC1362" s="192"/>
      <c r="AD1362" s="192"/>
      <c r="AE1362" s="192"/>
      <c r="AF1362" s="192"/>
      <c r="AG1362" s="192"/>
      <c r="AH1362" s="192"/>
      <c r="AI1362" s="192"/>
      <c r="AJ1362" s="192"/>
      <c r="AK1362" s="192"/>
      <c r="AL1362" s="192"/>
      <c r="AM1362" s="192"/>
      <c r="AN1362" s="192"/>
      <c r="AO1362" s="192"/>
      <c r="AP1362" s="192"/>
      <c r="AQ1362" s="192"/>
      <c r="AR1362" s="192"/>
      <c r="AS1362" s="192"/>
      <c r="AT1362" s="192"/>
      <c r="AU1362" s="192"/>
      <c r="AV1362" s="192"/>
      <c r="AW1362" s="192"/>
      <c r="AX1362" s="192"/>
    </row>
    <row r="1363" spans="2:50" ht="15" customHeight="1" thickBot="1" x14ac:dyDescent="0.35">
      <c r="B1363" s="192"/>
      <c r="C1363" s="192"/>
      <c r="D1363" s="192"/>
      <c r="E1363" s="164" t="str">
        <f>IF(Q1363="","",IF(Q1363=3,1,0))</f>
        <v/>
      </c>
      <c r="F1363" s="164" t="str">
        <f>IF(Q1363="","",IF(Q1363&lt;3,1,0))</f>
        <v/>
      </c>
      <c r="G1363" s="192"/>
      <c r="H1363" s="192" t="str">
        <f>IF(I1345&lt;&gt;"",3,"")</f>
        <v/>
      </c>
      <c r="I1363" s="192" t="str">
        <f>IF(ISNUMBER(H1363),VLOOKUP(H1363,H1342:I1345,2,TRUE),"")</f>
        <v/>
      </c>
      <c r="J1363" s="192"/>
      <c r="K1363" s="192" t="str">
        <f>VLOOKUP(I1363,I1342:L1345,3,FALSE)</f>
        <v/>
      </c>
      <c r="L1363" s="155"/>
      <c r="M1363" s="259"/>
      <c r="N1363" s="259"/>
      <c r="O1363" s="156"/>
      <c r="P1363" s="157"/>
      <c r="Q1363" s="260" t="str">
        <f>IF(L1363="","",IF(AND(L1363-L1362&gt;1,L1363&gt;10),1,0)+IF(AND(M1363-M1362&gt;1,M1363&gt;10),1,0)+IF(AND(N1363-N1362&gt;1,N1363&gt;10),1,0)+IF(AND(O1363-O1362&gt;1,O1363&gt;10),1,0)+IF(AND(P1363-P1362&gt;1,P1363&gt;10),1,0))</f>
        <v/>
      </c>
      <c r="R1363" s="203" t="str">
        <f>IF(AND(Q1362&lt;&gt;3,Q1363&lt;&gt;3),"",IF(Q1362=3,IF(VLOOKUP(I1362,I1342:L1345,4,FALSE)&gt;VLOOKUP(I1363,I1342:L1345,4,FALSE),VLOOKUP(R1362,Point_dif,2,FALSE),VLOOKUP(R1362,Point_dif,3,FALSE)),IF(Q1363=3,IF(VLOOKUP(I1363,I1342:L1345,4,FALSE)&gt;VLOOKUP(I1362,I1342:L1345,4,FALSE),VLOOKUP(R1362,Point_dif,2,FALSE),VLOOKUP(R1362,Point_dif,3,FALSE)))))</f>
        <v/>
      </c>
      <c r="S1363" s="256" t="str">
        <f>IF(R1363="","",IF(Q1363=3,+R1363,-R1363))</f>
        <v/>
      </c>
      <c r="T1363" s="192"/>
      <c r="U1363" s="159"/>
      <c r="V1363" s="266"/>
      <c r="W1363" s="266"/>
      <c r="X1363" s="266"/>
      <c r="Y1363" s="192"/>
      <c r="Z1363" s="203"/>
      <c r="AA1363" s="246">
        <v>3</v>
      </c>
      <c r="AB1363" s="222" t="str">
        <f>IF(AND(COUNTBLANK(I1342:I1345)=0,Group_players=4,M1342=M1344,M1344=M1345),IF(V1351="","",IF(COUNTIF(V1349:V1352,V1351)=3,"Tied",IF(AND(COUNTIF(V1349:V1352,V1351)=1,V1349&lt;&gt;V1352),IF(M1344=2,IF(SMALL(V1349:V1352,1)=V1351,1,IF(SMALL(V1349:V1352,2)=V1351,2,IF(SMALL(V1349:V1352,3)=V1351,3))),IF(M1344=1,IF(SMALL(V1349:V1352,1)=V1351,2,IF(SMALL(V1349:V1352,2)=V1351,3,IF(SMALL(V1349:V1352,3)=V1351,4))),"")),IF(COUNTIF(V1349:V1352,V1351)=1,IF(V1351&lt;V1349,IF(M1344=2,1,2),IF(M1344=2,3,4)),IF(COUNTIF(V1349:V1352,V1351)=2,IF(V1351=V1349,IF(V1351&lt;V1352,IF(M1344=2,IF(Q1354=3,1,2),IF(M1344=1,IF(Q1354=3,2,3))),IF(V1351&gt;V1352,IF(M1344=2,IF(Q1354=3,2,3),IF(M1344=1,IF(Q1354=3,3,4))))),IF(V1351=V1352,IF(V1351&lt;V1349,IF(M1344=2,IF(Q1368=3,1,2),IF(M1344=1,IF(Q1368=3,2,3))),IF(V1351&gt;V1349,IF(M1344=2,IF(Q1368=3,2,3),IF(M1344=1,IF(Q1368=3,3,4)))))))))))),"")</f>
        <v/>
      </c>
      <c r="AC1363" s="192"/>
      <c r="AD1363" s="192"/>
      <c r="AE1363" s="192"/>
      <c r="AF1363" s="192"/>
      <c r="AG1363" s="192"/>
      <c r="AH1363" s="192"/>
      <c r="AI1363" s="192"/>
      <c r="AJ1363" s="192"/>
      <c r="AK1363" s="192"/>
      <c r="AL1363" s="192"/>
      <c r="AM1363" s="192"/>
      <c r="AN1363" s="192"/>
      <c r="AO1363" s="192"/>
      <c r="AP1363" s="192"/>
      <c r="AQ1363" s="192"/>
      <c r="AR1363" s="192"/>
      <c r="AS1363" s="192"/>
      <c r="AT1363" s="192"/>
      <c r="AU1363" s="192"/>
      <c r="AV1363" s="192"/>
      <c r="AW1363" s="192"/>
      <c r="AX1363" s="192"/>
    </row>
    <row r="1364" spans="2:50" ht="15" customHeight="1" thickTop="1" thickBot="1" x14ac:dyDescent="0.35">
      <c r="B1364" s="192"/>
      <c r="C1364" s="192"/>
      <c r="D1364" s="192"/>
      <c r="E1364" s="164"/>
      <c r="F1364" s="164"/>
      <c r="G1364" s="192"/>
      <c r="H1364" s="192"/>
      <c r="I1364" s="249" t="s">
        <v>119</v>
      </c>
      <c r="J1364" s="249"/>
      <c r="K1364" s="249"/>
      <c r="L1364" s="250" t="s">
        <v>115</v>
      </c>
      <c r="M1364" s="250" t="s">
        <v>116</v>
      </c>
      <c r="N1364" s="250" t="s">
        <v>117</v>
      </c>
      <c r="O1364" s="250" t="s">
        <v>118</v>
      </c>
      <c r="P1364" s="250" t="s">
        <v>119</v>
      </c>
      <c r="Q1364" s="250" t="s">
        <v>120</v>
      </c>
      <c r="R1364" s="250"/>
      <c r="S1364" s="251"/>
      <c r="T1364" s="247"/>
      <c r="U1364" s="235"/>
      <c r="V1364" s="235"/>
      <c r="W1364" s="235"/>
      <c r="X1364" s="235"/>
      <c r="Y1364" s="235"/>
      <c r="Z1364" s="235"/>
      <c r="AA1364" s="240">
        <v>4</v>
      </c>
      <c r="AB1364" s="241" t="str">
        <f>IF(AND(COUNTBLANK(I1342:I1345)=0,Group_players=4,M1342=M1344,M1344=M1345),IF(V1352="","",IF(COUNTIF(V1349:V1352,V1352)=3,"Tied",IF(AND(COUNTIF(V1349:V1352,V1352)=1,V1351&lt;&gt;V1349),IF(M1345=2,IF(SMALL(V1349:V1352,1)=V1352,1,IF(SMALL(V1349:V1352,2)=V1352,2,IF(SMALL(V1349:V1352,3)=V1352,3))),IF(M1345=1,IF(SMALL(V1349:V1352,1)=V1352,2,IF(SMALL(V1349:V1352,2)=V1352,3,IF(SMALL(V1349:V1352,3)=V1352,4))),"")),IF(COUNTIF(V1349:V1352,V1352)=1,IF(V1352&lt;V1349,IF(M1345=2,1,2),IF(M1345=2,3,4)),IF(COUNTIF(V1349:V1352,V1352)=2,IF(V1352=V1349,IF(V1352&lt;V1351,IF(M1345=2,IF(Q1360=3,1,2),IF(M1345=1,IF(Q1360=3,2,3))),IF(V1352&gt;V1351,IF(M1345=2,IF(Q1360=3,2,3),IF(M1345=1,IF(Q1360=3,3,4))))),IF(V1352=V1351,IF(V1352&lt;V1349,IF(M1345=2,IF(Q1369=3,1,2),IF(M1345=1,IF(Q1369=3,2,3))),IF(V1352&gt;V1349,IF(M1345=2,IF(Q1369=3,2,3),IF(M1345=1,IF(Q1369=3,3,4)))))))))))),"")</f>
        <v/>
      </c>
      <c r="AC1364" s="192"/>
      <c r="AD1364" s="192"/>
      <c r="AE1364" s="192"/>
      <c r="AF1364" s="192"/>
      <c r="AG1364" s="192"/>
      <c r="AH1364" s="192"/>
      <c r="AI1364" s="192"/>
      <c r="AJ1364" s="192"/>
      <c r="AK1364" s="192"/>
      <c r="AL1364" s="192"/>
      <c r="AM1364" s="192"/>
      <c r="AN1364" s="192"/>
      <c r="AO1364" s="192"/>
      <c r="AP1364" s="192"/>
      <c r="AQ1364" s="192"/>
      <c r="AR1364" s="192"/>
      <c r="AS1364" s="192"/>
      <c r="AT1364" s="192"/>
      <c r="AU1364" s="192"/>
      <c r="AV1364" s="192"/>
      <c r="AW1364" s="192"/>
      <c r="AX1364" s="192"/>
    </row>
    <row r="1365" spans="2:50" ht="15" customHeight="1" thickTop="1" x14ac:dyDescent="0.3">
      <c r="B1365" s="192"/>
      <c r="C1365" s="192"/>
      <c r="D1365" s="192"/>
      <c r="E1365" s="164" t="str">
        <f>IF(Q1365="","",IF(Q1365=3,1,0))</f>
        <v/>
      </c>
      <c r="F1365" s="164" t="str">
        <f>IF(Q1365="","",IF(Q1365&lt;3,1,0))</f>
        <v/>
      </c>
      <c r="G1365" s="192"/>
      <c r="H1365" s="192" t="str">
        <f>IF(I1345&lt;&gt;"",1,"")</f>
        <v/>
      </c>
      <c r="I1365" s="192" t="str">
        <f>IF(ISNUMBER(H1365),VLOOKUP(H1365,H1342:I1345,2,TRUE),"")</f>
        <v/>
      </c>
      <c r="J1365" s="192"/>
      <c r="K1365" s="192" t="str">
        <f>VLOOKUP(I1365,I1342:L1345,3,FALSE)</f>
        <v/>
      </c>
      <c r="L1365" s="253"/>
      <c r="M1365" s="254"/>
      <c r="N1365" s="254"/>
      <c r="O1365" s="152"/>
      <c r="P1365" s="153"/>
      <c r="Q1365" s="255" t="str">
        <f>IF(L1365="","",IF(AND(L1365-L1366&gt;1,L1365&gt;10),1,0)+IF(AND(M1365-M1366&gt;1,M1365&gt;10),1,0)+IF(AND(N1365-N1366&gt;1,N1365&gt;10),1,0)+IF(AND(O1365-O1366&gt;1,O1365&gt;10),1,0)+IF(AND(P1365-P1366&gt;1,P1365&gt;10),1,0))</f>
        <v/>
      </c>
      <c r="R1365" s="203" t="str">
        <f>IF(AND(I1365="",I1366=""),"",ABS(VLOOKUP(I1365,I1342:L1345,4,FALSE)-VLOOKUP(I1366,I1342:L1345,4,FALSE)))</f>
        <v/>
      </c>
      <c r="S1365" s="256" t="str">
        <f>IF(R1366="","",IF(Q1365=3,+R1366,-R1366))</f>
        <v/>
      </c>
      <c r="T1365" s="247"/>
      <c r="U1365" s="235"/>
      <c r="V1365" s="235"/>
      <c r="W1365" s="235"/>
      <c r="X1365" s="235"/>
      <c r="Y1365" s="235"/>
      <c r="Z1365" s="235"/>
      <c r="AA1365" s="243">
        <v>1</v>
      </c>
      <c r="AB1365" s="222" t="str">
        <f>IF(AND(COUNTBLANK(I1342:I1345)=0,Group_players=4,M1342=M1343,M1343=M1345),IF(W1349="","",IF(COUNTIF(W1349:W1352,W1349)=3,"Tied",IF(AND(COUNTIF(W1349:W1352,W1349)=1,W1350&lt;&gt;W1351),IF(M1342=2,IF(SMALL(W1349:W1352,1)=W1349,1,IF(SMALL(W1349:W1352,2)=W1349,2,IF(SMALL(W1349:W1352,3)=W1349,3))),IF(M1342=1,IF(SMALL(W1349:W1352,1)=W1349,2,IF(SMALL(W1349:W1352,2)=W1349,3,IF(SMALL(W1349:W1352,3)=W1349,4))),"")),IF(COUNTIF(W1349:W1352,W1349)=1,IF(W1349&lt;W1350,IF(M1342=2,1,2),IF(M1342=2,3,4)),IF(COUNTIF(W1349:W1352,W1349)=2,IF(W1349=W1350,IF(W1349&lt;W1352,IF(M1342=2,IF(Q1365=3,1,2),IF(M1342=1,IF(Q1365=3,2,3))),IF(W1349&gt;W1352,IF(M1342=2,IF(Q1365=3,2,3),IF(M1342=1,IF(Q1365=3,3,4))))),IF(W1349=W1352,IF(W1349&lt;W1350,IF(M1342=2,IF(Q1359=3,1,2),IF(M1342=1,IF(Q1359=3,2,3))),IF(W1349&gt;W1350,IF(M1342=2,IF(Q1359=3,2,3),IF(M1342=1,IF(Q1359=3,3,4)))))))))))),"")</f>
        <v/>
      </c>
      <c r="AC1365" s="192"/>
      <c r="AD1365" s="192"/>
      <c r="AE1365" s="192"/>
      <c r="AF1365" s="192"/>
      <c r="AG1365" s="192"/>
      <c r="AH1365" s="192"/>
      <c r="AI1365" s="192"/>
      <c r="AJ1365" s="192"/>
      <c r="AK1365" s="192"/>
      <c r="AL1365" s="192"/>
      <c r="AM1365" s="192"/>
      <c r="AN1365" s="192"/>
      <c r="AO1365" s="192"/>
      <c r="AP1365" s="192"/>
      <c r="AQ1365" s="192"/>
      <c r="AR1365" s="192"/>
      <c r="AS1365" s="192"/>
      <c r="AT1365" s="192"/>
      <c r="AU1365" s="192"/>
      <c r="AV1365" s="192"/>
      <c r="AW1365" s="192"/>
      <c r="AX1365" s="192"/>
    </row>
    <row r="1366" spans="2:50" ht="15" customHeight="1" thickBot="1" x14ac:dyDescent="0.35">
      <c r="B1366" s="192"/>
      <c r="C1366" s="192"/>
      <c r="D1366" s="192"/>
      <c r="E1366" s="164" t="str">
        <f>IF(Q1366="","",IF(Q1366=3,1,0))</f>
        <v/>
      </c>
      <c r="F1366" s="164" t="str">
        <f>IF(Q1366="","",IF(Q1366&lt;3,1,0))</f>
        <v/>
      </c>
      <c r="G1366" s="192"/>
      <c r="H1366" s="192" t="str">
        <f>IF(I1345&lt;&gt;"",2,"")</f>
        <v/>
      </c>
      <c r="I1366" s="192" t="str">
        <f>IF(ISNUMBER(H1366),VLOOKUP(H1366,H1342:I1345,2,TRUE),"")</f>
        <v/>
      </c>
      <c r="J1366" s="192"/>
      <c r="K1366" s="192" t="str">
        <f>VLOOKUP(I1366,I1342:L1345,3,FALSE)</f>
        <v/>
      </c>
      <c r="L1366" s="155"/>
      <c r="M1366" s="259"/>
      <c r="N1366" s="259"/>
      <c r="O1366" s="156"/>
      <c r="P1366" s="157"/>
      <c r="Q1366" s="260" t="str">
        <f>IF(L1366="","",IF(AND(L1366-L1365&gt;1,L1366&gt;10),1,0)+IF(AND(M1366-M1365&gt;1,M1366&gt;10),1,0)+IF(AND(N1366-N1365&gt;1,N1366&gt;10),1,0)+IF(AND(O1366-O1365&gt;1,O1366&gt;10),1,0)+IF(AND(P1366-P1365&gt;1,P1366&gt;10),1,0))</f>
        <v/>
      </c>
      <c r="R1366" s="203" t="str">
        <f>IF(AND(Q1365&lt;&gt;3,Q1366&lt;&gt;3),"",IF(Q1365=3,IF(VLOOKUP(I1365,I1342:L1345,4,FALSE)&gt;VLOOKUP(I1366,I1342:L1345,4,FALSE),VLOOKUP(R1365,Point_dif,2,FALSE),VLOOKUP(R1365,Point_dif,3,FALSE)),IF(Q1366=3,IF(VLOOKUP(I1366,I1342:L1345,4,FALSE)&gt;VLOOKUP(I1366,I1342:L1345,4,FALSE),VLOOKUP(R1365,Point_dif,2,FALSE),VLOOKUP(R1365,Point_dif,3,FALSE)))))</f>
        <v/>
      </c>
      <c r="S1366" s="256" t="str">
        <f>IF(R1366="","",IF(Q1366=3,+R1366,-R1366))</f>
        <v/>
      </c>
      <c r="T1366" s="247"/>
      <c r="U1366" s="235"/>
      <c r="V1366" s="235"/>
      <c r="W1366" s="235"/>
      <c r="X1366" s="235"/>
      <c r="Y1366" s="235"/>
      <c r="Z1366" s="235"/>
      <c r="AA1366" s="246">
        <v>2</v>
      </c>
      <c r="AB1366" s="222" t="str">
        <f>IF(AND(COUNTBLANK(I1342:I1345)=0,Group_players=4,M1342=M1343,M1343=M1345),IF(W1350="","",IF(COUNTIF(W1349:W1352,W1350)=3,"Tied",IF(AND(COUNTIF(W1349:W1352,W1350)=1,W1349&lt;&gt;W1351),IF(M1343=2,IF(SMALL(W1349:W1352,1)=W1350,1,IF(SMALL(W1349:W1352,2)=W1350,2,IF(SMALL(W1349:W1352,3)=W1350,3))),IF(M1343=1,IF(SMALL(W1349:W1352,1)=W1350,2,IF(SMALL(W1349:W1352,2)=W1350,3,IF(SMALL(W1349:W1352,3)=W1350,4))),"")),IF(COUNTIF(W1349:W1352,W1350)=1,IF(W1350&lt;W1349,IF(M1343=2,1,2),IF(M1343=2,3,4)),IF(COUNTIF(W1349:W1352,W1350)=2,IF(W1350=W1349,IF(W1350&lt;W1352,IF(M1343=2,IF(Q1366=3,1,2),IF(M1343=1,IF(Q1366=3,2,3))),IF(W1350&gt;W1352,IF(M1343=2,IF(Q1366=3,2,3),IF(M1343=1,IF(Q1366=3,3,4))))),IF(W1350=W1352,IF(W1350&lt;W1349,IF(M1343=2,IF(Q1356=3,1,2),IF(M1343=1,IF(Q1356=3,2,3))),IF(W1350&gt;W1349,IF(M1343=2,IF(Q1356=3,2,3),IF(M1343=1,IF(Q1356=3,3,4)))))))))))),"")</f>
        <v/>
      </c>
      <c r="AC1366" s="192"/>
      <c r="AD1366" s="192"/>
      <c r="AE1366" s="192"/>
      <c r="AF1366" s="192"/>
      <c r="AG1366" s="192"/>
      <c r="AH1366" s="192"/>
      <c r="AI1366" s="192"/>
      <c r="AJ1366" s="192"/>
      <c r="AK1366" s="192"/>
      <c r="AL1366" s="192"/>
      <c r="AM1366" s="192"/>
      <c r="AN1366" s="192"/>
      <c r="AO1366" s="192"/>
      <c r="AP1366" s="192"/>
      <c r="AQ1366" s="192"/>
      <c r="AR1366" s="192"/>
      <c r="AS1366" s="192"/>
      <c r="AT1366" s="192"/>
      <c r="AU1366" s="192"/>
      <c r="AV1366" s="192"/>
      <c r="AW1366" s="192"/>
      <c r="AX1366" s="192"/>
    </row>
    <row r="1367" spans="2:50" ht="15" customHeight="1" thickTop="1" thickBot="1" x14ac:dyDescent="0.35">
      <c r="B1367" s="192"/>
      <c r="C1367" s="192"/>
      <c r="D1367" s="192"/>
      <c r="E1367" s="164"/>
      <c r="F1367" s="164"/>
      <c r="G1367" s="192"/>
      <c r="H1367" s="192"/>
      <c r="I1367" s="249" t="s">
        <v>121</v>
      </c>
      <c r="J1367" s="249"/>
      <c r="K1367" s="249"/>
      <c r="L1367" s="250" t="s">
        <v>115</v>
      </c>
      <c r="M1367" s="250" t="s">
        <v>116</v>
      </c>
      <c r="N1367" s="250" t="s">
        <v>117</v>
      </c>
      <c r="O1367" s="250" t="s">
        <v>118</v>
      </c>
      <c r="P1367" s="250" t="s">
        <v>119</v>
      </c>
      <c r="Q1367" s="250" t="s">
        <v>120</v>
      </c>
      <c r="R1367" s="250"/>
      <c r="S1367" s="251"/>
      <c r="T1367" s="247"/>
      <c r="U1367" s="235"/>
      <c r="V1367" s="235"/>
      <c r="W1367" s="235"/>
      <c r="X1367" s="235"/>
      <c r="Y1367" s="235"/>
      <c r="Z1367" s="235"/>
      <c r="AA1367" s="240">
        <v>4</v>
      </c>
      <c r="AB1367" s="241" t="str">
        <f>IF(AND(COUNTBLANK(I1342:I1345)=0,Group_players=4,M1342=M1343,M1343=M1345),IF(W1352="","",IF(COUNTIF(W1349:W1352,W1352)=3,"Tied",IF(AND(COUNTIF(W1349:W1352,W1352)=1,W1349&lt;&gt;W1350),IF(M1345=2,IF(SMALL(W1349:W1352,1)=W1352,1,IF(SMALL(W1349:W1352,2)=W1352,2,IF(SMALL(W1349:W1352,3)=W1352,3))),IF(M1345=1,IF(SMALL(W1349:W1352,1)=W1352,2,IF(SMALL(W1349:W1352,2)=W1352,3,IF(SMALL(W1349:W1352,3)=W1352,4))),"")),IF(COUNTIF(W1349:W1352,W1352)=1,IF(W1352&lt;W1349,IF(M1345=2,1,2),IF(M1345=2,3,4)),IF(COUNTIF(W1349:W1352,W1352)=2,IF(W1352=W1349,IF(W1352&lt;W1350,IF(M1345=2,IF(Q1360=3,1,2),IF(M1345=1,IF(Q1360=3,2,3))),IF(W1352&gt;W1351,IF(M1345=2,IF(Q1360=3,2,3),IF(M1345=1,IF(Q1360=3,3,4))))),IF(W1352=W1350,IF(W1352&lt;W1349,IF(M1345=2,IF(Q1357=3,1,2),IF(M1345=1,IF(Q1357=3,2,3))),IF(W1352&gt;W1349,IF(M1345=2,IF(Q1357=3,2,3),IF(M1345=1,IF(Q1357=3,3,4)))))))))))),"")</f>
        <v/>
      </c>
      <c r="AC1367" s="192"/>
      <c r="AD1367" s="192"/>
      <c r="AE1367" s="192"/>
      <c r="AF1367" s="192"/>
      <c r="AG1367" s="192"/>
      <c r="AH1367" s="192"/>
      <c r="AI1367" s="192"/>
      <c r="AJ1367" s="192"/>
      <c r="AK1367" s="192"/>
      <c r="AL1367" s="192"/>
      <c r="AM1367" s="192"/>
      <c r="AN1367" s="192"/>
      <c r="AO1367" s="192"/>
      <c r="AP1367" s="192"/>
      <c r="AQ1367" s="192"/>
      <c r="AR1367" s="192"/>
      <c r="AS1367" s="192"/>
      <c r="AT1367" s="192"/>
      <c r="AU1367" s="192"/>
      <c r="AV1367" s="192"/>
      <c r="AW1367" s="192"/>
      <c r="AX1367" s="192"/>
    </row>
    <row r="1368" spans="2:50" ht="15" customHeight="1" thickTop="1" x14ac:dyDescent="0.3">
      <c r="B1368" s="192"/>
      <c r="C1368" s="192"/>
      <c r="D1368" s="192"/>
      <c r="E1368" s="164" t="str">
        <f>IF(Q1368="","",IF(Q1368=3,1,0))</f>
        <v/>
      </c>
      <c r="F1368" s="164" t="str">
        <f>IF(Q1368="","",IF(Q1368&lt;3,1,0))</f>
        <v/>
      </c>
      <c r="G1368" s="192"/>
      <c r="H1368" s="192" t="str">
        <f>IF(I1345&lt;&gt;"",3,"")</f>
        <v/>
      </c>
      <c r="I1368" s="192" t="str">
        <f>IF(ISNUMBER(H1368),VLOOKUP(H1368,H1342:I1345,2,TRUE),"")</f>
        <v/>
      </c>
      <c r="J1368" s="192"/>
      <c r="K1368" s="192" t="str">
        <f>VLOOKUP(I1368,I1342:L1345,3,FALSE)</f>
        <v/>
      </c>
      <c r="L1368" s="253"/>
      <c r="M1368" s="254"/>
      <c r="N1368" s="254"/>
      <c r="O1368" s="152"/>
      <c r="P1368" s="153"/>
      <c r="Q1368" s="255" t="str">
        <f>IF(L1368="","",IF(AND(L1368-L1369&gt;1,L1368&gt;10),1,0)+IF(AND(M1368-M1369&gt;1,M1368&gt;10),1,0)+IF(AND(N1368-N1369&gt;1,N1368&gt;10),1,0)+IF(AND(O1368-O1369&gt;1,O1368&gt;10),1,0)+IF(AND(P1368-P1369&gt;1,P1368&gt;10),1,0))</f>
        <v/>
      </c>
      <c r="R1368" s="203" t="str">
        <f>IF(AND(I1368="",I1369=""),"",ABS(VLOOKUP(I1368,I1342:L1345,4,FALSE)-VLOOKUP(I1369,I1342:L1345,4,FALSE)))</f>
        <v/>
      </c>
      <c r="S1368" s="256" t="str">
        <f>IF(R1369="","",IF(Q1368=3,+R1369,-R1369))</f>
        <v/>
      </c>
      <c r="T1368" s="247"/>
      <c r="U1368" s="264"/>
      <c r="V1368" s="242"/>
      <c r="W1368" s="192"/>
      <c r="X1368" s="264"/>
      <c r="Y1368" s="192"/>
      <c r="Z1368" s="192"/>
      <c r="AA1368" s="243">
        <v>2</v>
      </c>
      <c r="AB1368" s="222" t="str">
        <f>IF(AND(COUNTBLANK(I1342:I1345)=0,Group_players=4,M1343=M1344,M1344=M1345),IF(X1350="","",IF(COUNTIF(X1349:X1352,X1350)=3,"Tied",IF(AND(COUNTIF(X1349:X1352,X1350)=1,X1351&lt;&gt;X1352),IF(M1343=2,IF(SMALL(X1349:X1352,1)=X1350,1,IF(SMALL(X1349:X1352,2)=X1350,2,IF(SMALL(X1349:X1352,3)=X1350,3))),IF(M1343=1,IF(SMALL(X1349:X1352,1)=X1350,2,IF(SMALL(X1349:X1352,2)=X1350,3,IF(SMALL(X1349:X1352,3)=X1350,4))),"")),IF(COUNTIF(X1349:X1352,X1350)=1,IF(X1350&lt;X1352,IF(M1343=2,1,2),IF(M1343=1,4)),IF(COUNTIF(X1349:X1352,X1350)=2,IF(X1350=X1351,IF(X1350&lt;X1352,IF(M1343=2,IF(Q1362=3,1,2),IF(M1343=1,IF(Q1362=3,2,3))),IF(X1350&gt;X1352,IF(M1343=2,IF(Q1362=3,2,3),IF(M1343=1,IF(Q1362=3,3,4))))),IF(X1350=X1352,IF(X1350&lt;X1351,IF(M1343=2,IF(Q1356=3,1,2),IF(M1343=1,IF(Q1356=3,2,3))),IF(X1350&gt;X1351,IF(M1343=2,IF(Q1356=3,2,3),IF(M1343=1,IF(Q1356=3,3,4)))))))))))),"")</f>
        <v/>
      </c>
      <c r="AC1368" s="192"/>
      <c r="AD1368" s="192"/>
      <c r="AE1368" s="192"/>
      <c r="AF1368" s="192"/>
      <c r="AG1368" s="192"/>
      <c r="AH1368" s="192"/>
      <c r="AI1368" s="192"/>
      <c r="AJ1368" s="192"/>
      <c r="AK1368" s="192"/>
      <c r="AL1368" s="192"/>
      <c r="AM1368" s="192"/>
      <c r="AN1368" s="192"/>
      <c r="AO1368" s="192"/>
      <c r="AP1368" s="192"/>
      <c r="AQ1368" s="192"/>
      <c r="AR1368" s="192"/>
      <c r="AS1368" s="192"/>
      <c r="AT1368" s="192"/>
      <c r="AU1368" s="192"/>
      <c r="AV1368" s="192"/>
      <c r="AW1368" s="192"/>
      <c r="AX1368" s="192"/>
    </row>
    <row r="1369" spans="2:50" ht="15" customHeight="1" thickBot="1" x14ac:dyDescent="0.35">
      <c r="B1369" s="192"/>
      <c r="C1369" s="192"/>
      <c r="D1369" s="192"/>
      <c r="E1369" s="164" t="str">
        <f>IF(Q1369="","",IF(Q1369=3,1,0))</f>
        <v/>
      </c>
      <c r="F1369" s="164" t="str">
        <f>IF(Q1369="","",IF(Q1369&lt;3,1,0))</f>
        <v/>
      </c>
      <c r="G1369" s="192"/>
      <c r="H1369" s="192" t="str">
        <f>IF(I1345&lt;&gt;"",4,"")</f>
        <v/>
      </c>
      <c r="I1369" s="192" t="str">
        <f>IF(ISNUMBER(H1369),VLOOKUP(H1369,H1342:I1345,2,TRUE),"")</f>
        <v/>
      </c>
      <c r="J1369" s="192"/>
      <c r="K1369" s="192" t="str">
        <f>VLOOKUP(I1369,I1342:L1345,3,FALSE)</f>
        <v/>
      </c>
      <c r="L1369" s="155"/>
      <c r="M1369" s="259"/>
      <c r="N1369" s="259"/>
      <c r="O1369" s="156"/>
      <c r="P1369" s="157"/>
      <c r="Q1369" s="260" t="str">
        <f>IF(L1369="","",IF(AND(L1369-L1368&gt;1,L1369&gt;10),1,0)+IF(AND(M1369-M1368&gt;1,M1369&gt;10),1,0)+IF(AND(N1369-N1368&gt;1,N1369&gt;10),1,0)+IF(AND(O1369-O1368&gt;1,O1369&gt;10),1,0)+IF(AND(P1369-P1368&gt;1,P1369&gt;10),1,0))</f>
        <v/>
      </c>
      <c r="R1369" s="203" t="str">
        <f>IF(AND(Q1368&lt;&gt;3,Q1369&lt;&gt;3),"",IF(Q1368=3,IF(VLOOKUP(I1368,I1342:L1345,4,FALSE)&gt;VLOOKUP(I1369,I1342:L1345,4,FALSE),VLOOKUP(R1368,Point_dif,2,FALSE),VLOOKUP(R1368,Point_dif,3,FALSE)),IF(Q1369=3,IF(VLOOKUP(I1369,I1342:L1345,4,FALSE)&gt;VLOOKUP(I1368,I1342:L1345,4,FALSE),VLOOKUP(R1368,Point_dif,2,FALSE),VLOOKUP(R1368,Point_dif,3,FALSE)))))</f>
        <v/>
      </c>
      <c r="S1369" s="260" t="str">
        <f>IF(R1369="","",IF(Q1369=3,+R1369,-R1369))</f>
        <v/>
      </c>
      <c r="T1369" s="247"/>
      <c r="U1369" s="235"/>
      <c r="V1369" s="235"/>
      <c r="W1369" s="235"/>
      <c r="X1369" s="235"/>
      <c r="Y1369" s="235"/>
      <c r="Z1369" s="235"/>
      <c r="AA1369" s="246">
        <v>3</v>
      </c>
      <c r="AB1369" s="222" t="str">
        <f>IF(AND(COUNTBLANK(I1342:I1345)=0,Group_players=4,Group_players=4,M1343=M1344,M1344=M1345),IF(X1351="","",IF(COUNTIF(X1349:X1352,X1351)=3,"Tied",IF(AND(COUNTIF(X1349:X1352,X1351)=1,X1350&lt;&gt;X1352),IF(M1344=2,IF(SMALL(X1349:X1352,1)=X1351,1,IF(SMALL(X1349:X1352,2)=X1351,2,IF(SMALL(X1349:X1352,3)=X1351,3))),IF(M1344=1,IF(SMALL(X1349:X1352,1)=X1351,2,IF(SMALL(X1349:X1352,2)=X1351,3,IF(SMALL(X1349:X1352,3)=X1351,4))),"")),IF(COUNTIF(X1349:X1352,X1351)=1,IF(X1351&lt;X1350,IF(M1344=2,1,2),IF(M1344=2,3,4)),IF(COUNTIF(X1349:X1352,X1351)=2,IF(X1351=X1350,IF(X1351&lt;X1352,IF(M1344=2,IF(Q1363=3,1,2),IF(M1344=1,IF(Q1363=3,2,3))),IF(X1351&gt;X1352,IF(M1344=2,IF(Q1363=3,2,3),IF(M1344=1,IF(Q1363=3,3,4))))),IF(X1351=X1352,IF(X1351&lt;X1350,IF(M1344=2,IF(Q1368=3,1,2),IF(M1344=1,IF(Q1368=3,2,3))),IF(X1351&gt;X1350,IF(M1344=2,IF(Q1368=3,2,3),IF(M1344=1,IF(Q1368=3,3,4)))))))))))),"")</f>
        <v/>
      </c>
      <c r="AC1369" s="192"/>
      <c r="AD1369" s="192"/>
      <c r="AE1369" s="192"/>
      <c r="AF1369" s="192"/>
      <c r="AG1369" s="192"/>
      <c r="AH1369" s="192"/>
      <c r="AI1369" s="192"/>
      <c r="AJ1369" s="192"/>
      <c r="AK1369" s="192"/>
      <c r="AL1369" s="192"/>
      <c r="AM1369" s="192"/>
      <c r="AN1369" s="192"/>
      <c r="AO1369" s="192"/>
      <c r="AP1369" s="192"/>
      <c r="AQ1369" s="192"/>
      <c r="AR1369" s="192"/>
      <c r="AS1369" s="192"/>
      <c r="AT1369" s="192"/>
      <c r="AU1369" s="192"/>
      <c r="AV1369" s="192"/>
      <c r="AW1369" s="192"/>
      <c r="AX1369" s="192"/>
    </row>
    <row r="1370" spans="2:50" ht="15" customHeight="1" thickTop="1" thickBot="1" x14ac:dyDescent="0.35">
      <c r="B1370" s="192"/>
      <c r="C1370" s="192"/>
      <c r="D1370" s="192"/>
      <c r="E1370" s="192"/>
      <c r="F1370" s="192"/>
      <c r="G1370" s="192"/>
      <c r="H1370" s="192"/>
      <c r="I1370" s="192"/>
      <c r="J1370" s="192"/>
      <c r="K1370" s="192"/>
      <c r="L1370" s="192"/>
      <c r="M1370" s="192"/>
      <c r="N1370" s="192"/>
      <c r="O1370" s="192"/>
      <c r="P1370" s="192"/>
      <c r="Q1370" s="192"/>
      <c r="R1370" s="192"/>
      <c r="S1370" s="192"/>
      <c r="T1370" s="247"/>
      <c r="U1370" s="235"/>
      <c r="V1370" s="235"/>
      <c r="W1370" s="235"/>
      <c r="X1370" s="235"/>
      <c r="Y1370" s="235"/>
      <c r="Z1370" s="235"/>
      <c r="AA1370" s="261">
        <v>4</v>
      </c>
      <c r="AB1370" s="233" t="str">
        <f>IF(AND(COUNTBLANK(I1342:I1345)=0,Group_players=4,M1343=M1344,M1344=M1345),IF(X1352="","",IF(COUNTIF(X1349:X1352,X1352)=3,"Tied",IF(AND(COUNTIF(X1349:X1352,X1352)=1,X1351&lt;&gt;X1350),IF(M1345=2,IF(SMALL(X1349:X1352,1)=X1352,1,IF(SMALL(X1349:X1352,2)=X1352,2,IF(SMALL(X1349:X1352,3)=X1352,3))),IF(M1345=1,IF(SMALL(X1349:X1352,1)=X1352,2,IF(SMALL(X1349:X1352,2)=X1352,3,IF(SMALL(X1349:X1352,3)=X1352,4))),"")),IF(COUNTIF(X1349:X1352,X1352)=1,IF(X1352&lt;X1350,IF(M1345=2,1,2),IF(M1345=2,3,4)),IF(COUNTIF(X1349:X1352,X1352)=2,IF(X1352=X1350,IF(X1352&lt;X1351,IF(M1345=2,IF(Q1357=3,1,2),IF(M1345=1,IF(Q1357=3,2,3))),IF(X1352&gt;X1351,IF(M1345=2,IF(Q1357=3,2,3),IF(M1345=1,IF(Q1357=3,3,4))))),IF(X1352=X1351,IF(X1352&lt;X1350,IF(M1345=2,IF(Q1369=3,1,2),IF(M1345=1,IF(Q1369=3,2,3))),IF(X1352&gt;X1350,IF(M1345=2,IF(Q1369=3,2,3),IF(M1345=1,IF(Q1369=3,3,4)))))))))))),"")</f>
        <v/>
      </c>
      <c r="AC1370" s="192"/>
      <c r="AD1370" s="192"/>
      <c r="AE1370" s="192"/>
      <c r="AF1370" s="192"/>
      <c r="AG1370" s="192"/>
      <c r="AH1370" s="192"/>
      <c r="AI1370" s="192"/>
      <c r="AJ1370" s="192"/>
      <c r="AK1370" s="192"/>
      <c r="AL1370" s="192"/>
      <c r="AM1370" s="192"/>
      <c r="AN1370" s="192"/>
      <c r="AO1370" s="192"/>
      <c r="AP1370" s="192"/>
      <c r="AQ1370" s="192"/>
      <c r="AR1370" s="192"/>
      <c r="AS1370" s="192"/>
      <c r="AT1370" s="192"/>
      <c r="AU1370" s="192"/>
      <c r="AV1370" s="192"/>
      <c r="AW1370" s="192"/>
      <c r="AX1370" s="192"/>
    </row>
    <row r="1371" spans="2:50" ht="15" customHeight="1" thickTop="1" x14ac:dyDescent="0.3">
      <c r="B1371" s="192"/>
      <c r="C1371" s="192"/>
      <c r="D1371" s="192"/>
      <c r="E1371" s="192"/>
      <c r="F1371" s="192"/>
      <c r="G1371" s="192"/>
      <c r="H1371" s="192"/>
      <c r="I1371" s="192"/>
      <c r="J1371" s="192"/>
      <c r="K1371" s="192"/>
      <c r="L1371" s="192"/>
      <c r="M1371" s="192"/>
      <c r="N1371" s="192"/>
      <c r="O1371" s="192"/>
      <c r="P1371" s="192"/>
      <c r="Q1371" s="192"/>
      <c r="R1371" s="192"/>
      <c r="S1371" s="192"/>
      <c r="T1371" s="203"/>
      <c r="U1371" s="192"/>
      <c r="V1371" s="192"/>
      <c r="W1371" s="192"/>
      <c r="X1371" s="192"/>
      <c r="Y1371" s="192"/>
      <c r="Z1371" s="192"/>
      <c r="AA1371" s="192"/>
      <c r="AB1371" s="192"/>
      <c r="AC1371" s="192"/>
      <c r="AD1371" s="192"/>
      <c r="AE1371" s="192"/>
      <c r="AF1371" s="192"/>
      <c r="AG1371" s="192"/>
      <c r="AH1371" s="192"/>
      <c r="AI1371" s="192"/>
      <c r="AJ1371" s="192"/>
      <c r="AK1371" s="192"/>
      <c r="AL1371" s="192"/>
      <c r="AM1371" s="192"/>
      <c r="AN1371" s="192"/>
      <c r="AO1371" s="192"/>
      <c r="AP1371" s="192"/>
      <c r="AQ1371" s="192"/>
      <c r="AR1371" s="192"/>
      <c r="AS1371" s="192"/>
      <c r="AT1371" s="192"/>
      <c r="AU1371" s="192"/>
      <c r="AV1371" s="192"/>
      <c r="AW1371" s="192"/>
      <c r="AX1371" s="192"/>
    </row>
    <row r="1372" spans="2:50" ht="15" customHeight="1" x14ac:dyDescent="0.3">
      <c r="B1372" s="192"/>
      <c r="C1372" s="192"/>
      <c r="D1372" s="192"/>
      <c r="E1372" s="192"/>
      <c r="F1372" s="192"/>
      <c r="G1372" s="192"/>
      <c r="H1372" s="192"/>
      <c r="I1372" s="192"/>
      <c r="J1372" s="192"/>
      <c r="K1372" s="192"/>
      <c r="L1372" s="192"/>
      <c r="M1372" s="192"/>
      <c r="N1372" s="192"/>
      <c r="O1372" s="192"/>
      <c r="P1372" s="192"/>
      <c r="Q1372" s="192"/>
      <c r="R1372" s="192"/>
      <c r="S1372" s="192"/>
      <c r="T1372" s="192"/>
      <c r="U1372" s="192"/>
      <c r="V1372" s="192"/>
      <c r="W1372" s="192"/>
      <c r="X1372" s="192"/>
      <c r="Y1372" s="192"/>
      <c r="Z1372" s="192"/>
      <c r="AA1372" s="192"/>
      <c r="AB1372" s="192"/>
      <c r="AC1372" s="192"/>
      <c r="AD1372" s="192"/>
      <c r="AE1372" s="192"/>
      <c r="AF1372" s="192"/>
      <c r="AG1372" s="192"/>
      <c r="AH1372" s="192"/>
      <c r="AI1372" s="192"/>
      <c r="AJ1372" s="192"/>
      <c r="AK1372" s="192"/>
      <c r="AL1372" s="192"/>
      <c r="AM1372" s="192"/>
      <c r="AN1372" s="192"/>
      <c r="AO1372" s="192"/>
      <c r="AP1372" s="192"/>
      <c r="AQ1372" s="192"/>
      <c r="AR1372" s="192"/>
      <c r="AS1372" s="192"/>
      <c r="AT1372" s="192"/>
      <c r="AU1372" s="192"/>
      <c r="AV1372" s="192"/>
      <c r="AW1372" s="192"/>
      <c r="AX1372" s="192"/>
    </row>
    <row r="1373" spans="2:50" ht="15" customHeight="1" x14ac:dyDescent="0.3">
      <c r="B1373" s="192"/>
      <c r="C1373" s="192"/>
      <c r="D1373" s="192"/>
      <c r="E1373" s="192"/>
      <c r="F1373" s="192"/>
      <c r="G1373" s="192"/>
      <c r="H1373" s="192"/>
      <c r="I1373" s="192"/>
      <c r="J1373" s="192"/>
      <c r="K1373" s="192"/>
      <c r="L1373" s="192"/>
      <c r="M1373" s="192"/>
      <c r="N1373" s="192"/>
      <c r="O1373" s="192"/>
      <c r="P1373" s="192"/>
      <c r="Q1373" s="192"/>
      <c r="R1373" s="192"/>
      <c r="S1373" s="192"/>
      <c r="T1373" s="192"/>
      <c r="U1373" s="192"/>
      <c r="V1373" s="192"/>
      <c r="W1373" s="192"/>
      <c r="X1373" s="192"/>
      <c r="Y1373" s="192"/>
      <c r="Z1373" s="269"/>
      <c r="AA1373" s="192"/>
      <c r="AB1373" s="192"/>
      <c r="AC1373" s="192"/>
      <c r="AD1373" s="192"/>
      <c r="AE1373" s="192"/>
      <c r="AF1373" s="192"/>
      <c r="AG1373" s="192"/>
      <c r="AH1373" s="192"/>
      <c r="AI1373" s="192"/>
      <c r="AJ1373" s="192"/>
      <c r="AK1373" s="192"/>
      <c r="AL1373" s="192"/>
      <c r="AM1373" s="192"/>
      <c r="AN1373" s="192"/>
      <c r="AO1373" s="192"/>
      <c r="AP1373" s="192"/>
      <c r="AQ1373" s="192"/>
      <c r="AR1373" s="192"/>
      <c r="AS1373" s="192"/>
      <c r="AT1373" s="192"/>
      <c r="AU1373" s="192"/>
      <c r="AV1373" s="192"/>
      <c r="AW1373" s="192"/>
      <c r="AX1373" s="192"/>
    </row>
    <row r="1374" spans="2:50" ht="15" customHeight="1" x14ac:dyDescent="0.3">
      <c r="B1374" s="192"/>
      <c r="C1374" s="192"/>
      <c r="D1374" s="192"/>
      <c r="E1374" s="192"/>
      <c r="F1374" s="192"/>
      <c r="G1374" s="192"/>
      <c r="H1374" s="192"/>
      <c r="I1374" s="192"/>
      <c r="J1374" s="192"/>
      <c r="K1374" s="192"/>
      <c r="L1374" s="192"/>
      <c r="M1374" s="192"/>
      <c r="N1374" s="192"/>
      <c r="O1374" s="192"/>
      <c r="P1374" s="192"/>
      <c r="Q1374" s="192"/>
      <c r="R1374" s="192"/>
      <c r="S1374" s="192"/>
      <c r="T1374" s="192"/>
      <c r="U1374" s="192"/>
      <c r="V1374" s="192"/>
      <c r="W1374" s="192"/>
      <c r="X1374" s="192"/>
      <c r="Y1374" s="192"/>
      <c r="Z1374" s="192"/>
      <c r="AA1374" s="192"/>
      <c r="AB1374" s="192"/>
      <c r="AC1374" s="192"/>
      <c r="AD1374" s="192"/>
      <c r="AE1374" s="192"/>
      <c r="AF1374" s="192"/>
      <c r="AG1374" s="192"/>
      <c r="AH1374" s="192"/>
      <c r="AI1374" s="192"/>
      <c r="AJ1374" s="192"/>
      <c r="AK1374" s="192"/>
      <c r="AL1374" s="192"/>
      <c r="AM1374" s="192"/>
      <c r="AN1374" s="192"/>
      <c r="AO1374" s="192"/>
      <c r="AP1374" s="192"/>
      <c r="AQ1374" s="192"/>
      <c r="AR1374" s="192"/>
      <c r="AS1374" s="192"/>
      <c r="AT1374" s="192"/>
      <c r="AU1374" s="192"/>
      <c r="AV1374" s="192"/>
      <c r="AW1374" s="192"/>
      <c r="AX1374" s="192"/>
    </row>
    <row r="1375" spans="2:50" ht="15" customHeight="1" x14ac:dyDescent="0.3">
      <c r="B1375" s="192"/>
      <c r="C1375" s="192"/>
      <c r="D1375" s="192"/>
      <c r="E1375" s="192"/>
      <c r="F1375" s="192"/>
      <c r="G1375" s="192"/>
      <c r="H1375" s="192"/>
      <c r="I1375" s="192"/>
      <c r="J1375" s="192"/>
      <c r="K1375" s="192"/>
      <c r="L1375" s="192"/>
      <c r="M1375" s="192"/>
      <c r="N1375" s="192"/>
      <c r="O1375" s="192"/>
      <c r="P1375" s="192"/>
      <c r="Q1375" s="192"/>
      <c r="R1375" s="192"/>
      <c r="S1375" s="192"/>
      <c r="T1375" s="192"/>
      <c r="U1375" s="192"/>
      <c r="V1375" s="192"/>
      <c r="W1375" s="192"/>
      <c r="X1375" s="192"/>
      <c r="Y1375" s="192"/>
      <c r="Z1375" s="192"/>
      <c r="AA1375" s="192"/>
      <c r="AB1375" s="192"/>
      <c r="AC1375" s="192"/>
      <c r="AD1375" s="192"/>
      <c r="AE1375" s="192"/>
      <c r="AF1375" s="192"/>
      <c r="AG1375" s="192"/>
      <c r="AH1375" s="192"/>
      <c r="AI1375" s="192"/>
      <c r="AJ1375" s="192"/>
      <c r="AK1375" s="192"/>
      <c r="AL1375" s="192"/>
      <c r="AM1375" s="192"/>
      <c r="AN1375" s="192"/>
      <c r="AO1375" s="192"/>
      <c r="AP1375" s="192"/>
      <c r="AQ1375" s="192"/>
      <c r="AR1375" s="192"/>
      <c r="AS1375" s="192"/>
      <c r="AT1375" s="192"/>
      <c r="AU1375" s="192"/>
      <c r="AV1375" s="192"/>
      <c r="AW1375" s="192"/>
      <c r="AX1375" s="192"/>
    </row>
    <row r="1376" spans="2:50" ht="15" customHeight="1" thickBot="1" x14ac:dyDescent="0.4">
      <c r="B1376" s="192"/>
      <c r="C1376" s="192"/>
      <c r="D1376" s="192"/>
      <c r="E1376" s="192"/>
      <c r="F1376" s="192"/>
      <c r="G1376" s="192"/>
      <c r="H1376" s="192"/>
      <c r="I1376" s="383" t="s">
        <v>160</v>
      </c>
      <c r="J1376" s="383"/>
      <c r="K1376" s="383"/>
      <c r="L1376" s="383"/>
      <c r="M1376" s="383"/>
      <c r="N1376" s="383"/>
      <c r="O1376" s="383"/>
      <c r="P1376" s="383"/>
      <c r="Q1376" s="383"/>
      <c r="R1376" s="383"/>
      <c r="S1376" s="192"/>
      <c r="T1376" s="192"/>
      <c r="U1376" s="370" t="s">
        <v>92</v>
      </c>
      <c r="V1376" s="371"/>
      <c r="W1376" s="371"/>
      <c r="X1376" s="372"/>
      <c r="Y1376" s="192"/>
      <c r="Z1376" s="192"/>
      <c r="AA1376" s="192"/>
      <c r="AB1376" s="192"/>
      <c r="AC1376" s="192"/>
      <c r="AD1376" s="192"/>
      <c r="AE1376" s="192"/>
      <c r="AF1376" s="192"/>
      <c r="AG1376" s="192"/>
      <c r="AH1376" s="192"/>
      <c r="AI1376" s="192"/>
      <c r="AJ1376" s="192"/>
      <c r="AK1376" s="192"/>
      <c r="AL1376" s="192"/>
      <c r="AM1376" s="192"/>
      <c r="AN1376" s="192"/>
      <c r="AO1376" s="192"/>
      <c r="AP1376" s="192"/>
      <c r="AQ1376" s="192"/>
      <c r="AR1376" s="192"/>
      <c r="AS1376" s="192"/>
      <c r="AT1376" s="192"/>
      <c r="AU1376" s="192"/>
      <c r="AV1376" s="192"/>
      <c r="AW1376" s="192"/>
      <c r="AX1376" s="192"/>
    </row>
    <row r="1377" spans="2:50" ht="15" customHeight="1" thickTop="1" thickBot="1" x14ac:dyDescent="0.35">
      <c r="B1377" s="192"/>
      <c r="C1377" s="192"/>
      <c r="D1377" s="192"/>
      <c r="E1377" s="192"/>
      <c r="F1377" s="192"/>
      <c r="G1377" s="192"/>
      <c r="H1377" s="192"/>
      <c r="I1377" s="400" t="s">
        <v>93</v>
      </c>
      <c r="J1377" s="160"/>
      <c r="K1377" s="396" t="s">
        <v>94</v>
      </c>
      <c r="L1377" s="398" t="s">
        <v>95</v>
      </c>
      <c r="M1377" s="390" t="s">
        <v>96</v>
      </c>
      <c r="N1377" s="390" t="s">
        <v>97</v>
      </c>
      <c r="O1377" s="373" t="s">
        <v>98</v>
      </c>
      <c r="P1377" s="373" t="str">
        <f>IF(COUNT(U1378:X1389)=3,"LM/WM Ratio",IF(COUNT(U1378:X1389)=6,"LP/WP Ratio",""))</f>
        <v/>
      </c>
      <c r="Q1377" s="390" t="s">
        <v>99</v>
      </c>
      <c r="R1377" s="392" t="s">
        <v>100</v>
      </c>
      <c r="S1377" s="192"/>
      <c r="T1377" s="120"/>
      <c r="U1377" s="121" t="s">
        <v>101</v>
      </c>
      <c r="V1377" s="122" t="s">
        <v>102</v>
      </c>
      <c r="W1377" s="122" t="s">
        <v>103</v>
      </c>
      <c r="X1377" s="123" t="s">
        <v>104</v>
      </c>
      <c r="Y1377" s="380" t="s">
        <v>105</v>
      </c>
      <c r="Z1377" s="379"/>
      <c r="AA1377" s="378" t="s">
        <v>106</v>
      </c>
      <c r="AB1377" s="379"/>
      <c r="AC1377" s="192"/>
      <c r="AD1377" s="192"/>
      <c r="AE1377" s="192"/>
      <c r="AF1377" s="192"/>
      <c r="AG1377" s="192"/>
      <c r="AH1377" s="192"/>
      <c r="AI1377" s="192"/>
      <c r="AJ1377" s="192"/>
      <c r="AK1377" s="192"/>
      <c r="AL1377" s="192"/>
      <c r="AM1377" s="192"/>
      <c r="AN1377" s="192"/>
      <c r="AO1377" s="192"/>
      <c r="AP1377" s="192"/>
      <c r="AQ1377" s="192"/>
      <c r="AR1377" s="192"/>
      <c r="AS1377" s="192"/>
      <c r="AT1377" s="192"/>
      <c r="AU1377" s="192"/>
      <c r="AV1377" s="192"/>
      <c r="AW1377" s="192"/>
      <c r="AX1377" s="192"/>
    </row>
    <row r="1378" spans="2:50" ht="15" customHeight="1" thickTop="1" thickBot="1" x14ac:dyDescent="0.35">
      <c r="B1378" s="192"/>
      <c r="C1378" s="192"/>
      <c r="D1378" s="192"/>
      <c r="E1378" s="192"/>
      <c r="F1378" s="192"/>
      <c r="G1378" s="192"/>
      <c r="H1378" s="192"/>
      <c r="I1378" s="401"/>
      <c r="J1378" s="161"/>
      <c r="K1378" s="397"/>
      <c r="L1378" s="399"/>
      <c r="M1378" s="391"/>
      <c r="N1378" s="391"/>
      <c r="O1378" s="374"/>
      <c r="P1378" s="374"/>
      <c r="Q1378" s="391"/>
      <c r="R1378" s="393"/>
      <c r="S1378" s="192"/>
      <c r="T1378" s="208">
        <v>1</v>
      </c>
      <c r="U1378" s="209" t="str">
        <f>IF(M1379="","",IF(COUNTIF(M1379:M1381,M1379)=3,IF(COUNTBLANK(I1379:I1382)=1,(Q1391+Q1397)/(Q1390+Q1396),IF(COUNTBLANK(I1379:I1382)=0,(Q1403+Q1391)/(Q1402+Q1390),"")),""))</f>
        <v/>
      </c>
      <c r="V1378" s="125" t="str">
        <f>IF(AND(COUNTBLANK(I1379:I1382)=0,M1379=M1381,M1381=M1382),(Q1391+Q1397)/(Q1390+Q1396),"")</f>
        <v/>
      </c>
      <c r="W1378" s="210" t="str">
        <f>IF(AND(COUNTBLANK(I1379:I1382)=0,M1379=M1380,M1380=M1382),(Q1403+Q1397)/(Q1402+Q1396),"")</f>
        <v/>
      </c>
      <c r="X1378" s="211"/>
      <c r="Y1378" s="169" t="s">
        <v>93</v>
      </c>
      <c r="Z1378" s="170" t="s">
        <v>107</v>
      </c>
      <c r="AA1378" s="169" t="s">
        <v>93</v>
      </c>
      <c r="AB1378" s="170" t="s">
        <v>107</v>
      </c>
      <c r="AC1378" s="192"/>
      <c r="AD1378" s="192"/>
      <c r="AE1378" s="192"/>
      <c r="AF1378" s="192"/>
      <c r="AG1378" s="192"/>
      <c r="AH1378" s="192"/>
      <c r="AI1378" s="192"/>
      <c r="AJ1378" s="192"/>
      <c r="AK1378" s="192"/>
      <c r="AL1378" s="192"/>
      <c r="AM1378" s="192"/>
      <c r="AN1378" s="192"/>
      <c r="AO1378" s="192"/>
      <c r="AP1378" s="192"/>
      <c r="AQ1378" s="192"/>
      <c r="AR1378" s="192"/>
      <c r="AS1378" s="192"/>
      <c r="AT1378" s="192"/>
      <c r="AU1378" s="192"/>
      <c r="AV1378" s="192"/>
      <c r="AW1378" s="192"/>
      <c r="AX1378" s="192"/>
    </row>
    <row r="1379" spans="2:50" ht="15" customHeight="1" thickTop="1" thickBot="1" x14ac:dyDescent="0.35">
      <c r="B1379" s="192"/>
      <c r="C1379" s="192"/>
      <c r="D1379" s="192"/>
      <c r="E1379" s="192"/>
      <c r="F1379" s="192" t="str">
        <f>IF(I1379="","",VLOOKUP(I1379,Siembra,2,FALSE))</f>
        <v/>
      </c>
      <c r="G1379" s="192" t="str">
        <f>O1379</f>
        <v/>
      </c>
      <c r="H1379" s="192">
        <v>1</v>
      </c>
      <c r="I1379" s="128" t="str">
        <f>IF(K1379="","",IF(ISNUMBER(Sorteo!$A$17),VLOOKUP(K1379,Draw,2,FALSE),""))</f>
        <v/>
      </c>
      <c r="J1379" s="129" t="str">
        <f>O1379</f>
        <v/>
      </c>
      <c r="K1379" s="130" t="str">
        <f>IF($K$9="","",IF(Group_players=4,IF(Tablas!CS$3="","",Tablas!CS$3),IF(Group_players=3,IF(Tablas!CS$11="","",Tablas!CS$11),"")))</f>
        <v/>
      </c>
      <c r="L1379" s="131" t="str">
        <f>IF(K1379="","",VLOOKUP(I1379,Siembra,3,FALSE))</f>
        <v/>
      </c>
      <c r="M1379" s="132" t="str">
        <f>IF(AND(Q1390="",Q1391=""),"",IF(I1379="","",SUMIFS(E1390:E1406,I1390:I1406,I1379)))</f>
        <v/>
      </c>
      <c r="N1379" s="132" t="str">
        <f>IF(M1379="","",IF(I1379="","",SUMIFS(F1390:F1406,I1390:I1406,I1379)))</f>
        <v/>
      </c>
      <c r="O1379" s="132" t="str">
        <f>IF(M1379="","",IF(COUNTBLANK(I1379:I1382)=1,IF(M1379=2,1,IF(M1379=0,3,IF(AND(M1379=1,M1380&lt;&gt;1),2,IF(COUNTIF(M1379:M1381,1)&gt;1,Z1379)))),IF(COUNTBLANK(I1379:I1382)=0,IF(COUNTIF(M1379:M1382,M1379)=1,IF(M1379=3,1,IF(M1379=2,2,IF(M1379=1,3,IF(M1379=0,4)))),IF(Group_players=3,Z1379,IF(COUNTIF(M1379:M1382,M1379)=2,AB1379,IF(AND(M1379=M1380,M1380=M1381),AB1383,IF(AND(M1379=M1381,M1381=M1382),AB1386,IF(AND(M1379=M1380,M1380=M1382),AB1389,"")))))),99)))</f>
        <v/>
      </c>
      <c r="P1379" s="133" t="str">
        <f>IF(COUNT(U1378:X1389)=3,IF(ISNUMBER(U1378),U1378,IF(ISNUMBER(V1378),V1378,IF(ISNUMBER(W1378),W1378,IF(X1378="","")))),IF(COUNT(U1378:X1389)=6,IF(ISNUMBER(U1386),U1386,IF(ISNUMBER(V1386),V1386,IF(ISNUMBER(W1386),W1386,IF(ISBLANK(X1378),"")))),""))</f>
        <v/>
      </c>
      <c r="Q1379" s="132" t="str">
        <f>IF(M1379="","",SUMIF(I1390:S1406,I1379,S1390:S1406))</f>
        <v/>
      </c>
      <c r="R1379" s="134" t="str">
        <f>IF(M1379="","",L1379+Q1379)</f>
        <v/>
      </c>
      <c r="S1379" s="203"/>
      <c r="T1379" s="208">
        <v>2</v>
      </c>
      <c r="U1379" s="209" t="str">
        <f>IF(M1380="","",IF(COUNTIF(M1379:M1381,M1380)=3,IF(COUNTBLANK(I1379:I1382)=1,(Q1394+Q1396)/(Q1393+Q1397),IF(COUNTBLANK(I1379:I1382)=0,(Q1400+Q1402)/(Q1399+Q1403),"")),""))</f>
        <v/>
      </c>
      <c r="V1379" s="135"/>
      <c r="W1379" s="212" t="str">
        <f>IF(AND(COUNTBLANK(I1379:I1382)=0,M1380=M1379,M1379=M1382),(Q1402+Q1394)/(Q1403+Q1393),"")</f>
        <v/>
      </c>
      <c r="X1379" s="213" t="str">
        <f>IF(AND(COUNTBLANK(I1379:I1382)=0,M1380=M1381,M1381=M1382),(Q1400+Q1394)/(Q1399+Q1393),"")</f>
        <v/>
      </c>
      <c r="Y1379" s="214">
        <v>1</v>
      </c>
      <c r="Z1379" s="215" t="str">
        <f>IF(U1378="","",IF(OR(Group_players=3,AND(Group_players=4,COUNTBLANK(I1379:I1382)=1)),IF(COUNTIF(M1379:M1381,M1379)=1,"",IF(AND(U1378=U1379,U1379=U1380),Z1383,IF(AND(U1378&lt;&gt;U1379,U1378&lt;&gt;U1380,U1379&lt;&gt;U1380),(IF(SMALL(U1378:U1380,1)=U1378,1,IF(SMALL(U1378:U1380,2)=U1378,2,IF(SMALL(U1378:U1380,3)=U1378,3)))),IF(AND(U1378&lt;U1379,U1379=U1380),1,IF(AND(U1378&gt;U1379,U1379=U1380),3,IF(AND(U1378=U1379,U1378&lt;U1380),(IF(Q1396=3,1,2)),IF(AND(U1378=U1379,U1378&gt;U1380),(IF(Q1396=3,2,3)),IF(AND(U1378=U1380,U1378&lt;U1379),(IF(Q1390=3,1,2)),IF(AND(U1378=U1380,U1378&gt;U1379),(IF(Q1390=3,2,3)),99))))))))),""))</f>
        <v/>
      </c>
      <c r="AA1379" s="216">
        <v>1</v>
      </c>
      <c r="AB1379" s="217" t="str">
        <f>IF(COUNTIF(M1379:M1382,M1379)&lt;&gt;2,"",IF(COUNTIF(M1379:M1382,M1379)=1,"",IF(AND(COUNTIF(M1379:M1382,M1379)=2,M1379=2),IF(M1379=M1380,IF(Q1402=3,1,2),IF(M1379=M1381,IF(Q1390=3,1,2),IF(M1379=M1382,IF(Q1396=3,1,2)))),IF(AND(COUNTIF(M1379:M1382,M1379)=2,M1379=1),IF(M1379=M1380,IF(Q1402=3,3,4),IF(M1379=M1381,IF(Q1390=3,3,4),IF(M1379=M1382,IF(Q1396=3,3,4)))),IF(COUNTIF(M1379:M1382,M1379)=3,AB1383)))))</f>
        <v/>
      </c>
      <c r="AC1379" s="192"/>
      <c r="AD1379" s="192"/>
      <c r="AE1379" s="192"/>
      <c r="AF1379" s="192"/>
      <c r="AG1379" s="192"/>
      <c r="AH1379" s="192"/>
      <c r="AI1379" s="192"/>
      <c r="AJ1379" s="192"/>
      <c r="AK1379" s="192"/>
      <c r="AL1379" s="192"/>
      <c r="AM1379" s="192"/>
      <c r="AN1379" s="192"/>
      <c r="AO1379" s="192"/>
      <c r="AP1379" s="192"/>
      <c r="AQ1379" s="192"/>
      <c r="AR1379" s="192"/>
      <c r="AS1379" s="192"/>
      <c r="AT1379" s="192"/>
      <c r="AU1379" s="192"/>
      <c r="AV1379" s="192"/>
      <c r="AW1379" s="192"/>
      <c r="AX1379" s="192"/>
    </row>
    <row r="1380" spans="2:50" ht="15" customHeight="1" thickTop="1" thickBot="1" x14ac:dyDescent="0.35">
      <c r="B1380" s="192"/>
      <c r="C1380" s="192"/>
      <c r="D1380" s="192"/>
      <c r="E1380" s="192"/>
      <c r="F1380" s="192" t="str">
        <f>IF(I1380="","",VLOOKUP(I1380,Siembra,2,FALSE))</f>
        <v/>
      </c>
      <c r="G1380" s="192" t="str">
        <f>O1380</f>
        <v/>
      </c>
      <c r="H1380" s="192">
        <v>2</v>
      </c>
      <c r="I1380" s="128" t="str">
        <f>IF(K1380="","",IF(ISNUMBER(Sorteo!$A$17),VLOOKUP(K1380,Draw,2,FALSE),""))</f>
        <v/>
      </c>
      <c r="J1380" s="129" t="str">
        <f>O1380</f>
        <v/>
      </c>
      <c r="K1380" s="136" t="str">
        <f>IF($K$9="","",IF(Group_players=4,IF(Tablas!CS$4="","",Tablas!CS$4),IF(Group_players=3,IF(Tablas!CS$12="","",Tablas!CS$12),"")))</f>
        <v/>
      </c>
      <c r="L1380" s="137" t="str">
        <f>IF(K1380="","",VLOOKUP(I1380,Siembra,3,FALSE))</f>
        <v/>
      </c>
      <c r="M1380" s="132" t="str">
        <f>IF(AND(L1390="",L1391=""),"",IF(I1380="","",SUMIFS(E1390:E1407,I1390:I1407,I1380)))</f>
        <v/>
      </c>
      <c r="N1380" s="138" t="str">
        <f>IF(M1380="","",IF(I1380="","",SUMIFS(F1390:F1406,I1390:I1406,I1380)))</f>
        <v/>
      </c>
      <c r="O1380" s="132" t="str">
        <f>IF(M1380="","",IF(COUNTBLANK(I1379:I1382)=1,IF(M1380=2,1,IF(M1380=0,3,IF(AND(M1380=1,M1381&lt;&gt;1),2,IF(COUNTIF(M1379:M1382,1)&gt;1,Z1380)))),IF(COUNTBLANK(I1379:I1382)=0,IF(COUNTIF(M1379:M1382,M1380)=1,IF(M1380=3,1,IF(M1380=2,2,IF(M1380=1,3,IF(M1380=0,4)))),IF(Group_players=3,Z1380,IF(COUNTIF(M1379:M1382,M1380)=2,AB1380,IF(AND(M1380=M1379,M1379=M1381),AB1384,IF(AND(M1380=M1379,M1379=M1382),AB1390,IF(AND(M1380=M1381,M1381=M1382),AB1392,"")))))))))</f>
        <v/>
      </c>
      <c r="P1380" s="133" t="str">
        <f>IF(COUNT(U1378:X1389)=3,IF(ISNUMBER(U1379),U1379,IF(ISNUMBER(W1379),W1379,IF(ISNUMBER(X1379),X1379,IF(X1379="","")))),IF(COUNT(U1378:X1389)=6,IF(ISNUMBER(U1387),U1387,IF(ISNUMBER(W1387),W1387,IF(ISNUMBER(X1387),X1387,IF(ISBLANK(X1386),"")))),""))</f>
        <v/>
      </c>
      <c r="Q1380" s="138" t="str">
        <f>IF(M1380="","",SUMIF(I1390:S1406,I1380,S1390:$S1406))</f>
        <v/>
      </c>
      <c r="R1380" s="139" t="str">
        <f>IF(M1380="","",L1380+Q1380)</f>
        <v/>
      </c>
      <c r="S1380" s="203"/>
      <c r="T1380" s="208">
        <v>3</v>
      </c>
      <c r="U1380" s="209" t="str">
        <f>IF(M1381="","",IF(COUNTIF(M1379:M1381,M1381)=3,IF(COUNTBLANK(I1379:I1382)=1,(Q1390+Q1393)/(Q1391+Q1394),IF(COUNTBLANK(I1379:I1382)=0,(Q1390+Q1399)/(Q1391+Q1400),"")),""))</f>
        <v/>
      </c>
      <c r="V1380" s="125" t="str">
        <f>IF(AND(COUNTBLANK(I1379:I1382)=0,M1381=M1382,M1382=M1379),(Q1390+Q1406)/(Q1391+Q1405),"")</f>
        <v/>
      </c>
      <c r="W1380" s="218"/>
      <c r="X1380" s="213" t="str">
        <f>IF(AND(COUNTBLANK(I1379:I1382)=0,M1381=M1382,M1382=M1380),(Q1399+Q1406)/(Q1400+Q1405),"")</f>
        <v/>
      </c>
      <c r="Y1380" s="219">
        <v>2</v>
      </c>
      <c r="Z1380" s="220" t="str">
        <f>IF(U1379="","",IF(OR(Group_players=3,AND(Group_players=4,COUNTBLANK(I1379:I1382)=1)),IF(COUNTIF(M1379:M1381,M1380)=1,"",IF(AND(U1379=U1378,U1379=U1380),Z1384,IF(AND(U1379&lt;&gt;U1378,U1379&lt;&gt;U1380,U1378&lt;&gt;U1380),(IF(SMALL(U1378:U1380,1)=U1379,1,IF(SMALL(U1378:U1380,2)=U1379,2,IF(SMALL(U1378:U1380,3)=U1379,3)))),IF(AND(U1379&lt;U1378,U1378=U1380),1,IF(AND(U1379&gt;U1378,U1378=U1380),3,IF(AND(U1379=U1378,U1379&lt;U1380),(IF(Q1397=3,1,2)),IF(AND(U1379=U1378,U1379&gt;U1380),(IF(Q1397=3,2,3)),IF(AND(U1379=U1380,U1379&lt;U1378),(IF(Q1393=3,1,2)),IF(AND(U1379=U1380,U1379&gt;U1378),(IF(Q1393=3,2,3)),99))))))))),""))</f>
        <v/>
      </c>
      <c r="AA1380" s="221">
        <v>2</v>
      </c>
      <c r="AB1380" s="222" t="str">
        <f>IF(COUNTIF(M1379:M1382,M1380)&lt;&gt;2,"",IF(COUNTIF(M1379:M1382,M1380)=1,"",IF(AND(COUNTIF(M1379:M1382,M1380)=2,M1380=2),IF(M1380=M1379,IF(Q1403=3,1,2),IF(M1380=M1381,IF(Q1399=3,1,2),IF(M1380=M1382,IF(Q1393=3,1,2)))),IF(AND(COUNTIF(M1379:M1382,M1380)=2,M1380=1),IF(M1380=M1379,IF(Q1403=3,3,4),IF(M1380=M1381,IF(Q1399=3,3,4),IF(M1380=M1382,IF(Q1393=3,3,4)))),AB1385))))</f>
        <v/>
      </c>
      <c r="AC1380" s="192"/>
      <c r="AD1380" s="192"/>
      <c r="AE1380" s="192"/>
      <c r="AF1380" s="192"/>
      <c r="AG1380" s="192"/>
      <c r="AH1380" s="192"/>
      <c r="AI1380" s="192"/>
      <c r="AJ1380" s="192"/>
      <c r="AK1380" s="192"/>
      <c r="AL1380" s="192"/>
      <c r="AM1380" s="192"/>
      <c r="AN1380" s="192"/>
      <c r="AO1380" s="192"/>
      <c r="AP1380" s="192"/>
      <c r="AQ1380" s="192"/>
      <c r="AR1380" s="192"/>
      <c r="AS1380" s="192"/>
      <c r="AT1380" s="192"/>
      <c r="AU1380" s="192"/>
      <c r="AV1380" s="192"/>
      <c r="AW1380" s="192"/>
      <c r="AX1380" s="192"/>
    </row>
    <row r="1381" spans="2:50" ht="15" customHeight="1" thickBot="1" x14ac:dyDescent="0.35">
      <c r="B1381" s="192"/>
      <c r="C1381" s="192"/>
      <c r="D1381" s="192"/>
      <c r="E1381" s="192"/>
      <c r="F1381" s="192" t="str">
        <f>IF(I1381="","",VLOOKUP(I1381,Siembra,2,FALSE))</f>
        <v/>
      </c>
      <c r="G1381" s="192" t="str">
        <f>O1381</f>
        <v/>
      </c>
      <c r="H1381" s="192">
        <v>3</v>
      </c>
      <c r="I1381" s="128" t="str">
        <f>IF(K1381="","",IF(ISNUMBER(Sorteo!$A$17),VLOOKUP(K1381,Draw,2,FALSE),""))</f>
        <v/>
      </c>
      <c r="J1381" s="129" t="str">
        <f>O1381</f>
        <v/>
      </c>
      <c r="K1381" s="136" t="str">
        <f>IF($K$9="","",IF(Group_players=4,IF(Tablas!CS$5="","",Tablas!CS$5),IF(Group_players=3,IF(Tablas!CS$13="","",Tablas!CS$13),"")))</f>
        <v/>
      </c>
      <c r="L1381" s="137" t="str">
        <f>IF(K1381="","",VLOOKUP(I1381,Siembra,3,FALSE))</f>
        <v/>
      </c>
      <c r="M1381" s="132" t="str">
        <f>IF(AND(L1391="",L1390=""),"",IF(I1381="","",SUMIFS(E1390:E1408,I1390:I1408,I1381)))</f>
        <v/>
      </c>
      <c r="N1381" s="138" t="str">
        <f>IF(M1381="","",IF(I1381="","",SUMIFS(F1390:F1406,I1390:I1406,I1381)))</f>
        <v/>
      </c>
      <c r="O1381" s="132" t="str">
        <f>IF(M1381="","",IF(COUNTBLANK(I1379:I1382)=1,IF(M1381=2,1,IF(M1381=0,3,IF(AND(M1381=1,M1381&lt;&gt;M1379),2,IF(COUNTIF(M1379:M1382,1)&gt;1,Z1381)))),IF(COUNTBLANK(I1379:I1382)=0,IF(COUNTIF(M1379:M1382,M1381)=1,IF(M1381=3,1,IF(M1381=2,2,IF(M1381=1,3,IF(M1381=0,4)))),IF(Group_players=3,Z1381,IF(COUNTIF(M1379:M1382,M1381)=2,AB1381,IF(AND(M1381=M1379,M1379=M1380),AB1385,IF(AND(M1381=M1379,M1379=M1382),AB1387,IF(AND(M1381=M1380,M1380=M1382),AB1393,"")))))))))</f>
        <v/>
      </c>
      <c r="P1381" s="133" t="str">
        <f>IF(COUNT(U1378:X1389)=3,IF(ISNUMBER(U1380),U1380,IF(ISNUMBER(V1380),V1380,IF(ISNUMBER(X1380),X1380,IF(W1380="","")))),IF(COUNT(U1378:X1389)=6,IF(ISNUMBER(U1388),U1388,IF(ISNUMBER(V1388),V1388,IF(ISNUMBER(X1388),X1388,""))),""))</f>
        <v/>
      </c>
      <c r="Q1381" s="138" t="str">
        <f>IF(M1381="","",SUMIF(I1390:S1406,I1381,S1390:S1406))</f>
        <v/>
      </c>
      <c r="R1381" s="139" t="str">
        <f>IF(M1381="","",L1381+Q1381)</f>
        <v/>
      </c>
      <c r="S1381" s="203"/>
      <c r="T1381" s="208">
        <v>4</v>
      </c>
      <c r="U1381" s="223"/>
      <c r="V1381" s="140" t="str">
        <f>IF(AND(COUNTBLANK(I1379:I1382)=0,M1382=M1379,M1379=M1381),(Q1396+Q1405)/(Q1397+Q1406),"")</f>
        <v/>
      </c>
      <c r="W1381" s="224" t="str">
        <f>IF(AND(COUNTBLANK(I1379:I1382)=0,M1382=M1379,M1379=M1380),(Q1396+Q1393)/(Q1397+Q1394),"")</f>
        <v/>
      </c>
      <c r="X1381" s="225" t="str">
        <f>IF(AND(COUNTBLANK(I1379:I1382)=0,M1382=M1380,M1380=M1381),(Q1393+Q1405)/(Q1394+Q1406),"")</f>
        <v/>
      </c>
      <c r="Y1381" s="226">
        <v>3</v>
      </c>
      <c r="Z1381" s="227" t="str">
        <f>IF(U1380="","",IF(OR(Group_players=3,AND(Group_players=4,COUNTBLANK(I1379:I1382)=1)),IF(COUNTIF(M1379:M1381,M1381)=1,"",IF(AND(U1380=U1378,U1380=U1379),Z1385,IF(AND(U1380&lt;&gt;U1379,U1379&lt;&gt;U1378,U1380&lt;&gt;U1378),(IF(SMALL(U1378:U1380,1)=U1380,1,IF(SMALL(U1378:U1380,2)=U1380,2,IF(SMALL(U1378:U1380,3)=U1380,3)))),IF(AND(U1380&lt;U1379,U1379=U1378),1,IF(AND(U1380&gt;U1379,U1379=U1378),3,IF(AND(U1380=U1379,U1380&lt;U1378),(IF(Q1394=3,1,2)),IF(AND(U1380=U1379,U1380&gt;U1378),(IF(Q1394=3,2,3)),IF(AND(U1380=U1378,U1380&lt;U1379),(IF(Q1391=3,1,2)),IF(AND(U1380=U1378,U1380&gt;U1379),(IF(Q1391=3,2,3)),99))))))))),""))</f>
        <v/>
      </c>
      <c r="AA1381" s="221">
        <v>3</v>
      </c>
      <c r="AB1381" s="222" t="str">
        <f>IF(COUNTIF(M1379:M1382,M1381)&lt;&gt;2,"",IF(COUNTIF(M1379:M1382,M1381)=1,"",IF(AND(COUNTIF(M1379:M1382,M1381)=2,M1381=2),IF(M1381=M1379,IF(Q1391=3,1,2),IF(M1381=M1380,IF(Q1400=3,1,2),IF(M1381=M1382,IF(Q1405=3,1,2)))),IF(AND(COUNTIF(M1379:M1382,M1381)=2,M1381=1),IF(M1381=M1379,IF(Q1391=3,3,4),IF(M1381=M1380,IF(Q1400=3,3,4),IF(M1381=M1382,IF(Q1405=3,3,4)))),AB1385))))</f>
        <v/>
      </c>
      <c r="AC1381" s="192"/>
      <c r="AD1381" s="192"/>
      <c r="AE1381" s="192"/>
      <c r="AF1381" s="192"/>
      <c r="AG1381" s="192"/>
      <c r="AH1381" s="192"/>
      <c r="AI1381" s="192"/>
      <c r="AJ1381" s="192"/>
      <c r="AK1381" s="192"/>
      <c r="AL1381" s="192"/>
      <c r="AM1381" s="192"/>
      <c r="AN1381" s="192"/>
      <c r="AO1381" s="192"/>
      <c r="AP1381" s="192"/>
      <c r="AQ1381" s="192"/>
      <c r="AR1381" s="192"/>
      <c r="AS1381" s="192"/>
      <c r="AT1381" s="192"/>
      <c r="AU1381" s="192"/>
      <c r="AV1381" s="192"/>
      <c r="AW1381" s="192"/>
      <c r="AX1381" s="192"/>
    </row>
    <row r="1382" spans="2:50" ht="15" customHeight="1" thickTop="1" thickBot="1" x14ac:dyDescent="0.35">
      <c r="B1382" s="192"/>
      <c r="C1382" s="192"/>
      <c r="D1382" s="192"/>
      <c r="E1382" s="192"/>
      <c r="F1382" s="192" t="str">
        <f>IF(I1382="","",VLOOKUP(I1382,Siembra,2,FALSE))</f>
        <v/>
      </c>
      <c r="G1382" s="192" t="str">
        <f>O1382</f>
        <v/>
      </c>
      <c r="H1382" s="192">
        <v>4</v>
      </c>
      <c r="I1382" s="141" t="str">
        <f>IF(K1382="","",IF(ISNUMBER(Sorteo!$A$17),VLOOKUP(K1382,Draw,2,FALSE),""))</f>
        <v/>
      </c>
      <c r="J1382" s="142" t="str">
        <f>O1382</f>
        <v/>
      </c>
      <c r="K1382" s="143" t="str">
        <f>IF($K$9="","",IF(Group_players=4,IF(Tablas!CS6="","",Tablas!CS6),""))</f>
        <v/>
      </c>
      <c r="L1382" s="144" t="str">
        <f>IF(K1382="","",VLOOKUP(I1382,Siembra,3,FALSE))</f>
        <v/>
      </c>
      <c r="M1382" s="145" t="str">
        <f>IF(AND(Q1393="",Q1394=""),"",IF(I1382="","",SUMIFS(E1390:E1409,I1390:I1409,I1382)))</f>
        <v/>
      </c>
      <c r="N1382" s="145" t="str">
        <f>IF(M1382="","",IF(I1382="","",SUMIFS(F1390:F1406,I1390:I1406,I1382)))</f>
        <v/>
      </c>
      <c r="O1382" s="145" t="str">
        <f>IF(M1382="","",IF(COUNTIF(M1379:M1382,M1382)=1,IF(M1382=3,1,IF(M1382=2,2,IF(M1382=1,3,IF(M1382=0,4)))),IF(COUNTIF(M1379:M1382,M1382)=2,AB1382,IF(AND(M1382=M1379,M1379=M1381),AB1388,IF(AND(M1382=M1379,M1379=M1380),AB1391,IF(AND(M1382=M1380,M1380=M1381),AB1394,""))))))</f>
        <v/>
      </c>
      <c r="P1382" s="146" t="str">
        <f>IF(COUNT(U1378:X1389)=3,IF(ISNUMBER(V1381),V1381,IF(ISNUMBER(W1381),W1381,IF(ISNUMBER(X1381),X1381,IF(X1381="","")))),IF(COUNT(U1378:X1389)=6,IF(ISNUMBER(V1389),V1389,IF(ISNUMBER(W1389),W1389,IF(ISNUMBER(X1389),X1389,""))),""))</f>
        <v/>
      </c>
      <c r="Q1382" s="145" t="str">
        <f>IF(M1382="","",SUMIF(I1390:S1406,I1382,S1390:$S1406))</f>
        <v/>
      </c>
      <c r="R1382" s="147" t="str">
        <f>IF(M1382="","",L1382+Q1382)</f>
        <v/>
      </c>
      <c r="S1382" s="203"/>
      <c r="T1382" s="192"/>
      <c r="U1382" s="192"/>
      <c r="V1382" s="192"/>
      <c r="W1382" s="192"/>
      <c r="X1382" s="192"/>
      <c r="Y1382" s="230" t="s">
        <v>93</v>
      </c>
      <c r="Z1382" s="231" t="s">
        <v>110</v>
      </c>
      <c r="AA1382" s="232">
        <v>4</v>
      </c>
      <c r="AB1382" s="233" t="str">
        <f>IF(COUNTIF(M1379:M1382,M1382)&lt;&gt;2,"",IF(COUNTIF(M1379:M1382,M1382)=1,"",IF(AND(COUNTIF(M1379:M1382,M1382)=2,M1382=2),IF(M1382=M1379,IF(Q1397=3,1,2),IF(M1382=M1380,IF(Q1394=3,1,2),IF(M1382=M1381,IF(Q1406=3,1,2)))),IF(AND(COUNTIF(M1379:M1382,M1382)=2,M1382=1),IF(M1382=M1379,IF(Q1397=3,3,4),IF(M1382=M1380,IF(Q1394=3,3,4),IF(M1382=M1381,IF(Q1406=3,3,4)))),AB1388))))</f>
        <v/>
      </c>
      <c r="AC1382" s="192"/>
      <c r="AD1382" s="192"/>
      <c r="AE1382" s="192"/>
      <c r="AF1382" s="192"/>
      <c r="AG1382" s="192"/>
      <c r="AH1382" s="192"/>
      <c r="AI1382" s="192"/>
      <c r="AJ1382" s="192"/>
      <c r="AK1382" s="192"/>
      <c r="AL1382" s="192"/>
      <c r="AM1382" s="192"/>
      <c r="AN1382" s="192"/>
      <c r="AO1382" s="192"/>
      <c r="AP1382" s="192"/>
      <c r="AQ1382" s="192"/>
      <c r="AR1382" s="192"/>
      <c r="AS1382" s="192"/>
      <c r="AT1382" s="192"/>
      <c r="AU1382" s="192"/>
      <c r="AV1382" s="192"/>
      <c r="AW1382" s="192"/>
      <c r="AX1382" s="192"/>
    </row>
    <row r="1383" spans="2:50" ht="15" customHeight="1" thickTop="1" x14ac:dyDescent="0.3">
      <c r="B1383" s="192"/>
      <c r="C1383" s="192"/>
      <c r="D1383" s="192"/>
      <c r="E1383" s="192"/>
      <c r="F1383" s="192"/>
      <c r="G1383" s="192"/>
      <c r="H1383" s="192"/>
      <c r="I1383" s="192"/>
      <c r="J1383" s="192"/>
      <c r="K1383" s="192"/>
      <c r="L1383" s="192"/>
      <c r="M1383" s="192"/>
      <c r="N1383" s="192"/>
      <c r="O1383" s="192"/>
      <c r="P1383" s="192"/>
      <c r="Q1383" s="192"/>
      <c r="R1383" s="192"/>
      <c r="S1383" s="192"/>
      <c r="T1383" s="208"/>
      <c r="U1383" s="192"/>
      <c r="V1383" s="148"/>
      <c r="W1383" s="148"/>
      <c r="X1383" s="234"/>
      <c r="Y1383" s="214">
        <v>1</v>
      </c>
      <c r="Z1383" s="215" t="str">
        <f>IF(U1386="","",IF(OR(Group_players=3,AND(Group_players=4,COUNTBLANK(I1379:I1382)=1)),IF(COUNTIF(M1379:M1381,M1379)=1,"",IF(COUNTIF(U1378:U1380,U1378)=3,IF(AND(U1386=U1387,U1387=U1388),"Tied",IF(AND(U1386&lt;&gt;U1387,U1386&lt;&gt;U1388,U1387&lt;&gt;U1388),(IF(SMALL(U1386:U1388,1)=U1386,1,IF(SMALL(U1386:U1388,2)=U1386,2,IF(SMALL(U1386:U1388,3)=U1386,3)))),IF(AND(U1386&lt;U1387,U1387=U1388),1,IF(AND(U1386&gt;U1387,U1387=U1388),3,IF(AND(U1386=U1387,U1386&lt;U1388),(IF(Q1396=3,1,2)),IF(AND(U1386=U1387,U1386&gt;U1388),(IF(Q1396=3,2,3)),IF(AND(U1386=U1388,U1386&lt;U1387),(IF(Q1390=3,1,2)),IF(AND(U1386=U1388,U1386&gt;U1387),(IF(Q1390=3,2,3)),99)))))))),"")),""))</f>
        <v/>
      </c>
      <c r="AA1383" s="208">
        <v>1</v>
      </c>
      <c r="AB1383" s="222" t="str">
        <f>IF(AND(COUNTBLANK(I1379:I1382)=0,Group_players=4,M1379=M1380,M1380=M1381),IF(COUNTIF(U1378:U1381,U1378)=3,AB1396,IF(AND(COUNTIF(U1378:U1381,U1378)=1,U1379&lt;&gt;U1380),IF(M1379=2,IF(SMALL(U1378:U1381,1)=U1378,1,IF(SMALL(U1378:U1381,2)=U1378,2,IF(SMALL(U1378:U1381,3)=U1378,3))),IF(M1379=1,IF(SMALL(U1378:U1381,1)=U1378,2,IF(SMALL(U1378:U1381,2)=U1378,3,IF(SMALL(U1378:U1381,3)=U1378,4))),"")),IF(COUNTIF(U1378:U1381,U1378)=1,IF(U1378&lt;U1379,IF(M1379=2,1,2),IF(M1379=2,3,4)),IF(COUNTIF(U1378:U1381,U1378)=2,IF(U1378=U1379,IF(U1378&lt;U1380,IF(M1379=2,IF(Q1402=3,1,2),IF(M1379=1,IF(Q1402=3,2,3))),IF(U1378&gt;U1380,IF(M1379=2,IF(Q1402=3,2,3),IF(M1379=1,IF(Q1402=3,3,4))))),IF(U1378=U1380,IF(U1378&lt;U1379,IF(M1379=2,IF(Q1390=3,1,2),IF(M1379=1,IF(Q1390=3,2,3))),IF(U1378&gt;U1379,IF(M1379=2,IF(Q1390=3,2,3),IF(M1379=1,IF(Q1390=3,3,4))))))),"")))),"")</f>
        <v/>
      </c>
      <c r="AC1383" s="192"/>
      <c r="AD1383" s="192"/>
      <c r="AE1383" s="192"/>
      <c r="AF1383" s="192"/>
      <c r="AG1383" s="192"/>
      <c r="AH1383" s="192"/>
      <c r="AI1383" s="192"/>
      <c r="AJ1383" s="192"/>
      <c r="AK1383" s="192"/>
      <c r="AL1383" s="192"/>
      <c r="AM1383" s="192"/>
      <c r="AN1383" s="192"/>
      <c r="AO1383" s="192"/>
      <c r="AP1383" s="192"/>
      <c r="AQ1383" s="192"/>
      <c r="AR1383" s="192"/>
      <c r="AS1383" s="192"/>
      <c r="AT1383" s="192"/>
      <c r="AU1383" s="192"/>
      <c r="AV1383" s="192"/>
      <c r="AW1383" s="192"/>
      <c r="AX1383" s="192"/>
    </row>
    <row r="1384" spans="2:50" ht="15" customHeight="1" thickBot="1" x14ac:dyDescent="0.35">
      <c r="B1384" s="192"/>
      <c r="C1384" s="192"/>
      <c r="D1384" s="192"/>
      <c r="E1384" s="192"/>
      <c r="F1384" s="192"/>
      <c r="G1384" s="192"/>
      <c r="H1384" s="192"/>
      <c r="I1384" s="269"/>
      <c r="J1384" s="269"/>
      <c r="K1384" s="192"/>
      <c r="L1384" s="192"/>
      <c r="M1384" s="192"/>
      <c r="N1384" s="192"/>
      <c r="O1384" s="192"/>
      <c r="P1384" s="192"/>
      <c r="Q1384" s="192"/>
      <c r="R1384" s="192"/>
      <c r="S1384" s="192"/>
      <c r="T1384" s="208"/>
      <c r="U1384" s="368" t="s">
        <v>111</v>
      </c>
      <c r="V1384" s="369"/>
      <c r="W1384" s="369"/>
      <c r="X1384" s="369"/>
      <c r="Y1384" s="236">
        <v>2</v>
      </c>
      <c r="Z1384" s="220" t="str">
        <f>IF(U1379="","",IF(OR(Group_players=3,AND(Group_players=4,COUNTBLANK(I1379:I1382)=1)),IF(COUNTIF(M1379:M1381,M1380)=1,"",IF(COUNTIF(U1378:U1380,U1379)=3,IF(AND(U1387=U1386,U1387=U1388),"Tied",IF(AND(U1387&lt;&gt;U1386,U1387&lt;&gt;U1388,U1386&lt;&gt;U1388),(IF(SMALL(U1386:U1388,1)=U1387,1,IF(SMALL(U1386:U1388,2)=U1387,2,IF(SMALL(U1386:U1388,3)=U1387,3)))),IF(AND(U1387&lt;U1386,U1386=U1388),1,IF(AND(U1387&gt;U1386,U1386=U1388),3,IF(AND(U1387=U1386,U1387&lt;U1388),(IF(Q1397=3,1,2)),IF(AND(U1387=U1386,U1387&gt;U1388),(IF(Q1397=3,2,3)),IF(AND(U1387=U1388,U1387&lt;U1386),(IF(Q1393=3,1,2)),IF(AND(U1387=U1388,U1387&gt;U1386),(IF(Q1393=3,2,3)),99)))))))),"")),""))</f>
        <v/>
      </c>
      <c r="AA1384" s="208">
        <v>2</v>
      </c>
      <c r="AB1384" s="222" t="str">
        <f>IF(AND(COUNTBLANK(I1379:I1382)=0,Group_players=4,M1379=M1380,M1380=M1381),IF(COUNTIF(U1378:U1381,U1379)=3,AB1397,IF(AND(COUNTIF(U1378:U1381,U1379)=1,U1378&lt;&gt;U1380),IF(M1380=2,IF(SMALL(U1378:U1381,1)=U1379,1,IF(SMALL(U1378:U1381,2)=U1379,2,IF(SMALL(U1378:U1381,3)=U1379,3))),IF(M1380=1,IF(SMALL(U1378:U1381,1)=U1379,2,IF(SMALL(U1378:U1381,2)=U1379,3,IF(SMALL(U1378:U1381,3)=U1379,4))),"")),IF(COUNTIF(U1378:U1380,U1379)=1,IF(U1379&lt;U1378,IF(M1380=2,1,2),IF(M1380=2,3,99)),IF(COUNTIF(U1378:U1381,U1379)=2,IF(U1379=U1378,IF(U1379&lt;U1380,IF(M1380=2,IF(Q1403=3,1,2),IF(M1380=1,IF(Q1403=3,2,3))),IF(U1379&gt;U1380,IF(M1380=2,IF(Q1403=3,2,3),IF(M1380=1,IF(Q1403=3,3,4))))),IF(U1379=U1380,IF(U1379&lt;U1378,IF(M1380=2,IF(Q1399=3,1,2),IF(M1380=1,IF(Q1399=3,2,3))),IF(U1379&gt;U1378,IF(M1380=2,IF(Q1399=3,2,3),IF(M1380=1,IF(Q1399=3,3,4))))))),"")))),"")</f>
        <v/>
      </c>
      <c r="AC1384" s="192"/>
      <c r="AD1384" s="192"/>
      <c r="AE1384" s="192"/>
      <c r="AF1384" s="192"/>
      <c r="AG1384" s="192"/>
      <c r="AH1384" s="192"/>
      <c r="AI1384" s="192"/>
      <c r="AJ1384" s="192"/>
      <c r="AK1384" s="192"/>
      <c r="AL1384" s="192"/>
      <c r="AM1384" s="192"/>
      <c r="AN1384" s="192"/>
      <c r="AO1384" s="192"/>
      <c r="AP1384" s="192"/>
      <c r="AQ1384" s="192"/>
      <c r="AR1384" s="192"/>
      <c r="AS1384" s="192"/>
      <c r="AT1384" s="192"/>
      <c r="AU1384" s="192"/>
      <c r="AV1384" s="192"/>
      <c r="AW1384" s="192"/>
      <c r="AX1384" s="192"/>
    </row>
    <row r="1385" spans="2:50" ht="15" customHeight="1" thickTop="1" thickBot="1" x14ac:dyDescent="0.35">
      <c r="B1385" s="192"/>
      <c r="C1385" s="192"/>
      <c r="D1385" s="192"/>
      <c r="E1385" s="192"/>
      <c r="F1385" s="192"/>
      <c r="G1385" s="192"/>
      <c r="H1385" s="192"/>
      <c r="I1385" s="192"/>
      <c r="J1385" s="192"/>
      <c r="K1385" s="192"/>
      <c r="L1385" s="192"/>
      <c r="M1385" s="192"/>
      <c r="N1385" s="192"/>
      <c r="O1385" s="192"/>
      <c r="P1385" s="192"/>
      <c r="Q1385" s="192"/>
      <c r="R1385" s="192"/>
      <c r="S1385" s="192"/>
      <c r="T1385" s="120"/>
      <c r="U1385" s="121" t="s">
        <v>101</v>
      </c>
      <c r="V1385" s="122" t="s">
        <v>102</v>
      </c>
      <c r="W1385" s="122" t="s">
        <v>103</v>
      </c>
      <c r="X1385" s="123" t="s">
        <v>104</v>
      </c>
      <c r="Y1385" s="238">
        <v>3</v>
      </c>
      <c r="Z1385" s="239" t="str">
        <f>IF(U1380="","",IF(OR(Group_players=3,AND(Group_players=4,COUNTBLANK(I1379:I1382)=1)),IF(COUNTIF(M1379:M1381,M1381)=1,"",IF(COUNTIF(U1378:U1380,U1380)=3,IF(AND(U1388=U1386,U1388=U1387),"Tied",IF(AND(U1388&lt;&gt;U1387,U1387&lt;&gt;U1386,U1388&lt;&gt;U1386),(IF(SMALL(U1386:U1388,1)=U1388,1,IF(SMALL(U1386:U1388,2)=U1388,2,IF(SMALL(U1386:U1388,3)=U1388,3)))),IF(AND(U1388&lt;U1387,U1387=U1386),1,IF(AND(U1388&gt;U1387,U1387=U1386),3,IF(AND(U1388=U1387,U1388&lt;U1386),(IF(Q1394=3,1,2)),IF(AND(U1388=U1387,U1388&gt;U1386),(IF(Q1394=3,2,3)),IF(AND(U1388=U1386,U1388&lt;U1387),(IF(Q1391=3,1,2)),IF(AND(U1388=U1386,U1388&gt;U1387),(IF(Q1391=3,2,3)),99)))))))),"")),""))</f>
        <v/>
      </c>
      <c r="AA1385" s="240">
        <v>3</v>
      </c>
      <c r="AB1385" s="241" t="str">
        <f>IF(AND(COUNTBLANK(I1379:I1382)=0,Group_players=4,M1379=M1380,M1380=M1381),IF(COUNTIF(U1378:U1381,U1380)=3,AB1398,IF(AND(COUNTIF(U1378:U1381,U1380)=1,U1378&lt;&gt;U1379),IF(M1379=2,IF(SMALL(U1378:U1381,1)=U1380,1,IF(SMALL(U1378:U1381,2)=U1380,2,IF(SMALL(U1378:U1381,3)=U1380,3))),IF(M1381=1,IF(SMALL(U1378:U1381,1)=U1380,2,IF(SMALL(U1378:U1381,2)=U1380,3,IF(SMALL(U1378:U1381,3)=U1380,4))),"")),IF(COUNTIF(U1378:U1381,U1380)=1,IF(U1380&lt;U1379,IF(M1381=2,1,2),IF(M1381=2,3,4)),IF(COUNTIF(U1378:U1381,U1380)=2,IF(U1380=U1379,IF(U1380&lt;U1378,IF(M1381=2,IF(Q1400=3,1,2),IF(M1381=1,IF(Q1400=3,2,3))),IF(U1380&gt;U1378,IF(M1381=2,IF(Q1400=3,2,3),IF(M1381=1,IF(Q1400=3,3,4))))),IF(U1380=U1378,IF(U1380&lt;U1379,IF(M1381=2,IF(Q1391=3,1,2),IF(M1381=1,IF(Q1391=3,2,3))),IF(U1380&gt;U1379,IF(M1381=2,IF(Q1391=3,2,3),IF(M1381=1,IF(Q1391=3,3,4))))))),"")))),"")</f>
        <v/>
      </c>
      <c r="AC1385" s="192"/>
      <c r="AD1385" s="192"/>
      <c r="AE1385" s="192"/>
      <c r="AF1385" s="192"/>
      <c r="AG1385" s="192"/>
      <c r="AH1385" s="192"/>
      <c r="AI1385" s="192"/>
      <c r="AJ1385" s="192"/>
      <c r="AK1385" s="192"/>
      <c r="AL1385" s="192"/>
      <c r="AM1385" s="192"/>
      <c r="AN1385" s="192"/>
      <c r="AO1385" s="192"/>
      <c r="AP1385" s="192"/>
      <c r="AQ1385" s="192"/>
      <c r="AR1385" s="192"/>
      <c r="AS1385" s="192"/>
      <c r="AT1385" s="192"/>
      <c r="AU1385" s="192"/>
      <c r="AV1385" s="192"/>
      <c r="AW1385" s="192"/>
      <c r="AX1385" s="192"/>
    </row>
    <row r="1386" spans="2:50" ht="15" customHeight="1" thickTop="1" thickBot="1" x14ac:dyDescent="0.35">
      <c r="B1386" s="192"/>
      <c r="C1386" s="192"/>
      <c r="D1386" s="192"/>
      <c r="E1386" s="192"/>
      <c r="F1386" s="192"/>
      <c r="G1386" s="192"/>
      <c r="H1386" s="192"/>
      <c r="I1386" s="192"/>
      <c r="J1386" s="192"/>
      <c r="K1386" s="192"/>
      <c r="L1386" s="192"/>
      <c r="M1386" s="192"/>
      <c r="N1386" s="192"/>
      <c r="O1386" s="192"/>
      <c r="P1386" s="192"/>
      <c r="Q1386" s="192"/>
      <c r="R1386" s="192"/>
      <c r="S1386" s="192"/>
      <c r="T1386" s="208">
        <v>1</v>
      </c>
      <c r="U1386" s="209" t="str">
        <f>IF(U1378="","",IF(OR(U1378&lt;&gt;U1379,U1378&lt;&gt;U1380),"",IF(COUNTIF(M1379:M1381,M1379)=1,"",IF(COUNTBLANK(I1379:I1382)=1,(SUM(L1391:P1391)+SUM(L1397:P1397))/(SUM(L1390:P1390)+SUM(L1396:P1396)),IF(COUNTBLANK(I1379:I1382)=0,(SUM(L1403:P1403)+SUM(L1391:P1391))/(SUM(L1402:P1402)+SUM(L1390:P1390)),"")))))</f>
        <v/>
      </c>
      <c r="V1386" s="125" t="str">
        <f>IF(V1378="","",IF(OR(V1378&lt;&gt;V1380,V1378&lt;&gt;V1381),"",IF(AND(COUNTBLANK(I1379:I1382)=0,M1379=M1381,M1381=M1382),(SUM(L1391:P1391)+SUM(L1397:P1397))/(SUM(L1390:P1390)+SUM(L1396:P1396)),"")))</f>
        <v/>
      </c>
      <c r="W1386" s="210" t="str">
        <f>IF(W1378="","",IF(OR(W1378&lt;&gt;W1379,W1378&lt;&gt;W1381),"",IF(AND(COUNTBLANK(I1379:I1382)=0,M1379=M1380,M1380=M1382),(SUM(L1403:P1403)+SUM(L1397:P1397))/(SUM(L1402:P1402)+SUM(L1396:P1396)),"")))</f>
        <v/>
      </c>
      <c r="X1386" s="211"/>
      <c r="Y1386" s="242"/>
      <c r="Z1386" s="242"/>
      <c r="AA1386" s="243">
        <v>1</v>
      </c>
      <c r="AB1386" s="244" t="str">
        <f>IF(AND(COUNTBLANK(I1379:I1382)=0,Group_players=4,M1379=M1381,M1381=M1382),IF(COUNTIF(V1378:V1381,V1378)=3,AB1399,IF(AND(COUNTIF(V1378:V1381,V1378)=1,V1380&lt;&gt;U1389),IF(M1379=2,IF(SMALL(V1378:V1381,1)=V1378,1,IF(SMALL(V1378:V1381,2)=V1378,2,IF(SMALL(V1378:V1381,3)=V1378,3))),IF(M1379=1,IF(SMALL(V1378:V1381,1)=V1378,2,IF(SMALL(V1378:V1381,2)=V1378,3,IF(SMALL(V1378:V1381,3)=V1378,4))),"")),IF(COUNTIF(V1378:V1381,V1378)=1,IF(V1378&lt;V1380,IF(M1379=2,1,2),IF(M1379=2,3,4)),IF(COUNTIF(V1378:V1381,V1378)=2,IF(V1378=V1380,IF(V1378&lt;V1381,IF(M1379=2,IF(Q1390=3,1,2),IF(M1379=1,IF(Q1390=3,2,3))),IF(V1378&gt;V1381,IF(M1379=2,IF(Q1390=3,2,3),IF(M1379=1,IF(Q1390=3,3,4))))),IF(V1378=V1381,IF(V1378&lt;V1380,IF(M1379=2,IF(Q1396=3,1,2),IF(M1379=1,IF(Q1396=3,2,3))),IF(V1378&gt;V1379,IF(M1379=2,IF(Q1396=3,2,3),IF(M1379=1,IF(Q1396=3,3,4))))))),"")))),"")</f>
        <v/>
      </c>
      <c r="AC1386" s="192"/>
      <c r="AD1386" s="192"/>
      <c r="AE1386" s="192"/>
      <c r="AF1386" s="192"/>
      <c r="AG1386" s="192"/>
      <c r="AH1386" s="192"/>
      <c r="AI1386" s="192"/>
      <c r="AJ1386" s="192"/>
      <c r="AK1386" s="192"/>
      <c r="AL1386" s="192"/>
      <c r="AM1386" s="192"/>
      <c r="AN1386" s="192"/>
      <c r="AO1386" s="192"/>
      <c r="AP1386" s="192"/>
      <c r="AQ1386" s="192"/>
      <c r="AR1386" s="192"/>
      <c r="AS1386" s="192"/>
      <c r="AT1386" s="192"/>
      <c r="AU1386" s="192"/>
      <c r="AV1386" s="192"/>
      <c r="AW1386" s="192"/>
      <c r="AX1386" s="192"/>
    </row>
    <row r="1387" spans="2:50" ht="15" customHeight="1" thickTop="1" thickBot="1" x14ac:dyDescent="0.35">
      <c r="B1387" s="192"/>
      <c r="C1387" s="192"/>
      <c r="D1387" s="192"/>
      <c r="E1387" s="117"/>
      <c r="F1387" s="117"/>
      <c r="G1387" s="117"/>
      <c r="H1387" s="192"/>
      <c r="I1387" s="192"/>
      <c r="J1387" s="192"/>
      <c r="K1387" s="192"/>
      <c r="L1387" s="192"/>
      <c r="M1387" s="192"/>
      <c r="N1387" s="192"/>
      <c r="O1387" s="192"/>
      <c r="P1387" s="192"/>
      <c r="Q1387" s="192"/>
      <c r="R1387" s="192"/>
      <c r="S1387" s="394" t="s">
        <v>112</v>
      </c>
      <c r="T1387" s="208">
        <v>2</v>
      </c>
      <c r="U1387" s="209" t="str">
        <f>IF(U1378="","",IF(OR(U1379&lt;&gt;U1378,U1379&lt;&gt;U1380),"",IF(COUNTIF(M1379:M1381,M1380)=1,"",IF(COUNTBLANK(I1379:I1382)=1,(SUM(L1394:P1394)+SUM(L1396:P1396))/(SUM(L1393:P1393)+SUM(L1397:P1397)),IF(COUNTBLANK(I1379:I1382)=0,(SUM(L1402:P1402)+SUM(L1400:P1400))/(SUM(L1403:P1403)+SUM(L1399:P1399)))))))</f>
        <v/>
      </c>
      <c r="V1387" s="135"/>
      <c r="W1387" s="212" t="str">
        <f>IF(W1378="","",IF(OR(W1379&lt;&gt;W1378,W1379&lt;&gt;W1381),"",IF(AND(COUNTBLANK(I1379:I1382)=0,M1379=M1380,M1380=M1382),(SUM(L1394:P1394)+SUM(L1402:P1402))/(SUM(L1403:P1403)+SUM(L1393:P1393)),"")))</f>
        <v/>
      </c>
      <c r="X1387" s="245" t="str">
        <f>IF(X1379="","",IF(OR(X1379&lt;&gt;X1380,X1379&lt;&gt;X1381),"",IF(AND(COUNTBLANK(I1379:I1382)=0,M1380=M1381,M1381=M1382),(SUM(L1400:P1400)+SUM(L1394:P1394))/(SUM(L1399:P1399)+SUM(L1393:P1393)),"")))</f>
        <v/>
      </c>
      <c r="Y1387" s="242"/>
      <c r="Z1387" s="203"/>
      <c r="AA1387" s="246">
        <v>3</v>
      </c>
      <c r="AB1387" s="222" t="str">
        <f>IF(AND(COUNTBLANK(I1379:I1382)=0,Group_players=4,M1379=M1381,M1381=M1382),IF(COUNTIF(V1378:V1381,V1380)=3,AB1400,IF(AND(COUNTIF(V1378:V1381,V1380)=1,V1378&lt;&gt;V1381),IF(M1381=2,IF(SMALL(V1378:V1381,1)=V1380,1,IF(SMALL(V1378:V1381,2)=V1380,2,IF(SMALL(V1378:V1381,3)=V1380,3))),IF(M1381=1,IF(SMALL(V1378:V1381,1)=V1380,2,IF(SMALL(V1378:V1381,2)=V1380,3,IF(SMALL(V1378:V1381,3)=V1380,4))),"")),IF(COUNTIF(V1378:V1381,V1380)=1,IF(V1380&lt;V1378,IF(M1381=2,1,2),IF(M1381=2,3,4)),IF(COUNTIF(V1378:V1381,V1380)=2,IF(V1380=V1378,IF(V1380&lt;V1381,IF(M1381=2,IF(Q1391=3,1,2),IF(M1381=1,IF(Q1391=3,2,3))),IF(V1380&gt;V1381,IF(M1381=2,IF(Q1391=3,2,3),IF(M1381=1,IF(Q1391=3,3,4))))),IF(V1380=V1381,IF(V1380&lt;V1378,IF(M1381=2,IF(Q1405=3,1,2),IF(M1381=1,IF(Q1405=3,2,3))),IF(V1380&gt;V1378,IF(M1381=2,IF(Q1405=3,2,3),IF(M1381=1,IF(Q1405=3,3,4))))))),"")))),"")</f>
        <v/>
      </c>
      <c r="AC1387" s="192"/>
      <c r="AD1387" s="192"/>
      <c r="AE1387" s="192"/>
      <c r="AF1387" s="192"/>
      <c r="AG1387" s="192"/>
      <c r="AH1387" s="192"/>
      <c r="AI1387" s="192"/>
      <c r="AJ1387" s="192"/>
      <c r="AK1387" s="192"/>
      <c r="AL1387" s="192"/>
      <c r="AM1387" s="192"/>
      <c r="AN1387" s="192"/>
      <c r="AO1387" s="192"/>
      <c r="AP1387" s="192"/>
      <c r="AQ1387" s="192"/>
      <c r="AR1387" s="192"/>
      <c r="AS1387" s="192"/>
      <c r="AT1387" s="192"/>
      <c r="AU1387" s="192"/>
      <c r="AV1387" s="192"/>
      <c r="AW1387" s="192"/>
      <c r="AX1387" s="192"/>
    </row>
    <row r="1388" spans="2:50" ht="15" customHeight="1" thickTop="1" thickBot="1" x14ac:dyDescent="0.35">
      <c r="B1388" s="192"/>
      <c r="C1388" s="192"/>
      <c r="D1388" s="192"/>
      <c r="E1388" s="117"/>
      <c r="F1388" s="117"/>
      <c r="G1388" s="117"/>
      <c r="H1388" s="192"/>
      <c r="I1388" s="192"/>
      <c r="J1388" s="192"/>
      <c r="K1388" s="192"/>
      <c r="L1388" s="192"/>
      <c r="M1388" s="192"/>
      <c r="N1388" s="192"/>
      <c r="O1388" s="192"/>
      <c r="P1388" s="192"/>
      <c r="Q1388" s="192"/>
      <c r="R1388" s="247"/>
      <c r="S1388" s="395"/>
      <c r="T1388" s="208">
        <v>3</v>
      </c>
      <c r="U1388" s="209" t="str">
        <f>IF(U1378="","",IF(OR(U1380&lt;&gt;U1378,U1380&lt;&gt;U1379),"",IF(COUNTIF(M1379:M1381,M1381)=1,"",IF(COUNTBLANK(I1379:I1382)=1,(SUM(L1390:P1390)+SUM(L1393:P1393))/(SUM(L1391:P1391)+SUM(L1394:P1394)),IF(COUNTBLANK(I1379:I1382)=0,(SUM(L1390:P1390)+SUM(L1399:P1399))/(SUM(L1391:P1391)+SUM(L1400:P1400)))))))</f>
        <v/>
      </c>
      <c r="V1388" s="125" t="str">
        <f>IF(V1378="","",IF(OR(V1380&lt;&gt;V1378,V1380&lt;&gt;V1381),"",IF(AND(COUNTBLANK(I1379:I1382)=0,M1379=M1381,M1381=M1382),(SUM(L1390:P1390)+SUM(L1406:P1406))/(SUM(L1391:P1391)+SUM(L1405:P1405)),"")))</f>
        <v/>
      </c>
      <c r="W1388" s="218"/>
      <c r="X1388" s="245" t="str">
        <f>IF(X1379="","",IF(OR(X1380&lt;&gt;X1379,X1380&lt;&gt;X1381),"",IF(AND(COUNTBLANK(I1379:I1382)=0,M1380=M1381,M1381=M1382),(SUM(L1399:P1399)+SUM(L1406:P1406))/(SUM(L1400:P1400)+SUM(L1405:P1405)),"")))</f>
        <v/>
      </c>
      <c r="Y1388" s="208"/>
      <c r="Z1388" s="203"/>
      <c r="AA1388" s="240">
        <v>4</v>
      </c>
      <c r="AB1388" s="222" t="str">
        <f>IF(AND(COUNTBLANK(I1379:I1382)=0,Group_players=4,M1379=M1381,M1381=M1382),IF(COUNTIF(V1378:V1381,V1381)=3,AB1401,IF(AND(COUNTIF(V1378:V1381,V1381)=1,V1380&lt;&gt;V1378),IF(M1382=2,IF(SMALL(V1378:V1381,1)=V1381,1,IF(SMALL(V1378:V1381,2)=V1381,2,IF(SMALL(V1378:V1381,3)=V1381,3))),IF(M1382=1,IF(SMALL(V1378:V1381,1)=V1381,2,IF(SMALL(V1378:V1381,2)=V1381,3,IF(SMALL(V1378:V1381,3)=V1381,4))),"")),IF(COUNTIF(V1378:V1381,V1381)=1,IF(V1381&lt;V1378,IF(M1382=2,1,2),IF(M1382=2,3,4)),IF(COUNTIF(V1378:V1381,V1381)=2,IF(V1381=V1378,IF(V1381&lt;V1380,IF(M1382=2,IF(Q1397=3,1,2),IF(M1382=1,IF(Q1397=3,2,3))),IF(V1381&gt;V1380,IF(M1382=2,IF(Q1397=3,2,3),IF(M1382=1,IF(Q1397=3,3,4))))),IF(V1381=V1380,IF(V1381&lt;V1378,IF(M1382=2,IF(Q1406=3,1,2),IF(M1382=1,IF(Q1406=3,2,3))),IF(V1381&gt;V1378,IF(M1382=2,IF(Q1406=3,2,3),IF(M1382=1,IF(Q1406=3,3,4))))))),"")))),"")</f>
        <v/>
      </c>
      <c r="AC1388" s="192"/>
      <c r="AD1388" s="192"/>
      <c r="AE1388" s="192"/>
      <c r="AF1388" s="192"/>
      <c r="AG1388" s="192"/>
      <c r="AH1388" s="192"/>
      <c r="AI1388" s="192"/>
      <c r="AJ1388" s="192"/>
      <c r="AK1388" s="192"/>
      <c r="AL1388" s="192"/>
      <c r="AM1388" s="192"/>
      <c r="AN1388" s="192"/>
      <c r="AO1388" s="192"/>
      <c r="AP1388" s="192"/>
      <c r="AQ1388" s="192"/>
      <c r="AR1388" s="192"/>
      <c r="AS1388" s="192"/>
      <c r="AT1388" s="192"/>
      <c r="AU1388" s="192"/>
      <c r="AV1388" s="192"/>
      <c r="AW1388" s="192"/>
      <c r="AX1388" s="192"/>
    </row>
    <row r="1389" spans="2:50" ht="15" customHeight="1" thickTop="1" thickBot="1" x14ac:dyDescent="0.35">
      <c r="B1389" s="192"/>
      <c r="C1389" s="192"/>
      <c r="D1389" s="192"/>
      <c r="E1389" s="168" t="s">
        <v>113</v>
      </c>
      <c r="F1389" s="168" t="s">
        <v>114</v>
      </c>
      <c r="G1389" s="117"/>
      <c r="H1389" s="192"/>
      <c r="I1389" s="249" t="s">
        <v>115</v>
      </c>
      <c r="J1389" s="249"/>
      <c r="K1389" s="249"/>
      <c r="L1389" s="250" t="s">
        <v>115</v>
      </c>
      <c r="M1389" s="250" t="s">
        <v>116</v>
      </c>
      <c r="N1389" s="250" t="s">
        <v>117</v>
      </c>
      <c r="O1389" s="250" t="s">
        <v>118</v>
      </c>
      <c r="P1389" s="250" t="s">
        <v>119</v>
      </c>
      <c r="Q1389" s="250" t="s">
        <v>120</v>
      </c>
      <c r="R1389" s="250"/>
      <c r="S1389" s="251"/>
      <c r="T1389" s="208">
        <v>4</v>
      </c>
      <c r="U1389" s="223"/>
      <c r="V1389" s="140" t="str">
        <f>IF(V1378="","",IF(OR(V1381&lt;&gt;V1378,V1381&lt;&gt;V1380),"",IF(AND(COUNTBLANK(I1379:I1382)=0,M1379=M1381,M1381=M1382),(SUM(L1396:P1396)+SUM(L1405:P1405))/(SUM(L1397:P1397)+SUM(L1406:P1406)),"")))</f>
        <v/>
      </c>
      <c r="W1389" s="224" t="str">
        <f>IF(W1378="","",IF(OR(W1381&lt;&gt;W1378,W1381&lt;&gt;W1379),"",IF(AND(COUNTBLANK(I1379:I1382)=0,M1379=M1380,M1380=M1382),(SUM(L1396:P1396)+SUM(L1393:P1393))/(SUM(L1397:P1397)+SUM(L1394:P1394)),"")))</f>
        <v/>
      </c>
      <c r="X1389" s="252" t="str">
        <f>IF(X1379="","",IF(OR(X1381&lt;&gt;X1379,X1381&lt;&gt;X1380),"",IF(AND(COUNTBLANK(I1379:I1382)=0,M1380=M1381,M1381=M1382),(SUM(L1393:P1393)+SUM(L1405:P1405))/(SUM(L1394:P1394)+SUM(L1406:P1406)),"")))</f>
        <v/>
      </c>
      <c r="Y1389" s="192"/>
      <c r="Z1389" s="203"/>
      <c r="AA1389" s="243">
        <v>1</v>
      </c>
      <c r="AB1389" s="151" t="str">
        <f>IF(AND(COUNTBLANK(I1379:I1382)=0,Group_players=4,M1379=M1380,M1380=M1382),IF(COUNTIF(W1378:W1381,W1378)=3,AB1402,IF(AND(COUNTIF(W1378:W1381,W1378)=1,W1379&lt;&gt;W1381),IF(M1379=2,IF(SMALL(W1378:W1381,1)=W1378,1,IF(SMALL(W1378:W1381,2)=W1378,2,IF(SMALL(W1378:W1381,3)=W1378,3))),IF(M1379=1,IF(SMALL(W1378:W1381,1)=W1378,2,IF(SMALL(W1378:W1381,2)=W1378,3,IF(SMALL(W1378:W1381,3)=W1378,4))),"")),IF(COUNTIF(W1378:W1381,W1378)=1,IF(W1378&lt;W1379,IF(M1379=2,1,2),IF(M1379=2,3,4)),IF(COUNTIF(W1378:W1381,W1378)=2,IF(W1378=W1379,IF(W1378&lt;W1381,IF(M1379=2,IF(Q1402=3,1,2),IF(M1379=1,IF(Q1402=3,2,3))),IF(W1378&gt;W1381,IF(M1379=2,IF(Q1402=3,2,3),IF(M1379=1,IF(Q1402=3,3,4))))),IF(W1378=W1381,IF(W1378&lt;W1379,IF(M1379=2,IF(Q1396=3,1,2),IF(M1379=1,IF(Q1396=3,2,3))),IF(W1378&gt;W1379,IF(M1379=2,IF(Q1396=3,2,3),IF(M1379=1,IF(Q1396=3,3,4))))))),"")))),"")</f>
        <v/>
      </c>
      <c r="AC1389" s="192"/>
      <c r="AD1389" s="192"/>
      <c r="AE1389" s="192"/>
      <c r="AF1389" s="192"/>
      <c r="AG1389" s="192"/>
      <c r="AH1389" s="192"/>
      <c r="AI1389" s="192"/>
      <c r="AJ1389" s="192"/>
      <c r="AK1389" s="192"/>
      <c r="AL1389" s="192"/>
      <c r="AM1389" s="192"/>
      <c r="AN1389" s="192"/>
      <c r="AO1389" s="192"/>
      <c r="AP1389" s="192"/>
      <c r="AQ1389" s="192"/>
      <c r="AR1389" s="192"/>
      <c r="AS1389" s="192"/>
      <c r="AT1389" s="192"/>
      <c r="AU1389" s="192"/>
      <c r="AV1389" s="192"/>
      <c r="AW1389" s="192"/>
      <c r="AX1389" s="192"/>
    </row>
    <row r="1390" spans="2:50" ht="15" customHeight="1" thickTop="1" x14ac:dyDescent="0.3">
      <c r="B1390" s="192"/>
      <c r="C1390" s="192"/>
      <c r="D1390" s="192"/>
      <c r="E1390" s="164" t="str">
        <f>IF(Q1390="","",IF(Q1390=3,1,0))</f>
        <v/>
      </c>
      <c r="F1390" s="164" t="str">
        <f>IF(Q1390="","",IF(Q1390&lt;3,1,0))</f>
        <v/>
      </c>
      <c r="G1390" s="192"/>
      <c r="H1390" s="192" t="str">
        <f>IF(I1379="","",1)</f>
        <v/>
      </c>
      <c r="I1390" s="192" t="str">
        <f>IF(ISNUMBER(H1390),VLOOKUP(H1390,H1379:I1382,2,TRUE),"")</f>
        <v/>
      </c>
      <c r="J1390" s="192"/>
      <c r="K1390" s="192" t="str">
        <f>VLOOKUP(I1390,I1379:L1382,3,FALSE)</f>
        <v/>
      </c>
      <c r="L1390" s="253"/>
      <c r="M1390" s="254"/>
      <c r="N1390" s="254"/>
      <c r="O1390" s="152"/>
      <c r="P1390" s="153"/>
      <c r="Q1390" s="255" t="str">
        <f>IF(L1390="","",IF(AND(L1390-L1391&gt;1,L1390&gt;10),1,0)+IF(AND(M1390-M1391&gt;1,M1390&gt;10),1,0)+IF(AND(N1390-N1391&gt;1,N1390&gt;10),1,0)+IF(AND(O1390-O1391&gt;1,O1390&gt;10),1,0)+IF(AND(P1390-P1391&gt;1,P1390&gt;10),1,0))</f>
        <v/>
      </c>
      <c r="R1390" s="203" t="str">
        <f>IF(AND(I1390="",I1391=""),"",ABS(VLOOKUP(I1390,I1379:L1382,4,FALSE)-VLOOKUP(I1391,I1379:L1382,4,FALSE)))</f>
        <v/>
      </c>
      <c r="S1390" s="256" t="str">
        <f>IF(R1391="","",IF(Q1390=3,+R1391,-R1391))</f>
        <v/>
      </c>
      <c r="T1390" s="257"/>
      <c r="U1390" s="258"/>
      <c r="V1390" s="258"/>
      <c r="W1390" s="258"/>
      <c r="X1390" s="258"/>
      <c r="Y1390" s="192"/>
      <c r="Z1390" s="203"/>
      <c r="AA1390" s="246">
        <v>2</v>
      </c>
      <c r="AB1390" s="154" t="str">
        <f>IF(AND(COUNTBLANK(I1379:I1382)=0,Group_players=4,M1379=M1380,M1380=M1382),IF(COUNTIF(W1378:W1381,W1379)=3,AB1403,IF(AND(COUNTIF(W1378:W1381,W1379)=1,W1378&lt;&gt;W1380),IF(M1380=2,IF(SMALL(W1378:W1381,1)=W1379,1,IF(SMALL(W1378:W1381,2)=W1379,2,IF(SMALL(W1378:W1381,3)=W1379,3))),IF(M1380=1,IF(SMALL(W1378:W1381,1)=W1379,2,IF(SMALL(W1378:W1381,2)=W1379,3,IF(SMALL(W1378:W1381,3)=W1379,4))),"")),IF(COUNTIF(W1378:W1381,W1379)=1,IF(W1379&lt;W1378,IF(M1380=2,1,2),IF(M1380=2,3,4)),IF(COUNTIF(W1378:W1381,W1379)=2,IF(W1379=W1378,IF(W1379&lt;W1381,IF(M1380=2,IF(Q1403=3,1,2),IF(M1380=1,IF(Q1403=3,2,3))),IF(W1379&gt;W1381,IF(M1380=2,IF(Q1403=3,2,3),IF(M1380=1,IF(Q1403=3,3,4))))),IF(W1379=W1381,IF(W1379&lt;W1378,IF(M1380=2,IF(Q1393=3,1,2),IF(M1380=1,IF(Q1393=3,2,3))),IF(W1379&gt;W1378,IF(M1380=2,IF(Q1393=3,2,3),IF(M1380=1,IF(Q1393=3,3,4))))))),"")))),"")</f>
        <v/>
      </c>
      <c r="AC1390" s="192"/>
      <c r="AD1390" s="192"/>
      <c r="AE1390" s="192"/>
      <c r="AF1390" s="192"/>
      <c r="AG1390" s="192"/>
      <c r="AH1390" s="192"/>
      <c r="AI1390" s="192"/>
      <c r="AJ1390" s="192"/>
      <c r="AK1390" s="192"/>
      <c r="AL1390" s="192"/>
      <c r="AM1390" s="192"/>
      <c r="AN1390" s="192"/>
      <c r="AO1390" s="192"/>
      <c r="AP1390" s="192"/>
      <c r="AQ1390" s="192"/>
      <c r="AR1390" s="192"/>
      <c r="AS1390" s="192"/>
      <c r="AT1390" s="192"/>
      <c r="AU1390" s="192"/>
      <c r="AV1390" s="192"/>
      <c r="AW1390" s="192"/>
      <c r="AX1390" s="192"/>
    </row>
    <row r="1391" spans="2:50" ht="15" customHeight="1" thickBot="1" x14ac:dyDescent="0.35">
      <c r="B1391" s="192"/>
      <c r="C1391" s="192"/>
      <c r="D1391" s="192"/>
      <c r="E1391" s="164" t="str">
        <f>IF(Q1391="","",IF(Q1391=3,1,0))</f>
        <v/>
      </c>
      <c r="F1391" s="164" t="str">
        <f>IF(Q1391="","",IF(Q1391&lt;3,1,0))</f>
        <v/>
      </c>
      <c r="G1391" s="192"/>
      <c r="H1391" s="192" t="str">
        <f>IF(I1380="","",IF(I1381="",2,3))</f>
        <v/>
      </c>
      <c r="I1391" s="192" t="str">
        <f>IF(ISNUMBER(H1391),VLOOKUP(H1391,H1379:I1382,2,TRUE),"")</f>
        <v/>
      </c>
      <c r="J1391" s="192"/>
      <c r="K1391" s="192" t="str">
        <f>VLOOKUP(I1391,I1379:L1382,3,FALSE)</f>
        <v/>
      </c>
      <c r="L1391" s="155"/>
      <c r="M1391" s="259"/>
      <c r="N1391" s="259"/>
      <c r="O1391" s="156"/>
      <c r="P1391" s="157"/>
      <c r="Q1391" s="260" t="str">
        <f>IF(L1391="","",IF(AND(L1391-L1390&gt;1,L1391&gt;10),1,0)+IF(AND(M1391-M1390&gt;1,M1391&gt;10),1,0)+IF(AND(N1391-N1390&gt;1,N1391&gt;10),1,0)+IF(AND(O1391-O1390&gt;1,O1391&gt;10),1,0)+IF(AND(P1391-P1390&gt;1,P1391&gt;10),1,0))</f>
        <v/>
      </c>
      <c r="R1391" s="203" t="str">
        <f>IF(AND(Q1390&lt;&gt;3,Q1391&lt;&gt;3),"",IF(Q1390=3,IF(VLOOKUP(I1390,I1379:L1382,4,FALSE)&gt;VLOOKUP(I1391,I1379:L1382,4,FALSE),VLOOKUP(R1390,Point_dif,2,FALSE),VLOOKUP(R1390,Point_dif,3,FALSE)),IF(Q1391=3,IF(VLOOKUP(I1391,I1379:L1382,4,FALSE)&gt;VLOOKUP(I1390,I1379:L1382,4,FALSE),VLOOKUP(R1390,Point_dif,2,FALSE),VLOOKUP(R1390,Point_dif,3,FALSE)))))</f>
        <v/>
      </c>
      <c r="S1391" s="256" t="str">
        <f>IF(R1391="","",IF(Q1391=3,+R1391,-R1391))</f>
        <v/>
      </c>
      <c r="T1391" s="192"/>
      <c r="U1391" s="235"/>
      <c r="V1391" s="235"/>
      <c r="W1391" s="235"/>
      <c r="X1391" s="235"/>
      <c r="Y1391" s="235"/>
      <c r="Z1391" s="235"/>
      <c r="AA1391" s="240">
        <v>4</v>
      </c>
      <c r="AB1391" s="158" t="str">
        <f>IF(AND(COUNTBLANK(I1379:I1382)=0,Group_players=4,M1379=M1380,M1380=M1382),IF(COUNTIF(W1378:W1381,W1381)=3,AB1404,IF(AND(COUNTIF(W1378:W1381,W1381)=1,W1378&lt;&gt;W1379),IF(M1382=2,IF(SMALL(W1378:W1381,1)=W1381,1,IF(SMALL(W1378:W1381,2)=W1381,2,IF(SMALL(W1378:W1381,3)=W1381,3))),IF(M1382=1,IF(SMALL(W1378:W1381,1)=W1381,2,IF(SMALL(W1378:W1381,2)=W1381,3,IF(SMALL(W1378:W1381,3)=W1381,4))),"")),IF(COUNTIF(W1378:W1381,W1381)=1,IF(W1381&lt;W1378,IF(M1382=2,1,2),IF(M1382=2,3,4)),IF(COUNTIF(W1378:W1381,W1381)=2,IF(W1381=W1378,IF(W1381&lt;W1379,IF(M1382=2,IF(Q1397=3,1,2),IF(M1382=1,IF(Q1397=3,2,3))),IF(W1381&gt;W1380,IF(M1382=2,IF(Q1397=3,2,3),IF(M1382=1,IF(Q1397=3,3,4))))),IF(W1381=W1379,IF(W1381&lt;W1378,IF(M1382=2,IF(Q1394=3,1,2),IF(M1382=1,IF(Q1394=3,2,3))),IF(W1381&gt;W1378,IF(M1382=2,IF(Q1394=3,2,3),IF(M1382=1,IF(Q1394=3,3,4))))))),"")))),"")</f>
        <v/>
      </c>
      <c r="AC1391" s="192"/>
      <c r="AD1391" s="192"/>
      <c r="AE1391" s="192"/>
      <c r="AF1391" s="192"/>
      <c r="AG1391" s="192"/>
      <c r="AH1391" s="192"/>
      <c r="AI1391" s="192"/>
      <c r="AJ1391" s="192"/>
      <c r="AK1391" s="192"/>
      <c r="AL1391" s="192"/>
      <c r="AM1391" s="192"/>
      <c r="AN1391" s="192"/>
      <c r="AO1391" s="192"/>
      <c r="AP1391" s="192"/>
      <c r="AQ1391" s="192"/>
      <c r="AR1391" s="192"/>
      <c r="AS1391" s="192"/>
      <c r="AT1391" s="192"/>
      <c r="AU1391" s="192"/>
      <c r="AV1391" s="192"/>
      <c r="AW1391" s="192"/>
      <c r="AX1391" s="192"/>
    </row>
    <row r="1392" spans="2:50" ht="15" customHeight="1" thickTop="1" thickBot="1" x14ac:dyDescent="0.35">
      <c r="B1392" s="192"/>
      <c r="C1392" s="192"/>
      <c r="D1392" s="192"/>
      <c r="E1392" s="164"/>
      <c r="F1392" s="164"/>
      <c r="G1392" s="192"/>
      <c r="H1392" s="192"/>
      <c r="I1392" s="249" t="s">
        <v>116</v>
      </c>
      <c r="J1392" s="249"/>
      <c r="K1392" s="249"/>
      <c r="L1392" s="250" t="s">
        <v>115</v>
      </c>
      <c r="M1392" s="250" t="s">
        <v>116</v>
      </c>
      <c r="N1392" s="250" t="s">
        <v>117</v>
      </c>
      <c r="O1392" s="250" t="s">
        <v>118</v>
      </c>
      <c r="P1392" s="250" t="s">
        <v>119</v>
      </c>
      <c r="Q1392" s="250" t="s">
        <v>120</v>
      </c>
      <c r="R1392" s="250"/>
      <c r="S1392" s="251"/>
      <c r="T1392" s="192"/>
      <c r="U1392" s="235"/>
      <c r="V1392" s="235"/>
      <c r="W1392" s="235"/>
      <c r="X1392" s="235"/>
      <c r="Y1392" s="235"/>
      <c r="Z1392" s="235"/>
      <c r="AA1392" s="243">
        <v>2</v>
      </c>
      <c r="AB1392" s="151" t="str">
        <f>IF(AND(COUNTBLANK(I1379:I1382)=0,Group_players=4,M1380=M1381,M1381=M1382),IF(COUNTIF(X1378:X1381,X1379)=3,AB1405,IF(AND(COUNTIF(X1378:X1381,X1379)=1,X1380&lt;&gt;X1381),IF(M1380=2,IF(SMALL(X1378:X1381,1)=X1379,1,IF(SMALL(X1378:X1381,2)=X1379,2,IF(SMALL(X1378:X1381,3)=X1379,3))),IF(M1380=1,IF(SMALL(X1378:X1381,1)=X1379,2,IF(SMALL(X1378:X1381,2)=X1379,3,IF(SMALL(X1378:X1381,3)=X1379,4))),"")),IF(COUNTIF(X1378:X1381,X1379)=1,IF(X1379&lt;X1381,IF(M1380=2,1,2),IF(M1380=1,3,3)),IF(COUNTIF(X1378:X1381,X1379)=2,IF(X1379=X1380,IF(X1379&lt;X1381,IF(M1380=2,IF(Q1399=3,1,2),IF(M1380=1,IF(Q1399=3,2,3))),IF(X1379&gt;X1381,IF(M1380=2,IF(Q1399=3,2,3),IF(M1380=1,IF(Q1399=3,3,4))))),IF(X1379=X1381,IF(X1379&lt;X1380,IF(M1380=2,IF(Q1393=3,1,2),IF(M1380=1,IF(Q1393=3,2,3))),IF(X1379&gt;X1380,IF(M1380=2,IF(Q1393=3,2,3),IF(M1380=1,IF(Q1393=3,3,4))))))),"")))),"")</f>
        <v/>
      </c>
      <c r="AC1392" s="192"/>
      <c r="AD1392" s="192"/>
      <c r="AE1392" s="192"/>
      <c r="AF1392" s="192"/>
      <c r="AG1392" s="192"/>
      <c r="AH1392" s="192"/>
      <c r="AI1392" s="192"/>
      <c r="AJ1392" s="192"/>
      <c r="AK1392" s="192"/>
      <c r="AL1392" s="192"/>
      <c r="AM1392" s="192"/>
      <c r="AN1392" s="192"/>
      <c r="AO1392" s="192"/>
      <c r="AP1392" s="192"/>
      <c r="AQ1392" s="192"/>
      <c r="AR1392" s="192"/>
      <c r="AS1392" s="192"/>
      <c r="AT1392" s="192"/>
      <c r="AU1392" s="192"/>
      <c r="AV1392" s="192"/>
      <c r="AW1392" s="192"/>
      <c r="AX1392" s="192"/>
    </row>
    <row r="1393" spans="2:50" ht="15" customHeight="1" thickTop="1" x14ac:dyDescent="0.3">
      <c r="B1393" s="192"/>
      <c r="C1393" s="192"/>
      <c r="D1393" s="192"/>
      <c r="E1393" s="164" t="str">
        <f>IF(Q1393="","",IF(Q1393=3,1,0))</f>
        <v/>
      </c>
      <c r="F1393" s="164" t="str">
        <f>IF(Q1393="","",IF(Q1393&lt;3,1,0))</f>
        <v/>
      </c>
      <c r="G1393" s="192"/>
      <c r="H1393" s="192" t="str">
        <f>IF(I1381="","",2)</f>
        <v/>
      </c>
      <c r="I1393" s="192" t="str">
        <f>IF(ISNUMBER(H1393),VLOOKUP(H1393,H1379:I1382,2,TRUE),"")</f>
        <v/>
      </c>
      <c r="J1393" s="192"/>
      <c r="K1393" s="192" t="str">
        <f>VLOOKUP(I1393,I1379:L1382,3,FALSE)</f>
        <v/>
      </c>
      <c r="L1393" s="253"/>
      <c r="M1393" s="254"/>
      <c r="N1393" s="254"/>
      <c r="O1393" s="152"/>
      <c r="P1393" s="153"/>
      <c r="Q1393" s="255" t="str">
        <f>IF(L1393="","",IF(AND(L1393-L1394&gt;1,L1393&gt;10),1,0)+IF(AND(M1393-M1394&gt;1,M1393&gt;10),1,0)+IF(AND(N1393-N1394&gt;1,N1393&gt;10),1,0)+IF(AND(O1393-O1394&gt;1,O1393&gt;10),1,0)+IF(AND(P1393-P1394&gt;1,P1393&gt;10),1,0))</f>
        <v/>
      </c>
      <c r="R1393" s="203" t="str">
        <f>IF(AND(I1393="",I1394=""),"",ABS(VLOOKUP(I1393,I1379:L1382,4,FALSE)-VLOOKUP(I1394,I1379:L1382,4,FALSE)))</f>
        <v/>
      </c>
      <c r="S1393" s="256" t="str">
        <f>IF(R1394="","",IF(Q1393=3,+R1394,-R1394))</f>
        <v/>
      </c>
      <c r="T1393" s="192"/>
      <c r="U1393" s="235"/>
      <c r="V1393" s="235"/>
      <c r="W1393" s="235"/>
      <c r="X1393" s="235"/>
      <c r="Y1393" s="235"/>
      <c r="Z1393" s="235"/>
      <c r="AA1393" s="246">
        <v>3</v>
      </c>
      <c r="AB1393" s="154" t="str">
        <f>IF(AND(COUNTBLANK(I1379:I1382)=0,Group_players=4,M1380=M1381,M1381=M1382),IF(COUNTIF(X1378:X1381,X1380)=3,AB1406,IF(AND(COUNTIF(X1378:X1381,X1380)=1,X1379&lt;&gt;X1381),IF(M1381=2,IF(SMALL(X1378:X1381,1)=X1380,1,IF(SMALL(X1378:X1381,2)=X1380,2,IF(SMALL(X1378:X1381,3)=X1380,3))),IF(M1381=1,IF(SMALL(X1378:X1381,1)=X1380,2,IF(SMALL(X1378:X1381,2)=X1380,3,IF(SMALL(X1378:X1381,3)=X1380,4))),"")),IF(COUNTIF(X1378:X1381,X1380)=1,IF(X1380&lt;X1379,IF(M1381=2,1,2),IF(M1381=2,3,4)),IF(COUNTIF(X1378:X1381,X1380)=2,IF(X1380=X1379,IF(X1380&lt;X1381,IF(M1381=2,IF(Q1400=3,1,2),IF(M1381=1,IF(Q1400=3,2,3))),IF(X1380&gt;X1381,IF(M1381=2,IF(Q1400=3,2,3),IF(M1381=1,IF(Q1400=3,3,4))))),IF(X1380=X1381,IF(X1380&lt;X1379,IF(M1381=2,IF(Q1405=3,1,2),IF(M1381=1,IF(Q1405=3,2,3))),IF(X1380&gt;X1379,IF(M1381=2,IF(Q1405=3,2,3),IF(M1381=1,IF(Q1405=3,3,4))))))),"")))),"")</f>
        <v/>
      </c>
      <c r="AC1393" s="192"/>
      <c r="AD1393" s="192"/>
      <c r="AE1393" s="192"/>
      <c r="AF1393" s="192"/>
      <c r="AG1393" s="192"/>
      <c r="AH1393" s="192"/>
      <c r="AI1393" s="192"/>
      <c r="AJ1393" s="192"/>
      <c r="AK1393" s="192"/>
      <c r="AL1393" s="192"/>
      <c r="AM1393" s="192"/>
      <c r="AN1393" s="192"/>
      <c r="AO1393" s="192"/>
      <c r="AP1393" s="192"/>
      <c r="AQ1393" s="192"/>
      <c r="AR1393" s="192"/>
      <c r="AS1393" s="192"/>
      <c r="AT1393" s="192"/>
      <c r="AU1393" s="192"/>
      <c r="AV1393" s="192"/>
      <c r="AW1393" s="192"/>
      <c r="AX1393" s="192"/>
    </row>
    <row r="1394" spans="2:50" ht="15" customHeight="1" thickBot="1" x14ac:dyDescent="0.35">
      <c r="B1394" s="192"/>
      <c r="C1394" s="192"/>
      <c r="D1394" s="192"/>
      <c r="E1394" s="164" t="str">
        <f>IF(Q1394="","",IF(Q1394=3,1,0))</f>
        <v/>
      </c>
      <c r="F1394" s="164" t="str">
        <f>IF(Q1394="","",IF(Q1394&lt;3,1,0))</f>
        <v/>
      </c>
      <c r="G1394" s="192"/>
      <c r="H1394" s="192" t="str">
        <f>IF(I1381="","",IF(I1382="",3,4))</f>
        <v/>
      </c>
      <c r="I1394" s="192" t="str">
        <f>IF(ISNUMBER(H1394),VLOOKUP(H1394,H1379:I1382,2,TRUE),"")</f>
        <v/>
      </c>
      <c r="J1394" s="192"/>
      <c r="K1394" s="192" t="str">
        <f>VLOOKUP(I1394,I1379:L1382,3,FALSE)</f>
        <v/>
      </c>
      <c r="L1394" s="155"/>
      <c r="M1394" s="259"/>
      <c r="N1394" s="259"/>
      <c r="O1394" s="156"/>
      <c r="P1394" s="157"/>
      <c r="Q1394" s="260" t="str">
        <f>IF(L1394="","",IF(AND(L1394-L1393&gt;1,L1394&gt;10),1,0)+IF(AND(M1394-M1393&gt;1,M1394&gt;10),1,0)+IF(AND(N1394-N1393&gt;1,N1394&gt;10),1,0)+IF(AND(O1394-O1393&gt;1,O1394&gt;10),1,0)+IF(AND(P1394-P1393&gt;1,P1394&gt;10),1,0))</f>
        <v/>
      </c>
      <c r="R1394" s="203" t="str">
        <f>IF(AND(Q1393&lt;&gt;3,Q1394&lt;&gt;3),"",IF(Q1393=3,IF(VLOOKUP(I1393,I1379:L1382,4,FALSE)&gt;VLOOKUP(I1394,I1379:L1382,4,FALSE),VLOOKUP(R1393,Point_dif,2,FALSE),VLOOKUP(R1393,Point_dif,3,FALSE)),IF(Q1394=3,IF(VLOOKUP(I1394,I1379:L1382,4,FALSE)&gt;VLOOKUP(I1393,I1379:L1382,4,FALSE),VLOOKUP(R1393,Point_dif,2,FALSE),VLOOKUP(R1393,Point_dif,3,FALSE)))))</f>
        <v/>
      </c>
      <c r="S1394" s="256" t="str">
        <f>IF(R1394="","",IF(Q1394=3,+R1394,-R1394))</f>
        <v/>
      </c>
      <c r="T1394" s="192"/>
      <c r="U1394" s="235"/>
      <c r="V1394" s="235"/>
      <c r="W1394" s="235"/>
      <c r="X1394" s="235"/>
      <c r="Y1394" s="235"/>
      <c r="Z1394" s="235"/>
      <c r="AA1394" s="261">
        <v>4</v>
      </c>
      <c r="AB1394" s="158" t="str">
        <f>IF(AND(COUNTBLANK(I1379:I1382)=0,Group_players=4,M1380=M1381,M1381=M1382),IF(COUNTIF(X1378:X1381,X1381)=3,AB1407,IF(AND(COUNTIF(X1378:X1381,X1381)=1,X1380&lt;&gt;X1379),IF(M1382=2,IF(SMALL(X1378:X1381,1)=X1381,1,IF(SMALL(X1378:X1381,2)=X1381,2,IF(SMALL(X1378:X1381,3)=X1381,3))),IF(M1382=1,IF(SMALL(X1378:X1381,1)=X1381,2,IF(SMALL(X1378:X1381,2)=X1381,3,IF(SMALL(X1378:X1381,3)=X1381,4))),"")),IF(COUNTIF(X1378:X1381,X1381)=1,IF(X1381&lt;X1379,IF(M1382=2,1,2),IF(M1382=2,3,4)),IF(COUNTIF(X1378:X1381,X1381)=2,IF(X1381=X1379,IF(X1381&lt;X1380,IF(M1382=2,IF(Q1394=3,1,2),IF(M1382=1,IF(Q1394=3,2,3))),IF(X1381&gt;X1380,IF(M1382=2,IF(Q1394=3,2,3),IF(M1382=1,IF(Q1394=3,3,4))))),IF(X1381=X1380,IF(X1381&lt;X1379,IF(M1382=2,IF(Q1406=3,1,2),IF(M1382=1,IF(Q1406=3,2,3))),IF(X1381&gt;X1379,IF(M1382=2,IF(Q1406=3,2,3),IF(M1382=1,IF(Q1406=3,3,4))))))),"")))),"")</f>
        <v/>
      </c>
      <c r="AC1394" s="192"/>
      <c r="AD1394" s="192"/>
      <c r="AE1394" s="192"/>
      <c r="AF1394" s="192"/>
      <c r="AG1394" s="192"/>
      <c r="AH1394" s="192"/>
      <c r="AI1394" s="192"/>
      <c r="AJ1394" s="192"/>
      <c r="AK1394" s="192"/>
      <c r="AL1394" s="192"/>
      <c r="AM1394" s="192"/>
      <c r="AN1394" s="192"/>
      <c r="AO1394" s="192"/>
      <c r="AP1394" s="192"/>
      <c r="AQ1394" s="192"/>
      <c r="AR1394" s="192"/>
      <c r="AS1394" s="192"/>
      <c r="AT1394" s="192"/>
      <c r="AU1394" s="192"/>
      <c r="AV1394" s="192"/>
      <c r="AW1394" s="192"/>
      <c r="AX1394" s="192"/>
    </row>
    <row r="1395" spans="2:50" ht="15" customHeight="1" thickTop="1" thickBot="1" x14ac:dyDescent="0.35">
      <c r="B1395" s="192"/>
      <c r="C1395" s="192"/>
      <c r="D1395" s="192"/>
      <c r="E1395" s="164"/>
      <c r="F1395" s="164"/>
      <c r="G1395" s="192"/>
      <c r="H1395" s="192"/>
      <c r="I1395" s="249" t="s">
        <v>117</v>
      </c>
      <c r="J1395" s="249"/>
      <c r="K1395" s="249"/>
      <c r="L1395" s="250" t="s">
        <v>115</v>
      </c>
      <c r="M1395" s="250" t="s">
        <v>116</v>
      </c>
      <c r="N1395" s="250" t="s">
        <v>117</v>
      </c>
      <c r="O1395" s="250" t="s">
        <v>118</v>
      </c>
      <c r="P1395" s="250" t="s">
        <v>119</v>
      </c>
      <c r="Q1395" s="250" t="s">
        <v>120</v>
      </c>
      <c r="R1395" s="250"/>
      <c r="S1395" s="251"/>
      <c r="T1395" s="263"/>
      <c r="U1395" s="264"/>
      <c r="V1395" s="242"/>
      <c r="W1395" s="242"/>
      <c r="X1395" s="264"/>
      <c r="Y1395" s="192"/>
      <c r="Z1395" s="203"/>
      <c r="AA1395" s="126" t="s">
        <v>93</v>
      </c>
      <c r="AB1395" s="265" t="s">
        <v>110</v>
      </c>
      <c r="AC1395" s="192"/>
      <c r="AD1395" s="192"/>
      <c r="AE1395" s="192"/>
      <c r="AF1395" s="192"/>
      <c r="AG1395" s="192"/>
      <c r="AH1395" s="192"/>
      <c r="AI1395" s="192"/>
      <c r="AJ1395" s="192"/>
      <c r="AK1395" s="192"/>
      <c r="AL1395" s="192"/>
      <c r="AM1395" s="192"/>
      <c r="AN1395" s="192"/>
      <c r="AO1395" s="192"/>
      <c r="AP1395" s="192"/>
      <c r="AQ1395" s="192"/>
      <c r="AR1395" s="192"/>
      <c r="AS1395" s="192"/>
      <c r="AT1395" s="192"/>
      <c r="AU1395" s="192"/>
      <c r="AV1395" s="192"/>
      <c r="AW1395" s="192"/>
      <c r="AX1395" s="192"/>
    </row>
    <row r="1396" spans="2:50" ht="15" customHeight="1" thickTop="1" x14ac:dyDescent="0.3">
      <c r="B1396" s="192"/>
      <c r="C1396" s="192"/>
      <c r="D1396" s="192"/>
      <c r="E1396" s="164" t="str">
        <f>IF(Q1396="","",IF(Q1396=3,1,0))</f>
        <v/>
      </c>
      <c r="F1396" s="164" t="str">
        <f>IF(Q1396="","",IF(Q1396&lt;3,1,0))</f>
        <v/>
      </c>
      <c r="G1396" s="192"/>
      <c r="H1396" s="192" t="str">
        <f>IF(I1381&lt;&gt;"",1,"")</f>
        <v/>
      </c>
      <c r="I1396" s="192" t="str">
        <f>IF(ISNUMBER(H1396),VLOOKUP(H1396,H1379:I1382,2,TRUE),"")</f>
        <v/>
      </c>
      <c r="J1396" s="192"/>
      <c r="K1396" s="192" t="str">
        <f>VLOOKUP(I1396,I1379:L1382,3,FALSE)</f>
        <v/>
      </c>
      <c r="L1396" s="253"/>
      <c r="M1396" s="254"/>
      <c r="N1396" s="254"/>
      <c r="O1396" s="152"/>
      <c r="P1396" s="153"/>
      <c r="Q1396" s="255" t="str">
        <f>IF(L1396="","",IF(AND(L1396-L1397&gt;1,L1396&gt;10),1,0)+IF(AND(M1396-M1397&gt;1,M1396&gt;10),1,0)+IF(AND(N1396-N1397&gt;1,N1396&gt;10),1,0)+IF(AND(O1396-O1397&gt;1,O1396&gt;10),1,0)+IF(AND(P1396-P1397&gt;1,P1396&gt;10),1,0))</f>
        <v/>
      </c>
      <c r="R1396" s="203" t="str">
        <f>IF(AND(I1396="",I1397=""),"",ABS(VLOOKUP(I1396,I1379:L1382,4,FALSE)-VLOOKUP(I1397,I1379:L1382,4,FALSE)))</f>
        <v/>
      </c>
      <c r="S1396" s="256" t="str">
        <f>IF(R1397="","",IF(Q1396=3,+R1397,-R1397))</f>
        <v/>
      </c>
      <c r="T1396" s="192"/>
      <c r="U1396" s="235"/>
      <c r="V1396" s="235"/>
      <c r="W1396" s="235"/>
      <c r="X1396" s="235"/>
      <c r="Y1396" s="235"/>
      <c r="Z1396" s="235"/>
      <c r="AA1396" s="243">
        <v>1</v>
      </c>
      <c r="AB1396" s="222" t="str">
        <f>IF(AND(COUNTBLANK(I1379:I1382)=0,Group_players=4,M1379=M1380,M1380=M1381),IF(U1386="","",IF(COUNTIF(U1386:U1389,U1386)=3,"Tied",IF(AND(COUNTIF(U1386:U1389,U1386)=1,U1387&lt;&gt;U1388),IF(M1379=2,IF(SMALL(U1386:U1389,1)=U1386,1,IF(SMALL(U1386:U1389,2)=U1386,2,IF(SMALL(U1386:U1389,3)=U1386,3))),IF(M1379=1,IF(SMALL(U1386:U1389,1)=U1386,2,IF(SMALL(U1386:U1389,2)=U1386,3,IF(SMALL(U1386:U1389,3)=U1386,4))),"")),IF(COUNTIF(U1386:U1389,U1386)=1,IF(U1386&lt;U1387,IF(M1379=2,1,2),IF(M1379=2,3,4)),IF(COUNTIF(U1386:U1389,U1386)=2,IF(U1386=U1387,IF(U1386&lt;U1388,IF(M1379=2,IF(Q1402=3,1,2),IF(M1379=1,IF(Q1402=3,2,3))),IF(U1386&gt;U1388,IF(M1379=2,IF(Q1402=3,2,3),IF(M1379=1,IF(Q1402=3,3,4))))),IF(U1386=U1388,IF(U1386&lt;U1387,IF(M1379=2,IF(Q1390=3,1,2),IF(M1379=1,IF(Q1390=3,2,3))),IF(U1386&gt;U1387,IF(M1379=2,IF(Q1390=3,2,3),IF(M1379=1,IF(Q1390=3,3,4)))))))))))),"")</f>
        <v/>
      </c>
      <c r="AC1396" s="192"/>
      <c r="AD1396" s="192"/>
      <c r="AE1396" s="192"/>
      <c r="AF1396" s="192"/>
      <c r="AG1396" s="192"/>
      <c r="AH1396" s="192"/>
      <c r="AI1396" s="192"/>
      <c r="AJ1396" s="192"/>
      <c r="AK1396" s="192"/>
      <c r="AL1396" s="192"/>
      <c r="AM1396" s="192"/>
      <c r="AN1396" s="192"/>
      <c r="AO1396" s="192"/>
      <c r="AP1396" s="192"/>
      <c r="AQ1396" s="192"/>
      <c r="AR1396" s="192"/>
      <c r="AS1396" s="192"/>
      <c r="AT1396" s="192"/>
      <c r="AU1396" s="192"/>
      <c r="AV1396" s="192"/>
      <c r="AW1396" s="192"/>
      <c r="AX1396" s="192"/>
    </row>
    <row r="1397" spans="2:50" ht="15" customHeight="1" thickBot="1" x14ac:dyDescent="0.35">
      <c r="B1397" s="192"/>
      <c r="C1397" s="192"/>
      <c r="D1397" s="192"/>
      <c r="E1397" s="164" t="str">
        <f>IF(Q1397="","",IF(Q1397=3,1,0))</f>
        <v/>
      </c>
      <c r="F1397" s="164" t="str">
        <f>IF(Q1397="","",IF(Q1397&lt;3,1,0))</f>
        <v/>
      </c>
      <c r="G1397" s="192"/>
      <c r="H1397" s="192" t="str">
        <f>IF(I1381="","",IF(I1382&lt;&gt;"",4,2))</f>
        <v/>
      </c>
      <c r="I1397" s="192" t="str">
        <f>IF(ISNUMBER(H1397),VLOOKUP(H1397,H1379:I1382,2,TRUE),"")</f>
        <v/>
      </c>
      <c r="J1397" s="192"/>
      <c r="K1397" s="192" t="str">
        <f>VLOOKUP(I1397,I1379:L1382,3,FALSE)</f>
        <v/>
      </c>
      <c r="L1397" s="155"/>
      <c r="M1397" s="259"/>
      <c r="N1397" s="259"/>
      <c r="O1397" s="156"/>
      <c r="P1397" s="157"/>
      <c r="Q1397" s="260" t="str">
        <f>IF(L1397="","",IF(AND(L1397-L1396&gt;1,L1397&gt;10),1,0)+IF(AND(M1397-M1396&gt;1,M1397&gt;10),1,0)+IF(AND(N1397-N1396&gt;1,N1397&gt;10),1,0)+IF(AND(O1397-O1396&gt;1,O1397&gt;10),1,0)+IF(AND(P1397-P1396&gt;1,P1397&gt;10),1,0))</f>
        <v/>
      </c>
      <c r="R1397" s="203" t="str">
        <f>IF(AND(Q1396&lt;&gt;3,Q1397&lt;&gt;3),"",IF(Q1396=3,IF(VLOOKUP(I1396,I1379:L1382,4,FALSE)&gt;VLOOKUP(I1397,I1379:L1382,4,FALSE),VLOOKUP(R1396,Point_dif,2,FALSE),VLOOKUP(R1396,Point_dif,3,FALSE)),IF(Q1397=3,IF(VLOOKUP(I1397,I1379:L1382,4,FALSE)&gt;VLOOKUP(I1396,I1379:L1382,4,FALSE),VLOOKUP(R1396,Point_dif,2,FALSE),VLOOKUP(R1396,Point_dif,3,FALSE)))))</f>
        <v/>
      </c>
      <c r="S1397" s="256" t="str">
        <f>IF(R1397="","",IF(Q1397=3,+R1397,-R1397))</f>
        <v/>
      </c>
      <c r="T1397" s="192"/>
      <c r="U1397" s="235"/>
      <c r="V1397" s="235"/>
      <c r="W1397" s="235"/>
      <c r="X1397" s="235"/>
      <c r="Y1397" s="235"/>
      <c r="Z1397" s="235"/>
      <c r="AA1397" s="246">
        <v>2</v>
      </c>
      <c r="AB1397" s="222" t="str">
        <f>IF(AND(COUNTBLANK(I1379:I1382)=0,Group_players=4,M1379=M1380,M1380=M1381),IF(U1387="","",IF(COUNTIF(U1386:U1389,U1387)=3,"Tied",IF(AND(COUNTIF(U1386:U1389,U1387)=1,U1386&lt;&gt;U1388),IF(M1380=2,IF(SMALL(U1386:U1389,1)=U1387,1,IF(SMALL(U1386:U1389,2)=U1387,2,IF(SMALL(U1386:U1389,3)=U1387,3))),IF(M1380=1,IF(SMALL(U1386:U1389,1)=U1387,2,IF(SMALL(U1386:U1389,2)=U1387,3,IF(SMALL(U1386:U1389,3)=U1387,4))),"")),IF(COUNTIF(U1386:U1389,U1387)=1,IF(U1387&lt;U1386,IF(M1380=2,1,2),IF(M1380=2,3,4)),IF(COUNTIF(U1386:U1389,U1387)=2,IF(U1387=U1386,IF(U1387&lt;U1388,IF(M1380=2,IF(Q1403=3,1,2),IF(M1380=1,IF(Q1403=3,2,3))),IF(U1387&gt;U1388,IF(M1380=2,IF(Q1403=3,2,3),IF(M1380=1,IF(Q1403=3,3,4))))),IF(U1387=U1388,IF(U1387&lt;U1386,IF(M1380=2,IF(Q1399=3,1,2),IF(M1380=1,IF(Q1399=3,2,3))),IF(U1387&gt;U1386,IF(M1380=2,IF(Q1399=3,2,3),IF(M1380=1,IF(Q1399=3,3,4)))))))))))),"")</f>
        <v/>
      </c>
      <c r="AC1397" s="192"/>
      <c r="AD1397" s="192"/>
      <c r="AE1397" s="192"/>
      <c r="AF1397" s="192"/>
      <c r="AG1397" s="192"/>
      <c r="AH1397" s="192"/>
      <c r="AI1397" s="192"/>
      <c r="AJ1397" s="192"/>
      <c r="AK1397" s="192"/>
      <c r="AL1397" s="192"/>
      <c r="AM1397" s="192"/>
      <c r="AN1397" s="192"/>
      <c r="AO1397" s="192"/>
      <c r="AP1397" s="192"/>
      <c r="AQ1397" s="192"/>
      <c r="AR1397" s="192"/>
      <c r="AS1397" s="192"/>
      <c r="AT1397" s="192"/>
      <c r="AU1397" s="192"/>
      <c r="AV1397" s="192"/>
      <c r="AW1397" s="192"/>
      <c r="AX1397" s="192"/>
    </row>
    <row r="1398" spans="2:50" ht="15" customHeight="1" thickTop="1" thickBot="1" x14ac:dyDescent="0.35">
      <c r="B1398" s="192"/>
      <c r="C1398" s="192"/>
      <c r="D1398" s="192"/>
      <c r="E1398" s="164"/>
      <c r="F1398" s="164"/>
      <c r="G1398" s="192"/>
      <c r="H1398" s="192"/>
      <c r="I1398" s="249" t="s">
        <v>118</v>
      </c>
      <c r="J1398" s="249"/>
      <c r="K1398" s="249"/>
      <c r="L1398" s="250" t="s">
        <v>115</v>
      </c>
      <c r="M1398" s="250" t="s">
        <v>116</v>
      </c>
      <c r="N1398" s="250" t="s">
        <v>117</v>
      </c>
      <c r="O1398" s="250" t="s">
        <v>118</v>
      </c>
      <c r="P1398" s="250" t="s">
        <v>119</v>
      </c>
      <c r="Q1398" s="250" t="s">
        <v>120</v>
      </c>
      <c r="R1398" s="250"/>
      <c r="S1398" s="251"/>
      <c r="T1398" s="192"/>
      <c r="U1398" s="235"/>
      <c r="V1398" s="235"/>
      <c r="W1398" s="235"/>
      <c r="X1398" s="235"/>
      <c r="Y1398" s="235"/>
      <c r="Z1398" s="235"/>
      <c r="AA1398" s="240">
        <v>3</v>
      </c>
      <c r="AB1398" s="241" t="str">
        <f>IF(AND(COUNTBLANK(I1379:I1382)=0,Group_players=4,M1379=M1380,M1380=M1381),IF(U1388="","",IF(COUNTIF(U1386:U1389,U1388)=3,"Tied",IF(AND(COUNTIF(U1386:U1389,U1388)=1,U1386&lt;&gt;U1387),IF(M1379=2,IF(SMALL(U1386:U1389,1)=U1388,1,IF(SMALL(U1386:U1389,2)=U1388,2,IF(SMALL(U1386:U1389,3)=U1388,3))),IF(M1381=1,IF(SMALL(U1386:U1389,1)=U1388,2,IF(SMALL(U1386:U1389,2)=U1388,3,IF(SMALL(U1386:U1389,3)=U1388,4))),"")),IF(COUNTIF(U1386:U1389,U1388)=1,IF(U1388&lt;U1387,IF(M1381=2,1,2),IF(M1381=2,3,4)),IF(COUNTIF(U1386:U1389,U1388)=2,IF(U1388=U1387,IF(U1388&lt;U1386,IF(M1381=2,IF(Q1400=3,1,2),IF(M1381=1,IF(Q1400=3,2,3))),IF(U1388&gt;U1386,IF(M1381=2,IF(Q1400=3,2,3),IF(M1381=1,IF(Q1400=3,3,4))))),IF(U1388=U1386,IF(U1388&lt;U1387,IF(M1381=2,IF(Q1391=3,1,2),IF(M1381=1,IF(Q1391=3,2,3))),IF(U1388&gt;U1387,IF(M1381=2,IF(Q1391=3,2,3),IF(M1381=1,IF(Q1391=3,3,4)))))))))))),"")</f>
        <v/>
      </c>
      <c r="AC1398" s="192"/>
      <c r="AD1398" s="192"/>
      <c r="AE1398" s="192"/>
      <c r="AF1398" s="192"/>
      <c r="AG1398" s="192"/>
      <c r="AH1398" s="192"/>
      <c r="AI1398" s="192"/>
      <c r="AJ1398" s="192"/>
      <c r="AK1398" s="192"/>
      <c r="AL1398" s="192"/>
      <c r="AM1398" s="192"/>
      <c r="AN1398" s="192"/>
      <c r="AO1398" s="192"/>
      <c r="AP1398" s="192"/>
      <c r="AQ1398" s="192"/>
      <c r="AR1398" s="192"/>
      <c r="AS1398" s="192"/>
      <c r="AT1398" s="192"/>
      <c r="AU1398" s="192"/>
      <c r="AV1398" s="192"/>
      <c r="AW1398" s="192"/>
      <c r="AX1398" s="192"/>
    </row>
    <row r="1399" spans="2:50" ht="15" customHeight="1" thickTop="1" x14ac:dyDescent="0.3">
      <c r="B1399" s="192"/>
      <c r="C1399" s="192"/>
      <c r="D1399" s="192"/>
      <c r="E1399" s="164" t="str">
        <f>IF(Q1399="","",IF(Q1399=3,1,0))</f>
        <v/>
      </c>
      <c r="F1399" s="164" t="str">
        <f>IF(Q1399="","",IF(Q1399&lt;3,1,0))</f>
        <v/>
      </c>
      <c r="G1399" s="192"/>
      <c r="H1399" s="192" t="str">
        <f>IF(I1382&lt;&gt;"",2,"")</f>
        <v/>
      </c>
      <c r="I1399" s="192" t="str">
        <f>IF(ISNUMBER(H1399),VLOOKUP(H1399,H1379:I1382,2,TRUE),"")</f>
        <v/>
      </c>
      <c r="J1399" s="192"/>
      <c r="K1399" s="192" t="str">
        <f>VLOOKUP(I1399,I1379:L1382,3,FALSE)</f>
        <v/>
      </c>
      <c r="L1399" s="253"/>
      <c r="M1399" s="254"/>
      <c r="N1399" s="254"/>
      <c r="O1399" s="152"/>
      <c r="P1399" s="153"/>
      <c r="Q1399" s="255" t="str">
        <f>IF(L1399="","",IF(AND(L1399-L1400&gt;1,L1399&gt;10),1,0)+IF(AND(M1399-M1400&gt;1,M1399&gt;10),1,0)+IF(AND(N1399-N1400&gt;1,N1399&gt;10),1,0)+IF(AND(O1399-O1400&gt;1,O1399&gt;10),1,0)+IF(AND(P1399-P1400&gt;1,P1399&gt;10),1,0))</f>
        <v/>
      </c>
      <c r="R1399" s="203" t="str">
        <f>IF(AND(I1399="",I1400=""),"",ABS(VLOOKUP(I1399,I1379:L1382,4,FALSE)-VLOOKUP(I1400,I1379:L1382,4,FALSE)))</f>
        <v/>
      </c>
      <c r="S1399" s="256" t="str">
        <f>IF(R1400="","",IF(Q1399=3,+R1400,-R1400))</f>
        <v/>
      </c>
      <c r="T1399" s="192"/>
      <c r="U1399" s="235"/>
      <c r="V1399" s="235"/>
      <c r="W1399" s="235"/>
      <c r="X1399" s="235"/>
      <c r="Y1399" s="235"/>
      <c r="Z1399" s="235"/>
      <c r="AA1399" s="243">
        <v>1</v>
      </c>
      <c r="AB1399" s="222" t="str">
        <f>IF(AND(COUNTBLANK(I1379:I1382)=0,Group_players=4,M1379=M1381,M1381=M1382),IF(V1386="","",IF(COUNTIF(V1386:V1389,V1386)=3,"Tied",IF(AND(COUNTIF(V1386:V1389,V1386)=1,V1388&lt;&gt;U1389),IF(M1379=2,IF(SMALL(V1386:V1389,1)=V1386,1,IF(SMALL(V1386:V1389,2)=V1386,2,IF(SMALL(V1386:V1389,3)=V1386,3))),IF(M1379=1,IF(SMALL(V1386:V1389,1)=V1386,2,IF(SMALL(V1386:V1389,2)=V1386,3,IF(SMALL(V1386:V1389,3)=V1386,4))),"")),IF(COUNTIF(V1386:V1389,V1386)=1,IF(V1386&lt;V1388,IF(M1379=2,1,2),IF(M1379=2,3,4)),IF(COUNTIF(V1386:V1389,V1386)=2,IF(V1386=V1388,IF(V1386&lt;V1389,IF(M1379=2,IF(Q1390=3,1,2),IF(M1379=1,IF(Q1390=3,2,3))),IF(V1386&gt;V1389,IF(M1379=2,IF(Q1390=3,2,3),IF(M1379=1,IF(Q1390=3,3,4))))),IF(V1386=V1389,IF(V1386&lt;V1388,IF(M1379=2,IF(Q1396=3,1,2),IF(M1379=1,IF(Q1396=3,2,3))),IF(V1386&gt;V1387,IF(M1379=2,IF(Q1396=3,2,3),IF(M1379=1,IF(Q1396=3,3,4)))))))))))),"")</f>
        <v/>
      </c>
      <c r="AC1399" s="192"/>
      <c r="AD1399" s="192"/>
      <c r="AE1399" s="192"/>
      <c r="AF1399" s="192"/>
      <c r="AG1399" s="192"/>
      <c r="AH1399" s="192"/>
      <c r="AI1399" s="192"/>
      <c r="AJ1399" s="192"/>
      <c r="AK1399" s="192"/>
      <c r="AL1399" s="192"/>
      <c r="AM1399" s="192"/>
      <c r="AN1399" s="192"/>
      <c r="AO1399" s="192"/>
      <c r="AP1399" s="192"/>
      <c r="AQ1399" s="192"/>
      <c r="AR1399" s="192"/>
      <c r="AS1399" s="192"/>
      <c r="AT1399" s="192"/>
      <c r="AU1399" s="192"/>
      <c r="AV1399" s="192"/>
      <c r="AW1399" s="192"/>
      <c r="AX1399" s="192"/>
    </row>
    <row r="1400" spans="2:50" ht="15" customHeight="1" thickBot="1" x14ac:dyDescent="0.35">
      <c r="B1400" s="192"/>
      <c r="C1400" s="192"/>
      <c r="D1400" s="192"/>
      <c r="E1400" s="164" t="str">
        <f>IF(Q1400="","",IF(Q1400=3,1,0))</f>
        <v/>
      </c>
      <c r="F1400" s="164" t="str">
        <f>IF(Q1400="","",IF(Q1400&lt;3,1,0))</f>
        <v/>
      </c>
      <c r="G1400" s="192"/>
      <c r="H1400" s="192" t="str">
        <f>IF(I1382&lt;&gt;"",3,"")</f>
        <v/>
      </c>
      <c r="I1400" s="192" t="str">
        <f>IF(ISNUMBER(H1400),VLOOKUP(H1400,H1379:I1382,2,TRUE),"")</f>
        <v/>
      </c>
      <c r="J1400" s="192"/>
      <c r="K1400" s="192" t="str">
        <f>VLOOKUP(I1400,I1379:L1382,3,FALSE)</f>
        <v/>
      </c>
      <c r="L1400" s="155"/>
      <c r="M1400" s="259"/>
      <c r="N1400" s="259"/>
      <c r="O1400" s="156"/>
      <c r="P1400" s="157"/>
      <c r="Q1400" s="260" t="str">
        <f>IF(L1400="","",IF(AND(L1400-L1399&gt;1,L1400&gt;10),1,0)+IF(AND(M1400-M1399&gt;1,M1400&gt;10),1,0)+IF(AND(N1400-N1399&gt;1,N1400&gt;10),1,0)+IF(AND(O1400-O1399&gt;1,O1400&gt;10),1,0)+IF(AND(P1400-P1399&gt;1,P1400&gt;10),1,0))</f>
        <v/>
      </c>
      <c r="R1400" s="203" t="str">
        <f>IF(AND(Q1399&lt;&gt;3,Q1400&lt;&gt;3),"",IF(Q1399=3,IF(VLOOKUP(I1399,I1379:L1382,4,FALSE)&gt;VLOOKUP(I1400,I1379:L1382,4,FALSE),VLOOKUP(R1399,Point_dif,2,FALSE),VLOOKUP(R1399,Point_dif,3,FALSE)),IF(Q1400=3,IF(VLOOKUP(I1400,I1379:L1382,4,FALSE)&gt;VLOOKUP(I1399,I1379:L1382,4,FALSE),VLOOKUP(R1399,Point_dif,2,FALSE),VLOOKUP(R1399,Point_dif,3,FALSE)))))</f>
        <v/>
      </c>
      <c r="S1400" s="256" t="str">
        <f>IF(R1400="","",IF(Q1400=3,+R1400,-R1400))</f>
        <v/>
      </c>
      <c r="T1400" s="192"/>
      <c r="U1400" s="159"/>
      <c r="V1400" s="266"/>
      <c r="W1400" s="266"/>
      <c r="X1400" s="266"/>
      <c r="Y1400" s="192"/>
      <c r="Z1400" s="203"/>
      <c r="AA1400" s="246">
        <v>3</v>
      </c>
      <c r="AB1400" s="222" t="str">
        <f>IF(AND(COUNTBLANK(I1379:I1382)=0,Group_players=4,M1379=M1381,M1381=M1382),IF(V1388="","",IF(COUNTIF(V1386:V1389,V1388)=3,"Tied",IF(AND(COUNTIF(V1386:V1389,V1388)=1,V1386&lt;&gt;V1389),IF(M1381=2,IF(SMALL(V1386:V1389,1)=V1388,1,IF(SMALL(V1386:V1389,2)=V1388,2,IF(SMALL(V1386:V1389,3)=V1388,3))),IF(M1381=1,IF(SMALL(V1386:V1389,1)=V1388,2,IF(SMALL(V1386:V1389,2)=V1388,3,IF(SMALL(V1386:V1389,3)=V1388,4))),"")),IF(COUNTIF(V1386:V1389,V1388)=1,IF(V1388&lt;V1386,IF(M1381=2,1,2),IF(M1381=2,3,4)),IF(COUNTIF(V1386:V1389,V1388)=2,IF(V1388=V1386,IF(V1388&lt;V1389,IF(M1381=2,IF(Q1391=3,1,2),IF(M1381=1,IF(Q1391=3,2,3))),IF(V1388&gt;V1389,IF(M1381=2,IF(Q1391=3,2,3),IF(M1381=1,IF(Q1391=3,3,4))))),IF(V1388=V1389,IF(V1388&lt;V1386,IF(M1381=2,IF(Q1405=3,1,2),IF(M1381=1,IF(Q1405=3,2,3))),IF(V1388&gt;V1386,IF(M1381=2,IF(Q1405=3,2,3),IF(M1381=1,IF(Q1405=3,3,4)))))))))))),"")</f>
        <v/>
      </c>
      <c r="AC1400" s="192"/>
      <c r="AD1400" s="192"/>
      <c r="AE1400" s="192"/>
      <c r="AF1400" s="192"/>
      <c r="AG1400" s="192"/>
      <c r="AH1400" s="192"/>
      <c r="AI1400" s="192"/>
      <c r="AJ1400" s="192"/>
      <c r="AK1400" s="192"/>
      <c r="AL1400" s="192"/>
      <c r="AM1400" s="192"/>
      <c r="AN1400" s="192"/>
      <c r="AO1400" s="192"/>
      <c r="AP1400" s="192"/>
      <c r="AQ1400" s="192"/>
      <c r="AR1400" s="192"/>
      <c r="AS1400" s="192"/>
      <c r="AT1400" s="192"/>
      <c r="AU1400" s="192"/>
      <c r="AV1400" s="192"/>
      <c r="AW1400" s="192"/>
      <c r="AX1400" s="192"/>
    </row>
    <row r="1401" spans="2:50" ht="15" customHeight="1" thickTop="1" thickBot="1" x14ac:dyDescent="0.35">
      <c r="B1401" s="192"/>
      <c r="C1401" s="192"/>
      <c r="D1401" s="192"/>
      <c r="E1401" s="164"/>
      <c r="F1401" s="164"/>
      <c r="G1401" s="192"/>
      <c r="H1401" s="192"/>
      <c r="I1401" s="249" t="s">
        <v>119</v>
      </c>
      <c r="J1401" s="249"/>
      <c r="K1401" s="249"/>
      <c r="L1401" s="250" t="s">
        <v>115</v>
      </c>
      <c r="M1401" s="250" t="s">
        <v>116</v>
      </c>
      <c r="N1401" s="250" t="s">
        <v>117</v>
      </c>
      <c r="O1401" s="250" t="s">
        <v>118</v>
      </c>
      <c r="P1401" s="250" t="s">
        <v>119</v>
      </c>
      <c r="Q1401" s="250" t="s">
        <v>120</v>
      </c>
      <c r="R1401" s="250"/>
      <c r="S1401" s="251"/>
      <c r="T1401" s="247"/>
      <c r="U1401" s="235"/>
      <c r="V1401" s="235"/>
      <c r="W1401" s="235"/>
      <c r="X1401" s="235"/>
      <c r="Y1401" s="235"/>
      <c r="Z1401" s="235"/>
      <c r="AA1401" s="240">
        <v>4</v>
      </c>
      <c r="AB1401" s="241" t="str">
        <f>IF(AND(COUNTBLANK(I1379:I1382)=0,Group_players=4,M1379=M1381,M1381=M1382),IF(V1389="","",IF(COUNTIF(V1386:V1389,V1389)=3,"Tied",IF(AND(COUNTIF(V1386:V1389,V1389)=1,V1388&lt;&gt;V1386),IF(M1382=2,IF(SMALL(V1386:V1389,1)=V1389,1,IF(SMALL(V1386:V1389,2)=V1389,2,IF(SMALL(V1386:V1389,3)=V1389,3))),IF(M1382=1,IF(SMALL(V1386:V1389,1)=V1389,2,IF(SMALL(V1386:V1389,2)=V1389,3,IF(SMALL(V1386:V1389,3)=V1389,4))),"")),IF(COUNTIF(V1386:V1389,V1389)=1,IF(V1389&lt;V1386,IF(M1382=2,1,2),IF(M1382=2,3,4)),IF(COUNTIF(V1386:V1389,V1389)=2,IF(V1389=V1386,IF(V1389&lt;V1388,IF(M1382=2,IF(Q1397=3,1,2),IF(M1382=1,IF(Q1397=3,2,3))),IF(V1389&gt;V1388,IF(M1382=2,IF(Q1397=3,2,3),IF(M1382=1,IF(Q1397=3,3,4))))),IF(V1389=V1388,IF(V1389&lt;V1386,IF(M1382=2,IF(Q1406=3,1,2),IF(M1382=1,IF(Q1406=3,2,3))),IF(V1389&gt;V1386,IF(M1382=2,IF(Q1406=3,2,3),IF(M1382=1,IF(Q1406=3,3,4)))))))))))),"")</f>
        <v/>
      </c>
      <c r="AC1401" s="192"/>
      <c r="AD1401" s="192"/>
      <c r="AE1401" s="192"/>
      <c r="AF1401" s="192"/>
      <c r="AG1401" s="192"/>
      <c r="AH1401" s="192"/>
      <c r="AI1401" s="192"/>
      <c r="AJ1401" s="192"/>
      <c r="AK1401" s="192"/>
      <c r="AL1401" s="192"/>
      <c r="AM1401" s="192"/>
      <c r="AN1401" s="192"/>
      <c r="AO1401" s="192"/>
      <c r="AP1401" s="192"/>
      <c r="AQ1401" s="192"/>
      <c r="AR1401" s="192"/>
      <c r="AS1401" s="192"/>
      <c r="AT1401" s="192"/>
      <c r="AU1401" s="192"/>
      <c r="AV1401" s="192"/>
      <c r="AW1401" s="192"/>
      <c r="AX1401" s="192"/>
    </row>
    <row r="1402" spans="2:50" ht="15" customHeight="1" thickTop="1" x14ac:dyDescent="0.3">
      <c r="B1402" s="192"/>
      <c r="C1402" s="192"/>
      <c r="D1402" s="192"/>
      <c r="E1402" s="164" t="str">
        <f>IF(Q1402="","",IF(Q1402=3,1,0))</f>
        <v/>
      </c>
      <c r="F1402" s="164" t="str">
        <f>IF(Q1402="","",IF(Q1402&lt;3,1,0))</f>
        <v/>
      </c>
      <c r="G1402" s="192"/>
      <c r="H1402" s="192" t="str">
        <f>IF(I1382&lt;&gt;"",1,"")</f>
        <v/>
      </c>
      <c r="I1402" s="192" t="str">
        <f>IF(ISNUMBER(H1402),VLOOKUP(H1402,H1379:I1382,2,TRUE),"")</f>
        <v/>
      </c>
      <c r="J1402" s="192"/>
      <c r="K1402" s="192" t="str">
        <f>VLOOKUP(I1402,I1379:L1382,3,FALSE)</f>
        <v/>
      </c>
      <c r="L1402" s="253"/>
      <c r="M1402" s="254"/>
      <c r="N1402" s="254"/>
      <c r="O1402" s="152"/>
      <c r="P1402" s="153"/>
      <c r="Q1402" s="255" t="str">
        <f>IF(L1402="","",IF(AND(L1402-L1403&gt;1,L1402&gt;10),1,0)+IF(AND(M1402-M1403&gt;1,M1402&gt;10),1,0)+IF(AND(N1402-N1403&gt;1,N1402&gt;10),1,0)+IF(AND(O1402-O1403&gt;1,O1402&gt;10),1,0)+IF(AND(P1402-P1403&gt;1,P1402&gt;10),1,0))</f>
        <v/>
      </c>
      <c r="R1402" s="203" t="str">
        <f>IF(AND(I1402="",I1403=""),"",ABS(VLOOKUP(I1402,I1379:L1382,4,FALSE)-VLOOKUP(I1403,I1379:L1382,4,FALSE)))</f>
        <v/>
      </c>
      <c r="S1402" s="256" t="str">
        <f>IF(R1403="","",IF(Q1402=3,+R1403,-R1403))</f>
        <v/>
      </c>
      <c r="T1402" s="247"/>
      <c r="U1402" s="235"/>
      <c r="V1402" s="235"/>
      <c r="W1402" s="235"/>
      <c r="X1402" s="235"/>
      <c r="Y1402" s="235"/>
      <c r="Z1402" s="235"/>
      <c r="AA1402" s="243">
        <v>1</v>
      </c>
      <c r="AB1402" s="222" t="str">
        <f>IF(AND(COUNTBLANK(I1379:I1382)=0,Group_players=4,M1379=M1380,M1380=M1382),IF(W1386="","",IF(COUNTIF(W1386:W1389,W1386)=3,"Tied",IF(AND(COUNTIF(W1386:W1389,W1386)=1,W1387&lt;&gt;W1388),IF(M1379=2,IF(SMALL(W1386:W1389,1)=W1386,1,IF(SMALL(W1386:W1389,2)=W1386,2,IF(SMALL(W1386:W1389,3)=W1386,3))),IF(M1379=1,IF(SMALL(W1386:W1389,1)=W1386,2,IF(SMALL(W1386:W1389,2)=W1386,3,IF(SMALL(W1386:W1389,3)=W1386,4))),"")),IF(COUNTIF(W1386:W1389,W1386)=1,IF(W1386&lt;W1387,IF(M1379=2,1,2),IF(M1379=2,3,4)),IF(COUNTIF(W1386:W1389,W1386)=2,IF(W1386=W1387,IF(W1386&lt;W1389,IF(M1379=2,IF(Q1402=3,1,2),IF(M1379=1,IF(Q1402=3,2,3))),IF(W1386&gt;W1389,IF(M1379=2,IF(Q1402=3,2,3),IF(M1379=1,IF(Q1402=3,3,4))))),IF(W1386=W1389,IF(W1386&lt;W1387,IF(M1379=2,IF(Q1396=3,1,2),IF(M1379=1,IF(Q1396=3,2,3))),IF(W1386&gt;W1387,IF(M1379=2,IF(Q1396=3,2,3),IF(M1379=1,IF(Q1396=3,3,4)))))))))))),"")</f>
        <v/>
      </c>
      <c r="AC1402" s="192"/>
      <c r="AD1402" s="192"/>
      <c r="AE1402" s="192"/>
      <c r="AF1402" s="192"/>
      <c r="AG1402" s="192"/>
      <c r="AH1402" s="192"/>
      <c r="AI1402" s="192"/>
      <c r="AJ1402" s="192"/>
      <c r="AK1402" s="192"/>
      <c r="AL1402" s="192"/>
      <c r="AM1402" s="192"/>
      <c r="AN1402" s="192"/>
      <c r="AO1402" s="192"/>
      <c r="AP1402" s="192"/>
      <c r="AQ1402" s="192"/>
      <c r="AR1402" s="192"/>
      <c r="AS1402" s="192"/>
      <c r="AT1402" s="192"/>
      <c r="AU1402" s="192"/>
      <c r="AV1402" s="192"/>
      <c r="AW1402" s="192"/>
      <c r="AX1402" s="192"/>
    </row>
    <row r="1403" spans="2:50" ht="15" customHeight="1" thickBot="1" x14ac:dyDescent="0.35">
      <c r="B1403" s="192"/>
      <c r="C1403" s="192"/>
      <c r="D1403" s="192"/>
      <c r="E1403" s="164" t="str">
        <f>IF(Q1403="","",IF(Q1403=3,1,0))</f>
        <v/>
      </c>
      <c r="F1403" s="164" t="str">
        <f>IF(Q1403="","",IF(Q1403&lt;3,1,0))</f>
        <v/>
      </c>
      <c r="G1403" s="192"/>
      <c r="H1403" s="192" t="str">
        <f>IF(I1382&lt;&gt;"",2,"")</f>
        <v/>
      </c>
      <c r="I1403" s="192" t="str">
        <f>IF(ISNUMBER(H1403),VLOOKUP(H1403,H1379:I1382,2,TRUE),"")</f>
        <v/>
      </c>
      <c r="J1403" s="192"/>
      <c r="K1403" s="192" t="str">
        <f>VLOOKUP(I1403,I1379:L1382,3,FALSE)</f>
        <v/>
      </c>
      <c r="L1403" s="155"/>
      <c r="M1403" s="259"/>
      <c r="N1403" s="259"/>
      <c r="O1403" s="156"/>
      <c r="P1403" s="157"/>
      <c r="Q1403" s="260" t="str">
        <f>IF(L1403="","",IF(AND(L1403-L1402&gt;1,L1403&gt;10),1,0)+IF(AND(M1403-M1402&gt;1,M1403&gt;10),1,0)+IF(AND(N1403-N1402&gt;1,N1403&gt;10),1,0)+IF(AND(O1403-O1402&gt;1,O1403&gt;10),1,0)+IF(AND(P1403-P1402&gt;1,P1403&gt;10),1,0))</f>
        <v/>
      </c>
      <c r="R1403" s="203" t="str">
        <f>IF(AND(Q1402&lt;&gt;3,Q1403&lt;&gt;3),"",IF(Q1402=3,IF(VLOOKUP(I1402,I1379:L1382,4,FALSE)&gt;VLOOKUP(I1403,I1379:L1382,4,FALSE),VLOOKUP(R1402,Point_dif,2,FALSE),VLOOKUP(R1402,Point_dif,3,FALSE)),IF(Q1403=3,IF(VLOOKUP(I1403,I1379:L1382,4,FALSE)&gt;VLOOKUP(I1403,I1379:L1382,4,FALSE),VLOOKUP(R1402,Point_dif,2,FALSE),VLOOKUP(R1402,Point_dif,3,FALSE)))))</f>
        <v/>
      </c>
      <c r="S1403" s="256" t="str">
        <f>IF(R1403="","",IF(Q1403=3,+R1403,-R1403))</f>
        <v/>
      </c>
      <c r="T1403" s="247"/>
      <c r="U1403" s="235"/>
      <c r="V1403" s="235"/>
      <c r="W1403" s="235"/>
      <c r="X1403" s="235"/>
      <c r="Y1403" s="235"/>
      <c r="Z1403" s="235"/>
      <c r="AA1403" s="246">
        <v>2</v>
      </c>
      <c r="AB1403" s="222" t="str">
        <f>IF(AND(COUNTBLANK(I1379:I1382)=0,Group_players=4,M1379=M1380,M1380=M1382),IF(W1387="","",IF(COUNTIF(W1386:W1389,W1387)=3,"Tied",IF(AND(COUNTIF(W1386:W1389,W1387)=1,W1386&lt;&gt;W1388),IF(M1380=2,IF(SMALL(W1386:W1389,1)=W1387,1,IF(SMALL(W1386:W1389,2)=W1387,2,IF(SMALL(W1386:W1389,3)=W1387,3))),IF(M1380=1,IF(SMALL(W1386:W1389,1)=W1387,2,IF(SMALL(W1386:W1389,2)=W1387,3,IF(SMALL(W1386:W1389,3)=W1387,4))),"")),IF(COUNTIF(W1386:W1389,W1387)=1,IF(W1387&lt;W1386,IF(M1380=2,1,2),IF(M1380=2,3,4)),IF(COUNTIF(W1386:W1389,W1387)=2,IF(W1387=W1386,IF(W1387&lt;W1389,IF(M1380=2,IF(Q1403=3,1,2),IF(M1380=1,IF(Q1403=3,2,3))),IF(W1387&gt;W1389,IF(M1380=2,IF(Q1403=3,2,3),IF(M1380=1,IF(Q1403=3,3,4))))),IF(W1387=W1389,IF(W1387&lt;W1386,IF(M1380=2,IF(Q1393=3,1,2),IF(M1380=1,IF(Q1393=3,2,3))),IF(W1387&gt;W1386,IF(M1380=2,IF(Q1393=3,2,3),IF(M1380=1,IF(Q1393=3,3,4)))))))))))),"")</f>
        <v/>
      </c>
      <c r="AC1403" s="192"/>
      <c r="AD1403" s="192"/>
      <c r="AE1403" s="192"/>
      <c r="AF1403" s="192"/>
      <c r="AG1403" s="192"/>
      <c r="AH1403" s="192"/>
      <c r="AI1403" s="192"/>
      <c r="AJ1403" s="192"/>
      <c r="AK1403" s="192"/>
      <c r="AL1403" s="192"/>
      <c r="AM1403" s="192"/>
      <c r="AN1403" s="192"/>
      <c r="AO1403" s="192"/>
      <c r="AP1403" s="192"/>
      <c r="AQ1403" s="192"/>
      <c r="AR1403" s="192"/>
      <c r="AS1403" s="192"/>
      <c r="AT1403" s="192"/>
      <c r="AU1403" s="192"/>
      <c r="AV1403" s="192"/>
      <c r="AW1403" s="192"/>
      <c r="AX1403" s="192"/>
    </row>
    <row r="1404" spans="2:50" ht="15" customHeight="1" thickTop="1" thickBot="1" x14ac:dyDescent="0.35">
      <c r="B1404" s="192"/>
      <c r="C1404" s="192"/>
      <c r="D1404" s="192"/>
      <c r="E1404" s="164"/>
      <c r="F1404" s="164"/>
      <c r="G1404" s="192"/>
      <c r="H1404" s="192"/>
      <c r="I1404" s="249" t="s">
        <v>121</v>
      </c>
      <c r="J1404" s="249"/>
      <c r="K1404" s="249"/>
      <c r="L1404" s="250" t="s">
        <v>115</v>
      </c>
      <c r="M1404" s="250" t="s">
        <v>116</v>
      </c>
      <c r="N1404" s="250" t="s">
        <v>117</v>
      </c>
      <c r="O1404" s="250" t="s">
        <v>118</v>
      </c>
      <c r="P1404" s="250" t="s">
        <v>119</v>
      </c>
      <c r="Q1404" s="250" t="s">
        <v>120</v>
      </c>
      <c r="R1404" s="250"/>
      <c r="S1404" s="251"/>
      <c r="T1404" s="247"/>
      <c r="U1404" s="235"/>
      <c r="V1404" s="235"/>
      <c r="W1404" s="235"/>
      <c r="X1404" s="235"/>
      <c r="Y1404" s="235"/>
      <c r="Z1404" s="235"/>
      <c r="AA1404" s="240">
        <v>4</v>
      </c>
      <c r="AB1404" s="241" t="str">
        <f>IF(AND(COUNTBLANK(I1379:I1382)=0,Group_players=4,M1379=M1380,M1380=M1382),IF(W1389="","",IF(COUNTIF(W1386:W1389,W1389)=3,"Tied",IF(AND(COUNTIF(W1386:W1389,W1389)=1,W1386&lt;&gt;W1387),IF(M1382=2,IF(SMALL(W1386:W1389,1)=W1389,1,IF(SMALL(W1386:W1389,2)=W1389,2,IF(SMALL(W1386:W1389,3)=W1389,3))),IF(M1382=1,IF(SMALL(W1386:W1389,1)=W1389,2,IF(SMALL(W1386:W1389,2)=W1389,3,IF(SMALL(W1386:W1389,3)=W1389,4))),"")),IF(COUNTIF(W1386:W1389,W1389)=1,IF(W1389&lt;W1386,IF(M1382=2,1,2),IF(M1382=2,3,4)),IF(COUNTIF(W1386:W1389,W1389)=2,IF(W1389=W1386,IF(W1389&lt;W1387,IF(M1382=2,IF(Q1397=3,1,2),IF(M1382=1,IF(Q1397=3,2,3))),IF(W1389&gt;W1388,IF(M1382=2,IF(Q1397=3,2,3),IF(M1382=1,IF(Q1397=3,3,4))))),IF(W1389=W1387,IF(W1389&lt;W1386,IF(M1382=2,IF(Q1394=3,1,2),IF(M1382=1,IF(Q1394=3,2,3))),IF(W1389&gt;W1386,IF(M1382=2,IF(Q1394=3,2,3),IF(M1382=1,IF(Q1394=3,3,4)))))))))))),"")</f>
        <v/>
      </c>
      <c r="AC1404" s="192"/>
      <c r="AD1404" s="192"/>
      <c r="AE1404" s="192"/>
      <c r="AF1404" s="192"/>
      <c r="AG1404" s="192"/>
      <c r="AH1404" s="192"/>
      <c r="AI1404" s="192"/>
      <c r="AJ1404" s="192"/>
      <c r="AK1404" s="192"/>
      <c r="AL1404" s="192"/>
      <c r="AM1404" s="192"/>
      <c r="AN1404" s="192"/>
      <c r="AO1404" s="192"/>
      <c r="AP1404" s="192"/>
      <c r="AQ1404" s="192"/>
      <c r="AR1404" s="192"/>
      <c r="AS1404" s="192"/>
      <c r="AT1404" s="192"/>
      <c r="AU1404" s="192"/>
      <c r="AV1404" s="192"/>
      <c r="AW1404" s="192"/>
      <c r="AX1404" s="192"/>
    </row>
    <row r="1405" spans="2:50" ht="15" customHeight="1" thickTop="1" x14ac:dyDescent="0.3">
      <c r="B1405" s="192"/>
      <c r="C1405" s="192"/>
      <c r="D1405" s="192"/>
      <c r="E1405" s="164" t="str">
        <f>IF(Q1405="","",IF(Q1405=3,1,0))</f>
        <v/>
      </c>
      <c r="F1405" s="164" t="str">
        <f>IF(Q1405="","",IF(Q1405&lt;3,1,0))</f>
        <v/>
      </c>
      <c r="G1405" s="192"/>
      <c r="H1405" s="192" t="str">
        <f>IF(I1382&lt;&gt;"",3,"")</f>
        <v/>
      </c>
      <c r="I1405" s="192" t="str">
        <f>IF(ISNUMBER(H1405),VLOOKUP(H1405,H1379:I1382,2,TRUE),"")</f>
        <v/>
      </c>
      <c r="J1405" s="192"/>
      <c r="K1405" s="192" t="str">
        <f>VLOOKUP(I1405,I1379:L1382,3,FALSE)</f>
        <v/>
      </c>
      <c r="L1405" s="253"/>
      <c r="M1405" s="254"/>
      <c r="N1405" s="254"/>
      <c r="O1405" s="152"/>
      <c r="P1405" s="153"/>
      <c r="Q1405" s="255" t="str">
        <f>IF(L1405="","",IF(AND(L1405-L1406&gt;1,L1405&gt;10),1,0)+IF(AND(M1405-M1406&gt;1,M1405&gt;10),1,0)+IF(AND(N1405-N1406&gt;1,N1405&gt;10),1,0)+IF(AND(O1405-O1406&gt;1,O1405&gt;10),1,0)+IF(AND(P1405-P1406&gt;1,P1405&gt;10),1,0))</f>
        <v/>
      </c>
      <c r="R1405" s="203" t="str">
        <f>IF(AND(I1405="",I1406=""),"",ABS(VLOOKUP(I1405,I1379:L1382,4,FALSE)-VLOOKUP(I1406,I1379:L1382,4,FALSE)))</f>
        <v/>
      </c>
      <c r="S1405" s="256" t="str">
        <f>IF(R1406="","",IF(Q1405=3,+R1406,-R1406))</f>
        <v/>
      </c>
      <c r="T1405" s="247"/>
      <c r="U1405" s="264"/>
      <c r="V1405" s="242"/>
      <c r="W1405" s="192"/>
      <c r="X1405" s="264"/>
      <c r="Y1405" s="192"/>
      <c r="Z1405" s="192"/>
      <c r="AA1405" s="243">
        <v>2</v>
      </c>
      <c r="AB1405" s="222" t="str">
        <f>IF(AND(COUNTBLANK(I1379:I1382)=0,Group_players=4,M1380=M1381,M1381=M1382),IF(X1387="","",IF(COUNTIF(X1386:X1389,X1387)=3,"Tied",IF(AND(COUNTIF(X1386:X1389,X1387)=1,X1388&lt;&gt;X1389),IF(M1380=2,IF(SMALL(X1386:X1389,1)=X1387,1,IF(SMALL(X1386:X1389,2)=X1387,2,IF(SMALL(X1386:X1389,3)=X1387,3))),IF(M1380=1,IF(SMALL(X1386:X1389,1)=X1387,2,IF(SMALL(X1386:X1389,2)=X1387,3,IF(SMALL(X1386:X1389,3)=X1387,4))),"")),IF(COUNTIF(X1386:X1389,X1387)=1,IF(X1387&lt;X1389,IF(M1380=2,1,2),IF(M1380=1,4)),IF(COUNTIF(X1386:X1389,X1387)=2,IF(X1387=X1388,IF(X1387&lt;X1389,IF(M1380=2,IF(Q1399=3,1,2),IF(M1380=1,IF(Q1399=3,2,3))),IF(X1387&gt;X1389,IF(M1380=2,IF(Q1399=3,2,3),IF(M1380=1,IF(Q1399=3,3,4))))),IF(X1387=X1389,IF(X1387&lt;X1388,IF(M1380=2,IF(Q1393=3,1,2),IF(M1380=1,IF(Q1393=3,2,3))),IF(X1387&gt;X1388,IF(M1380=2,IF(Q1393=3,2,3),IF(M1380=1,IF(Q1393=3,3,4)))))))))))),"")</f>
        <v/>
      </c>
      <c r="AC1405" s="192"/>
      <c r="AD1405" s="192"/>
      <c r="AE1405" s="192"/>
      <c r="AF1405" s="192"/>
      <c r="AG1405" s="192"/>
      <c r="AH1405" s="192"/>
      <c r="AI1405" s="192"/>
      <c r="AJ1405" s="192"/>
      <c r="AK1405" s="192"/>
      <c r="AL1405" s="192"/>
      <c r="AM1405" s="192"/>
      <c r="AN1405" s="192"/>
      <c r="AO1405" s="192"/>
      <c r="AP1405" s="192"/>
      <c r="AQ1405" s="192"/>
      <c r="AR1405" s="192"/>
      <c r="AS1405" s="192"/>
      <c r="AT1405" s="192"/>
      <c r="AU1405" s="192"/>
      <c r="AV1405" s="192"/>
      <c r="AW1405" s="192"/>
      <c r="AX1405" s="192"/>
    </row>
    <row r="1406" spans="2:50" ht="15" customHeight="1" thickBot="1" x14ac:dyDescent="0.35">
      <c r="B1406" s="192"/>
      <c r="C1406" s="192"/>
      <c r="D1406" s="192"/>
      <c r="E1406" s="164" t="str">
        <f>IF(Q1406="","",IF(Q1406=3,1,0))</f>
        <v/>
      </c>
      <c r="F1406" s="164" t="str">
        <f>IF(Q1406="","",IF(Q1406&lt;3,1,0))</f>
        <v/>
      </c>
      <c r="G1406" s="192"/>
      <c r="H1406" s="192" t="str">
        <f>IF(I1382&lt;&gt;"",4,"")</f>
        <v/>
      </c>
      <c r="I1406" s="192" t="str">
        <f>IF(ISNUMBER(H1406),VLOOKUP(H1406,H1379:I1382,2,TRUE),"")</f>
        <v/>
      </c>
      <c r="J1406" s="192"/>
      <c r="K1406" s="192" t="str">
        <f>VLOOKUP(I1406,I1379:L1382,3,FALSE)</f>
        <v/>
      </c>
      <c r="L1406" s="155"/>
      <c r="M1406" s="259"/>
      <c r="N1406" s="259"/>
      <c r="O1406" s="156"/>
      <c r="P1406" s="157"/>
      <c r="Q1406" s="260" t="str">
        <f>IF(L1406="","",IF(AND(L1406-L1405&gt;1,L1406&gt;10),1,0)+IF(AND(M1406-M1405&gt;1,M1406&gt;10),1,0)+IF(AND(N1406-N1405&gt;1,N1406&gt;10),1,0)+IF(AND(O1406-O1405&gt;1,O1406&gt;10),1,0)+IF(AND(P1406-P1405&gt;1,P1406&gt;10),1,0))</f>
        <v/>
      </c>
      <c r="R1406" s="203" t="str">
        <f>IF(AND(Q1405&lt;&gt;3,Q1406&lt;&gt;3),"",IF(Q1405=3,IF(VLOOKUP(I1405,I1379:L1382,4,FALSE)&gt;VLOOKUP(I1406,I1379:L1382,4,FALSE),VLOOKUP(R1405,Point_dif,2,FALSE),VLOOKUP(R1405,Point_dif,3,FALSE)),IF(Q1406=3,IF(VLOOKUP(I1406,I1379:L1382,4,FALSE)&gt;VLOOKUP(I1405,I1379:L1382,4,FALSE),VLOOKUP(R1405,Point_dif,2,FALSE),VLOOKUP(R1405,Point_dif,3,FALSE)))))</f>
        <v/>
      </c>
      <c r="S1406" s="260" t="str">
        <f>IF(R1406="","",IF(Q1406=3,+R1406,-R1406))</f>
        <v/>
      </c>
      <c r="T1406" s="247"/>
      <c r="U1406" s="235"/>
      <c r="V1406" s="235"/>
      <c r="W1406" s="235"/>
      <c r="X1406" s="235"/>
      <c r="Y1406" s="235"/>
      <c r="Z1406" s="235"/>
      <c r="AA1406" s="246">
        <v>3</v>
      </c>
      <c r="AB1406" s="222" t="str">
        <f>IF(AND(COUNTBLANK(I1379:I1382)=0,Group_players=4,Group_players=4,M1380=M1381,M1381=M1382),IF(X1388="","",IF(COUNTIF(X1386:X1389,X1388)=3,"Tied",IF(AND(COUNTIF(X1386:X1389,X1388)=1,X1387&lt;&gt;X1389),IF(M1381=2,IF(SMALL(X1386:X1389,1)=X1388,1,IF(SMALL(X1386:X1389,2)=X1388,2,IF(SMALL(X1386:X1389,3)=X1388,3))),IF(M1381=1,IF(SMALL(X1386:X1389,1)=X1388,2,IF(SMALL(X1386:X1389,2)=X1388,3,IF(SMALL(X1386:X1389,3)=X1388,4))),"")),IF(COUNTIF(X1386:X1389,X1388)=1,IF(X1388&lt;X1387,IF(M1381=2,1,2),IF(M1381=2,3,4)),IF(COUNTIF(X1386:X1389,X1388)=2,IF(X1388=X1387,IF(X1388&lt;X1389,IF(M1381=2,IF(Q1400=3,1,2),IF(M1381=1,IF(Q1400=3,2,3))),IF(X1388&gt;X1389,IF(M1381=2,IF(Q1400=3,2,3),IF(M1381=1,IF(Q1400=3,3,4))))),IF(X1388=X1389,IF(X1388&lt;X1387,IF(M1381=2,IF(Q1405=3,1,2),IF(M1381=1,IF(Q1405=3,2,3))),IF(X1388&gt;X1387,IF(M1381=2,IF(Q1405=3,2,3),IF(M1381=1,IF(Q1405=3,3,4)))))))))))),"")</f>
        <v/>
      </c>
      <c r="AC1406" s="192"/>
      <c r="AD1406" s="192"/>
      <c r="AE1406" s="192"/>
      <c r="AF1406" s="192"/>
      <c r="AG1406" s="192"/>
      <c r="AH1406" s="192"/>
      <c r="AI1406" s="192"/>
      <c r="AJ1406" s="192"/>
      <c r="AK1406" s="192"/>
      <c r="AL1406" s="192"/>
      <c r="AM1406" s="192"/>
      <c r="AN1406" s="192"/>
      <c r="AO1406" s="192"/>
      <c r="AP1406" s="192"/>
      <c r="AQ1406" s="192"/>
      <c r="AR1406" s="192"/>
      <c r="AS1406" s="192"/>
      <c r="AT1406" s="192"/>
      <c r="AU1406" s="192"/>
      <c r="AV1406" s="192"/>
      <c r="AW1406" s="192"/>
      <c r="AX1406" s="192"/>
    </row>
    <row r="1407" spans="2:50" ht="15" customHeight="1" thickTop="1" thickBot="1" x14ac:dyDescent="0.35">
      <c r="B1407" s="192"/>
      <c r="C1407" s="192"/>
      <c r="D1407" s="192"/>
      <c r="E1407" s="192"/>
      <c r="F1407" s="192"/>
      <c r="G1407" s="192"/>
      <c r="H1407" s="192"/>
      <c r="I1407" s="192"/>
      <c r="J1407" s="192"/>
      <c r="K1407" s="192"/>
      <c r="L1407" s="192"/>
      <c r="M1407" s="192"/>
      <c r="N1407" s="192"/>
      <c r="O1407" s="192"/>
      <c r="P1407" s="192"/>
      <c r="Q1407" s="192"/>
      <c r="R1407" s="192"/>
      <c r="S1407" s="192"/>
      <c r="T1407" s="247"/>
      <c r="U1407" s="235"/>
      <c r="V1407" s="235"/>
      <c r="W1407" s="235"/>
      <c r="X1407" s="235"/>
      <c r="Y1407" s="235"/>
      <c r="Z1407" s="235"/>
      <c r="AA1407" s="261">
        <v>4</v>
      </c>
      <c r="AB1407" s="233" t="str">
        <f>IF(AND(COUNTBLANK(I1379:I1382)=0,Group_players=4,M1380=M1381,M1381=M1382),IF(X1389="","",IF(COUNTIF(X1386:X1389,X1389)=3,"Tied",IF(AND(COUNTIF(X1386:X1389,X1389)=1,X1388&lt;&gt;X1387),IF(M1382=2,IF(SMALL(X1386:X1389,1)=X1389,1,IF(SMALL(X1386:X1389,2)=X1389,2,IF(SMALL(X1386:X1389,3)=X1389,3))),IF(M1382=1,IF(SMALL(X1386:X1389,1)=X1389,2,IF(SMALL(X1386:X1389,2)=X1389,3,IF(SMALL(X1386:X1389,3)=X1389,4))),"")),IF(COUNTIF(X1386:X1389,X1389)=1,IF(X1389&lt;X1387,IF(M1382=2,1,2),IF(M1382=2,3,4)),IF(COUNTIF(X1386:X1389,X1389)=2,IF(X1389=X1387,IF(X1389&lt;X1388,IF(M1382=2,IF(Q1394=3,1,2),IF(M1382=1,IF(Q1394=3,2,3))),IF(X1389&gt;X1388,IF(M1382=2,IF(Q1394=3,2,3),IF(M1382=1,IF(Q1394=3,3,4))))),IF(X1389=X1388,IF(X1389&lt;X1387,IF(M1382=2,IF(Q1406=3,1,2),IF(M1382=1,IF(Q1406=3,2,3))),IF(X1389&gt;X1387,IF(M1382=2,IF(Q1406=3,2,3),IF(M1382=1,IF(Q1406=3,3,4)))))))))))),"")</f>
        <v/>
      </c>
      <c r="AC1407" s="192"/>
      <c r="AD1407" s="192"/>
      <c r="AE1407" s="192"/>
      <c r="AF1407" s="192"/>
      <c r="AG1407" s="192"/>
      <c r="AH1407" s="192"/>
      <c r="AI1407" s="192"/>
      <c r="AJ1407" s="192"/>
      <c r="AK1407" s="192"/>
      <c r="AL1407" s="192"/>
      <c r="AM1407" s="192"/>
      <c r="AN1407" s="192"/>
      <c r="AO1407" s="192"/>
      <c r="AP1407" s="192"/>
      <c r="AQ1407" s="192"/>
      <c r="AR1407" s="192"/>
      <c r="AS1407" s="192"/>
      <c r="AT1407" s="192"/>
      <c r="AU1407" s="192"/>
      <c r="AV1407" s="192"/>
      <c r="AW1407" s="192"/>
      <c r="AX1407" s="192"/>
    </row>
    <row r="1408" spans="2:50" ht="15" customHeight="1" thickTop="1" x14ac:dyDescent="0.3">
      <c r="B1408" s="192"/>
      <c r="C1408" s="192"/>
      <c r="D1408" s="192"/>
      <c r="E1408" s="192"/>
      <c r="F1408" s="192"/>
      <c r="G1408" s="192"/>
      <c r="H1408" s="192"/>
      <c r="I1408" s="192"/>
      <c r="J1408" s="192"/>
      <c r="K1408" s="192"/>
      <c r="L1408" s="192"/>
      <c r="M1408" s="192"/>
      <c r="N1408" s="192"/>
      <c r="O1408" s="192"/>
      <c r="P1408" s="192"/>
      <c r="Q1408" s="192"/>
      <c r="R1408" s="192"/>
      <c r="S1408" s="192"/>
      <c r="T1408" s="203"/>
      <c r="U1408" s="192"/>
      <c r="V1408" s="192"/>
      <c r="W1408" s="192"/>
      <c r="X1408" s="192"/>
      <c r="Y1408" s="192"/>
      <c r="Z1408" s="192"/>
      <c r="AA1408" s="192"/>
      <c r="AB1408" s="192"/>
      <c r="AC1408" s="192"/>
      <c r="AD1408" s="192"/>
      <c r="AE1408" s="192"/>
      <c r="AF1408" s="192"/>
      <c r="AG1408" s="192"/>
      <c r="AH1408" s="192"/>
      <c r="AI1408" s="192"/>
      <c r="AJ1408" s="192"/>
      <c r="AK1408" s="192"/>
      <c r="AL1408" s="192"/>
      <c r="AM1408" s="192"/>
      <c r="AN1408" s="192"/>
      <c r="AO1408" s="192"/>
      <c r="AP1408" s="192"/>
      <c r="AQ1408" s="192"/>
      <c r="AR1408" s="192"/>
      <c r="AS1408" s="192"/>
      <c r="AT1408" s="192"/>
      <c r="AU1408" s="192"/>
      <c r="AV1408" s="192"/>
      <c r="AW1408" s="192"/>
      <c r="AX1408" s="192"/>
    </row>
    <row r="1409" spans="2:50" ht="15" customHeight="1" x14ac:dyDescent="0.3">
      <c r="B1409" s="192"/>
      <c r="C1409" s="192"/>
      <c r="D1409" s="192"/>
      <c r="E1409" s="192"/>
      <c r="F1409" s="192"/>
      <c r="G1409" s="192"/>
      <c r="H1409" s="192"/>
      <c r="I1409" s="192"/>
      <c r="J1409" s="192"/>
      <c r="K1409" s="192"/>
      <c r="L1409" s="192"/>
      <c r="M1409" s="192"/>
      <c r="N1409" s="192"/>
      <c r="O1409" s="192"/>
      <c r="P1409" s="192"/>
      <c r="Q1409" s="192"/>
      <c r="R1409" s="192"/>
      <c r="S1409" s="192"/>
      <c r="T1409" s="192"/>
      <c r="U1409" s="192"/>
      <c r="V1409" s="192"/>
      <c r="W1409" s="192"/>
      <c r="X1409" s="192"/>
      <c r="Y1409" s="192"/>
      <c r="Z1409" s="192"/>
      <c r="AA1409" s="192"/>
      <c r="AB1409" s="192"/>
      <c r="AC1409" s="192"/>
      <c r="AD1409" s="192"/>
      <c r="AE1409" s="192"/>
      <c r="AF1409" s="192"/>
      <c r="AG1409" s="192"/>
      <c r="AH1409" s="192"/>
      <c r="AI1409" s="192"/>
      <c r="AJ1409" s="192"/>
      <c r="AK1409" s="192"/>
      <c r="AL1409" s="192"/>
      <c r="AM1409" s="192"/>
      <c r="AN1409" s="192"/>
      <c r="AO1409" s="192"/>
      <c r="AP1409" s="192"/>
      <c r="AQ1409" s="192"/>
      <c r="AR1409" s="192"/>
      <c r="AS1409" s="192"/>
      <c r="AT1409" s="192"/>
      <c r="AU1409" s="192"/>
      <c r="AV1409" s="192"/>
      <c r="AW1409" s="192"/>
      <c r="AX1409" s="192"/>
    </row>
    <row r="1410" spans="2:50" ht="15" customHeight="1" x14ac:dyDescent="0.3">
      <c r="B1410" s="192"/>
      <c r="C1410" s="192"/>
      <c r="D1410" s="192"/>
      <c r="E1410" s="192"/>
      <c r="F1410" s="192"/>
      <c r="G1410" s="192"/>
      <c r="H1410" s="192"/>
      <c r="I1410" s="192"/>
      <c r="J1410" s="192"/>
      <c r="K1410" s="192"/>
      <c r="L1410" s="192"/>
      <c r="M1410" s="192"/>
      <c r="N1410" s="192"/>
      <c r="O1410" s="192"/>
      <c r="P1410" s="192"/>
      <c r="Q1410" s="192"/>
      <c r="R1410" s="192"/>
      <c r="S1410" s="192"/>
      <c r="T1410" s="192"/>
      <c r="U1410" s="192"/>
      <c r="V1410" s="192"/>
      <c r="W1410" s="192"/>
      <c r="X1410" s="192"/>
      <c r="Y1410" s="192"/>
      <c r="Z1410" s="269"/>
      <c r="AA1410" s="192"/>
      <c r="AB1410" s="192"/>
      <c r="AC1410" s="192"/>
      <c r="AD1410" s="192"/>
      <c r="AE1410" s="192"/>
      <c r="AF1410" s="192"/>
      <c r="AG1410" s="192"/>
      <c r="AH1410" s="192"/>
      <c r="AI1410" s="192"/>
      <c r="AJ1410" s="192"/>
      <c r="AK1410" s="192"/>
      <c r="AL1410" s="192"/>
      <c r="AM1410" s="192"/>
      <c r="AN1410" s="192"/>
      <c r="AO1410" s="192"/>
      <c r="AP1410" s="192"/>
      <c r="AQ1410" s="192"/>
      <c r="AR1410" s="192"/>
      <c r="AS1410" s="192"/>
      <c r="AT1410" s="192"/>
      <c r="AU1410" s="192"/>
      <c r="AV1410" s="192"/>
      <c r="AW1410" s="192"/>
      <c r="AX1410" s="192"/>
    </row>
    <row r="1411" spans="2:50" ht="15" customHeight="1" x14ac:dyDescent="0.3">
      <c r="B1411" s="192"/>
      <c r="C1411" s="192"/>
      <c r="D1411" s="192"/>
      <c r="E1411" s="192"/>
      <c r="F1411" s="192"/>
      <c r="G1411" s="192"/>
      <c r="H1411" s="192"/>
      <c r="I1411" s="192"/>
      <c r="J1411" s="192"/>
      <c r="K1411" s="192"/>
      <c r="L1411" s="192"/>
      <c r="M1411" s="192"/>
      <c r="N1411" s="192"/>
      <c r="O1411" s="192"/>
      <c r="P1411" s="192"/>
      <c r="Q1411" s="192"/>
      <c r="R1411" s="192"/>
      <c r="S1411" s="192"/>
      <c r="T1411" s="192"/>
      <c r="U1411" s="192"/>
      <c r="V1411" s="192"/>
      <c r="W1411" s="192"/>
      <c r="X1411" s="192"/>
      <c r="Y1411" s="192"/>
      <c r="Z1411" s="192"/>
      <c r="AA1411" s="192"/>
      <c r="AB1411" s="192"/>
      <c r="AC1411" s="192"/>
      <c r="AD1411" s="192"/>
      <c r="AE1411" s="192"/>
      <c r="AF1411" s="192"/>
      <c r="AG1411" s="192"/>
      <c r="AH1411" s="192"/>
      <c r="AI1411" s="192"/>
      <c r="AJ1411" s="192"/>
      <c r="AK1411" s="192"/>
      <c r="AL1411" s="192"/>
      <c r="AM1411" s="192"/>
      <c r="AN1411" s="192"/>
      <c r="AO1411" s="192"/>
      <c r="AP1411" s="192"/>
      <c r="AQ1411" s="192"/>
      <c r="AR1411" s="192"/>
      <c r="AS1411" s="192"/>
      <c r="AT1411" s="192"/>
      <c r="AU1411" s="192"/>
      <c r="AV1411" s="192"/>
      <c r="AW1411" s="192"/>
      <c r="AX1411" s="192"/>
    </row>
    <row r="1412" spans="2:50" ht="15" customHeight="1" x14ac:dyDescent="0.3">
      <c r="B1412" s="192"/>
      <c r="C1412" s="192"/>
      <c r="D1412" s="192"/>
      <c r="E1412" s="192"/>
      <c r="F1412" s="192"/>
      <c r="G1412" s="192"/>
      <c r="H1412" s="192"/>
      <c r="I1412" s="192"/>
      <c r="J1412" s="192"/>
      <c r="K1412" s="192"/>
      <c r="L1412" s="192"/>
      <c r="M1412" s="192"/>
      <c r="N1412" s="192"/>
      <c r="O1412" s="192"/>
      <c r="P1412" s="192"/>
      <c r="Q1412" s="192"/>
      <c r="R1412" s="192"/>
      <c r="S1412" s="192"/>
      <c r="T1412" s="192"/>
      <c r="U1412" s="192"/>
      <c r="V1412" s="192"/>
      <c r="W1412" s="192"/>
      <c r="X1412" s="192"/>
      <c r="Y1412" s="192"/>
      <c r="Z1412" s="192"/>
      <c r="AA1412" s="192"/>
      <c r="AB1412" s="192"/>
      <c r="AC1412" s="192"/>
      <c r="AD1412" s="192"/>
      <c r="AE1412" s="192"/>
      <c r="AF1412" s="192"/>
      <c r="AG1412" s="192"/>
      <c r="AH1412" s="192"/>
      <c r="AI1412" s="192"/>
      <c r="AJ1412" s="192"/>
      <c r="AK1412" s="192"/>
      <c r="AL1412" s="192"/>
      <c r="AM1412" s="192"/>
      <c r="AN1412" s="192"/>
      <c r="AO1412" s="192"/>
      <c r="AP1412" s="192"/>
      <c r="AQ1412" s="192"/>
      <c r="AR1412" s="192"/>
      <c r="AS1412" s="192"/>
      <c r="AT1412" s="192"/>
      <c r="AU1412" s="192"/>
      <c r="AV1412" s="192"/>
      <c r="AW1412" s="192"/>
      <c r="AX1412" s="192"/>
    </row>
    <row r="1413" spans="2:50" ht="15" customHeight="1" thickBot="1" x14ac:dyDescent="0.4">
      <c r="B1413" s="192"/>
      <c r="C1413" s="192"/>
      <c r="D1413" s="192"/>
      <c r="E1413" s="192"/>
      <c r="F1413" s="192"/>
      <c r="G1413" s="192"/>
      <c r="H1413" s="192"/>
      <c r="I1413" s="383" t="s">
        <v>161</v>
      </c>
      <c r="J1413" s="383"/>
      <c r="K1413" s="383"/>
      <c r="L1413" s="383"/>
      <c r="M1413" s="383"/>
      <c r="N1413" s="383"/>
      <c r="O1413" s="383"/>
      <c r="P1413" s="383"/>
      <c r="Q1413" s="383"/>
      <c r="R1413" s="383"/>
      <c r="S1413" s="192"/>
      <c r="T1413" s="192"/>
      <c r="U1413" s="370" t="s">
        <v>92</v>
      </c>
      <c r="V1413" s="371"/>
      <c r="W1413" s="371"/>
      <c r="X1413" s="372"/>
      <c r="Y1413" s="192"/>
      <c r="Z1413" s="192"/>
      <c r="AA1413" s="192"/>
      <c r="AB1413" s="192"/>
      <c r="AC1413" s="192"/>
      <c r="AD1413" s="192"/>
      <c r="AE1413" s="192"/>
      <c r="AF1413" s="192"/>
      <c r="AG1413" s="192"/>
      <c r="AH1413" s="192"/>
      <c r="AI1413" s="192"/>
      <c r="AJ1413" s="192"/>
      <c r="AK1413" s="192"/>
      <c r="AL1413" s="192"/>
      <c r="AM1413" s="192"/>
      <c r="AN1413" s="192"/>
      <c r="AO1413" s="192"/>
      <c r="AP1413" s="192"/>
      <c r="AQ1413" s="192"/>
      <c r="AR1413" s="192"/>
      <c r="AS1413" s="192"/>
      <c r="AT1413" s="192"/>
      <c r="AU1413" s="192"/>
      <c r="AV1413" s="192"/>
      <c r="AW1413" s="192"/>
      <c r="AX1413" s="192"/>
    </row>
    <row r="1414" spans="2:50" ht="15" customHeight="1" thickTop="1" thickBot="1" x14ac:dyDescent="0.35">
      <c r="B1414" s="192"/>
      <c r="C1414" s="192"/>
      <c r="D1414" s="192"/>
      <c r="E1414" s="192"/>
      <c r="F1414" s="192"/>
      <c r="G1414" s="192"/>
      <c r="H1414" s="192"/>
      <c r="I1414" s="400" t="s">
        <v>93</v>
      </c>
      <c r="J1414" s="160"/>
      <c r="K1414" s="396" t="s">
        <v>94</v>
      </c>
      <c r="L1414" s="398" t="s">
        <v>95</v>
      </c>
      <c r="M1414" s="390" t="s">
        <v>96</v>
      </c>
      <c r="N1414" s="390" t="s">
        <v>97</v>
      </c>
      <c r="O1414" s="373" t="s">
        <v>98</v>
      </c>
      <c r="P1414" s="373" t="str">
        <f>IF(COUNT(U1415:X1426)=3,"LM/WM Ratio",IF(COUNT(U1415:X1426)=6,"LP/WP Ratio",""))</f>
        <v/>
      </c>
      <c r="Q1414" s="390" t="s">
        <v>99</v>
      </c>
      <c r="R1414" s="392" t="s">
        <v>100</v>
      </c>
      <c r="S1414" s="192"/>
      <c r="T1414" s="120"/>
      <c r="U1414" s="121" t="s">
        <v>101</v>
      </c>
      <c r="V1414" s="122" t="s">
        <v>102</v>
      </c>
      <c r="W1414" s="122" t="s">
        <v>103</v>
      </c>
      <c r="X1414" s="123" t="s">
        <v>104</v>
      </c>
      <c r="Y1414" s="380" t="s">
        <v>105</v>
      </c>
      <c r="Z1414" s="379"/>
      <c r="AA1414" s="378" t="s">
        <v>106</v>
      </c>
      <c r="AB1414" s="379"/>
      <c r="AC1414" s="192"/>
      <c r="AD1414" s="192"/>
      <c r="AE1414" s="192"/>
      <c r="AF1414" s="192"/>
      <c r="AG1414" s="192"/>
      <c r="AH1414" s="192"/>
      <c r="AI1414" s="192"/>
      <c r="AJ1414" s="192"/>
      <c r="AK1414" s="192"/>
      <c r="AL1414" s="192"/>
      <c r="AM1414" s="192"/>
      <c r="AN1414" s="192"/>
      <c r="AO1414" s="192"/>
      <c r="AP1414" s="192"/>
      <c r="AQ1414" s="192"/>
      <c r="AR1414" s="192"/>
      <c r="AS1414" s="192"/>
      <c r="AT1414" s="192"/>
      <c r="AU1414" s="192"/>
      <c r="AV1414" s="192"/>
      <c r="AW1414" s="192"/>
      <c r="AX1414" s="192"/>
    </row>
    <row r="1415" spans="2:50" ht="15" customHeight="1" thickTop="1" thickBot="1" x14ac:dyDescent="0.35">
      <c r="B1415" s="192"/>
      <c r="C1415" s="192"/>
      <c r="D1415" s="192"/>
      <c r="E1415" s="192"/>
      <c r="F1415" s="192"/>
      <c r="G1415" s="192"/>
      <c r="H1415" s="192"/>
      <c r="I1415" s="401"/>
      <c r="J1415" s="161"/>
      <c r="K1415" s="397"/>
      <c r="L1415" s="399"/>
      <c r="M1415" s="391"/>
      <c r="N1415" s="391"/>
      <c r="O1415" s="374"/>
      <c r="P1415" s="374"/>
      <c r="Q1415" s="391"/>
      <c r="R1415" s="393"/>
      <c r="S1415" s="192"/>
      <c r="T1415" s="208">
        <v>1</v>
      </c>
      <c r="U1415" s="209" t="str">
        <f>IF(M1416="","",IF(COUNTIF(M1416:M1418,M1416)=3,IF(COUNTBLANK(I1416:I1419)=1,(Q1428+Q1434)/(Q1427+Q1433),IF(COUNTBLANK(I1416:I1419)=0,(Q1440+Q1428)/(Q1439+Q1427),"")),""))</f>
        <v/>
      </c>
      <c r="V1415" s="125" t="str">
        <f>IF(AND(COUNTBLANK(I1416:I1419)=0,M1416=M1418,M1418=M1419),(Q1428+Q1434)/(Q1427+Q1433),"")</f>
        <v/>
      </c>
      <c r="W1415" s="210" t="str">
        <f>IF(AND(COUNTBLANK(I1416:I1419)=0,M1416=M1417,M1417=M1419),(Q1440+Q1434)/(Q1439+Q1433),"")</f>
        <v/>
      </c>
      <c r="X1415" s="211"/>
      <c r="Y1415" s="169" t="s">
        <v>93</v>
      </c>
      <c r="Z1415" s="170" t="s">
        <v>107</v>
      </c>
      <c r="AA1415" s="169" t="s">
        <v>93</v>
      </c>
      <c r="AB1415" s="170" t="s">
        <v>107</v>
      </c>
      <c r="AC1415" s="192"/>
      <c r="AD1415" s="192"/>
      <c r="AE1415" s="192"/>
      <c r="AF1415" s="192"/>
      <c r="AG1415" s="192"/>
      <c r="AH1415" s="192"/>
      <c r="AI1415" s="192"/>
      <c r="AJ1415" s="192"/>
      <c r="AK1415" s="192"/>
      <c r="AL1415" s="192"/>
      <c r="AM1415" s="192"/>
      <c r="AN1415" s="192"/>
      <c r="AO1415" s="192"/>
      <c r="AP1415" s="192"/>
      <c r="AQ1415" s="192"/>
      <c r="AR1415" s="192"/>
      <c r="AS1415" s="192"/>
      <c r="AT1415" s="192"/>
      <c r="AU1415" s="192"/>
      <c r="AV1415" s="192"/>
      <c r="AW1415" s="192"/>
      <c r="AX1415" s="192"/>
    </row>
    <row r="1416" spans="2:50" ht="15" customHeight="1" thickTop="1" thickBot="1" x14ac:dyDescent="0.35">
      <c r="B1416" s="192"/>
      <c r="C1416" s="192"/>
      <c r="D1416" s="192"/>
      <c r="E1416" s="192"/>
      <c r="F1416" s="192" t="str">
        <f>IF(I1416="","",VLOOKUP(I1416,Siembra,2,FALSE))</f>
        <v/>
      </c>
      <c r="G1416" s="192" t="str">
        <f>O1416</f>
        <v/>
      </c>
      <c r="H1416" s="192">
        <v>1</v>
      </c>
      <c r="I1416" s="128" t="str">
        <f>IF(K1416="","",IF(ISNUMBER(Sorteo!$A$17),VLOOKUP(K1416,Draw,2,FALSE),""))</f>
        <v/>
      </c>
      <c r="J1416" s="129" t="str">
        <f>O1416</f>
        <v/>
      </c>
      <c r="K1416" s="130" t="str">
        <f>IF($K$9="","",IF(Group_players=4,IF(Tablas!CT$3="","",Tablas!CT$3),IF(Group_players=3,IF(Tablas!CT$11="","",Tablas!CT$11),"")))</f>
        <v/>
      </c>
      <c r="L1416" s="131" t="str">
        <f>IF(K1416="","",VLOOKUP(I1416,Siembra,3,FALSE))</f>
        <v/>
      </c>
      <c r="M1416" s="132" t="str">
        <f>IF(AND(Q1427="",Q1428=""),"",IF(I1416="","",SUMIFS(E1427:E1443,I1427:I1443,I1416)))</f>
        <v/>
      </c>
      <c r="N1416" s="132" t="str">
        <f>IF(M1416="","",IF(I1416="","",SUMIFS(F1427:F1443,I1427:I1443,I1416)))</f>
        <v/>
      </c>
      <c r="O1416" s="132" t="str">
        <f>IF(M1416="","",IF(COUNTBLANK(I1416:I1419)=1,IF(M1416=2,1,IF(M1416=0,3,IF(AND(M1416=1,M1417&lt;&gt;1),2,IF(COUNTIF(M1416:M1418,1)&gt;1,Z1416)))),IF(COUNTBLANK(I1416:I1419)=0,IF(COUNTIF(M1416:M1419,M1416)=1,IF(M1416=3,1,IF(M1416=2,2,IF(M1416=1,3,IF(M1416=0,4)))),IF(Group_players=3,Z1416,IF(COUNTIF(M1416:M1419,M1416)=2,AB1416,IF(AND(M1416=M1417,M1417=M1418),AB1420,IF(AND(M1416=M1418,M1418=M1419),AB1423,IF(AND(M1416=M1417,M1417=M1419),AB1426,"")))))),99)))</f>
        <v/>
      </c>
      <c r="P1416" s="133" t="str">
        <f>IF(COUNT(U1415:X1426)=3,IF(ISNUMBER(U1415),U1415,IF(ISNUMBER(V1415),V1415,IF(ISNUMBER(W1415),W1415,IF(X1415="","")))),IF(COUNT(U1415:X1426)=6,IF(ISNUMBER(U1423),U1423,IF(ISNUMBER(V1423),V1423,IF(ISNUMBER(W1423),W1423,IF(ISBLANK(X1415),"")))),""))</f>
        <v/>
      </c>
      <c r="Q1416" s="132" t="str">
        <f>IF(M1416="","",SUMIF(I1427:S1443,I1416,S1427:S1443))</f>
        <v/>
      </c>
      <c r="R1416" s="134" t="str">
        <f>IF(M1416="","",L1416+Q1416)</f>
        <v/>
      </c>
      <c r="S1416" s="203"/>
      <c r="T1416" s="208">
        <v>2</v>
      </c>
      <c r="U1416" s="209" t="str">
        <f>IF(M1417="","",IF(COUNTIF(M1416:M1418,M1417)=3,IF(COUNTBLANK(I1416:I1419)=1,(Q1431+Q1433)/(Q1430+Q1434),IF(COUNTBLANK(I1416:I1419)=0,(Q1437+Q1439)/(Q1436+Q1440),"")),""))</f>
        <v/>
      </c>
      <c r="V1416" s="135"/>
      <c r="W1416" s="212" t="str">
        <f>IF(AND(COUNTBLANK(I1416:I1419)=0,M1417=M1416,M1416=M1419),(Q1439+Q1431)/(Q1440+Q1430),"")</f>
        <v/>
      </c>
      <c r="X1416" s="213" t="str">
        <f>IF(AND(COUNTBLANK(I1416:I1419)=0,M1417=M1418,M1418=M1419),(Q1437+Q1431)/(Q1436+Q1430),"")</f>
        <v/>
      </c>
      <c r="Y1416" s="214">
        <v>1</v>
      </c>
      <c r="Z1416" s="215" t="str">
        <f>IF(U1415="","",IF(OR(Group_players=3,AND(Group_players=4,COUNTBLANK(I1416:I1419)=1)),IF(COUNTIF(M1416:M1418,M1416)=1,"",IF(AND(U1415=U1416,U1416=U1417),Z1420,IF(AND(U1415&lt;&gt;U1416,U1415&lt;&gt;U1417,U1416&lt;&gt;U1417),(IF(SMALL(U1415:U1417,1)=U1415,1,IF(SMALL(U1415:U1417,2)=U1415,2,IF(SMALL(U1415:U1417,3)=U1415,3)))),IF(AND(U1415&lt;U1416,U1416=U1417),1,IF(AND(U1415&gt;U1416,U1416=U1417),3,IF(AND(U1415=U1416,U1415&lt;U1417),(IF(Q1433=3,1,2)),IF(AND(U1415=U1416,U1415&gt;U1417),(IF(Q1433=3,2,3)),IF(AND(U1415=U1417,U1415&lt;U1416),(IF(Q1427=3,1,2)),IF(AND(U1415=U1417,U1415&gt;U1416),(IF(Q1427=3,2,3)),99))))))))),""))</f>
        <v/>
      </c>
      <c r="AA1416" s="216">
        <v>1</v>
      </c>
      <c r="AB1416" s="217" t="str">
        <f>IF(COUNTIF(M1416:M1419,M1416)&lt;&gt;2,"",IF(COUNTIF(M1416:M1419,M1416)=1,"",IF(AND(COUNTIF(M1416:M1419,M1416)=2,M1416=2),IF(M1416=M1417,IF(Q1439=3,1,2),IF(M1416=M1418,IF(Q1427=3,1,2),IF(M1416=M1419,IF(Q1433=3,1,2)))),IF(AND(COUNTIF(M1416:M1419,M1416)=2,M1416=1),IF(M1416=M1417,IF(Q1439=3,3,4),IF(M1416=M1418,IF(Q1427=3,3,4),IF(M1416=M1419,IF(Q1433=3,3,4)))),IF(COUNTIF(M1416:M1419,M1416)=3,AB1420)))))</f>
        <v/>
      </c>
      <c r="AC1416" s="192"/>
      <c r="AD1416" s="192"/>
      <c r="AE1416" s="192"/>
      <c r="AF1416" s="192"/>
      <c r="AG1416" s="192"/>
      <c r="AH1416" s="192"/>
      <c r="AI1416" s="192"/>
      <c r="AJ1416" s="192"/>
      <c r="AK1416" s="192"/>
      <c r="AL1416" s="192"/>
      <c r="AM1416" s="192"/>
      <c r="AN1416" s="192"/>
      <c r="AO1416" s="192"/>
      <c r="AP1416" s="192"/>
      <c r="AQ1416" s="192"/>
      <c r="AR1416" s="192"/>
      <c r="AS1416" s="192"/>
      <c r="AT1416" s="192"/>
      <c r="AU1416" s="192"/>
      <c r="AV1416" s="192"/>
      <c r="AW1416" s="192"/>
      <c r="AX1416" s="192"/>
    </row>
    <row r="1417" spans="2:50" ht="15" customHeight="1" thickTop="1" thickBot="1" x14ac:dyDescent="0.35">
      <c r="B1417" s="192"/>
      <c r="C1417" s="192"/>
      <c r="D1417" s="192"/>
      <c r="E1417" s="192"/>
      <c r="F1417" s="192" t="str">
        <f>IF(I1417="","",VLOOKUP(I1417,Siembra,2,FALSE))</f>
        <v/>
      </c>
      <c r="G1417" s="192" t="str">
        <f>O1417</f>
        <v/>
      </c>
      <c r="H1417" s="192">
        <v>2</v>
      </c>
      <c r="I1417" s="128" t="str">
        <f>IF(K1417="","",IF(ISNUMBER(Sorteo!$A$17),VLOOKUP(K1417,Draw,2,FALSE),""))</f>
        <v/>
      </c>
      <c r="J1417" s="129" t="str">
        <f>O1417</f>
        <v/>
      </c>
      <c r="K1417" s="136" t="str">
        <f>IF($K$9="","",IF(Group_players=4,IF(Tablas!CT$4="","",Tablas!CT$4),IF(Group_players=3,IF(Tablas!CT$12="","",Tablas!CT$12),"")))</f>
        <v/>
      </c>
      <c r="L1417" s="137" t="str">
        <f>IF(K1417="","",VLOOKUP(I1417,Siembra,3,FALSE))</f>
        <v/>
      </c>
      <c r="M1417" s="132" t="str">
        <f>IF(AND(L1427="",L1428=""),"",IF(I1417="","",SUMIFS(E1427:E1444,I1427:I1444,I1417)))</f>
        <v/>
      </c>
      <c r="N1417" s="138" t="str">
        <f>IF(M1417="","",IF(I1417="","",SUMIFS(F1427:F1443,I1427:I1443,I1417)))</f>
        <v/>
      </c>
      <c r="O1417" s="132" t="str">
        <f>IF(M1417="","",IF(COUNTBLANK(I1416:I1419)=1,IF(M1417=2,1,IF(M1417=0,3,IF(AND(M1417=1,M1418&lt;&gt;1),2,IF(COUNTIF(M1416:M1419,1)&gt;1,Z1417)))),IF(COUNTBLANK(I1416:I1419)=0,IF(COUNTIF(M1416:M1419,M1417)=1,IF(M1417=3,1,IF(M1417=2,2,IF(M1417=1,3,IF(M1417=0,4)))),IF(Group_players=3,Z1417,IF(COUNTIF(M1416:M1419,M1417)=2,AB1417,IF(AND(M1417=M1416,M1416=M1418),AB1421,IF(AND(M1417=M1416,M1416=M1419),AB1427,IF(AND(M1417=M1418,M1418=M1419),AB1429,"")))))))))</f>
        <v/>
      </c>
      <c r="P1417" s="133" t="str">
        <f>IF(COUNT(U1415:X1426)=3,IF(ISNUMBER(U1416),U1416,IF(ISNUMBER(W1416),W1416,IF(ISNUMBER(X1416),X1416,IF(X1416="","")))),IF(COUNT(U1415:X1426)=6,IF(ISNUMBER(U1424),U1424,IF(ISNUMBER(W1424),W1424,IF(ISNUMBER(X1424),X1424,IF(ISBLANK(X1423),"")))),""))</f>
        <v/>
      </c>
      <c r="Q1417" s="138" t="str">
        <f>IF(M1417="","",SUMIF(I1427:S1443,I1417,S1427:$S1443))</f>
        <v/>
      </c>
      <c r="R1417" s="139" t="str">
        <f>IF(M1417="","",L1417+Q1417)</f>
        <v/>
      </c>
      <c r="S1417" s="203"/>
      <c r="T1417" s="208">
        <v>3</v>
      </c>
      <c r="U1417" s="209" t="str">
        <f>IF(M1418="","",IF(COUNTIF(M1416:M1418,M1418)=3,IF(COUNTBLANK(I1416:I1419)=1,(Q1427+Q1430)/(Q1428+Q1431),IF(COUNTBLANK(I1416:I1419)=0,(Q1427+Q1436)/(Q1428+Q1437),"")),""))</f>
        <v/>
      </c>
      <c r="V1417" s="125" t="str">
        <f>IF(AND(COUNTBLANK(I1416:I1419)=0,M1418=M1419,M1419=M1416),(Q1427+Q1443)/(Q1428+Q1442),"")</f>
        <v/>
      </c>
      <c r="W1417" s="218"/>
      <c r="X1417" s="213" t="str">
        <f>IF(AND(COUNTBLANK(I1416:I1419)=0,M1418=M1419,M1419=M1417),(Q1436+Q1443)/(Q1437+Q1442),"")</f>
        <v/>
      </c>
      <c r="Y1417" s="219">
        <v>2</v>
      </c>
      <c r="Z1417" s="220" t="str">
        <f>IF(U1416="","",IF(OR(Group_players=3,AND(Group_players=4,COUNTBLANK(I1416:I1419)=1)),IF(COUNTIF(M1416:M1418,M1417)=1,"",IF(AND(U1416=U1415,U1416=U1417),Z1421,IF(AND(U1416&lt;&gt;U1415,U1416&lt;&gt;U1417,U1415&lt;&gt;U1417),(IF(SMALL(U1415:U1417,1)=U1416,1,IF(SMALL(U1415:U1417,2)=U1416,2,IF(SMALL(U1415:U1417,3)=U1416,3)))),IF(AND(U1416&lt;U1415,U1415=U1417),1,IF(AND(U1416&gt;U1415,U1415=U1417),3,IF(AND(U1416=U1415,U1416&lt;U1417),(IF(Q1434=3,1,2)),IF(AND(U1416=U1415,U1416&gt;U1417),(IF(Q1434=3,2,3)),IF(AND(U1416=U1417,U1416&lt;U1415),(IF(Q1430=3,1,2)),IF(AND(U1416=U1417,U1416&gt;U1415),(IF(Q1430=3,2,3)),99))))))))),""))</f>
        <v/>
      </c>
      <c r="AA1417" s="221">
        <v>2</v>
      </c>
      <c r="AB1417" s="222" t="str">
        <f>IF(COUNTIF(M1416:M1419,M1417)&lt;&gt;2,"",IF(COUNTIF(M1416:M1419,M1417)=1,"",IF(AND(COUNTIF(M1416:M1419,M1417)=2,M1417=2),IF(M1417=M1416,IF(Q1440=3,1,2),IF(M1417=M1418,IF(Q1436=3,1,2),IF(M1417=M1419,IF(Q1430=3,1,2)))),IF(AND(COUNTIF(M1416:M1419,M1417)=2,M1417=1),IF(M1417=M1416,IF(Q1440=3,3,4),IF(M1417=M1418,IF(Q1436=3,3,4),IF(M1417=M1419,IF(Q1430=3,3,4)))),AB1422))))</f>
        <v/>
      </c>
      <c r="AC1417" s="192"/>
      <c r="AD1417" s="192"/>
      <c r="AE1417" s="192"/>
      <c r="AF1417" s="192"/>
      <c r="AG1417" s="192"/>
      <c r="AH1417" s="192"/>
      <c r="AI1417" s="192"/>
      <c r="AJ1417" s="192"/>
      <c r="AK1417" s="192"/>
      <c r="AL1417" s="192"/>
      <c r="AM1417" s="192"/>
      <c r="AN1417" s="192"/>
      <c r="AO1417" s="192"/>
      <c r="AP1417" s="192"/>
      <c r="AQ1417" s="192"/>
      <c r="AR1417" s="192"/>
      <c r="AS1417" s="192"/>
      <c r="AT1417" s="192"/>
      <c r="AU1417" s="192"/>
      <c r="AV1417" s="192"/>
      <c r="AW1417" s="192"/>
      <c r="AX1417" s="192"/>
    </row>
    <row r="1418" spans="2:50" ht="15" customHeight="1" thickBot="1" x14ac:dyDescent="0.35">
      <c r="B1418" s="192"/>
      <c r="C1418" s="192"/>
      <c r="D1418" s="192"/>
      <c r="E1418" s="192"/>
      <c r="F1418" s="192" t="str">
        <f>IF(I1418="","",VLOOKUP(I1418,Siembra,2,FALSE))</f>
        <v/>
      </c>
      <c r="G1418" s="192" t="str">
        <f>O1418</f>
        <v/>
      </c>
      <c r="H1418" s="192">
        <v>3</v>
      </c>
      <c r="I1418" s="128" t="str">
        <f>IF(K1418="","",IF(ISNUMBER(Sorteo!$A$17),VLOOKUP(K1418,Draw,2,FALSE),""))</f>
        <v/>
      </c>
      <c r="J1418" s="129" t="str">
        <f>O1418</f>
        <v/>
      </c>
      <c r="K1418" s="136" t="str">
        <f>IF($K$9="","",IF(Group_players=4,IF(Tablas!CT$5="","",Tablas!CT$5),IF(Group_players=3,IF(Tablas!CT$13="","",Tablas!CT$13),"")))</f>
        <v/>
      </c>
      <c r="L1418" s="137" t="str">
        <f>IF(K1418="","",VLOOKUP(I1418,Siembra,3,FALSE))</f>
        <v/>
      </c>
      <c r="M1418" s="132" t="str">
        <f>IF(AND(L1428="",L1427=""),"",IF(I1418="","",SUMIFS(E1427:E1445,I1427:I1445,I1418)))</f>
        <v/>
      </c>
      <c r="N1418" s="138" t="str">
        <f>IF(M1418="","",IF(I1418="","",SUMIFS(F1427:F1443,I1427:I1443,I1418)))</f>
        <v/>
      </c>
      <c r="O1418" s="132" t="str">
        <f>IF(M1418="","",IF(COUNTBLANK(I1416:I1419)=1,IF(M1418=2,1,IF(M1418=0,3,IF(AND(M1418=1,M1418&lt;&gt;M1416),2,IF(COUNTIF(M1416:M1419,1)&gt;1,Z1418)))),IF(COUNTBLANK(I1416:I1419)=0,IF(COUNTIF(M1416:M1419,M1418)=1,IF(M1418=3,1,IF(M1418=2,2,IF(M1418=1,3,IF(M1418=0,4)))),IF(Group_players=3,Z1418,IF(COUNTIF(M1416:M1419,M1418)=2,AB1418,IF(AND(M1418=M1416,M1416=M1417),AB1422,IF(AND(M1418=M1416,M1416=M1419),AB1424,IF(AND(M1418=M1417,M1417=M1419),AB1430,"")))))))))</f>
        <v/>
      </c>
      <c r="P1418" s="133" t="str">
        <f>IF(COUNT(U1415:X1426)=3,IF(ISNUMBER(U1417),U1417,IF(ISNUMBER(V1417),V1417,IF(ISNUMBER(X1417),X1417,IF(W1417="","")))),IF(COUNT(U1415:X1426)=6,IF(ISNUMBER(U1425),U1425,IF(ISNUMBER(V1425),V1425,IF(ISNUMBER(X1425),X1425,""))),""))</f>
        <v/>
      </c>
      <c r="Q1418" s="138" t="str">
        <f>IF(M1418="","",SUMIF(I1427:S1443,I1418,S1427:S1443))</f>
        <v/>
      </c>
      <c r="R1418" s="139" t="str">
        <f>IF(M1418="","",L1418+Q1418)</f>
        <v/>
      </c>
      <c r="S1418" s="203"/>
      <c r="T1418" s="208">
        <v>4</v>
      </c>
      <c r="U1418" s="223"/>
      <c r="V1418" s="140" t="str">
        <f>IF(AND(COUNTBLANK(I1416:I1419)=0,M1419=M1416,M1416=M1418),(Q1433+Q1442)/(Q1434+Q1443),"")</f>
        <v/>
      </c>
      <c r="W1418" s="224" t="str">
        <f>IF(AND(COUNTBLANK(I1416:I1419)=0,M1419=M1416,M1416=M1417),(Q1433+Q1430)/(Q1434+Q1431),"")</f>
        <v/>
      </c>
      <c r="X1418" s="225" t="str">
        <f>IF(AND(COUNTBLANK(I1416:I1419)=0,M1419=M1417,M1417=M1418),(Q1430+Q1442)/(Q1431+Q1443),"")</f>
        <v/>
      </c>
      <c r="Y1418" s="226">
        <v>3</v>
      </c>
      <c r="Z1418" s="227" t="str">
        <f>IF(U1417="","",IF(OR(Group_players=3,AND(Group_players=4,COUNTBLANK(I1416:I1419)=1)),IF(COUNTIF(M1416:M1418,M1418)=1,"",IF(AND(U1417=U1415,U1417=U1416),Z1422,IF(AND(U1417&lt;&gt;U1416,U1416&lt;&gt;U1415,U1417&lt;&gt;U1415),(IF(SMALL(U1415:U1417,1)=U1417,1,IF(SMALL(U1415:U1417,2)=U1417,2,IF(SMALL(U1415:U1417,3)=U1417,3)))),IF(AND(U1417&lt;U1416,U1416=U1415),1,IF(AND(U1417&gt;U1416,U1416=U1415),3,IF(AND(U1417=U1416,U1417&lt;U1415),(IF(Q1431=3,1,2)),IF(AND(U1417=U1416,U1417&gt;U1415),(IF(Q1431=3,2,3)),IF(AND(U1417=U1415,U1417&lt;U1416),(IF(Q1428=3,1,2)),IF(AND(U1417=U1415,U1417&gt;U1416),(IF(Q1428=3,2,3)),99))))))))),""))</f>
        <v/>
      </c>
      <c r="AA1418" s="221">
        <v>3</v>
      </c>
      <c r="AB1418" s="222" t="str">
        <f>IF(COUNTIF(M1416:M1419,M1418)&lt;&gt;2,"",IF(COUNTIF(M1416:M1419,M1418)=1,"",IF(AND(COUNTIF(M1416:M1419,M1418)=2,M1418=2),IF(M1418=M1416,IF(Q1428=3,1,2),IF(M1418=M1417,IF(Q1437=3,1,2),IF(M1418=M1419,IF(Q1442=3,1,2)))),IF(AND(COUNTIF(M1416:M1419,M1418)=2,M1418=1),IF(M1418=M1416,IF(Q1428=3,3,4),IF(M1418=M1417,IF(Q1437=3,3,4),IF(M1418=M1419,IF(Q1442=3,3,4)))),AB1422))))</f>
        <v/>
      </c>
      <c r="AC1418" s="192"/>
      <c r="AD1418" s="192"/>
      <c r="AE1418" s="192"/>
      <c r="AF1418" s="192"/>
      <c r="AG1418" s="192"/>
      <c r="AH1418" s="192"/>
      <c r="AI1418" s="192"/>
      <c r="AJ1418" s="192"/>
      <c r="AK1418" s="192"/>
      <c r="AL1418" s="192"/>
      <c r="AM1418" s="192"/>
      <c r="AN1418" s="192"/>
      <c r="AO1418" s="192"/>
      <c r="AP1418" s="192"/>
      <c r="AQ1418" s="192"/>
      <c r="AR1418" s="192"/>
      <c r="AS1418" s="192"/>
      <c r="AT1418" s="192"/>
      <c r="AU1418" s="192"/>
      <c r="AV1418" s="192"/>
      <c r="AW1418" s="192"/>
      <c r="AX1418" s="192"/>
    </row>
    <row r="1419" spans="2:50" ht="15" customHeight="1" thickTop="1" thickBot="1" x14ac:dyDescent="0.35">
      <c r="B1419" s="192"/>
      <c r="C1419" s="192"/>
      <c r="D1419" s="192"/>
      <c r="E1419" s="192"/>
      <c r="F1419" s="192" t="str">
        <f>IF(I1419="","",VLOOKUP(I1419,Siembra,2,FALSE))</f>
        <v/>
      </c>
      <c r="G1419" s="192" t="str">
        <f>O1419</f>
        <v/>
      </c>
      <c r="H1419" s="192">
        <v>4</v>
      </c>
      <c r="I1419" s="141" t="str">
        <f>IF(K1419="","",IF(ISNUMBER(Sorteo!$A$17),VLOOKUP(K1419,Draw,2,FALSE),""))</f>
        <v/>
      </c>
      <c r="J1419" s="142" t="str">
        <f>O1419</f>
        <v/>
      </c>
      <c r="K1419" s="143" t="str">
        <f>IF($K$9="","",IF(Group_players=4,IF(Tablas!CT6="","",Tablas!CT6),""))</f>
        <v/>
      </c>
      <c r="L1419" s="144" t="str">
        <f>IF(K1419="","",VLOOKUP(I1419,Siembra,3,FALSE))</f>
        <v/>
      </c>
      <c r="M1419" s="145" t="str">
        <f>IF(AND(Q1430="",Q1431=""),"",IF(I1419="","",SUMIFS(E1427:E1446,I1427:I1446,I1419)))</f>
        <v/>
      </c>
      <c r="N1419" s="145" t="str">
        <f>IF(M1419="","",IF(I1419="","",SUMIFS(F1427:F1443,I1427:I1443,I1419)))</f>
        <v/>
      </c>
      <c r="O1419" s="145" t="str">
        <f>IF(M1419="","",IF(COUNTIF(M1416:M1419,M1419)=1,IF(M1419=3,1,IF(M1419=2,2,IF(M1419=1,3,IF(M1419=0,4)))),IF(COUNTIF(M1416:M1419,M1419)=2,AB1419,IF(AND(M1419=M1416,M1416=M1418),AB1425,IF(AND(M1419=M1416,M1416=M1417),AB1428,IF(AND(M1419=M1417,M1417=M1418),AB1431,""))))))</f>
        <v/>
      </c>
      <c r="P1419" s="146" t="str">
        <f>IF(COUNT(U1415:X1426)=3,IF(ISNUMBER(V1418),V1418,IF(ISNUMBER(W1418),W1418,IF(ISNUMBER(X1418),X1418,IF(X1418="","")))),IF(COUNT(U1415:X1426)=6,IF(ISNUMBER(V1426),V1426,IF(ISNUMBER(W1426),W1426,IF(ISNUMBER(X1426),X1426,""))),""))</f>
        <v/>
      </c>
      <c r="Q1419" s="145" t="str">
        <f>IF(M1419="","",SUMIF(I1427:S1443,I1419,S1427:$S1443))</f>
        <v/>
      </c>
      <c r="R1419" s="147" t="str">
        <f>IF(M1419="","",L1419+Q1419)</f>
        <v/>
      </c>
      <c r="S1419" s="203"/>
      <c r="T1419" s="192"/>
      <c r="U1419" s="192"/>
      <c r="V1419" s="192"/>
      <c r="W1419" s="192"/>
      <c r="X1419" s="192"/>
      <c r="Y1419" s="230" t="s">
        <v>93</v>
      </c>
      <c r="Z1419" s="231" t="s">
        <v>110</v>
      </c>
      <c r="AA1419" s="232">
        <v>4</v>
      </c>
      <c r="AB1419" s="233" t="str">
        <f>IF(COUNTIF(M1416:M1419,M1419)&lt;&gt;2,"",IF(COUNTIF(M1416:M1419,M1419)=1,"",IF(AND(COUNTIF(M1416:M1419,M1419)=2,M1419=2),IF(M1419=M1416,IF(Q1434=3,1,2),IF(M1419=M1417,IF(Q1431=3,1,2),IF(M1419=M1418,IF(Q1443=3,1,2)))),IF(AND(COUNTIF(M1416:M1419,M1419)=2,M1419=1),IF(M1419=M1416,IF(Q1434=3,3,4),IF(M1419=M1417,IF(Q1431=3,3,4),IF(M1419=M1418,IF(Q1443=3,3,4)))),AB1425))))</f>
        <v/>
      </c>
      <c r="AC1419" s="192"/>
      <c r="AD1419" s="192"/>
      <c r="AE1419" s="192"/>
      <c r="AF1419" s="192"/>
      <c r="AG1419" s="192"/>
      <c r="AH1419" s="192"/>
      <c r="AI1419" s="192"/>
      <c r="AJ1419" s="192"/>
      <c r="AK1419" s="192"/>
      <c r="AL1419" s="192"/>
      <c r="AM1419" s="192"/>
      <c r="AN1419" s="192"/>
      <c r="AO1419" s="192"/>
      <c r="AP1419" s="192"/>
      <c r="AQ1419" s="192"/>
      <c r="AR1419" s="192"/>
      <c r="AS1419" s="192"/>
      <c r="AT1419" s="192"/>
      <c r="AU1419" s="192"/>
      <c r="AV1419" s="192"/>
      <c r="AW1419" s="192"/>
      <c r="AX1419" s="192"/>
    </row>
    <row r="1420" spans="2:50" ht="15" customHeight="1" thickTop="1" x14ac:dyDescent="0.3">
      <c r="B1420" s="192"/>
      <c r="C1420" s="192"/>
      <c r="D1420" s="192"/>
      <c r="E1420" s="192"/>
      <c r="F1420" s="192"/>
      <c r="G1420" s="192"/>
      <c r="H1420" s="192"/>
      <c r="I1420" s="192"/>
      <c r="J1420" s="192"/>
      <c r="K1420" s="192"/>
      <c r="L1420" s="192"/>
      <c r="M1420" s="192"/>
      <c r="N1420" s="192"/>
      <c r="O1420" s="192"/>
      <c r="P1420" s="192"/>
      <c r="Q1420" s="192"/>
      <c r="R1420" s="192"/>
      <c r="S1420" s="192"/>
      <c r="T1420" s="208"/>
      <c r="U1420" s="192"/>
      <c r="V1420" s="148"/>
      <c r="W1420" s="148"/>
      <c r="X1420" s="234"/>
      <c r="Y1420" s="214">
        <v>1</v>
      </c>
      <c r="Z1420" s="215" t="str">
        <f>IF(U1423="","",IF(OR(Group_players=3,AND(Group_players=4,COUNTBLANK(I1416:I1419)=1)),IF(COUNTIF(M1416:M1418,M1416)=1,"",IF(COUNTIF(U1415:U1417,U1415)=3,IF(AND(U1423=U1424,U1424=U1425),"Tied",IF(AND(U1423&lt;&gt;U1424,U1423&lt;&gt;U1425,U1424&lt;&gt;U1425),(IF(SMALL(U1423:U1425,1)=U1423,1,IF(SMALL(U1423:U1425,2)=U1423,2,IF(SMALL(U1423:U1425,3)=U1423,3)))),IF(AND(U1423&lt;U1424,U1424=U1425),1,IF(AND(U1423&gt;U1424,U1424=U1425),3,IF(AND(U1423=U1424,U1423&lt;U1425),(IF(Q1433=3,1,2)),IF(AND(U1423=U1424,U1423&gt;U1425),(IF(Q1433=3,2,3)),IF(AND(U1423=U1425,U1423&lt;U1424),(IF(Q1427=3,1,2)),IF(AND(U1423=U1425,U1423&gt;U1424),(IF(Q1427=3,2,3)),99)))))))),"")),""))</f>
        <v/>
      </c>
      <c r="AA1420" s="208">
        <v>1</v>
      </c>
      <c r="AB1420" s="222" t="str">
        <f>IF(AND(COUNTBLANK(I1416:I1419)=0,Group_players=4,M1416=M1417,M1417=M1418),IF(COUNTIF(U1415:U1418,U1415)=3,AB1433,IF(AND(COUNTIF(U1415:U1418,U1415)=1,U1416&lt;&gt;U1417),IF(M1416=2,IF(SMALL(U1415:U1418,1)=U1415,1,IF(SMALL(U1415:U1418,2)=U1415,2,IF(SMALL(U1415:U1418,3)=U1415,3))),IF(M1416=1,IF(SMALL(U1415:U1418,1)=U1415,2,IF(SMALL(U1415:U1418,2)=U1415,3,IF(SMALL(U1415:U1418,3)=U1415,4))),"")),IF(COUNTIF(U1415:U1418,U1415)=1,IF(U1415&lt;U1416,IF(M1416=2,1,2),IF(M1416=2,3,4)),IF(COUNTIF(U1415:U1418,U1415)=2,IF(U1415=U1416,IF(U1415&lt;U1417,IF(M1416=2,IF(Q1439=3,1,2),IF(M1416=1,IF(Q1439=3,2,3))),IF(U1415&gt;U1417,IF(M1416=2,IF(Q1439=3,2,3),IF(M1416=1,IF(Q1439=3,3,4))))),IF(U1415=U1417,IF(U1415&lt;U1416,IF(M1416=2,IF(Q1427=3,1,2),IF(M1416=1,IF(Q1427=3,2,3))),IF(U1415&gt;U1416,IF(M1416=2,IF(Q1427=3,2,3),IF(M1416=1,IF(Q1427=3,3,4))))))),"")))),"")</f>
        <v/>
      </c>
      <c r="AC1420" s="192"/>
      <c r="AD1420" s="192"/>
      <c r="AE1420" s="192"/>
      <c r="AF1420" s="192"/>
      <c r="AG1420" s="192"/>
      <c r="AH1420" s="192"/>
      <c r="AI1420" s="192"/>
      <c r="AJ1420" s="192"/>
      <c r="AK1420" s="192"/>
      <c r="AL1420" s="192"/>
      <c r="AM1420" s="192"/>
      <c r="AN1420" s="192"/>
      <c r="AO1420" s="192"/>
      <c r="AP1420" s="192"/>
      <c r="AQ1420" s="192"/>
      <c r="AR1420" s="192"/>
      <c r="AS1420" s="192"/>
      <c r="AT1420" s="192"/>
      <c r="AU1420" s="192"/>
      <c r="AV1420" s="192"/>
      <c r="AW1420" s="192"/>
      <c r="AX1420" s="192"/>
    </row>
    <row r="1421" spans="2:50" ht="15" customHeight="1" thickBot="1" x14ac:dyDescent="0.35">
      <c r="B1421" s="192"/>
      <c r="C1421" s="192"/>
      <c r="D1421" s="192"/>
      <c r="E1421" s="192"/>
      <c r="F1421" s="192"/>
      <c r="G1421" s="192"/>
      <c r="H1421" s="192"/>
      <c r="I1421" s="269"/>
      <c r="J1421" s="269"/>
      <c r="K1421" s="192"/>
      <c r="L1421" s="192"/>
      <c r="M1421" s="192"/>
      <c r="N1421" s="192"/>
      <c r="O1421" s="192"/>
      <c r="P1421" s="192"/>
      <c r="Q1421" s="192"/>
      <c r="R1421" s="192"/>
      <c r="S1421" s="192"/>
      <c r="T1421" s="208"/>
      <c r="U1421" s="368" t="s">
        <v>111</v>
      </c>
      <c r="V1421" s="369"/>
      <c r="W1421" s="369"/>
      <c r="X1421" s="369"/>
      <c r="Y1421" s="236">
        <v>2</v>
      </c>
      <c r="Z1421" s="220" t="str">
        <f>IF(U1416="","",IF(OR(Group_players=3,AND(Group_players=4,COUNTBLANK(I1416:I1419)=1)),IF(COUNTIF(M1416:M1418,M1417)=1,"",IF(COUNTIF(U1415:U1417,U1416)=3,IF(AND(U1424=U1423,U1424=U1425),"Tied",IF(AND(U1424&lt;&gt;U1423,U1424&lt;&gt;U1425,U1423&lt;&gt;U1425),(IF(SMALL(U1423:U1425,1)=U1424,1,IF(SMALL(U1423:U1425,2)=U1424,2,IF(SMALL(U1423:U1425,3)=U1424,3)))),IF(AND(U1424&lt;U1423,U1423=U1425),1,IF(AND(U1424&gt;U1423,U1423=U1425),3,IF(AND(U1424=U1423,U1424&lt;U1425),(IF(Q1434=3,1,2)),IF(AND(U1424=U1423,U1424&gt;U1425),(IF(Q1434=3,2,3)),IF(AND(U1424=U1425,U1424&lt;U1423),(IF(Q1430=3,1,2)),IF(AND(U1424=U1425,U1424&gt;U1423),(IF(Q1430=3,2,3)),99)))))))),"")),""))</f>
        <v/>
      </c>
      <c r="AA1421" s="208">
        <v>2</v>
      </c>
      <c r="AB1421" s="222" t="str">
        <f>IF(AND(COUNTBLANK(I1416:I1419)=0,Group_players=4,M1416=M1417,M1417=M1418),IF(COUNTIF(U1415:U1418,U1416)=3,AB1434,IF(AND(COUNTIF(U1415:U1418,U1416)=1,U1415&lt;&gt;U1417),IF(M1417=2,IF(SMALL(U1415:U1418,1)=U1416,1,IF(SMALL(U1415:U1418,2)=U1416,2,IF(SMALL(U1415:U1418,3)=U1416,3))),IF(M1417=1,IF(SMALL(U1415:U1418,1)=U1416,2,IF(SMALL(U1415:U1418,2)=U1416,3,IF(SMALL(U1415:U1418,3)=U1416,4))),"")),IF(COUNTIF(U1415:U1417,U1416)=1,IF(U1416&lt;U1415,IF(M1417=2,1,2),IF(M1417=2,3,99)),IF(COUNTIF(U1415:U1418,U1416)=2,IF(U1416=U1415,IF(U1416&lt;U1417,IF(M1417=2,IF(Q1440=3,1,2),IF(M1417=1,IF(Q1440=3,2,3))),IF(U1416&gt;U1417,IF(M1417=2,IF(Q1440=3,2,3),IF(M1417=1,IF(Q1440=3,3,4))))),IF(U1416=U1417,IF(U1416&lt;U1415,IF(M1417=2,IF(Q1436=3,1,2),IF(M1417=1,IF(Q1436=3,2,3))),IF(U1416&gt;U1415,IF(M1417=2,IF(Q1436=3,2,3),IF(M1417=1,IF(Q1436=3,3,4))))))),"")))),"")</f>
        <v/>
      </c>
      <c r="AC1421" s="192"/>
      <c r="AD1421" s="192"/>
      <c r="AE1421" s="192"/>
      <c r="AF1421" s="192"/>
      <c r="AG1421" s="192"/>
      <c r="AH1421" s="192"/>
      <c r="AI1421" s="192"/>
      <c r="AJ1421" s="192"/>
      <c r="AK1421" s="192"/>
      <c r="AL1421" s="192"/>
      <c r="AM1421" s="192"/>
      <c r="AN1421" s="192"/>
      <c r="AO1421" s="192"/>
      <c r="AP1421" s="192"/>
      <c r="AQ1421" s="192"/>
      <c r="AR1421" s="192"/>
      <c r="AS1421" s="192"/>
      <c r="AT1421" s="192"/>
      <c r="AU1421" s="192"/>
      <c r="AV1421" s="192"/>
      <c r="AW1421" s="192"/>
      <c r="AX1421" s="192"/>
    </row>
    <row r="1422" spans="2:50" ht="15" customHeight="1" thickTop="1" thickBot="1" x14ac:dyDescent="0.35">
      <c r="B1422" s="192"/>
      <c r="C1422" s="192"/>
      <c r="D1422" s="192"/>
      <c r="E1422" s="192"/>
      <c r="F1422" s="192"/>
      <c r="G1422" s="192"/>
      <c r="H1422" s="192"/>
      <c r="I1422" s="192"/>
      <c r="J1422" s="192"/>
      <c r="K1422" s="192"/>
      <c r="L1422" s="192"/>
      <c r="M1422" s="192"/>
      <c r="N1422" s="192"/>
      <c r="O1422" s="192"/>
      <c r="P1422" s="192"/>
      <c r="Q1422" s="192"/>
      <c r="R1422" s="192"/>
      <c r="S1422" s="192"/>
      <c r="T1422" s="120"/>
      <c r="U1422" s="121" t="s">
        <v>101</v>
      </c>
      <c r="V1422" s="122" t="s">
        <v>102</v>
      </c>
      <c r="W1422" s="122" t="s">
        <v>103</v>
      </c>
      <c r="X1422" s="123" t="s">
        <v>104</v>
      </c>
      <c r="Y1422" s="238">
        <v>3</v>
      </c>
      <c r="Z1422" s="239" t="str">
        <f>IF(U1417="","",IF(OR(Group_players=3,AND(Group_players=4,COUNTBLANK(I1416:I1419)=1)),IF(COUNTIF(M1416:M1418,M1418)=1,"",IF(COUNTIF(U1415:U1417,U1417)=3,IF(AND(U1425=U1423,U1425=U1424),"Tied",IF(AND(U1425&lt;&gt;U1424,U1424&lt;&gt;U1423,U1425&lt;&gt;U1423),(IF(SMALL(U1423:U1425,1)=U1425,1,IF(SMALL(U1423:U1425,2)=U1425,2,IF(SMALL(U1423:U1425,3)=U1425,3)))),IF(AND(U1425&lt;U1424,U1424=U1423),1,IF(AND(U1425&gt;U1424,U1424=U1423),3,IF(AND(U1425=U1424,U1425&lt;U1423),(IF(Q1431=3,1,2)),IF(AND(U1425=U1424,U1425&gt;U1423),(IF(Q1431=3,2,3)),IF(AND(U1425=U1423,U1425&lt;U1424),(IF(Q1428=3,1,2)),IF(AND(U1425=U1423,U1425&gt;U1424),(IF(Q1428=3,2,3)),99)))))))),"")),""))</f>
        <v/>
      </c>
      <c r="AA1422" s="240">
        <v>3</v>
      </c>
      <c r="AB1422" s="241" t="str">
        <f>IF(AND(COUNTBLANK(I1416:I1419)=0,Group_players=4,M1416=M1417,M1417=M1418),IF(COUNTIF(U1415:U1418,U1417)=3,AB1435,IF(AND(COUNTIF(U1415:U1418,U1417)=1,U1415&lt;&gt;U1416),IF(M1416=2,IF(SMALL(U1415:U1418,1)=U1417,1,IF(SMALL(U1415:U1418,2)=U1417,2,IF(SMALL(U1415:U1418,3)=U1417,3))),IF(M1418=1,IF(SMALL(U1415:U1418,1)=U1417,2,IF(SMALL(U1415:U1418,2)=U1417,3,IF(SMALL(U1415:U1418,3)=U1417,4))),"")),IF(COUNTIF(U1415:U1418,U1417)=1,IF(U1417&lt;U1416,IF(M1418=2,1,2),IF(M1418=2,3,4)),IF(COUNTIF(U1415:U1418,U1417)=2,IF(U1417=U1416,IF(U1417&lt;U1415,IF(M1418=2,IF(Q1437=3,1,2),IF(M1418=1,IF(Q1437=3,2,3))),IF(U1417&gt;U1415,IF(M1418=2,IF(Q1437=3,2,3),IF(M1418=1,IF(Q1437=3,3,4))))),IF(U1417=U1415,IF(U1417&lt;U1416,IF(M1418=2,IF(Q1428=3,1,2),IF(M1418=1,IF(Q1428=3,2,3))),IF(U1417&gt;U1416,IF(M1418=2,IF(Q1428=3,2,3),IF(M1418=1,IF(Q1428=3,3,4))))))),"")))),"")</f>
        <v/>
      </c>
      <c r="AC1422" s="192"/>
      <c r="AD1422" s="192"/>
      <c r="AE1422" s="192"/>
      <c r="AF1422" s="192"/>
      <c r="AG1422" s="192"/>
      <c r="AH1422" s="192"/>
      <c r="AI1422" s="192"/>
      <c r="AJ1422" s="192"/>
      <c r="AK1422" s="192"/>
      <c r="AL1422" s="192"/>
      <c r="AM1422" s="192"/>
      <c r="AN1422" s="192"/>
      <c r="AO1422" s="192"/>
      <c r="AP1422" s="192"/>
      <c r="AQ1422" s="192"/>
      <c r="AR1422" s="192"/>
      <c r="AS1422" s="192"/>
      <c r="AT1422" s="192"/>
      <c r="AU1422" s="192"/>
      <c r="AV1422" s="192"/>
      <c r="AW1422" s="192"/>
      <c r="AX1422" s="192"/>
    </row>
    <row r="1423" spans="2:50" ht="15" customHeight="1" thickTop="1" thickBot="1" x14ac:dyDescent="0.35">
      <c r="B1423" s="192"/>
      <c r="C1423" s="192"/>
      <c r="D1423" s="192"/>
      <c r="E1423" s="192"/>
      <c r="F1423" s="192"/>
      <c r="G1423" s="192"/>
      <c r="H1423" s="192"/>
      <c r="I1423" s="192"/>
      <c r="J1423" s="192"/>
      <c r="K1423" s="192"/>
      <c r="L1423" s="192"/>
      <c r="M1423" s="192"/>
      <c r="N1423" s="192"/>
      <c r="O1423" s="192"/>
      <c r="P1423" s="192"/>
      <c r="Q1423" s="192"/>
      <c r="R1423" s="192"/>
      <c r="S1423" s="192"/>
      <c r="T1423" s="208">
        <v>1</v>
      </c>
      <c r="U1423" s="209" t="str">
        <f>IF(U1415="","",IF(OR(U1415&lt;&gt;U1416,U1415&lt;&gt;U1417),"",IF(COUNTIF(M1416:M1418,M1416)=1,"",IF(COUNTBLANK(I1416:I1419)=1,(SUM(L1428:P1428)+SUM(L1434:P1434))/(SUM(L1427:P1427)+SUM(L1433:P1433)),IF(COUNTBLANK(I1416:I1419)=0,(SUM(L1440:P1440)+SUM(L1428:P1428))/(SUM(L1439:P1439)+SUM(L1427:P1427)),"")))))</f>
        <v/>
      </c>
      <c r="V1423" s="125" t="str">
        <f>IF(V1415="","",IF(OR(V1415&lt;&gt;V1417,V1415&lt;&gt;V1418),"",IF(AND(COUNTBLANK(I1416:I1419)=0,M1416=M1418,M1418=M1419),(SUM(L1428:P1428)+SUM(L1434:P1434))/(SUM(L1427:P1427)+SUM(L1433:P1433)),"")))</f>
        <v/>
      </c>
      <c r="W1423" s="210" t="str">
        <f>IF(W1415="","",IF(OR(W1415&lt;&gt;W1416,W1415&lt;&gt;W1418),"",IF(AND(COUNTBLANK(I1416:I1419)=0,M1416=M1417,M1417=M1419),(SUM(L1440:P1440)+SUM(L1434:P1434))/(SUM(L1439:P1439)+SUM(L1433:P1433)),"")))</f>
        <v/>
      </c>
      <c r="X1423" s="211"/>
      <c r="Y1423" s="242"/>
      <c r="Z1423" s="242"/>
      <c r="AA1423" s="243">
        <v>1</v>
      </c>
      <c r="AB1423" s="244" t="str">
        <f>IF(AND(COUNTBLANK(I1416:I1419)=0,Group_players=4,M1416=M1418,M1418=M1419),IF(COUNTIF(V1415:V1418,V1415)=3,AB1436,IF(AND(COUNTIF(V1415:V1418,V1415)=1,V1417&lt;&gt;U1426),IF(M1416=2,IF(SMALL(V1415:V1418,1)=V1415,1,IF(SMALL(V1415:V1418,2)=V1415,2,IF(SMALL(V1415:V1418,3)=V1415,3))),IF(M1416=1,IF(SMALL(V1415:V1418,1)=V1415,2,IF(SMALL(V1415:V1418,2)=V1415,3,IF(SMALL(V1415:V1418,3)=V1415,4))),"")),IF(COUNTIF(V1415:V1418,V1415)=1,IF(V1415&lt;V1417,IF(M1416=2,1,2),IF(M1416=2,3,4)),IF(COUNTIF(V1415:V1418,V1415)=2,IF(V1415=V1417,IF(V1415&lt;V1418,IF(M1416=2,IF(Q1427=3,1,2),IF(M1416=1,IF(Q1427=3,2,3))),IF(V1415&gt;V1418,IF(M1416=2,IF(Q1427=3,2,3),IF(M1416=1,IF(Q1427=3,3,4))))),IF(V1415=V1418,IF(V1415&lt;V1417,IF(M1416=2,IF(Q1433=3,1,2),IF(M1416=1,IF(Q1433=3,2,3))),IF(V1415&gt;V1416,IF(M1416=2,IF(Q1433=3,2,3),IF(M1416=1,IF(Q1433=3,3,4))))))),"")))),"")</f>
        <v/>
      </c>
      <c r="AC1423" s="192"/>
      <c r="AD1423" s="192"/>
      <c r="AE1423" s="192"/>
      <c r="AF1423" s="192"/>
      <c r="AG1423" s="192"/>
      <c r="AH1423" s="192"/>
      <c r="AI1423" s="192"/>
      <c r="AJ1423" s="192"/>
      <c r="AK1423" s="192"/>
      <c r="AL1423" s="192"/>
      <c r="AM1423" s="192"/>
      <c r="AN1423" s="192"/>
      <c r="AO1423" s="192"/>
      <c r="AP1423" s="192"/>
      <c r="AQ1423" s="192"/>
      <c r="AR1423" s="192"/>
      <c r="AS1423" s="192"/>
      <c r="AT1423" s="192"/>
      <c r="AU1423" s="192"/>
      <c r="AV1423" s="192"/>
      <c r="AW1423" s="192"/>
      <c r="AX1423" s="192"/>
    </row>
    <row r="1424" spans="2:50" ht="15" customHeight="1" thickTop="1" thickBot="1" x14ac:dyDescent="0.35">
      <c r="B1424" s="192"/>
      <c r="C1424" s="192"/>
      <c r="D1424" s="192"/>
      <c r="E1424" s="117"/>
      <c r="F1424" s="117"/>
      <c r="G1424" s="117"/>
      <c r="H1424" s="192"/>
      <c r="I1424" s="192"/>
      <c r="J1424" s="192"/>
      <c r="K1424" s="192"/>
      <c r="L1424" s="192"/>
      <c r="M1424" s="192"/>
      <c r="N1424" s="192"/>
      <c r="O1424" s="192"/>
      <c r="P1424" s="192"/>
      <c r="Q1424" s="192"/>
      <c r="R1424" s="192"/>
      <c r="S1424" s="394" t="s">
        <v>112</v>
      </c>
      <c r="T1424" s="208">
        <v>2</v>
      </c>
      <c r="U1424" s="209" t="str">
        <f>IF(U1415="","",IF(OR(U1416&lt;&gt;U1415,U1416&lt;&gt;U1417),"",IF(COUNTIF(M1416:M1418,M1417)=1,"",IF(COUNTBLANK(I1416:I1419)=1,(SUM(L1431:P1431)+SUM(L1433:P1433))/(SUM(L1430:P1430)+SUM(L1434:P1434)),IF(COUNTBLANK(I1416:I1419)=0,(SUM(L1439:P1439)+SUM(L1437:P1437))/(SUM(L1440:P1440)+SUM(L1436:P1436)))))))</f>
        <v/>
      </c>
      <c r="V1424" s="135"/>
      <c r="W1424" s="212" t="str">
        <f>IF(W1415="","",IF(OR(W1416&lt;&gt;W1415,W1416&lt;&gt;W1418),"",IF(AND(COUNTBLANK(I1416:I1419)=0,M1416=M1417,M1417=M1419),(SUM(L1431:P1431)+SUM(L1439:P1439))/(SUM(L1440:P1440)+SUM(L1430:P1430)),"")))</f>
        <v/>
      </c>
      <c r="X1424" s="245" t="str">
        <f>IF(X1416="","",IF(OR(X1416&lt;&gt;X1417,X1416&lt;&gt;X1418),"",IF(AND(COUNTBLANK(I1416:I1419)=0,M1417=M1418,M1418=M1419),(SUM(L1437:P1437)+SUM(L1431:P1431))/(SUM(L1436:P1436)+SUM(L1430:P1430)),"")))</f>
        <v/>
      </c>
      <c r="Y1424" s="242"/>
      <c r="Z1424" s="203"/>
      <c r="AA1424" s="246">
        <v>3</v>
      </c>
      <c r="AB1424" s="222" t="str">
        <f>IF(AND(COUNTBLANK(I1416:I1419)=0,Group_players=4,M1416=M1418,M1418=M1419),IF(COUNTIF(V1415:V1418,V1417)=3,AB1437,IF(AND(COUNTIF(V1415:V1418,V1417)=1,V1415&lt;&gt;V1418),IF(M1418=2,IF(SMALL(V1415:V1418,1)=V1417,1,IF(SMALL(V1415:V1418,2)=V1417,2,IF(SMALL(V1415:V1418,3)=V1417,3))),IF(M1418=1,IF(SMALL(V1415:V1418,1)=V1417,2,IF(SMALL(V1415:V1418,2)=V1417,3,IF(SMALL(V1415:V1418,3)=V1417,4))),"")),IF(COUNTIF(V1415:V1418,V1417)=1,IF(V1417&lt;V1415,IF(M1418=2,1,2),IF(M1418=2,3,4)),IF(COUNTIF(V1415:V1418,V1417)=2,IF(V1417=V1415,IF(V1417&lt;V1418,IF(M1418=2,IF(Q1428=3,1,2),IF(M1418=1,IF(Q1428=3,2,3))),IF(V1417&gt;V1418,IF(M1418=2,IF(Q1428=3,2,3),IF(M1418=1,IF(Q1428=3,3,4))))),IF(V1417=V1418,IF(V1417&lt;V1415,IF(M1418=2,IF(Q1442=3,1,2),IF(M1418=1,IF(Q1442=3,2,3))),IF(V1417&gt;V1415,IF(M1418=2,IF(Q1442=3,2,3),IF(M1418=1,IF(Q1442=3,3,4))))))),"")))),"")</f>
        <v/>
      </c>
      <c r="AC1424" s="192"/>
      <c r="AD1424" s="192"/>
      <c r="AE1424" s="192"/>
      <c r="AF1424" s="192"/>
      <c r="AG1424" s="192"/>
      <c r="AH1424" s="192"/>
      <c r="AI1424" s="192"/>
      <c r="AJ1424" s="192"/>
      <c r="AK1424" s="192"/>
      <c r="AL1424" s="192"/>
      <c r="AM1424" s="192"/>
      <c r="AN1424" s="192"/>
      <c r="AO1424" s="192"/>
      <c r="AP1424" s="192"/>
      <c r="AQ1424" s="192"/>
      <c r="AR1424" s="192"/>
      <c r="AS1424" s="192"/>
      <c r="AT1424" s="192"/>
      <c r="AU1424" s="192"/>
      <c r="AV1424" s="192"/>
      <c r="AW1424" s="192"/>
      <c r="AX1424" s="192"/>
    </row>
    <row r="1425" spans="2:50" ht="15" customHeight="1" thickTop="1" thickBot="1" x14ac:dyDescent="0.35">
      <c r="B1425" s="192"/>
      <c r="C1425" s="192"/>
      <c r="D1425" s="192"/>
      <c r="E1425" s="117"/>
      <c r="F1425" s="117"/>
      <c r="G1425" s="117"/>
      <c r="H1425" s="192"/>
      <c r="I1425" s="192"/>
      <c r="J1425" s="192"/>
      <c r="K1425" s="192"/>
      <c r="L1425" s="192"/>
      <c r="M1425" s="192"/>
      <c r="N1425" s="192"/>
      <c r="O1425" s="192"/>
      <c r="P1425" s="192"/>
      <c r="Q1425" s="192"/>
      <c r="R1425" s="247"/>
      <c r="S1425" s="395"/>
      <c r="T1425" s="208">
        <v>3</v>
      </c>
      <c r="U1425" s="209" t="str">
        <f>IF(U1415="","",IF(OR(U1417&lt;&gt;U1415,U1417&lt;&gt;U1416),"",IF(COUNTIF(M1416:M1418,M1418)=1,"",IF(COUNTBLANK(I1416:I1419)=1,(SUM(L1427:P1427)+SUM(L1430:P1430))/(SUM(L1428:P1428)+SUM(L1431:P1431)),IF(COUNTBLANK(I1416:I1419)=0,(SUM(L1427:P1427)+SUM(L1436:P1436))/(SUM(L1428:P1428)+SUM(L1437:P1437)))))))</f>
        <v/>
      </c>
      <c r="V1425" s="125" t="str">
        <f>IF(V1415="","",IF(OR(V1417&lt;&gt;V1415,V1417&lt;&gt;V1418),"",IF(AND(COUNTBLANK(I1416:I1419)=0,M1416=M1418,M1418=M1419),(SUM(L1427:P1427)+SUM(L1443:P1443))/(SUM(L1428:P1428)+SUM(L1442:P1442)),"")))</f>
        <v/>
      </c>
      <c r="W1425" s="218"/>
      <c r="X1425" s="245" t="str">
        <f>IF(X1416="","",IF(OR(X1417&lt;&gt;X1416,X1417&lt;&gt;X1418),"",IF(AND(COUNTBLANK(I1416:I1419)=0,M1417=M1418,M1418=M1419),(SUM(L1436:P1436)+SUM(L1443:P1443))/(SUM(L1437:P1437)+SUM(L1442:P1442)),"")))</f>
        <v/>
      </c>
      <c r="Y1425" s="208"/>
      <c r="Z1425" s="203"/>
      <c r="AA1425" s="240">
        <v>4</v>
      </c>
      <c r="AB1425" s="222" t="str">
        <f>IF(AND(COUNTBLANK(I1416:I1419)=0,Group_players=4,M1416=M1418,M1418=M1419),IF(COUNTIF(V1415:V1418,V1418)=3,AB1438,IF(AND(COUNTIF(V1415:V1418,V1418)=1,V1417&lt;&gt;V1415),IF(M1419=2,IF(SMALL(V1415:V1418,1)=V1418,1,IF(SMALL(V1415:V1418,2)=V1418,2,IF(SMALL(V1415:V1418,3)=V1418,3))),IF(M1419=1,IF(SMALL(V1415:V1418,1)=V1418,2,IF(SMALL(V1415:V1418,2)=V1418,3,IF(SMALL(V1415:V1418,3)=V1418,4))),"")),IF(COUNTIF(V1415:V1418,V1418)=1,IF(V1418&lt;V1415,IF(M1419=2,1,2),IF(M1419=2,3,4)),IF(COUNTIF(V1415:V1418,V1418)=2,IF(V1418=V1415,IF(V1418&lt;V1417,IF(M1419=2,IF(Q1434=3,1,2),IF(M1419=1,IF(Q1434=3,2,3))),IF(V1418&gt;V1417,IF(M1419=2,IF(Q1434=3,2,3),IF(M1419=1,IF(Q1434=3,3,4))))),IF(V1418=V1417,IF(V1418&lt;V1415,IF(M1419=2,IF(Q1443=3,1,2),IF(M1419=1,IF(Q1443=3,2,3))),IF(V1418&gt;V1415,IF(M1419=2,IF(Q1443=3,2,3),IF(M1419=1,IF(Q1443=3,3,4))))))),"")))),"")</f>
        <v/>
      </c>
      <c r="AC1425" s="192"/>
      <c r="AD1425" s="192"/>
      <c r="AE1425" s="192"/>
      <c r="AF1425" s="192"/>
      <c r="AG1425" s="192"/>
      <c r="AH1425" s="192"/>
      <c r="AI1425" s="192"/>
      <c r="AJ1425" s="192"/>
      <c r="AK1425" s="192"/>
      <c r="AL1425" s="192"/>
      <c r="AM1425" s="192"/>
      <c r="AN1425" s="192"/>
      <c r="AO1425" s="192"/>
      <c r="AP1425" s="192"/>
      <c r="AQ1425" s="192"/>
      <c r="AR1425" s="192"/>
      <c r="AS1425" s="192"/>
      <c r="AT1425" s="192"/>
      <c r="AU1425" s="192"/>
      <c r="AV1425" s="192"/>
      <c r="AW1425" s="192"/>
      <c r="AX1425" s="192"/>
    </row>
    <row r="1426" spans="2:50" ht="15" customHeight="1" thickTop="1" thickBot="1" x14ac:dyDescent="0.35">
      <c r="B1426" s="192"/>
      <c r="C1426" s="192"/>
      <c r="D1426" s="192"/>
      <c r="E1426" s="168" t="s">
        <v>113</v>
      </c>
      <c r="F1426" s="168" t="s">
        <v>114</v>
      </c>
      <c r="G1426" s="117"/>
      <c r="H1426" s="192"/>
      <c r="I1426" s="249" t="s">
        <v>115</v>
      </c>
      <c r="J1426" s="249"/>
      <c r="K1426" s="249"/>
      <c r="L1426" s="250" t="s">
        <v>115</v>
      </c>
      <c r="M1426" s="250" t="s">
        <v>116</v>
      </c>
      <c r="N1426" s="250" t="s">
        <v>117</v>
      </c>
      <c r="O1426" s="250" t="s">
        <v>118</v>
      </c>
      <c r="P1426" s="250" t="s">
        <v>119</v>
      </c>
      <c r="Q1426" s="250" t="s">
        <v>120</v>
      </c>
      <c r="R1426" s="250"/>
      <c r="S1426" s="251"/>
      <c r="T1426" s="208">
        <v>4</v>
      </c>
      <c r="U1426" s="223"/>
      <c r="V1426" s="140" t="str">
        <f>IF(V1415="","",IF(OR(V1418&lt;&gt;V1415,V1418&lt;&gt;V1417),"",IF(AND(COUNTBLANK(I1416:I1419)=0,M1416=M1418,M1418=M1419),(SUM(L1433:P1433)+SUM(L1442:P1442))/(SUM(L1434:P1434)+SUM(L1443:P1443)),"")))</f>
        <v/>
      </c>
      <c r="W1426" s="224" t="str">
        <f>IF(W1415="","",IF(OR(W1418&lt;&gt;W1415,W1418&lt;&gt;W1416),"",IF(AND(COUNTBLANK(I1416:I1419)=0,M1416=M1417,M1417=M1419),(SUM(L1433:P1433)+SUM(L1430:P1430))/(SUM(L1434:P1434)+SUM(L1431:P1431)),"")))</f>
        <v/>
      </c>
      <c r="X1426" s="252" t="str">
        <f>IF(X1416="","",IF(OR(X1418&lt;&gt;X1416,X1418&lt;&gt;X1417),"",IF(AND(COUNTBLANK(I1416:I1419)=0,M1417=M1418,M1418=M1419),(SUM(L1430:P1430)+SUM(L1442:P1442))/(SUM(L1431:P1431)+SUM(L1443:P1443)),"")))</f>
        <v/>
      </c>
      <c r="Y1426" s="192"/>
      <c r="Z1426" s="203"/>
      <c r="AA1426" s="243">
        <v>1</v>
      </c>
      <c r="AB1426" s="151" t="str">
        <f>IF(AND(COUNTBLANK(I1416:I1419)=0,Group_players=4,M1416=M1417,M1417=M1419),IF(COUNTIF(W1415:W1418,W1415)=3,AB1439,IF(AND(COUNTIF(W1415:W1418,W1415)=1,W1416&lt;&gt;W1418),IF(M1416=2,IF(SMALL(W1415:W1418,1)=W1415,1,IF(SMALL(W1415:W1418,2)=W1415,2,IF(SMALL(W1415:W1418,3)=W1415,3))),IF(M1416=1,IF(SMALL(W1415:W1418,1)=W1415,2,IF(SMALL(W1415:W1418,2)=W1415,3,IF(SMALL(W1415:W1418,3)=W1415,4))),"")),IF(COUNTIF(W1415:W1418,W1415)=1,IF(W1415&lt;W1416,IF(M1416=2,1,2),IF(M1416=2,3,4)),IF(COUNTIF(W1415:W1418,W1415)=2,IF(W1415=W1416,IF(W1415&lt;W1418,IF(M1416=2,IF(Q1439=3,1,2),IF(M1416=1,IF(Q1439=3,2,3))),IF(W1415&gt;W1418,IF(M1416=2,IF(Q1439=3,2,3),IF(M1416=1,IF(Q1439=3,3,4))))),IF(W1415=W1418,IF(W1415&lt;W1416,IF(M1416=2,IF(Q1433=3,1,2),IF(M1416=1,IF(Q1433=3,2,3))),IF(W1415&gt;W1416,IF(M1416=2,IF(Q1433=3,2,3),IF(M1416=1,IF(Q1433=3,3,4))))))),"")))),"")</f>
        <v/>
      </c>
      <c r="AC1426" s="192"/>
      <c r="AD1426" s="192"/>
      <c r="AE1426" s="192"/>
      <c r="AF1426" s="192"/>
      <c r="AG1426" s="192"/>
      <c r="AH1426" s="192"/>
      <c r="AI1426" s="192"/>
      <c r="AJ1426" s="192"/>
      <c r="AK1426" s="192"/>
      <c r="AL1426" s="192"/>
      <c r="AM1426" s="192"/>
      <c r="AN1426" s="192"/>
      <c r="AO1426" s="192"/>
      <c r="AP1426" s="192"/>
      <c r="AQ1426" s="192"/>
      <c r="AR1426" s="192"/>
      <c r="AS1426" s="192"/>
      <c r="AT1426" s="192"/>
      <c r="AU1426" s="192"/>
      <c r="AV1426" s="192"/>
      <c r="AW1426" s="192"/>
      <c r="AX1426" s="192"/>
    </row>
    <row r="1427" spans="2:50" ht="15" customHeight="1" thickTop="1" x14ac:dyDescent="0.3">
      <c r="B1427" s="192"/>
      <c r="C1427" s="192"/>
      <c r="D1427" s="192"/>
      <c r="E1427" s="164" t="str">
        <f>IF(Q1427="","",IF(Q1427=3,1,0))</f>
        <v/>
      </c>
      <c r="F1427" s="164" t="str">
        <f>IF(Q1427="","",IF(Q1427&lt;3,1,0))</f>
        <v/>
      </c>
      <c r="G1427" s="192"/>
      <c r="H1427" s="192" t="str">
        <f>IF(I1416="","",1)</f>
        <v/>
      </c>
      <c r="I1427" s="192" t="str">
        <f>IF(ISNUMBER(H1427),VLOOKUP(H1427,H1416:I1419,2,TRUE),"")</f>
        <v/>
      </c>
      <c r="J1427" s="192"/>
      <c r="K1427" s="192" t="str">
        <f>VLOOKUP(I1427,I1416:L1419,3,FALSE)</f>
        <v/>
      </c>
      <c r="L1427" s="253"/>
      <c r="M1427" s="254"/>
      <c r="N1427" s="254"/>
      <c r="O1427" s="152"/>
      <c r="P1427" s="153"/>
      <c r="Q1427" s="255" t="str">
        <f>IF(L1427="","",IF(AND(L1427-L1428&gt;1,L1427&gt;10),1,0)+IF(AND(M1427-M1428&gt;1,M1427&gt;10),1,0)+IF(AND(N1427-N1428&gt;1,N1427&gt;10),1,0)+IF(AND(O1427-O1428&gt;1,O1427&gt;10),1,0)+IF(AND(P1427-P1428&gt;1,P1427&gt;10),1,0))</f>
        <v/>
      </c>
      <c r="R1427" s="203" t="str">
        <f>IF(AND(I1427="",I1428=""),"",ABS(VLOOKUP(I1427,I1416:L1419,4,FALSE)-VLOOKUP(I1428,I1416:L1419,4,FALSE)))</f>
        <v/>
      </c>
      <c r="S1427" s="256" t="str">
        <f>IF(R1428="","",IF(Q1427=3,+R1428,-R1428))</f>
        <v/>
      </c>
      <c r="T1427" s="257"/>
      <c r="U1427" s="258"/>
      <c r="V1427" s="258"/>
      <c r="W1427" s="258"/>
      <c r="X1427" s="258"/>
      <c r="Y1427" s="192"/>
      <c r="Z1427" s="203"/>
      <c r="AA1427" s="246">
        <v>2</v>
      </c>
      <c r="AB1427" s="154" t="str">
        <f>IF(AND(COUNTBLANK(I1416:I1419)=0,Group_players=4,M1416=M1417,M1417=M1419),IF(COUNTIF(W1415:W1418,W1416)=3,AB1440,IF(AND(COUNTIF(W1415:W1418,W1416)=1,W1415&lt;&gt;W1417),IF(M1417=2,IF(SMALL(W1415:W1418,1)=W1416,1,IF(SMALL(W1415:W1418,2)=W1416,2,IF(SMALL(W1415:W1418,3)=W1416,3))),IF(M1417=1,IF(SMALL(W1415:W1418,1)=W1416,2,IF(SMALL(W1415:W1418,2)=W1416,3,IF(SMALL(W1415:W1418,3)=W1416,4))),"")),IF(COUNTIF(W1415:W1418,W1416)=1,IF(W1416&lt;W1415,IF(M1417=2,1,2),IF(M1417=2,3,4)),IF(COUNTIF(W1415:W1418,W1416)=2,IF(W1416=W1415,IF(W1416&lt;W1418,IF(M1417=2,IF(Q1440=3,1,2),IF(M1417=1,IF(Q1440=3,2,3))),IF(W1416&gt;W1418,IF(M1417=2,IF(Q1440=3,2,3),IF(M1417=1,IF(Q1440=3,3,4))))),IF(W1416=W1418,IF(W1416&lt;W1415,IF(M1417=2,IF(Q1430=3,1,2),IF(M1417=1,IF(Q1430=3,2,3))),IF(W1416&gt;W1415,IF(M1417=2,IF(Q1430=3,2,3),IF(M1417=1,IF(Q1430=3,3,4))))))),"")))),"")</f>
        <v/>
      </c>
      <c r="AC1427" s="192"/>
      <c r="AD1427" s="192"/>
      <c r="AE1427" s="192"/>
      <c r="AF1427" s="192"/>
      <c r="AG1427" s="192"/>
      <c r="AH1427" s="192"/>
      <c r="AI1427" s="192"/>
      <c r="AJ1427" s="192"/>
      <c r="AK1427" s="192"/>
      <c r="AL1427" s="192"/>
      <c r="AM1427" s="192"/>
      <c r="AN1427" s="192"/>
      <c r="AO1427" s="192"/>
      <c r="AP1427" s="192"/>
      <c r="AQ1427" s="192"/>
      <c r="AR1427" s="192"/>
      <c r="AS1427" s="192"/>
      <c r="AT1427" s="192"/>
      <c r="AU1427" s="192"/>
      <c r="AV1427" s="192"/>
      <c r="AW1427" s="192"/>
      <c r="AX1427" s="192"/>
    </row>
    <row r="1428" spans="2:50" ht="15" customHeight="1" thickBot="1" x14ac:dyDescent="0.35">
      <c r="B1428" s="192"/>
      <c r="C1428" s="192"/>
      <c r="D1428" s="192"/>
      <c r="E1428" s="164" t="str">
        <f>IF(Q1428="","",IF(Q1428=3,1,0))</f>
        <v/>
      </c>
      <c r="F1428" s="164" t="str">
        <f>IF(Q1428="","",IF(Q1428&lt;3,1,0))</f>
        <v/>
      </c>
      <c r="G1428" s="192"/>
      <c r="H1428" s="192" t="str">
        <f>IF(I1417="","",IF(I1418="",2,3))</f>
        <v/>
      </c>
      <c r="I1428" s="192" t="str">
        <f>IF(ISNUMBER(H1428),VLOOKUP(H1428,H1416:I1419,2,TRUE),"")</f>
        <v/>
      </c>
      <c r="J1428" s="192"/>
      <c r="K1428" s="192" t="str">
        <f>VLOOKUP(I1428,I1416:L1419,3,FALSE)</f>
        <v/>
      </c>
      <c r="L1428" s="155"/>
      <c r="M1428" s="259"/>
      <c r="N1428" s="259"/>
      <c r="O1428" s="156"/>
      <c r="P1428" s="157"/>
      <c r="Q1428" s="260" t="str">
        <f>IF(L1428="","",IF(AND(L1428-L1427&gt;1,L1428&gt;10),1,0)+IF(AND(M1428-M1427&gt;1,M1428&gt;10),1,0)+IF(AND(N1428-N1427&gt;1,N1428&gt;10),1,0)+IF(AND(O1428-O1427&gt;1,O1428&gt;10),1,0)+IF(AND(P1428-P1427&gt;1,P1428&gt;10),1,0))</f>
        <v/>
      </c>
      <c r="R1428" s="203" t="str">
        <f>IF(AND(Q1427&lt;&gt;3,Q1428&lt;&gt;3),"",IF(Q1427=3,IF(VLOOKUP(I1427,I1416:L1419,4,FALSE)&gt;VLOOKUP(I1428,I1416:L1419,4,FALSE),VLOOKUP(R1427,Point_dif,2,FALSE),VLOOKUP(R1427,Point_dif,3,FALSE)),IF(Q1428=3,IF(VLOOKUP(I1428,I1416:L1419,4,FALSE)&gt;VLOOKUP(I1427,I1416:L1419,4,FALSE),VLOOKUP(R1427,Point_dif,2,FALSE),VLOOKUP(R1427,Point_dif,3,FALSE)))))</f>
        <v/>
      </c>
      <c r="S1428" s="256" t="str">
        <f>IF(R1428="","",IF(Q1428=3,+R1428,-R1428))</f>
        <v/>
      </c>
      <c r="T1428" s="192"/>
      <c r="U1428" s="235"/>
      <c r="V1428" s="235"/>
      <c r="W1428" s="235"/>
      <c r="X1428" s="235"/>
      <c r="Y1428" s="235"/>
      <c r="Z1428" s="235"/>
      <c r="AA1428" s="240">
        <v>4</v>
      </c>
      <c r="AB1428" s="158" t="str">
        <f>IF(AND(COUNTBLANK(I1416:I1419)=0,Group_players=4,M1416=M1417,M1417=M1419),IF(COUNTIF(W1415:W1418,W1418)=3,AB1441,IF(AND(COUNTIF(W1415:W1418,W1418)=1,W1415&lt;&gt;W1416),IF(M1419=2,IF(SMALL(W1415:W1418,1)=W1418,1,IF(SMALL(W1415:W1418,2)=W1418,2,IF(SMALL(W1415:W1418,3)=W1418,3))),IF(M1419=1,IF(SMALL(W1415:W1418,1)=W1418,2,IF(SMALL(W1415:W1418,2)=W1418,3,IF(SMALL(W1415:W1418,3)=W1418,4))),"")),IF(COUNTIF(W1415:W1418,W1418)=1,IF(W1418&lt;W1415,IF(M1419=2,1,2),IF(M1419=2,3,4)),IF(COUNTIF(W1415:W1418,W1418)=2,IF(W1418=W1415,IF(W1418&lt;W1416,IF(M1419=2,IF(Q1434=3,1,2),IF(M1419=1,IF(Q1434=3,2,3))),IF(W1418&gt;W1417,IF(M1419=2,IF(Q1434=3,2,3),IF(M1419=1,IF(Q1434=3,3,4))))),IF(W1418=W1416,IF(W1418&lt;W1415,IF(M1419=2,IF(Q1431=3,1,2),IF(M1419=1,IF(Q1431=3,2,3))),IF(W1418&gt;W1415,IF(M1419=2,IF(Q1431=3,2,3),IF(M1419=1,IF(Q1431=3,3,4))))))),"")))),"")</f>
        <v/>
      </c>
      <c r="AC1428" s="192"/>
      <c r="AD1428" s="192"/>
      <c r="AE1428" s="192"/>
      <c r="AF1428" s="192"/>
      <c r="AG1428" s="192"/>
      <c r="AH1428" s="192"/>
      <c r="AI1428" s="192"/>
      <c r="AJ1428" s="192"/>
      <c r="AK1428" s="192"/>
      <c r="AL1428" s="192"/>
      <c r="AM1428" s="192"/>
      <c r="AN1428" s="192"/>
      <c r="AO1428" s="192"/>
      <c r="AP1428" s="192"/>
      <c r="AQ1428" s="192"/>
      <c r="AR1428" s="192"/>
      <c r="AS1428" s="192"/>
      <c r="AT1428" s="192"/>
      <c r="AU1428" s="192"/>
      <c r="AV1428" s="192"/>
      <c r="AW1428" s="192"/>
      <c r="AX1428" s="192"/>
    </row>
    <row r="1429" spans="2:50" ht="15" customHeight="1" thickTop="1" thickBot="1" x14ac:dyDescent="0.35">
      <c r="B1429" s="192"/>
      <c r="C1429" s="192"/>
      <c r="D1429" s="192"/>
      <c r="E1429" s="164"/>
      <c r="F1429" s="164"/>
      <c r="G1429" s="192"/>
      <c r="H1429" s="192"/>
      <c r="I1429" s="249" t="s">
        <v>116</v>
      </c>
      <c r="J1429" s="249"/>
      <c r="K1429" s="249"/>
      <c r="L1429" s="250" t="s">
        <v>115</v>
      </c>
      <c r="M1429" s="250" t="s">
        <v>116</v>
      </c>
      <c r="N1429" s="250" t="s">
        <v>117</v>
      </c>
      <c r="O1429" s="250" t="s">
        <v>118</v>
      </c>
      <c r="P1429" s="250" t="s">
        <v>119</v>
      </c>
      <c r="Q1429" s="250" t="s">
        <v>120</v>
      </c>
      <c r="R1429" s="250"/>
      <c r="S1429" s="251"/>
      <c r="T1429" s="192"/>
      <c r="U1429" s="235"/>
      <c r="V1429" s="235"/>
      <c r="W1429" s="235"/>
      <c r="X1429" s="235"/>
      <c r="Y1429" s="235"/>
      <c r="Z1429" s="235"/>
      <c r="AA1429" s="243">
        <v>2</v>
      </c>
      <c r="AB1429" s="151" t="str">
        <f>IF(AND(COUNTBLANK(I1416:I1419)=0,Group_players=4,M1417=M1418,M1418=M1419),IF(COUNTIF(X1415:X1418,X1416)=3,AB1442,IF(AND(COUNTIF(X1415:X1418,X1416)=1,X1417&lt;&gt;X1418),IF(M1417=2,IF(SMALL(X1415:X1418,1)=X1416,1,IF(SMALL(X1415:X1418,2)=X1416,2,IF(SMALL(X1415:X1418,3)=X1416,3))),IF(M1417=1,IF(SMALL(X1415:X1418,1)=X1416,2,IF(SMALL(X1415:X1418,2)=X1416,3,IF(SMALL(X1415:X1418,3)=X1416,4))),"")),IF(COUNTIF(X1415:X1418,X1416)=1,IF(X1416&lt;X1418,IF(M1417=2,1,2),IF(M1417=1,3,3)),IF(COUNTIF(X1415:X1418,X1416)=2,IF(X1416=X1417,IF(X1416&lt;X1418,IF(M1417=2,IF(Q1436=3,1,2),IF(M1417=1,IF(Q1436=3,2,3))),IF(X1416&gt;X1418,IF(M1417=2,IF(Q1436=3,2,3),IF(M1417=1,IF(Q1436=3,3,4))))),IF(X1416=X1418,IF(X1416&lt;X1417,IF(M1417=2,IF(Q1430=3,1,2),IF(M1417=1,IF(Q1430=3,2,3))),IF(X1416&gt;X1417,IF(M1417=2,IF(Q1430=3,2,3),IF(M1417=1,IF(Q1430=3,3,4))))))),"")))),"")</f>
        <v/>
      </c>
      <c r="AC1429" s="192"/>
      <c r="AD1429" s="192"/>
      <c r="AE1429" s="192"/>
      <c r="AF1429" s="192"/>
      <c r="AG1429" s="192"/>
      <c r="AH1429" s="192"/>
      <c r="AI1429" s="192"/>
      <c r="AJ1429" s="192"/>
      <c r="AK1429" s="192"/>
      <c r="AL1429" s="192"/>
      <c r="AM1429" s="192"/>
      <c r="AN1429" s="192"/>
      <c r="AO1429" s="192"/>
      <c r="AP1429" s="192"/>
      <c r="AQ1429" s="192"/>
      <c r="AR1429" s="192"/>
      <c r="AS1429" s="192"/>
      <c r="AT1429" s="192"/>
      <c r="AU1429" s="192"/>
      <c r="AV1429" s="192"/>
      <c r="AW1429" s="192"/>
      <c r="AX1429" s="192"/>
    </row>
    <row r="1430" spans="2:50" ht="15" customHeight="1" thickTop="1" x14ac:dyDescent="0.3">
      <c r="B1430" s="192"/>
      <c r="C1430" s="192"/>
      <c r="D1430" s="192"/>
      <c r="E1430" s="164" t="str">
        <f>IF(Q1430="","",IF(Q1430=3,1,0))</f>
        <v/>
      </c>
      <c r="F1430" s="164" t="str">
        <f>IF(Q1430="","",IF(Q1430&lt;3,1,0))</f>
        <v/>
      </c>
      <c r="G1430" s="192"/>
      <c r="H1430" s="192" t="str">
        <f>IF(I1418="","",2)</f>
        <v/>
      </c>
      <c r="I1430" s="192" t="str">
        <f>IF(ISNUMBER(H1430),VLOOKUP(H1430,H1416:I1419,2,TRUE),"")</f>
        <v/>
      </c>
      <c r="J1430" s="192"/>
      <c r="K1430" s="192" t="str">
        <f>VLOOKUP(I1430,I1416:L1419,3,FALSE)</f>
        <v/>
      </c>
      <c r="L1430" s="253"/>
      <c r="M1430" s="254"/>
      <c r="N1430" s="254"/>
      <c r="O1430" s="152"/>
      <c r="P1430" s="153"/>
      <c r="Q1430" s="255" t="str">
        <f>IF(L1430="","",IF(AND(L1430-L1431&gt;1,L1430&gt;10),1,0)+IF(AND(M1430-M1431&gt;1,M1430&gt;10),1,0)+IF(AND(N1430-N1431&gt;1,N1430&gt;10),1,0)+IF(AND(O1430-O1431&gt;1,O1430&gt;10),1,0)+IF(AND(P1430-P1431&gt;1,P1430&gt;10),1,0))</f>
        <v/>
      </c>
      <c r="R1430" s="203" t="str">
        <f>IF(AND(I1430="",I1431=""),"",ABS(VLOOKUP(I1430,I1416:L1419,4,FALSE)-VLOOKUP(I1431,I1416:L1419,4,FALSE)))</f>
        <v/>
      </c>
      <c r="S1430" s="256" t="str">
        <f>IF(R1431="","",IF(Q1430=3,+R1431,-R1431))</f>
        <v/>
      </c>
      <c r="T1430" s="192"/>
      <c r="U1430" s="235"/>
      <c r="V1430" s="235"/>
      <c r="W1430" s="235"/>
      <c r="X1430" s="235"/>
      <c r="Y1430" s="235"/>
      <c r="Z1430" s="235"/>
      <c r="AA1430" s="246">
        <v>3</v>
      </c>
      <c r="AB1430" s="154" t="str">
        <f>IF(AND(COUNTBLANK(I1416:I1419)=0,Group_players=4,M1417=M1418,M1418=M1419),IF(COUNTIF(X1415:X1418,X1417)=3,AB1443,IF(AND(COUNTIF(X1415:X1418,X1417)=1,X1416&lt;&gt;X1418),IF(M1418=2,IF(SMALL(X1415:X1418,1)=X1417,1,IF(SMALL(X1415:X1418,2)=X1417,2,IF(SMALL(X1415:X1418,3)=X1417,3))),IF(M1418=1,IF(SMALL(X1415:X1418,1)=X1417,2,IF(SMALL(X1415:X1418,2)=X1417,3,IF(SMALL(X1415:X1418,3)=X1417,4))),"")),IF(COUNTIF(X1415:X1418,X1417)=1,IF(X1417&lt;X1416,IF(M1418=2,1,2),IF(M1418=2,3,4)),IF(COUNTIF(X1415:X1418,X1417)=2,IF(X1417=X1416,IF(X1417&lt;X1418,IF(M1418=2,IF(Q1437=3,1,2),IF(M1418=1,IF(Q1437=3,2,3))),IF(X1417&gt;X1418,IF(M1418=2,IF(Q1437=3,2,3),IF(M1418=1,IF(Q1437=3,3,4))))),IF(X1417=X1418,IF(X1417&lt;X1416,IF(M1418=2,IF(Q1442=3,1,2),IF(M1418=1,IF(Q1442=3,2,3))),IF(X1417&gt;X1416,IF(M1418=2,IF(Q1442=3,2,3),IF(M1418=1,IF(Q1442=3,3,4))))))),"")))),"")</f>
        <v/>
      </c>
      <c r="AC1430" s="192"/>
      <c r="AD1430" s="192"/>
      <c r="AE1430" s="192"/>
      <c r="AF1430" s="192"/>
      <c r="AG1430" s="192"/>
      <c r="AH1430" s="192"/>
      <c r="AI1430" s="192"/>
      <c r="AJ1430" s="192"/>
      <c r="AK1430" s="192"/>
      <c r="AL1430" s="192"/>
      <c r="AM1430" s="192"/>
      <c r="AN1430" s="192"/>
      <c r="AO1430" s="192"/>
      <c r="AP1430" s="192"/>
      <c r="AQ1430" s="192"/>
      <c r="AR1430" s="192"/>
      <c r="AS1430" s="192"/>
      <c r="AT1430" s="192"/>
      <c r="AU1430" s="192"/>
      <c r="AV1430" s="192"/>
      <c r="AW1430" s="192"/>
      <c r="AX1430" s="192"/>
    </row>
    <row r="1431" spans="2:50" ht="15" customHeight="1" thickBot="1" x14ac:dyDescent="0.35">
      <c r="B1431" s="192"/>
      <c r="C1431" s="192"/>
      <c r="D1431" s="192"/>
      <c r="E1431" s="164" t="str">
        <f>IF(Q1431="","",IF(Q1431=3,1,0))</f>
        <v/>
      </c>
      <c r="F1431" s="164" t="str">
        <f>IF(Q1431="","",IF(Q1431&lt;3,1,0))</f>
        <v/>
      </c>
      <c r="G1431" s="192"/>
      <c r="H1431" s="192" t="str">
        <f>IF(I1418="","",IF(I1419="",3,4))</f>
        <v/>
      </c>
      <c r="I1431" s="192" t="str">
        <f>IF(ISNUMBER(H1431),VLOOKUP(H1431,H1416:I1419,2,TRUE),"")</f>
        <v/>
      </c>
      <c r="J1431" s="192"/>
      <c r="K1431" s="192" t="str">
        <f>VLOOKUP(I1431,I1416:L1419,3,FALSE)</f>
        <v/>
      </c>
      <c r="L1431" s="155"/>
      <c r="M1431" s="259"/>
      <c r="N1431" s="259"/>
      <c r="O1431" s="156"/>
      <c r="P1431" s="157"/>
      <c r="Q1431" s="260" t="str">
        <f>IF(L1431="","",IF(AND(L1431-L1430&gt;1,L1431&gt;10),1,0)+IF(AND(M1431-M1430&gt;1,M1431&gt;10),1,0)+IF(AND(N1431-N1430&gt;1,N1431&gt;10),1,0)+IF(AND(O1431-O1430&gt;1,O1431&gt;10),1,0)+IF(AND(P1431-P1430&gt;1,P1431&gt;10),1,0))</f>
        <v/>
      </c>
      <c r="R1431" s="203" t="str">
        <f>IF(AND(Q1430&lt;&gt;3,Q1431&lt;&gt;3),"",IF(Q1430=3,IF(VLOOKUP(I1430,I1416:L1419,4,FALSE)&gt;VLOOKUP(I1431,I1416:L1419,4,FALSE),VLOOKUP(R1430,Point_dif,2,FALSE),VLOOKUP(R1430,Point_dif,3,FALSE)),IF(Q1431=3,IF(VLOOKUP(I1431,I1416:L1419,4,FALSE)&gt;VLOOKUP(I1430,I1416:L1419,4,FALSE),VLOOKUP(R1430,Point_dif,2,FALSE),VLOOKUP(R1430,Point_dif,3,FALSE)))))</f>
        <v/>
      </c>
      <c r="S1431" s="256" t="str">
        <f>IF(R1431="","",IF(Q1431=3,+R1431,-R1431))</f>
        <v/>
      </c>
      <c r="T1431" s="192"/>
      <c r="U1431" s="235"/>
      <c r="V1431" s="235"/>
      <c r="W1431" s="235"/>
      <c r="X1431" s="235"/>
      <c r="Y1431" s="235"/>
      <c r="Z1431" s="235"/>
      <c r="AA1431" s="261">
        <v>4</v>
      </c>
      <c r="AB1431" s="158" t="str">
        <f>IF(AND(COUNTBLANK(I1416:I1419)=0,Group_players=4,M1417=M1418,M1418=M1419),IF(COUNTIF(X1415:X1418,X1418)=3,AB1444,IF(AND(COUNTIF(X1415:X1418,X1418)=1,X1417&lt;&gt;X1416),IF(M1419=2,IF(SMALL(X1415:X1418,1)=X1418,1,IF(SMALL(X1415:X1418,2)=X1418,2,IF(SMALL(X1415:X1418,3)=X1418,3))),IF(M1419=1,IF(SMALL(X1415:X1418,1)=X1418,2,IF(SMALL(X1415:X1418,2)=X1418,3,IF(SMALL(X1415:X1418,3)=X1418,4))),"")),IF(COUNTIF(X1415:X1418,X1418)=1,IF(X1418&lt;X1416,IF(M1419=2,1,2),IF(M1419=2,3,4)),IF(COUNTIF(X1415:X1418,X1418)=2,IF(X1418=X1416,IF(X1418&lt;X1417,IF(M1419=2,IF(Q1431=3,1,2),IF(M1419=1,IF(Q1431=3,2,3))),IF(X1418&gt;X1417,IF(M1419=2,IF(Q1431=3,2,3),IF(M1419=1,IF(Q1431=3,3,4))))),IF(X1418=X1417,IF(X1418&lt;X1416,IF(M1419=2,IF(Q1443=3,1,2),IF(M1419=1,IF(Q1443=3,2,3))),IF(X1418&gt;X1416,IF(M1419=2,IF(Q1443=3,2,3),IF(M1419=1,IF(Q1443=3,3,4))))))),"")))),"")</f>
        <v/>
      </c>
      <c r="AC1431" s="192"/>
      <c r="AD1431" s="192"/>
      <c r="AE1431" s="192"/>
      <c r="AF1431" s="192"/>
      <c r="AG1431" s="192"/>
      <c r="AH1431" s="192"/>
      <c r="AI1431" s="192"/>
      <c r="AJ1431" s="192"/>
      <c r="AK1431" s="192"/>
      <c r="AL1431" s="192"/>
      <c r="AM1431" s="192"/>
      <c r="AN1431" s="192"/>
      <c r="AO1431" s="192"/>
      <c r="AP1431" s="192"/>
      <c r="AQ1431" s="192"/>
      <c r="AR1431" s="192"/>
      <c r="AS1431" s="192"/>
      <c r="AT1431" s="192"/>
      <c r="AU1431" s="192"/>
      <c r="AV1431" s="192"/>
      <c r="AW1431" s="192"/>
      <c r="AX1431" s="192"/>
    </row>
    <row r="1432" spans="2:50" ht="15" customHeight="1" thickTop="1" thickBot="1" x14ac:dyDescent="0.35">
      <c r="B1432" s="192"/>
      <c r="C1432" s="192"/>
      <c r="D1432" s="192"/>
      <c r="E1432" s="164"/>
      <c r="F1432" s="164"/>
      <c r="G1432" s="192"/>
      <c r="H1432" s="192"/>
      <c r="I1432" s="249" t="s">
        <v>117</v>
      </c>
      <c r="J1432" s="249"/>
      <c r="K1432" s="249"/>
      <c r="L1432" s="250" t="s">
        <v>115</v>
      </c>
      <c r="M1432" s="250" t="s">
        <v>116</v>
      </c>
      <c r="N1432" s="250" t="s">
        <v>117</v>
      </c>
      <c r="O1432" s="250" t="s">
        <v>118</v>
      </c>
      <c r="P1432" s="250" t="s">
        <v>119</v>
      </c>
      <c r="Q1432" s="250" t="s">
        <v>120</v>
      </c>
      <c r="R1432" s="250"/>
      <c r="S1432" s="251"/>
      <c r="T1432" s="263"/>
      <c r="U1432" s="264"/>
      <c r="V1432" s="242"/>
      <c r="W1432" s="242"/>
      <c r="X1432" s="264"/>
      <c r="Y1432" s="192"/>
      <c r="Z1432" s="203"/>
      <c r="AA1432" s="126" t="s">
        <v>93</v>
      </c>
      <c r="AB1432" s="265" t="s">
        <v>110</v>
      </c>
      <c r="AC1432" s="192"/>
      <c r="AD1432" s="192"/>
      <c r="AE1432" s="192"/>
      <c r="AF1432" s="192"/>
      <c r="AG1432" s="192"/>
      <c r="AH1432" s="192"/>
      <c r="AI1432" s="192"/>
      <c r="AJ1432" s="192"/>
      <c r="AK1432" s="192"/>
      <c r="AL1432" s="192"/>
      <c r="AM1432" s="192"/>
      <c r="AN1432" s="192"/>
      <c r="AO1432" s="192"/>
      <c r="AP1432" s="192"/>
      <c r="AQ1432" s="192"/>
      <c r="AR1432" s="192"/>
      <c r="AS1432" s="192"/>
      <c r="AT1432" s="192"/>
      <c r="AU1432" s="192"/>
      <c r="AV1432" s="192"/>
      <c r="AW1432" s="192"/>
      <c r="AX1432" s="192"/>
    </row>
    <row r="1433" spans="2:50" ht="15" customHeight="1" thickTop="1" x14ac:dyDescent="0.3">
      <c r="B1433" s="192"/>
      <c r="C1433" s="192"/>
      <c r="D1433" s="192"/>
      <c r="E1433" s="164" t="str">
        <f>IF(Q1433="","",IF(Q1433=3,1,0))</f>
        <v/>
      </c>
      <c r="F1433" s="164" t="str">
        <f>IF(Q1433="","",IF(Q1433&lt;3,1,0))</f>
        <v/>
      </c>
      <c r="G1433" s="192"/>
      <c r="H1433" s="192" t="str">
        <f>IF(I1418&lt;&gt;"",1,"")</f>
        <v/>
      </c>
      <c r="I1433" s="192" t="str">
        <f>IF(ISNUMBER(H1433),VLOOKUP(H1433,H1416:I1419,2,TRUE),"")</f>
        <v/>
      </c>
      <c r="J1433" s="192"/>
      <c r="K1433" s="192" t="str">
        <f>VLOOKUP(I1433,I1416:L1419,3,FALSE)</f>
        <v/>
      </c>
      <c r="L1433" s="253"/>
      <c r="M1433" s="254"/>
      <c r="N1433" s="254"/>
      <c r="O1433" s="152"/>
      <c r="P1433" s="153"/>
      <c r="Q1433" s="255" t="str">
        <f>IF(L1433="","",IF(AND(L1433-L1434&gt;1,L1433&gt;10),1,0)+IF(AND(M1433-M1434&gt;1,M1433&gt;10),1,0)+IF(AND(N1433-N1434&gt;1,N1433&gt;10),1,0)+IF(AND(O1433-O1434&gt;1,O1433&gt;10),1,0)+IF(AND(P1433-P1434&gt;1,P1433&gt;10),1,0))</f>
        <v/>
      </c>
      <c r="R1433" s="203" t="str">
        <f>IF(AND(I1433="",I1434=""),"",ABS(VLOOKUP(I1433,I1416:L1419,4,FALSE)-VLOOKUP(I1434,I1416:L1419,4,FALSE)))</f>
        <v/>
      </c>
      <c r="S1433" s="256" t="str">
        <f>IF(R1434="","",IF(Q1433=3,+R1434,-R1434))</f>
        <v/>
      </c>
      <c r="T1433" s="192"/>
      <c r="U1433" s="235"/>
      <c r="V1433" s="235"/>
      <c r="W1433" s="235"/>
      <c r="X1433" s="235"/>
      <c r="Y1433" s="235"/>
      <c r="Z1433" s="235"/>
      <c r="AA1433" s="243">
        <v>1</v>
      </c>
      <c r="AB1433" s="222" t="str">
        <f>IF(AND(COUNTBLANK(I1416:I1419)=0,Group_players=4,M1416=M1417,M1417=M1418),IF(U1423="","",IF(COUNTIF(U1423:U1426,U1423)=3,"Tied",IF(AND(COUNTIF(U1423:U1426,U1423)=1,U1424&lt;&gt;U1425),IF(M1416=2,IF(SMALL(U1423:U1426,1)=U1423,1,IF(SMALL(U1423:U1426,2)=U1423,2,IF(SMALL(U1423:U1426,3)=U1423,3))),IF(M1416=1,IF(SMALL(U1423:U1426,1)=U1423,2,IF(SMALL(U1423:U1426,2)=U1423,3,IF(SMALL(U1423:U1426,3)=U1423,4))),"")),IF(COUNTIF(U1423:U1426,U1423)=1,IF(U1423&lt;U1424,IF(M1416=2,1,2),IF(M1416=2,3,4)),IF(COUNTIF(U1423:U1426,U1423)=2,IF(U1423=U1424,IF(U1423&lt;U1425,IF(M1416=2,IF(Q1439=3,1,2),IF(M1416=1,IF(Q1439=3,2,3))),IF(U1423&gt;U1425,IF(M1416=2,IF(Q1439=3,2,3),IF(M1416=1,IF(Q1439=3,3,4))))),IF(U1423=U1425,IF(U1423&lt;U1424,IF(M1416=2,IF(Q1427=3,1,2),IF(M1416=1,IF(Q1427=3,2,3))),IF(U1423&gt;U1424,IF(M1416=2,IF(Q1427=3,2,3),IF(M1416=1,IF(Q1427=3,3,4)))))))))))),"")</f>
        <v/>
      </c>
      <c r="AC1433" s="192"/>
      <c r="AD1433" s="192"/>
      <c r="AE1433" s="192"/>
      <c r="AF1433" s="192"/>
      <c r="AG1433" s="192"/>
      <c r="AH1433" s="192"/>
      <c r="AI1433" s="192"/>
      <c r="AJ1433" s="192"/>
      <c r="AK1433" s="192"/>
      <c r="AL1433" s="192"/>
      <c r="AM1433" s="192"/>
      <c r="AN1433" s="192"/>
      <c r="AO1433" s="192"/>
      <c r="AP1433" s="192"/>
      <c r="AQ1433" s="192"/>
      <c r="AR1433" s="192"/>
      <c r="AS1433" s="192"/>
      <c r="AT1433" s="192"/>
      <c r="AU1433" s="192"/>
      <c r="AV1433" s="192"/>
      <c r="AW1433" s="192"/>
      <c r="AX1433" s="192"/>
    </row>
    <row r="1434" spans="2:50" ht="15" customHeight="1" thickBot="1" x14ac:dyDescent="0.35">
      <c r="B1434" s="192"/>
      <c r="C1434" s="192"/>
      <c r="D1434" s="192"/>
      <c r="E1434" s="164" t="str">
        <f>IF(Q1434="","",IF(Q1434=3,1,0))</f>
        <v/>
      </c>
      <c r="F1434" s="164" t="str">
        <f>IF(Q1434="","",IF(Q1434&lt;3,1,0))</f>
        <v/>
      </c>
      <c r="G1434" s="192"/>
      <c r="H1434" s="192" t="str">
        <f>IF(I1418="","",IF(I1419&lt;&gt;"",4,2))</f>
        <v/>
      </c>
      <c r="I1434" s="192" t="str">
        <f>IF(ISNUMBER(H1434),VLOOKUP(H1434,H1416:I1419,2,TRUE),"")</f>
        <v/>
      </c>
      <c r="J1434" s="192"/>
      <c r="K1434" s="192" t="str">
        <f>VLOOKUP(I1434,I1416:L1419,3,FALSE)</f>
        <v/>
      </c>
      <c r="L1434" s="155"/>
      <c r="M1434" s="259"/>
      <c r="N1434" s="259"/>
      <c r="O1434" s="156"/>
      <c r="P1434" s="157"/>
      <c r="Q1434" s="260" t="str">
        <f>IF(L1434="","",IF(AND(L1434-L1433&gt;1,L1434&gt;10),1,0)+IF(AND(M1434-M1433&gt;1,M1434&gt;10),1,0)+IF(AND(N1434-N1433&gt;1,N1434&gt;10),1,0)+IF(AND(O1434-O1433&gt;1,O1434&gt;10),1,0)+IF(AND(P1434-P1433&gt;1,P1434&gt;10),1,0))</f>
        <v/>
      </c>
      <c r="R1434" s="203" t="str">
        <f>IF(AND(Q1433&lt;&gt;3,Q1434&lt;&gt;3),"",IF(Q1433=3,IF(VLOOKUP(I1433,I1416:L1419,4,FALSE)&gt;VLOOKUP(I1434,I1416:L1419,4,FALSE),VLOOKUP(R1433,Point_dif,2,FALSE),VLOOKUP(R1433,Point_dif,3,FALSE)),IF(Q1434=3,IF(VLOOKUP(I1434,I1416:L1419,4,FALSE)&gt;VLOOKUP(I1433,I1416:L1419,4,FALSE),VLOOKUP(R1433,Point_dif,2,FALSE),VLOOKUP(R1433,Point_dif,3,FALSE)))))</f>
        <v/>
      </c>
      <c r="S1434" s="256" t="str">
        <f>IF(R1434="","",IF(Q1434=3,+R1434,-R1434))</f>
        <v/>
      </c>
      <c r="T1434" s="192"/>
      <c r="U1434" s="235"/>
      <c r="V1434" s="235"/>
      <c r="W1434" s="235"/>
      <c r="X1434" s="235"/>
      <c r="Y1434" s="235"/>
      <c r="Z1434" s="235"/>
      <c r="AA1434" s="246">
        <v>2</v>
      </c>
      <c r="AB1434" s="222" t="str">
        <f>IF(AND(COUNTBLANK(I1416:I1419)=0,Group_players=4,M1416=M1417,M1417=M1418),IF(U1424="","",IF(COUNTIF(U1423:U1426,U1424)=3,"Tied",IF(AND(COUNTIF(U1423:U1426,U1424)=1,U1423&lt;&gt;U1425),IF(M1417=2,IF(SMALL(U1423:U1426,1)=U1424,1,IF(SMALL(U1423:U1426,2)=U1424,2,IF(SMALL(U1423:U1426,3)=U1424,3))),IF(M1417=1,IF(SMALL(U1423:U1426,1)=U1424,2,IF(SMALL(U1423:U1426,2)=U1424,3,IF(SMALL(U1423:U1426,3)=U1424,4))),"")),IF(COUNTIF(U1423:U1426,U1424)=1,IF(U1424&lt;U1423,IF(M1417=2,1,2),IF(M1417=2,3,4)),IF(COUNTIF(U1423:U1426,U1424)=2,IF(U1424=U1423,IF(U1424&lt;U1425,IF(M1417=2,IF(Q1440=3,1,2),IF(M1417=1,IF(Q1440=3,2,3))),IF(U1424&gt;U1425,IF(M1417=2,IF(Q1440=3,2,3),IF(M1417=1,IF(Q1440=3,3,4))))),IF(U1424=U1425,IF(U1424&lt;U1423,IF(M1417=2,IF(Q1436=3,1,2),IF(M1417=1,IF(Q1436=3,2,3))),IF(U1424&gt;U1423,IF(M1417=2,IF(Q1436=3,2,3),IF(M1417=1,IF(Q1436=3,3,4)))))))))))),"")</f>
        <v/>
      </c>
      <c r="AC1434" s="192"/>
      <c r="AD1434" s="192"/>
      <c r="AE1434" s="192"/>
      <c r="AF1434" s="192"/>
      <c r="AG1434" s="192"/>
      <c r="AH1434" s="192"/>
      <c r="AI1434" s="192"/>
      <c r="AJ1434" s="192"/>
      <c r="AK1434" s="192"/>
      <c r="AL1434" s="192"/>
      <c r="AM1434" s="192"/>
      <c r="AN1434" s="192"/>
      <c r="AO1434" s="192"/>
      <c r="AP1434" s="192"/>
      <c r="AQ1434" s="192"/>
      <c r="AR1434" s="192"/>
      <c r="AS1434" s="192"/>
      <c r="AT1434" s="192"/>
      <c r="AU1434" s="192"/>
      <c r="AV1434" s="192"/>
      <c r="AW1434" s="192"/>
      <c r="AX1434" s="192"/>
    </row>
    <row r="1435" spans="2:50" ht="15" customHeight="1" thickTop="1" thickBot="1" x14ac:dyDescent="0.35">
      <c r="B1435" s="192"/>
      <c r="C1435" s="192"/>
      <c r="D1435" s="192"/>
      <c r="E1435" s="164"/>
      <c r="F1435" s="164"/>
      <c r="G1435" s="192"/>
      <c r="H1435" s="192"/>
      <c r="I1435" s="249" t="s">
        <v>118</v>
      </c>
      <c r="J1435" s="249"/>
      <c r="K1435" s="249"/>
      <c r="L1435" s="250" t="s">
        <v>115</v>
      </c>
      <c r="M1435" s="250" t="s">
        <v>116</v>
      </c>
      <c r="N1435" s="250" t="s">
        <v>117</v>
      </c>
      <c r="O1435" s="250" t="s">
        <v>118</v>
      </c>
      <c r="P1435" s="250" t="s">
        <v>119</v>
      </c>
      <c r="Q1435" s="250" t="s">
        <v>120</v>
      </c>
      <c r="R1435" s="250"/>
      <c r="S1435" s="251"/>
      <c r="T1435" s="192"/>
      <c r="U1435" s="235"/>
      <c r="V1435" s="235"/>
      <c r="W1435" s="235"/>
      <c r="X1435" s="235"/>
      <c r="Y1435" s="235"/>
      <c r="Z1435" s="235"/>
      <c r="AA1435" s="240">
        <v>3</v>
      </c>
      <c r="AB1435" s="241" t="str">
        <f>IF(AND(COUNTBLANK(I1416:I1419)=0,Group_players=4,M1416=M1417,M1417=M1418),IF(U1425="","",IF(COUNTIF(U1423:U1426,U1425)=3,"Tied",IF(AND(COUNTIF(U1423:U1426,U1425)=1,U1423&lt;&gt;U1424),IF(M1416=2,IF(SMALL(U1423:U1426,1)=U1425,1,IF(SMALL(U1423:U1426,2)=U1425,2,IF(SMALL(U1423:U1426,3)=U1425,3))),IF(M1418=1,IF(SMALL(U1423:U1426,1)=U1425,2,IF(SMALL(U1423:U1426,2)=U1425,3,IF(SMALL(U1423:U1426,3)=U1425,4))),"")),IF(COUNTIF(U1423:U1426,U1425)=1,IF(U1425&lt;U1424,IF(M1418=2,1,2),IF(M1418=2,3,4)),IF(COUNTIF(U1423:U1426,U1425)=2,IF(U1425=U1424,IF(U1425&lt;U1423,IF(M1418=2,IF(Q1437=3,1,2),IF(M1418=1,IF(Q1437=3,2,3))),IF(U1425&gt;U1423,IF(M1418=2,IF(Q1437=3,2,3),IF(M1418=1,IF(Q1437=3,3,4))))),IF(U1425=U1423,IF(U1425&lt;U1424,IF(M1418=2,IF(Q1428=3,1,2),IF(M1418=1,IF(Q1428=3,2,3))),IF(U1425&gt;U1424,IF(M1418=2,IF(Q1428=3,2,3),IF(M1418=1,IF(Q1428=3,3,4)))))))))))),"")</f>
        <v/>
      </c>
      <c r="AC1435" s="192"/>
      <c r="AD1435" s="192"/>
      <c r="AE1435" s="192"/>
      <c r="AF1435" s="192"/>
      <c r="AG1435" s="192"/>
      <c r="AH1435" s="192"/>
      <c r="AI1435" s="192"/>
      <c r="AJ1435" s="192"/>
      <c r="AK1435" s="192"/>
      <c r="AL1435" s="192"/>
      <c r="AM1435" s="192"/>
      <c r="AN1435" s="192"/>
      <c r="AO1435" s="192"/>
      <c r="AP1435" s="192"/>
      <c r="AQ1435" s="192"/>
      <c r="AR1435" s="192"/>
      <c r="AS1435" s="192"/>
      <c r="AT1435" s="192"/>
      <c r="AU1435" s="192"/>
      <c r="AV1435" s="192"/>
      <c r="AW1435" s="192"/>
      <c r="AX1435" s="192"/>
    </row>
    <row r="1436" spans="2:50" ht="15" customHeight="1" thickTop="1" x14ac:dyDescent="0.3">
      <c r="B1436" s="192"/>
      <c r="C1436" s="192"/>
      <c r="D1436" s="192"/>
      <c r="E1436" s="164" t="str">
        <f>IF(Q1436="","",IF(Q1436=3,1,0))</f>
        <v/>
      </c>
      <c r="F1436" s="164" t="str">
        <f>IF(Q1436="","",IF(Q1436&lt;3,1,0))</f>
        <v/>
      </c>
      <c r="G1436" s="192"/>
      <c r="H1436" s="192" t="str">
        <f>IF(I1419&lt;&gt;"",2,"")</f>
        <v/>
      </c>
      <c r="I1436" s="192" t="str">
        <f>IF(ISNUMBER(H1436),VLOOKUP(H1436,H1416:I1419,2,TRUE),"")</f>
        <v/>
      </c>
      <c r="J1436" s="192"/>
      <c r="K1436" s="192" t="str">
        <f>VLOOKUP(I1436,I1416:L1419,3,FALSE)</f>
        <v/>
      </c>
      <c r="L1436" s="253"/>
      <c r="M1436" s="254"/>
      <c r="N1436" s="254"/>
      <c r="O1436" s="152"/>
      <c r="P1436" s="153"/>
      <c r="Q1436" s="255" t="str">
        <f>IF(L1436="","",IF(AND(L1436-L1437&gt;1,L1436&gt;10),1,0)+IF(AND(M1436-M1437&gt;1,M1436&gt;10),1,0)+IF(AND(N1436-N1437&gt;1,N1436&gt;10),1,0)+IF(AND(O1436-O1437&gt;1,O1436&gt;10),1,0)+IF(AND(P1436-P1437&gt;1,P1436&gt;10),1,0))</f>
        <v/>
      </c>
      <c r="R1436" s="203" t="str">
        <f>IF(AND(I1436="",I1437=""),"",ABS(VLOOKUP(I1436,I1416:L1419,4,FALSE)-VLOOKUP(I1437,I1416:L1419,4,FALSE)))</f>
        <v/>
      </c>
      <c r="S1436" s="256" t="str">
        <f>IF(R1437="","",IF(Q1436=3,+R1437,-R1437))</f>
        <v/>
      </c>
      <c r="T1436" s="192"/>
      <c r="U1436" s="235"/>
      <c r="V1436" s="235"/>
      <c r="W1436" s="235"/>
      <c r="X1436" s="235"/>
      <c r="Y1436" s="235"/>
      <c r="Z1436" s="235"/>
      <c r="AA1436" s="243">
        <v>1</v>
      </c>
      <c r="AB1436" s="222" t="str">
        <f>IF(AND(COUNTBLANK(I1416:I1419)=0,Group_players=4,M1416=M1418,M1418=M1419),IF(V1423="","",IF(COUNTIF(V1423:V1426,V1423)=3,"Tied",IF(AND(COUNTIF(V1423:V1426,V1423)=1,V1425&lt;&gt;U1426),IF(M1416=2,IF(SMALL(V1423:V1426,1)=V1423,1,IF(SMALL(V1423:V1426,2)=V1423,2,IF(SMALL(V1423:V1426,3)=V1423,3))),IF(M1416=1,IF(SMALL(V1423:V1426,1)=V1423,2,IF(SMALL(V1423:V1426,2)=V1423,3,IF(SMALL(V1423:V1426,3)=V1423,4))),"")),IF(COUNTIF(V1423:V1426,V1423)=1,IF(V1423&lt;V1425,IF(M1416=2,1,2),IF(M1416=2,3,4)),IF(COUNTIF(V1423:V1426,V1423)=2,IF(V1423=V1425,IF(V1423&lt;V1426,IF(M1416=2,IF(Q1427=3,1,2),IF(M1416=1,IF(Q1427=3,2,3))),IF(V1423&gt;V1426,IF(M1416=2,IF(Q1427=3,2,3),IF(M1416=1,IF(Q1427=3,3,4))))),IF(V1423=V1426,IF(V1423&lt;V1425,IF(M1416=2,IF(Q1433=3,1,2),IF(M1416=1,IF(Q1433=3,2,3))),IF(V1423&gt;V1424,IF(M1416=2,IF(Q1433=3,2,3),IF(M1416=1,IF(Q1433=3,3,4)))))))))))),"")</f>
        <v/>
      </c>
      <c r="AC1436" s="192"/>
      <c r="AD1436" s="192"/>
      <c r="AE1436" s="192"/>
      <c r="AF1436" s="192"/>
      <c r="AG1436" s="192"/>
      <c r="AH1436" s="192"/>
      <c r="AI1436" s="192"/>
      <c r="AJ1436" s="192"/>
      <c r="AK1436" s="192"/>
      <c r="AL1436" s="192"/>
      <c r="AM1436" s="192"/>
      <c r="AN1436" s="192"/>
      <c r="AO1436" s="192"/>
      <c r="AP1436" s="192"/>
      <c r="AQ1436" s="192"/>
      <c r="AR1436" s="192"/>
      <c r="AS1436" s="192"/>
      <c r="AT1436" s="192"/>
      <c r="AU1436" s="192"/>
      <c r="AV1436" s="192"/>
      <c r="AW1436" s="192"/>
      <c r="AX1436" s="192"/>
    </row>
    <row r="1437" spans="2:50" ht="15" customHeight="1" thickBot="1" x14ac:dyDescent="0.35">
      <c r="B1437" s="192"/>
      <c r="C1437" s="192"/>
      <c r="D1437" s="192"/>
      <c r="E1437" s="164" t="str">
        <f>IF(Q1437="","",IF(Q1437=3,1,0))</f>
        <v/>
      </c>
      <c r="F1437" s="164" t="str">
        <f>IF(Q1437="","",IF(Q1437&lt;3,1,0))</f>
        <v/>
      </c>
      <c r="G1437" s="192"/>
      <c r="H1437" s="192" t="str">
        <f>IF(I1419&lt;&gt;"",3,"")</f>
        <v/>
      </c>
      <c r="I1437" s="192" t="str">
        <f>IF(ISNUMBER(H1437),VLOOKUP(H1437,H1416:I1419,2,TRUE),"")</f>
        <v/>
      </c>
      <c r="J1437" s="192"/>
      <c r="K1437" s="192" t="str">
        <f>VLOOKUP(I1437,I1416:L1419,3,FALSE)</f>
        <v/>
      </c>
      <c r="L1437" s="155"/>
      <c r="M1437" s="259"/>
      <c r="N1437" s="259"/>
      <c r="O1437" s="156"/>
      <c r="P1437" s="157"/>
      <c r="Q1437" s="260" t="str">
        <f>IF(L1437="","",IF(AND(L1437-L1436&gt;1,L1437&gt;10),1,0)+IF(AND(M1437-M1436&gt;1,M1437&gt;10),1,0)+IF(AND(N1437-N1436&gt;1,N1437&gt;10),1,0)+IF(AND(O1437-O1436&gt;1,O1437&gt;10),1,0)+IF(AND(P1437-P1436&gt;1,P1437&gt;10),1,0))</f>
        <v/>
      </c>
      <c r="R1437" s="203" t="str">
        <f>IF(AND(Q1436&lt;&gt;3,Q1437&lt;&gt;3),"",IF(Q1436=3,IF(VLOOKUP(I1436,I1416:L1419,4,FALSE)&gt;VLOOKUP(I1437,I1416:L1419,4,FALSE),VLOOKUP(R1436,Point_dif,2,FALSE),VLOOKUP(R1436,Point_dif,3,FALSE)),IF(Q1437=3,IF(VLOOKUP(I1437,I1416:L1419,4,FALSE)&gt;VLOOKUP(I1436,I1416:L1419,4,FALSE),VLOOKUP(R1436,Point_dif,2,FALSE),VLOOKUP(R1436,Point_dif,3,FALSE)))))</f>
        <v/>
      </c>
      <c r="S1437" s="256" t="str">
        <f>IF(R1437="","",IF(Q1437=3,+R1437,-R1437))</f>
        <v/>
      </c>
      <c r="T1437" s="192"/>
      <c r="U1437" s="159"/>
      <c r="V1437" s="266"/>
      <c r="W1437" s="266"/>
      <c r="X1437" s="266"/>
      <c r="Y1437" s="192"/>
      <c r="Z1437" s="203"/>
      <c r="AA1437" s="246">
        <v>3</v>
      </c>
      <c r="AB1437" s="222" t="str">
        <f>IF(AND(COUNTBLANK(I1416:I1419)=0,Group_players=4,M1416=M1418,M1418=M1419),IF(V1425="","",IF(COUNTIF(V1423:V1426,V1425)=3,"Tied",IF(AND(COUNTIF(V1423:V1426,V1425)=1,V1423&lt;&gt;V1426),IF(M1418=2,IF(SMALL(V1423:V1426,1)=V1425,1,IF(SMALL(V1423:V1426,2)=V1425,2,IF(SMALL(V1423:V1426,3)=V1425,3))),IF(M1418=1,IF(SMALL(V1423:V1426,1)=V1425,2,IF(SMALL(V1423:V1426,2)=V1425,3,IF(SMALL(V1423:V1426,3)=V1425,4))),"")),IF(COUNTIF(V1423:V1426,V1425)=1,IF(V1425&lt;V1423,IF(M1418=2,1,2),IF(M1418=2,3,4)),IF(COUNTIF(V1423:V1426,V1425)=2,IF(V1425=V1423,IF(V1425&lt;V1426,IF(M1418=2,IF(Q1428=3,1,2),IF(M1418=1,IF(Q1428=3,2,3))),IF(V1425&gt;V1426,IF(M1418=2,IF(Q1428=3,2,3),IF(M1418=1,IF(Q1428=3,3,4))))),IF(V1425=V1426,IF(V1425&lt;V1423,IF(M1418=2,IF(Q1442=3,1,2),IF(M1418=1,IF(Q1442=3,2,3))),IF(V1425&gt;V1423,IF(M1418=2,IF(Q1442=3,2,3),IF(M1418=1,IF(Q1442=3,3,4)))))))))))),"")</f>
        <v/>
      </c>
      <c r="AC1437" s="192"/>
      <c r="AD1437" s="192"/>
      <c r="AE1437" s="192"/>
      <c r="AF1437" s="192"/>
      <c r="AG1437" s="192"/>
      <c r="AH1437" s="192"/>
      <c r="AI1437" s="192"/>
      <c r="AJ1437" s="192"/>
      <c r="AK1437" s="192"/>
      <c r="AL1437" s="192"/>
      <c r="AM1437" s="192"/>
      <c r="AN1437" s="192"/>
      <c r="AO1437" s="192"/>
      <c r="AP1437" s="192"/>
      <c r="AQ1437" s="192"/>
      <c r="AR1437" s="192"/>
      <c r="AS1437" s="192"/>
      <c r="AT1437" s="192"/>
      <c r="AU1437" s="192"/>
      <c r="AV1437" s="192"/>
      <c r="AW1437" s="192"/>
      <c r="AX1437" s="192"/>
    </row>
    <row r="1438" spans="2:50" ht="15" customHeight="1" thickTop="1" thickBot="1" x14ac:dyDescent="0.35">
      <c r="B1438" s="192"/>
      <c r="C1438" s="192"/>
      <c r="D1438" s="192"/>
      <c r="E1438" s="164"/>
      <c r="F1438" s="164"/>
      <c r="G1438" s="192"/>
      <c r="H1438" s="192"/>
      <c r="I1438" s="249" t="s">
        <v>119</v>
      </c>
      <c r="J1438" s="249"/>
      <c r="K1438" s="249"/>
      <c r="L1438" s="250" t="s">
        <v>115</v>
      </c>
      <c r="M1438" s="250" t="s">
        <v>116</v>
      </c>
      <c r="N1438" s="250" t="s">
        <v>117</v>
      </c>
      <c r="O1438" s="250" t="s">
        <v>118</v>
      </c>
      <c r="P1438" s="250" t="s">
        <v>119</v>
      </c>
      <c r="Q1438" s="250" t="s">
        <v>120</v>
      </c>
      <c r="R1438" s="250"/>
      <c r="S1438" s="251"/>
      <c r="T1438" s="247"/>
      <c r="U1438" s="235"/>
      <c r="V1438" s="235"/>
      <c r="W1438" s="235"/>
      <c r="X1438" s="235"/>
      <c r="Y1438" s="235"/>
      <c r="Z1438" s="235"/>
      <c r="AA1438" s="240">
        <v>4</v>
      </c>
      <c r="AB1438" s="241" t="str">
        <f>IF(AND(COUNTBLANK(I1416:I1419)=0,Group_players=4,M1416=M1418,M1418=M1419),IF(V1426="","",IF(COUNTIF(V1423:V1426,V1426)=3,"Tied",IF(AND(COUNTIF(V1423:V1426,V1426)=1,V1425&lt;&gt;V1423),IF(M1419=2,IF(SMALL(V1423:V1426,1)=V1426,1,IF(SMALL(V1423:V1426,2)=V1426,2,IF(SMALL(V1423:V1426,3)=V1426,3))),IF(M1419=1,IF(SMALL(V1423:V1426,1)=V1426,2,IF(SMALL(V1423:V1426,2)=V1426,3,IF(SMALL(V1423:V1426,3)=V1426,4))),"")),IF(COUNTIF(V1423:V1426,V1426)=1,IF(V1426&lt;V1423,IF(M1419=2,1,2),IF(M1419=2,3,4)),IF(COUNTIF(V1423:V1426,V1426)=2,IF(V1426=V1423,IF(V1426&lt;V1425,IF(M1419=2,IF(Q1434=3,1,2),IF(M1419=1,IF(Q1434=3,2,3))),IF(V1426&gt;V1425,IF(M1419=2,IF(Q1434=3,2,3),IF(M1419=1,IF(Q1434=3,3,4))))),IF(V1426=V1425,IF(V1426&lt;V1423,IF(M1419=2,IF(Q1443=3,1,2),IF(M1419=1,IF(Q1443=3,2,3))),IF(V1426&gt;V1423,IF(M1419=2,IF(Q1443=3,2,3),IF(M1419=1,IF(Q1443=3,3,4)))))))))))),"")</f>
        <v/>
      </c>
      <c r="AC1438" s="192"/>
      <c r="AD1438" s="192"/>
      <c r="AE1438" s="192"/>
      <c r="AF1438" s="192"/>
      <c r="AG1438" s="192"/>
      <c r="AH1438" s="192"/>
      <c r="AI1438" s="192"/>
      <c r="AJ1438" s="192"/>
      <c r="AK1438" s="192"/>
      <c r="AL1438" s="192"/>
      <c r="AM1438" s="192"/>
      <c r="AN1438" s="192"/>
      <c r="AO1438" s="192"/>
      <c r="AP1438" s="192"/>
      <c r="AQ1438" s="192"/>
      <c r="AR1438" s="192"/>
      <c r="AS1438" s="192"/>
      <c r="AT1438" s="192"/>
      <c r="AU1438" s="192"/>
      <c r="AV1438" s="192"/>
      <c r="AW1438" s="192"/>
      <c r="AX1438" s="192"/>
    </row>
    <row r="1439" spans="2:50" ht="15" customHeight="1" thickTop="1" x14ac:dyDescent="0.3">
      <c r="B1439" s="192"/>
      <c r="C1439" s="192"/>
      <c r="D1439" s="192"/>
      <c r="E1439" s="164" t="str">
        <f>IF(Q1439="","",IF(Q1439=3,1,0))</f>
        <v/>
      </c>
      <c r="F1439" s="164" t="str">
        <f>IF(Q1439="","",IF(Q1439&lt;3,1,0))</f>
        <v/>
      </c>
      <c r="G1439" s="192"/>
      <c r="H1439" s="192" t="str">
        <f>IF(I1419&lt;&gt;"",1,"")</f>
        <v/>
      </c>
      <c r="I1439" s="192" t="str">
        <f>IF(ISNUMBER(H1439),VLOOKUP(H1439,H1416:I1419,2,TRUE),"")</f>
        <v/>
      </c>
      <c r="J1439" s="192"/>
      <c r="K1439" s="192" t="str">
        <f>VLOOKUP(I1439,I1416:L1419,3,FALSE)</f>
        <v/>
      </c>
      <c r="L1439" s="253"/>
      <c r="M1439" s="254"/>
      <c r="N1439" s="254"/>
      <c r="O1439" s="152"/>
      <c r="P1439" s="153"/>
      <c r="Q1439" s="255" t="str">
        <f>IF(L1439="","",IF(AND(L1439-L1440&gt;1,L1439&gt;10),1,0)+IF(AND(M1439-M1440&gt;1,M1439&gt;10),1,0)+IF(AND(N1439-N1440&gt;1,N1439&gt;10),1,0)+IF(AND(O1439-O1440&gt;1,O1439&gt;10),1,0)+IF(AND(P1439-P1440&gt;1,P1439&gt;10),1,0))</f>
        <v/>
      </c>
      <c r="R1439" s="203" t="str">
        <f>IF(AND(I1439="",I1440=""),"",ABS(VLOOKUP(I1439,I1416:L1419,4,FALSE)-VLOOKUP(I1440,I1416:L1419,4,FALSE)))</f>
        <v/>
      </c>
      <c r="S1439" s="256" t="str">
        <f>IF(R1440="","",IF(Q1439=3,+R1440,-R1440))</f>
        <v/>
      </c>
      <c r="T1439" s="247"/>
      <c r="U1439" s="235"/>
      <c r="V1439" s="235"/>
      <c r="W1439" s="235"/>
      <c r="X1439" s="235"/>
      <c r="Y1439" s="235"/>
      <c r="Z1439" s="235"/>
      <c r="AA1439" s="243">
        <v>1</v>
      </c>
      <c r="AB1439" s="222" t="str">
        <f>IF(AND(COUNTBLANK(I1416:I1419)=0,Group_players=4,M1416=M1417,M1417=M1419),IF(W1423="","",IF(COUNTIF(W1423:W1426,W1423)=3,"Tied",IF(AND(COUNTIF(W1423:W1426,W1423)=1,W1424&lt;&gt;W1425),IF(M1416=2,IF(SMALL(W1423:W1426,1)=W1423,1,IF(SMALL(W1423:W1426,2)=W1423,2,IF(SMALL(W1423:W1426,3)=W1423,3))),IF(M1416=1,IF(SMALL(W1423:W1426,1)=W1423,2,IF(SMALL(W1423:W1426,2)=W1423,3,IF(SMALL(W1423:W1426,3)=W1423,4))),"")),IF(COUNTIF(W1423:W1426,W1423)=1,IF(W1423&lt;W1424,IF(M1416=2,1,2),IF(M1416=2,3,4)),IF(COUNTIF(W1423:W1426,W1423)=2,IF(W1423=W1424,IF(W1423&lt;W1426,IF(M1416=2,IF(Q1439=3,1,2),IF(M1416=1,IF(Q1439=3,2,3))),IF(W1423&gt;W1426,IF(M1416=2,IF(Q1439=3,2,3),IF(M1416=1,IF(Q1439=3,3,4))))),IF(W1423=W1426,IF(W1423&lt;W1424,IF(M1416=2,IF(Q1433=3,1,2),IF(M1416=1,IF(Q1433=3,2,3))),IF(W1423&gt;W1424,IF(M1416=2,IF(Q1433=3,2,3),IF(M1416=1,IF(Q1433=3,3,4)))))))))))),"")</f>
        <v/>
      </c>
      <c r="AC1439" s="192"/>
      <c r="AD1439" s="192"/>
      <c r="AE1439" s="192"/>
      <c r="AF1439" s="192"/>
      <c r="AG1439" s="192"/>
      <c r="AH1439" s="192"/>
      <c r="AI1439" s="192"/>
      <c r="AJ1439" s="192"/>
      <c r="AK1439" s="192"/>
      <c r="AL1439" s="192"/>
      <c r="AM1439" s="192"/>
      <c r="AN1439" s="192"/>
      <c r="AO1439" s="192"/>
      <c r="AP1439" s="192"/>
      <c r="AQ1439" s="192"/>
      <c r="AR1439" s="192"/>
      <c r="AS1439" s="192"/>
      <c r="AT1439" s="192"/>
      <c r="AU1439" s="192"/>
      <c r="AV1439" s="192"/>
      <c r="AW1439" s="192"/>
      <c r="AX1439" s="192"/>
    </row>
    <row r="1440" spans="2:50" ht="15" customHeight="1" thickBot="1" x14ac:dyDescent="0.35">
      <c r="B1440" s="192"/>
      <c r="C1440" s="192"/>
      <c r="D1440" s="192"/>
      <c r="E1440" s="164" t="str">
        <f>IF(Q1440="","",IF(Q1440=3,1,0))</f>
        <v/>
      </c>
      <c r="F1440" s="164" t="str">
        <f>IF(Q1440="","",IF(Q1440&lt;3,1,0))</f>
        <v/>
      </c>
      <c r="G1440" s="192"/>
      <c r="H1440" s="192" t="str">
        <f>IF(I1419&lt;&gt;"",2,"")</f>
        <v/>
      </c>
      <c r="I1440" s="192" t="str">
        <f>IF(ISNUMBER(H1440),VLOOKUP(H1440,H1416:I1419,2,TRUE),"")</f>
        <v/>
      </c>
      <c r="J1440" s="192"/>
      <c r="K1440" s="192" t="str">
        <f>VLOOKUP(I1440,I1416:L1419,3,FALSE)</f>
        <v/>
      </c>
      <c r="L1440" s="155"/>
      <c r="M1440" s="259"/>
      <c r="N1440" s="259"/>
      <c r="O1440" s="156"/>
      <c r="P1440" s="157"/>
      <c r="Q1440" s="260" t="str">
        <f>IF(L1440="","",IF(AND(L1440-L1439&gt;1,L1440&gt;10),1,0)+IF(AND(M1440-M1439&gt;1,M1440&gt;10),1,0)+IF(AND(N1440-N1439&gt;1,N1440&gt;10),1,0)+IF(AND(O1440-O1439&gt;1,O1440&gt;10),1,0)+IF(AND(P1440-P1439&gt;1,P1440&gt;10),1,0))</f>
        <v/>
      </c>
      <c r="R1440" s="203" t="str">
        <f>IF(AND(Q1439&lt;&gt;3,Q1440&lt;&gt;3),"",IF(Q1439=3,IF(VLOOKUP(I1439,I1416:L1419,4,FALSE)&gt;VLOOKUP(I1440,I1416:L1419,4,FALSE),VLOOKUP(R1439,Point_dif,2,FALSE),VLOOKUP(R1439,Point_dif,3,FALSE)),IF(Q1440=3,IF(VLOOKUP(I1440,I1416:L1419,4,FALSE)&gt;VLOOKUP(I1440,I1416:L1419,4,FALSE),VLOOKUP(R1439,Point_dif,2,FALSE),VLOOKUP(R1439,Point_dif,3,FALSE)))))</f>
        <v/>
      </c>
      <c r="S1440" s="256" t="str">
        <f>IF(R1440="","",IF(Q1440=3,+R1440,-R1440))</f>
        <v/>
      </c>
      <c r="T1440" s="247"/>
      <c r="U1440" s="235"/>
      <c r="V1440" s="235"/>
      <c r="W1440" s="235"/>
      <c r="X1440" s="235"/>
      <c r="Y1440" s="235"/>
      <c r="Z1440" s="235"/>
      <c r="AA1440" s="246">
        <v>2</v>
      </c>
      <c r="AB1440" s="222" t="str">
        <f>IF(AND(COUNTBLANK(I1416:I1419)=0,Group_players=4,M1416=M1417,M1417=M1419),IF(W1424="","",IF(COUNTIF(W1423:W1426,W1424)=3,"Tied",IF(AND(COUNTIF(W1423:W1426,W1424)=1,W1423&lt;&gt;W1425),IF(M1417=2,IF(SMALL(W1423:W1426,1)=W1424,1,IF(SMALL(W1423:W1426,2)=W1424,2,IF(SMALL(W1423:W1426,3)=W1424,3))),IF(M1417=1,IF(SMALL(W1423:W1426,1)=W1424,2,IF(SMALL(W1423:W1426,2)=W1424,3,IF(SMALL(W1423:W1426,3)=W1424,4))),"")),IF(COUNTIF(W1423:W1426,W1424)=1,IF(W1424&lt;W1423,IF(M1417=2,1,2),IF(M1417=2,3,4)),IF(COUNTIF(W1423:W1426,W1424)=2,IF(W1424=W1423,IF(W1424&lt;W1426,IF(M1417=2,IF(Q1440=3,1,2),IF(M1417=1,IF(Q1440=3,2,3))),IF(W1424&gt;W1426,IF(M1417=2,IF(Q1440=3,2,3),IF(M1417=1,IF(Q1440=3,3,4))))),IF(W1424=W1426,IF(W1424&lt;W1423,IF(M1417=2,IF(Q1430=3,1,2),IF(M1417=1,IF(Q1430=3,2,3))),IF(W1424&gt;W1423,IF(M1417=2,IF(Q1430=3,2,3),IF(M1417=1,IF(Q1430=3,3,4)))))))))))),"")</f>
        <v/>
      </c>
      <c r="AC1440" s="192"/>
      <c r="AD1440" s="192"/>
      <c r="AE1440" s="192"/>
      <c r="AF1440" s="192"/>
      <c r="AG1440" s="192"/>
      <c r="AH1440" s="192"/>
      <c r="AI1440" s="192"/>
      <c r="AJ1440" s="192"/>
      <c r="AK1440" s="192"/>
      <c r="AL1440" s="192"/>
      <c r="AM1440" s="192"/>
      <c r="AN1440" s="192"/>
      <c r="AO1440" s="192"/>
      <c r="AP1440" s="192"/>
      <c r="AQ1440" s="192"/>
      <c r="AR1440" s="192"/>
      <c r="AS1440" s="192"/>
      <c r="AT1440" s="192"/>
      <c r="AU1440" s="192"/>
      <c r="AV1440" s="192"/>
      <c r="AW1440" s="192"/>
      <c r="AX1440" s="192"/>
    </row>
    <row r="1441" spans="2:50" ht="15" customHeight="1" thickTop="1" thickBot="1" x14ac:dyDescent="0.35">
      <c r="B1441" s="192"/>
      <c r="C1441" s="192"/>
      <c r="D1441" s="192"/>
      <c r="E1441" s="164"/>
      <c r="F1441" s="164"/>
      <c r="G1441" s="192"/>
      <c r="H1441" s="192"/>
      <c r="I1441" s="249" t="s">
        <v>121</v>
      </c>
      <c r="J1441" s="249"/>
      <c r="K1441" s="249"/>
      <c r="L1441" s="250" t="s">
        <v>115</v>
      </c>
      <c r="M1441" s="250" t="s">
        <v>116</v>
      </c>
      <c r="N1441" s="250" t="s">
        <v>117</v>
      </c>
      <c r="O1441" s="250" t="s">
        <v>118</v>
      </c>
      <c r="P1441" s="250" t="s">
        <v>119</v>
      </c>
      <c r="Q1441" s="250" t="s">
        <v>120</v>
      </c>
      <c r="R1441" s="250"/>
      <c r="S1441" s="251"/>
      <c r="T1441" s="247"/>
      <c r="U1441" s="235"/>
      <c r="V1441" s="235"/>
      <c r="W1441" s="235"/>
      <c r="X1441" s="235"/>
      <c r="Y1441" s="235"/>
      <c r="Z1441" s="235"/>
      <c r="AA1441" s="240">
        <v>4</v>
      </c>
      <c r="AB1441" s="241" t="str">
        <f>IF(AND(COUNTBLANK(I1416:I1419)=0,Group_players=4,M1416=M1417,M1417=M1419),IF(W1426="","",IF(COUNTIF(W1423:W1426,W1426)=3,"Tied",IF(AND(COUNTIF(W1423:W1426,W1426)=1,W1423&lt;&gt;W1424),IF(M1419=2,IF(SMALL(W1423:W1426,1)=W1426,1,IF(SMALL(W1423:W1426,2)=W1426,2,IF(SMALL(W1423:W1426,3)=W1426,3))),IF(M1419=1,IF(SMALL(W1423:W1426,1)=W1426,2,IF(SMALL(W1423:W1426,2)=W1426,3,IF(SMALL(W1423:W1426,3)=W1426,4))),"")),IF(COUNTIF(W1423:W1426,W1426)=1,IF(W1426&lt;W1423,IF(M1419=2,1,2),IF(M1419=2,3,4)),IF(COUNTIF(W1423:W1426,W1426)=2,IF(W1426=W1423,IF(W1426&lt;W1424,IF(M1419=2,IF(Q1434=3,1,2),IF(M1419=1,IF(Q1434=3,2,3))),IF(W1426&gt;W1425,IF(M1419=2,IF(Q1434=3,2,3),IF(M1419=1,IF(Q1434=3,3,4))))),IF(W1426=W1424,IF(W1426&lt;W1423,IF(M1419=2,IF(Q1431=3,1,2),IF(M1419=1,IF(Q1431=3,2,3))),IF(W1426&gt;W1423,IF(M1419=2,IF(Q1431=3,2,3),IF(M1419=1,IF(Q1431=3,3,4)))))))))))),"")</f>
        <v/>
      </c>
      <c r="AC1441" s="192"/>
      <c r="AD1441" s="192"/>
      <c r="AE1441" s="192"/>
      <c r="AF1441" s="192"/>
      <c r="AG1441" s="192"/>
      <c r="AH1441" s="192"/>
      <c r="AI1441" s="192"/>
      <c r="AJ1441" s="192"/>
      <c r="AK1441" s="192"/>
      <c r="AL1441" s="192"/>
      <c r="AM1441" s="192"/>
      <c r="AN1441" s="192"/>
      <c r="AO1441" s="192"/>
      <c r="AP1441" s="192"/>
      <c r="AQ1441" s="192"/>
      <c r="AR1441" s="192"/>
      <c r="AS1441" s="192"/>
      <c r="AT1441" s="192"/>
      <c r="AU1441" s="192"/>
      <c r="AV1441" s="192"/>
      <c r="AW1441" s="192"/>
      <c r="AX1441" s="192"/>
    </row>
    <row r="1442" spans="2:50" ht="15" customHeight="1" thickTop="1" x14ac:dyDescent="0.3">
      <c r="B1442" s="192"/>
      <c r="C1442" s="192"/>
      <c r="D1442" s="192"/>
      <c r="E1442" s="164" t="str">
        <f>IF(Q1442="","",IF(Q1442=3,1,0))</f>
        <v/>
      </c>
      <c r="F1442" s="164" t="str">
        <f>IF(Q1442="","",IF(Q1442&lt;3,1,0))</f>
        <v/>
      </c>
      <c r="G1442" s="192"/>
      <c r="H1442" s="192" t="str">
        <f>IF(I1419&lt;&gt;"",3,"")</f>
        <v/>
      </c>
      <c r="I1442" s="192" t="str">
        <f>IF(ISNUMBER(H1442),VLOOKUP(H1442,H1416:I1419,2,TRUE),"")</f>
        <v/>
      </c>
      <c r="J1442" s="192"/>
      <c r="K1442" s="192" t="str">
        <f>VLOOKUP(I1442,I1416:L1419,3,FALSE)</f>
        <v/>
      </c>
      <c r="L1442" s="253"/>
      <c r="M1442" s="254"/>
      <c r="N1442" s="254"/>
      <c r="O1442" s="152"/>
      <c r="P1442" s="153"/>
      <c r="Q1442" s="255" t="str">
        <f>IF(L1442="","",IF(AND(L1442-L1443&gt;1,L1442&gt;10),1,0)+IF(AND(M1442-M1443&gt;1,M1442&gt;10),1,0)+IF(AND(N1442-N1443&gt;1,N1442&gt;10),1,0)+IF(AND(O1442-O1443&gt;1,O1442&gt;10),1,0)+IF(AND(P1442-P1443&gt;1,P1442&gt;10),1,0))</f>
        <v/>
      </c>
      <c r="R1442" s="203" t="str">
        <f>IF(AND(I1442="",I1443=""),"",ABS(VLOOKUP(I1442,I1416:L1419,4,FALSE)-VLOOKUP(I1443,I1416:L1419,4,FALSE)))</f>
        <v/>
      </c>
      <c r="S1442" s="256" t="str">
        <f>IF(R1443="","",IF(Q1442=3,+R1443,-R1443))</f>
        <v/>
      </c>
      <c r="T1442" s="247"/>
      <c r="U1442" s="264"/>
      <c r="V1442" s="242"/>
      <c r="W1442" s="192"/>
      <c r="X1442" s="264"/>
      <c r="Y1442" s="192"/>
      <c r="Z1442" s="192"/>
      <c r="AA1442" s="243">
        <v>2</v>
      </c>
      <c r="AB1442" s="222" t="str">
        <f>IF(AND(COUNTBLANK(I1416:I1419)=0,Group_players=4,M1417=M1418,M1418=M1419),IF(X1424="","",IF(COUNTIF(X1423:X1426,X1424)=3,"Tied",IF(AND(COUNTIF(X1423:X1426,X1424)=1,X1425&lt;&gt;X1426),IF(M1417=2,IF(SMALL(X1423:X1426,1)=X1424,1,IF(SMALL(X1423:X1426,2)=X1424,2,IF(SMALL(X1423:X1426,3)=X1424,3))),IF(M1417=1,IF(SMALL(X1423:X1426,1)=X1424,2,IF(SMALL(X1423:X1426,2)=X1424,3,IF(SMALL(X1423:X1426,3)=X1424,4))),"")),IF(COUNTIF(X1423:X1426,X1424)=1,IF(X1424&lt;X1426,IF(M1417=2,1,2),IF(M1417=1,4)),IF(COUNTIF(X1423:X1426,X1424)=2,IF(X1424=X1425,IF(X1424&lt;X1426,IF(M1417=2,IF(Q1436=3,1,2),IF(M1417=1,IF(Q1436=3,2,3))),IF(X1424&gt;X1426,IF(M1417=2,IF(Q1436=3,2,3),IF(M1417=1,IF(Q1436=3,3,4))))),IF(X1424=X1426,IF(X1424&lt;X1425,IF(M1417=2,IF(Q1430=3,1,2),IF(M1417=1,IF(Q1430=3,2,3))),IF(X1424&gt;X1425,IF(M1417=2,IF(Q1430=3,2,3),IF(M1417=1,IF(Q1430=3,3,4)))))))))))),"")</f>
        <v/>
      </c>
      <c r="AC1442" s="192"/>
      <c r="AD1442" s="192"/>
      <c r="AE1442" s="192"/>
      <c r="AF1442" s="192"/>
      <c r="AG1442" s="192"/>
      <c r="AH1442" s="192"/>
      <c r="AI1442" s="192"/>
      <c r="AJ1442" s="192"/>
      <c r="AK1442" s="192"/>
      <c r="AL1442" s="192"/>
      <c r="AM1442" s="192"/>
      <c r="AN1442" s="192"/>
      <c r="AO1442" s="192"/>
      <c r="AP1442" s="192"/>
      <c r="AQ1442" s="192"/>
      <c r="AR1442" s="192"/>
      <c r="AS1442" s="192"/>
      <c r="AT1442" s="192"/>
      <c r="AU1442" s="192"/>
      <c r="AV1442" s="192"/>
      <c r="AW1442" s="192"/>
      <c r="AX1442" s="192"/>
    </row>
    <row r="1443" spans="2:50" ht="15" customHeight="1" thickBot="1" x14ac:dyDescent="0.35">
      <c r="B1443" s="192"/>
      <c r="C1443" s="192"/>
      <c r="D1443" s="192"/>
      <c r="E1443" s="164" t="str">
        <f>IF(Q1443="","",IF(Q1443=3,1,0))</f>
        <v/>
      </c>
      <c r="F1443" s="164" t="str">
        <f>IF(Q1443="","",IF(Q1443&lt;3,1,0))</f>
        <v/>
      </c>
      <c r="G1443" s="192"/>
      <c r="H1443" s="192" t="str">
        <f>IF(I1419&lt;&gt;"",4,"")</f>
        <v/>
      </c>
      <c r="I1443" s="192" t="str">
        <f>IF(ISNUMBER(H1443),VLOOKUP(H1443,H1416:I1419,2,TRUE),"")</f>
        <v/>
      </c>
      <c r="J1443" s="192"/>
      <c r="K1443" s="192" t="str">
        <f>VLOOKUP(I1443,I1416:L1419,3,FALSE)</f>
        <v/>
      </c>
      <c r="L1443" s="155"/>
      <c r="M1443" s="259"/>
      <c r="N1443" s="259"/>
      <c r="O1443" s="156"/>
      <c r="P1443" s="157"/>
      <c r="Q1443" s="260" t="str">
        <f>IF(L1443="","",IF(AND(L1443-L1442&gt;1,L1443&gt;10),1,0)+IF(AND(M1443-M1442&gt;1,M1443&gt;10),1,0)+IF(AND(N1443-N1442&gt;1,N1443&gt;10),1,0)+IF(AND(O1443-O1442&gt;1,O1443&gt;10),1,0)+IF(AND(P1443-P1442&gt;1,P1443&gt;10),1,0))</f>
        <v/>
      </c>
      <c r="R1443" s="203" t="str">
        <f>IF(AND(Q1442&lt;&gt;3,Q1443&lt;&gt;3),"",IF(Q1442=3,IF(VLOOKUP(I1442,I1416:L1419,4,FALSE)&gt;VLOOKUP(I1443,I1416:L1419,4,FALSE),VLOOKUP(R1442,Point_dif,2,FALSE),VLOOKUP(R1442,Point_dif,3,FALSE)),IF(Q1443=3,IF(VLOOKUP(I1443,I1416:L1419,4,FALSE)&gt;VLOOKUP(I1442,I1416:L1419,4,FALSE),VLOOKUP(R1442,Point_dif,2,FALSE),VLOOKUP(R1442,Point_dif,3,FALSE)))))</f>
        <v/>
      </c>
      <c r="S1443" s="260" t="str">
        <f>IF(R1443="","",IF(Q1443=3,+R1443,-R1443))</f>
        <v/>
      </c>
      <c r="T1443" s="247"/>
      <c r="U1443" s="235"/>
      <c r="V1443" s="235"/>
      <c r="W1443" s="235"/>
      <c r="X1443" s="235"/>
      <c r="Y1443" s="235"/>
      <c r="Z1443" s="235"/>
      <c r="AA1443" s="246">
        <v>3</v>
      </c>
      <c r="AB1443" s="222" t="str">
        <f>IF(AND(COUNTBLANK(I1416:I1419)=0,Group_players=4,Group_players=4,M1417=M1418,M1418=M1419),IF(X1425="","",IF(COUNTIF(X1423:X1426,X1425)=3,"Tied",IF(AND(COUNTIF(X1423:X1426,X1425)=1,X1424&lt;&gt;X1426),IF(M1418=2,IF(SMALL(X1423:X1426,1)=X1425,1,IF(SMALL(X1423:X1426,2)=X1425,2,IF(SMALL(X1423:X1426,3)=X1425,3))),IF(M1418=1,IF(SMALL(X1423:X1426,1)=X1425,2,IF(SMALL(X1423:X1426,2)=X1425,3,IF(SMALL(X1423:X1426,3)=X1425,4))),"")),IF(COUNTIF(X1423:X1426,X1425)=1,IF(X1425&lt;X1424,IF(M1418=2,1,2),IF(M1418=2,3,4)),IF(COUNTIF(X1423:X1426,X1425)=2,IF(X1425=X1424,IF(X1425&lt;X1426,IF(M1418=2,IF(Q1437=3,1,2),IF(M1418=1,IF(Q1437=3,2,3))),IF(X1425&gt;X1426,IF(M1418=2,IF(Q1437=3,2,3),IF(M1418=1,IF(Q1437=3,3,4))))),IF(X1425=X1426,IF(X1425&lt;X1424,IF(M1418=2,IF(Q1442=3,1,2),IF(M1418=1,IF(Q1442=3,2,3))),IF(X1425&gt;X1424,IF(M1418=2,IF(Q1442=3,2,3),IF(M1418=1,IF(Q1442=3,3,4)))))))))))),"")</f>
        <v/>
      </c>
      <c r="AC1443" s="192"/>
      <c r="AD1443" s="192"/>
      <c r="AE1443" s="192"/>
      <c r="AF1443" s="192"/>
      <c r="AG1443" s="192"/>
      <c r="AH1443" s="192"/>
      <c r="AI1443" s="192"/>
      <c r="AJ1443" s="192"/>
      <c r="AK1443" s="192"/>
      <c r="AL1443" s="192"/>
      <c r="AM1443" s="192"/>
      <c r="AN1443" s="192"/>
      <c r="AO1443" s="192"/>
      <c r="AP1443" s="192"/>
      <c r="AQ1443" s="192"/>
      <c r="AR1443" s="192"/>
      <c r="AS1443" s="192"/>
      <c r="AT1443" s="192"/>
      <c r="AU1443" s="192"/>
      <c r="AV1443" s="192"/>
      <c r="AW1443" s="192"/>
      <c r="AX1443" s="192"/>
    </row>
    <row r="1444" spans="2:50" ht="15" customHeight="1" thickTop="1" thickBot="1" x14ac:dyDescent="0.35">
      <c r="B1444" s="192"/>
      <c r="C1444" s="192"/>
      <c r="D1444" s="192"/>
      <c r="E1444" s="192"/>
      <c r="F1444" s="192"/>
      <c r="G1444" s="192"/>
      <c r="H1444" s="192"/>
      <c r="I1444" s="192"/>
      <c r="J1444" s="192"/>
      <c r="K1444" s="192"/>
      <c r="L1444" s="192"/>
      <c r="M1444" s="192"/>
      <c r="N1444" s="192"/>
      <c r="O1444" s="192"/>
      <c r="P1444" s="192"/>
      <c r="Q1444" s="192"/>
      <c r="R1444" s="192"/>
      <c r="S1444" s="192"/>
      <c r="T1444" s="247"/>
      <c r="U1444" s="235"/>
      <c r="V1444" s="235"/>
      <c r="W1444" s="235"/>
      <c r="X1444" s="235"/>
      <c r="Y1444" s="235"/>
      <c r="Z1444" s="235"/>
      <c r="AA1444" s="261">
        <v>4</v>
      </c>
      <c r="AB1444" s="233" t="str">
        <f>IF(AND(COUNTBLANK(I1416:I1419)=0,Group_players=4,M1417=M1418,M1418=M1419),IF(X1426="","",IF(COUNTIF(X1423:X1426,X1426)=3,"Tied",IF(AND(COUNTIF(X1423:X1426,X1426)=1,X1425&lt;&gt;X1424),IF(M1419=2,IF(SMALL(X1423:X1426,1)=X1426,1,IF(SMALL(X1423:X1426,2)=X1426,2,IF(SMALL(X1423:X1426,3)=X1426,3))),IF(M1419=1,IF(SMALL(X1423:X1426,1)=X1426,2,IF(SMALL(X1423:X1426,2)=X1426,3,IF(SMALL(X1423:X1426,3)=X1426,4))),"")),IF(COUNTIF(X1423:X1426,X1426)=1,IF(X1426&lt;X1424,IF(M1419=2,1,2),IF(M1419=2,3,4)),IF(COUNTIF(X1423:X1426,X1426)=2,IF(X1426=X1424,IF(X1426&lt;X1425,IF(M1419=2,IF(Q1431=3,1,2),IF(M1419=1,IF(Q1431=3,2,3))),IF(X1426&gt;X1425,IF(M1419=2,IF(Q1431=3,2,3),IF(M1419=1,IF(Q1431=3,3,4))))),IF(X1426=X1425,IF(X1426&lt;X1424,IF(M1419=2,IF(Q1443=3,1,2),IF(M1419=1,IF(Q1443=3,2,3))),IF(X1426&gt;X1424,IF(M1419=2,IF(Q1443=3,2,3),IF(M1419=1,IF(Q1443=3,3,4)))))))))))),"")</f>
        <v/>
      </c>
      <c r="AC1444" s="192"/>
      <c r="AD1444" s="192"/>
      <c r="AE1444" s="192"/>
      <c r="AF1444" s="192"/>
      <c r="AG1444" s="192"/>
      <c r="AH1444" s="192"/>
      <c r="AI1444" s="192"/>
      <c r="AJ1444" s="192"/>
      <c r="AK1444" s="192"/>
      <c r="AL1444" s="192"/>
      <c r="AM1444" s="192"/>
      <c r="AN1444" s="192"/>
      <c r="AO1444" s="192"/>
      <c r="AP1444" s="192"/>
      <c r="AQ1444" s="192"/>
      <c r="AR1444" s="192"/>
      <c r="AS1444" s="192"/>
      <c r="AT1444" s="192"/>
      <c r="AU1444" s="192"/>
      <c r="AV1444" s="192"/>
      <c r="AW1444" s="192"/>
      <c r="AX1444" s="192"/>
    </row>
    <row r="1445" spans="2:50" ht="15" customHeight="1" thickTop="1" x14ac:dyDescent="0.3">
      <c r="B1445" s="192"/>
      <c r="C1445" s="192"/>
      <c r="D1445" s="192"/>
      <c r="E1445" s="192"/>
      <c r="F1445" s="192"/>
      <c r="G1445" s="192"/>
      <c r="H1445" s="192"/>
      <c r="I1445" s="192"/>
      <c r="J1445" s="192"/>
      <c r="K1445" s="192"/>
      <c r="L1445" s="192"/>
      <c r="M1445" s="192"/>
      <c r="N1445" s="192"/>
      <c r="O1445" s="192"/>
      <c r="P1445" s="192"/>
      <c r="Q1445" s="192"/>
      <c r="R1445" s="192"/>
      <c r="S1445" s="192"/>
      <c r="T1445" s="203"/>
      <c r="U1445" s="192"/>
      <c r="V1445" s="192"/>
      <c r="W1445" s="192"/>
      <c r="X1445" s="192"/>
      <c r="Y1445" s="192"/>
      <c r="Z1445" s="192"/>
      <c r="AA1445" s="192"/>
      <c r="AB1445" s="192"/>
      <c r="AC1445" s="192"/>
      <c r="AD1445" s="192"/>
      <c r="AE1445" s="192"/>
      <c r="AF1445" s="192"/>
      <c r="AG1445" s="192"/>
      <c r="AH1445" s="192"/>
      <c r="AI1445" s="192"/>
      <c r="AJ1445" s="192"/>
      <c r="AK1445" s="192"/>
      <c r="AL1445" s="192"/>
      <c r="AM1445" s="192"/>
      <c r="AN1445" s="192"/>
      <c r="AO1445" s="192"/>
      <c r="AP1445" s="192"/>
      <c r="AQ1445" s="192"/>
      <c r="AR1445" s="192"/>
      <c r="AS1445" s="192"/>
      <c r="AT1445" s="192"/>
      <c r="AU1445" s="192"/>
      <c r="AV1445" s="192"/>
      <c r="AW1445" s="192"/>
      <c r="AX1445" s="192"/>
    </row>
    <row r="1446" spans="2:50" ht="15" customHeight="1" x14ac:dyDescent="0.3">
      <c r="B1446" s="192"/>
      <c r="C1446" s="192"/>
      <c r="D1446" s="192"/>
      <c r="E1446" s="192"/>
      <c r="F1446" s="192"/>
      <c r="G1446" s="192"/>
      <c r="H1446" s="192"/>
      <c r="I1446" s="192"/>
      <c r="J1446" s="192"/>
      <c r="K1446" s="192"/>
      <c r="L1446" s="192"/>
      <c r="M1446" s="192"/>
      <c r="N1446" s="192"/>
      <c r="O1446" s="192"/>
      <c r="P1446" s="192"/>
      <c r="Q1446" s="192"/>
      <c r="R1446" s="192"/>
      <c r="S1446" s="192"/>
      <c r="T1446" s="192"/>
      <c r="U1446" s="192"/>
      <c r="V1446" s="192"/>
      <c r="W1446" s="192"/>
      <c r="X1446" s="192"/>
      <c r="Y1446" s="192"/>
      <c r="Z1446" s="192"/>
      <c r="AA1446" s="192"/>
      <c r="AB1446" s="192"/>
      <c r="AC1446" s="192"/>
      <c r="AD1446" s="192"/>
      <c r="AE1446" s="192"/>
      <c r="AF1446" s="192"/>
      <c r="AG1446" s="192"/>
      <c r="AH1446" s="192"/>
      <c r="AI1446" s="192"/>
      <c r="AJ1446" s="192"/>
      <c r="AK1446" s="192"/>
      <c r="AL1446" s="192"/>
      <c r="AM1446" s="192"/>
      <c r="AN1446" s="192"/>
      <c r="AO1446" s="192"/>
      <c r="AP1446" s="192"/>
      <c r="AQ1446" s="192"/>
      <c r="AR1446" s="192"/>
      <c r="AS1446" s="192"/>
      <c r="AT1446" s="192"/>
      <c r="AU1446" s="192"/>
      <c r="AV1446" s="192"/>
      <c r="AW1446" s="192"/>
      <c r="AX1446" s="192"/>
    </row>
    <row r="1447" spans="2:50" ht="15" customHeight="1" x14ac:dyDescent="0.3">
      <c r="B1447" s="192"/>
      <c r="C1447" s="192"/>
      <c r="D1447" s="192"/>
      <c r="E1447" s="192"/>
      <c r="F1447" s="192"/>
      <c r="G1447" s="192"/>
      <c r="H1447" s="192"/>
      <c r="I1447" s="192"/>
      <c r="J1447" s="192"/>
      <c r="K1447" s="192"/>
      <c r="L1447" s="192"/>
      <c r="M1447" s="192"/>
      <c r="N1447" s="192"/>
      <c r="O1447" s="192"/>
      <c r="P1447" s="192"/>
      <c r="Q1447" s="192"/>
      <c r="R1447" s="192"/>
      <c r="S1447" s="192"/>
      <c r="T1447" s="192"/>
      <c r="U1447" s="192"/>
      <c r="V1447" s="192"/>
      <c r="W1447" s="192"/>
      <c r="X1447" s="192"/>
      <c r="Y1447" s="192"/>
      <c r="Z1447" s="269"/>
      <c r="AA1447" s="192"/>
      <c r="AB1447" s="192"/>
      <c r="AC1447" s="192"/>
      <c r="AD1447" s="192"/>
      <c r="AE1447" s="192"/>
      <c r="AF1447" s="192"/>
      <c r="AG1447" s="192"/>
      <c r="AH1447" s="192"/>
      <c r="AI1447" s="192"/>
      <c r="AJ1447" s="192"/>
      <c r="AK1447" s="192"/>
      <c r="AL1447" s="192"/>
      <c r="AM1447" s="192"/>
      <c r="AN1447" s="192"/>
      <c r="AO1447" s="192"/>
      <c r="AP1447" s="192"/>
      <c r="AQ1447" s="192"/>
      <c r="AR1447" s="192"/>
      <c r="AS1447" s="192"/>
      <c r="AT1447" s="192"/>
      <c r="AU1447" s="192"/>
      <c r="AV1447" s="192"/>
      <c r="AW1447" s="192"/>
      <c r="AX1447" s="192"/>
    </row>
    <row r="1448" spans="2:50" ht="15" customHeight="1" x14ac:dyDescent="0.3">
      <c r="B1448" s="192"/>
      <c r="C1448" s="192"/>
      <c r="D1448" s="192"/>
      <c r="E1448" s="192"/>
      <c r="F1448" s="192"/>
      <c r="G1448" s="192"/>
      <c r="H1448" s="192"/>
      <c r="I1448" s="192"/>
      <c r="J1448" s="192"/>
      <c r="K1448" s="192"/>
      <c r="L1448" s="192"/>
      <c r="M1448" s="192"/>
      <c r="N1448" s="192"/>
      <c r="O1448" s="192"/>
      <c r="P1448" s="192"/>
      <c r="Q1448" s="192"/>
      <c r="R1448" s="192"/>
      <c r="S1448" s="192"/>
      <c r="T1448" s="192"/>
      <c r="U1448" s="192"/>
      <c r="V1448" s="192"/>
      <c r="W1448" s="192"/>
      <c r="X1448" s="192"/>
      <c r="Y1448" s="192"/>
      <c r="Z1448" s="192"/>
      <c r="AA1448" s="192"/>
      <c r="AB1448" s="192"/>
      <c r="AC1448" s="192"/>
      <c r="AD1448" s="192"/>
      <c r="AE1448" s="192"/>
      <c r="AF1448" s="192"/>
      <c r="AG1448" s="192"/>
      <c r="AH1448" s="192"/>
      <c r="AI1448" s="192"/>
      <c r="AJ1448" s="192"/>
      <c r="AK1448" s="192"/>
      <c r="AL1448" s="192"/>
      <c r="AM1448" s="192"/>
      <c r="AN1448" s="192"/>
      <c r="AO1448" s="192"/>
      <c r="AP1448" s="192"/>
      <c r="AQ1448" s="192"/>
      <c r="AR1448" s="192"/>
      <c r="AS1448" s="192"/>
      <c r="AT1448" s="192"/>
      <c r="AU1448" s="192"/>
      <c r="AV1448" s="192"/>
      <c r="AW1448" s="192"/>
      <c r="AX1448" s="192"/>
    </row>
    <row r="1449" spans="2:50" ht="15" customHeight="1" x14ac:dyDescent="0.3">
      <c r="B1449" s="192"/>
      <c r="C1449" s="192"/>
      <c r="D1449" s="192"/>
      <c r="E1449" s="192"/>
      <c r="F1449" s="192"/>
      <c r="G1449" s="192"/>
      <c r="H1449" s="192"/>
      <c r="I1449" s="192"/>
      <c r="J1449" s="192"/>
      <c r="K1449" s="192"/>
      <c r="L1449" s="192"/>
      <c r="M1449" s="192"/>
      <c r="N1449" s="192"/>
      <c r="O1449" s="192"/>
      <c r="P1449" s="192"/>
      <c r="Q1449" s="192"/>
      <c r="R1449" s="192"/>
      <c r="S1449" s="192"/>
      <c r="T1449" s="192"/>
      <c r="U1449" s="192"/>
      <c r="V1449" s="192"/>
      <c r="W1449" s="192"/>
      <c r="X1449" s="192"/>
      <c r="Y1449" s="192"/>
      <c r="Z1449" s="192"/>
      <c r="AA1449" s="192"/>
      <c r="AB1449" s="192"/>
      <c r="AC1449" s="192"/>
      <c r="AD1449" s="192"/>
      <c r="AE1449" s="192"/>
      <c r="AF1449" s="192"/>
      <c r="AG1449" s="192"/>
      <c r="AH1449" s="192"/>
      <c r="AI1449" s="192"/>
      <c r="AJ1449" s="192"/>
      <c r="AK1449" s="192"/>
      <c r="AL1449" s="192"/>
      <c r="AM1449" s="192"/>
      <c r="AN1449" s="192"/>
      <c r="AO1449" s="192"/>
      <c r="AP1449" s="192"/>
      <c r="AQ1449" s="192"/>
      <c r="AR1449" s="192"/>
      <c r="AS1449" s="192"/>
      <c r="AT1449" s="192"/>
      <c r="AU1449" s="192"/>
      <c r="AV1449" s="192"/>
      <c r="AW1449" s="192"/>
      <c r="AX1449" s="192"/>
    </row>
    <row r="1450" spans="2:50" ht="15" customHeight="1" thickBot="1" x14ac:dyDescent="0.4">
      <c r="B1450" s="192"/>
      <c r="C1450" s="192"/>
      <c r="D1450" s="192"/>
      <c r="E1450" s="192"/>
      <c r="F1450" s="192"/>
      <c r="G1450" s="192"/>
      <c r="H1450" s="192"/>
      <c r="I1450" s="383" t="s">
        <v>162</v>
      </c>
      <c r="J1450" s="383"/>
      <c r="K1450" s="383"/>
      <c r="L1450" s="383"/>
      <c r="M1450" s="383"/>
      <c r="N1450" s="383"/>
      <c r="O1450" s="383"/>
      <c r="P1450" s="383"/>
      <c r="Q1450" s="383"/>
      <c r="R1450" s="383"/>
      <c r="S1450" s="192"/>
      <c r="T1450" s="192"/>
      <c r="U1450" s="370" t="s">
        <v>92</v>
      </c>
      <c r="V1450" s="371"/>
      <c r="W1450" s="371"/>
      <c r="X1450" s="372"/>
      <c r="Y1450" s="192"/>
      <c r="Z1450" s="192"/>
      <c r="AA1450" s="192"/>
      <c r="AB1450" s="192"/>
      <c r="AC1450" s="192"/>
      <c r="AD1450" s="192"/>
      <c r="AE1450" s="192"/>
      <c r="AF1450" s="192"/>
      <c r="AG1450" s="192"/>
      <c r="AH1450" s="192"/>
      <c r="AI1450" s="192"/>
      <c r="AJ1450" s="192"/>
      <c r="AK1450" s="192"/>
      <c r="AL1450" s="192"/>
      <c r="AM1450" s="192"/>
      <c r="AN1450" s="192"/>
      <c r="AO1450" s="192"/>
      <c r="AP1450" s="192"/>
      <c r="AQ1450" s="192"/>
      <c r="AR1450" s="192"/>
      <c r="AS1450" s="192"/>
      <c r="AT1450" s="192"/>
      <c r="AU1450" s="192"/>
      <c r="AV1450" s="192"/>
      <c r="AW1450" s="192"/>
      <c r="AX1450" s="192"/>
    </row>
    <row r="1451" spans="2:50" ht="15" customHeight="1" thickTop="1" thickBot="1" x14ac:dyDescent="0.35">
      <c r="B1451" s="192"/>
      <c r="C1451" s="192"/>
      <c r="D1451" s="192"/>
      <c r="E1451" s="192"/>
      <c r="F1451" s="192"/>
      <c r="G1451" s="192"/>
      <c r="H1451" s="192"/>
      <c r="I1451" s="400" t="s">
        <v>93</v>
      </c>
      <c r="J1451" s="160"/>
      <c r="K1451" s="396" t="s">
        <v>94</v>
      </c>
      <c r="L1451" s="398" t="s">
        <v>95</v>
      </c>
      <c r="M1451" s="390" t="s">
        <v>96</v>
      </c>
      <c r="N1451" s="390" t="s">
        <v>97</v>
      </c>
      <c r="O1451" s="373" t="s">
        <v>98</v>
      </c>
      <c r="P1451" s="373" t="str">
        <f>IF(COUNT(U1452:X1463)=3,"LM/WM Ratio",IF(COUNT(U1452:X1463)=6,"LP/WP Ratio",""))</f>
        <v/>
      </c>
      <c r="Q1451" s="390" t="s">
        <v>99</v>
      </c>
      <c r="R1451" s="392" t="s">
        <v>100</v>
      </c>
      <c r="S1451" s="192"/>
      <c r="T1451" s="120"/>
      <c r="U1451" s="121" t="s">
        <v>101</v>
      </c>
      <c r="V1451" s="122" t="s">
        <v>102</v>
      </c>
      <c r="W1451" s="122" t="s">
        <v>103</v>
      </c>
      <c r="X1451" s="123" t="s">
        <v>104</v>
      </c>
      <c r="Y1451" s="380" t="s">
        <v>105</v>
      </c>
      <c r="Z1451" s="379"/>
      <c r="AA1451" s="378" t="s">
        <v>106</v>
      </c>
      <c r="AB1451" s="379"/>
      <c r="AC1451" s="192"/>
      <c r="AD1451" s="192"/>
      <c r="AE1451" s="192"/>
      <c r="AF1451" s="192"/>
      <c r="AG1451" s="192"/>
      <c r="AH1451" s="192"/>
      <c r="AI1451" s="192"/>
      <c r="AJ1451" s="192"/>
      <c r="AK1451" s="192"/>
      <c r="AL1451" s="192"/>
      <c r="AM1451" s="192"/>
      <c r="AN1451" s="192"/>
      <c r="AO1451" s="192"/>
      <c r="AP1451" s="192"/>
      <c r="AQ1451" s="192"/>
      <c r="AR1451" s="192"/>
      <c r="AS1451" s="192"/>
      <c r="AT1451" s="192"/>
      <c r="AU1451" s="192"/>
      <c r="AV1451" s="192"/>
      <c r="AW1451" s="192"/>
      <c r="AX1451" s="192"/>
    </row>
    <row r="1452" spans="2:50" ht="15" customHeight="1" thickTop="1" thickBot="1" x14ac:dyDescent="0.35">
      <c r="B1452" s="192"/>
      <c r="C1452" s="192"/>
      <c r="D1452" s="192"/>
      <c r="E1452" s="192"/>
      <c r="F1452" s="192"/>
      <c r="G1452" s="192"/>
      <c r="H1452" s="192"/>
      <c r="I1452" s="401"/>
      <c r="J1452" s="161"/>
      <c r="K1452" s="397"/>
      <c r="L1452" s="399"/>
      <c r="M1452" s="391"/>
      <c r="N1452" s="391"/>
      <c r="O1452" s="374"/>
      <c r="P1452" s="374"/>
      <c r="Q1452" s="391"/>
      <c r="R1452" s="393"/>
      <c r="S1452" s="192"/>
      <c r="T1452" s="208">
        <v>1</v>
      </c>
      <c r="U1452" s="209" t="str">
        <f>IF(M1453="","",IF(COUNTIF(M1453:M1455,M1453)=3,IF(COUNTBLANK(I1453:I1456)=1,(Q1465+Q1471)/(Q1464+Q1470),IF(COUNTBLANK(I1453:I1456)=0,(Q1477+Q1465)/(Q1476+Q1464),"")),""))</f>
        <v/>
      </c>
      <c r="V1452" s="125" t="str">
        <f>IF(AND(COUNTBLANK(I1453:I1456)=0,M1453=M1455,M1455=M1456),(Q1465+Q1471)/(Q1464+Q1470),"")</f>
        <v/>
      </c>
      <c r="W1452" s="210" t="str">
        <f>IF(AND(COUNTBLANK(I1453:I1456)=0,M1453=M1454,M1454=M1456),(Q1477+Q1471)/(Q1476+Q1470),"")</f>
        <v/>
      </c>
      <c r="X1452" s="211"/>
      <c r="Y1452" s="169" t="s">
        <v>93</v>
      </c>
      <c r="Z1452" s="170" t="s">
        <v>107</v>
      </c>
      <c r="AA1452" s="169" t="s">
        <v>93</v>
      </c>
      <c r="AB1452" s="170" t="s">
        <v>107</v>
      </c>
      <c r="AC1452" s="192"/>
      <c r="AD1452" s="192"/>
      <c r="AE1452" s="192"/>
      <c r="AF1452" s="192"/>
      <c r="AG1452" s="192"/>
      <c r="AH1452" s="192"/>
      <c r="AI1452" s="192"/>
      <c r="AJ1452" s="192"/>
      <c r="AK1452" s="192"/>
      <c r="AL1452" s="192"/>
      <c r="AM1452" s="192"/>
      <c r="AN1452" s="192"/>
      <c r="AO1452" s="192"/>
      <c r="AP1452" s="192"/>
      <c r="AQ1452" s="192"/>
      <c r="AR1452" s="192"/>
      <c r="AS1452" s="192"/>
      <c r="AT1452" s="192"/>
      <c r="AU1452" s="192"/>
      <c r="AV1452" s="192"/>
      <c r="AW1452" s="192"/>
      <c r="AX1452" s="192"/>
    </row>
    <row r="1453" spans="2:50" ht="15" customHeight="1" thickTop="1" thickBot="1" x14ac:dyDescent="0.35">
      <c r="B1453" s="192"/>
      <c r="C1453" s="192"/>
      <c r="D1453" s="192"/>
      <c r="E1453" s="192"/>
      <c r="F1453" s="192" t="str">
        <f>IF(I1453="","",VLOOKUP(I1453,Siembra,2,FALSE))</f>
        <v/>
      </c>
      <c r="G1453" s="192" t="str">
        <f>O1453</f>
        <v/>
      </c>
      <c r="H1453" s="192">
        <v>1</v>
      </c>
      <c r="I1453" s="128" t="str">
        <f>IF(K1453="","",IF(ISNUMBER(Sorteo!$A$17),VLOOKUP(K1453,Draw,2,FALSE),""))</f>
        <v/>
      </c>
      <c r="J1453" s="129" t="str">
        <f>O1453</f>
        <v/>
      </c>
      <c r="K1453" s="130" t="str">
        <f>IF($K$9="","",IF(Group_players=4,IF(Tablas!CU$3="","",Tablas!CU$3),IF(Group_players=3,IF(Tablas!CU$11="","",Tablas!CU$11),"")))</f>
        <v/>
      </c>
      <c r="L1453" s="131" t="str">
        <f>IF(K1453="","",VLOOKUP(I1453,Siembra,3,FALSE))</f>
        <v/>
      </c>
      <c r="M1453" s="132" t="str">
        <f>IF(AND(Q1464="",Q1465=""),"",IF(I1453="","",SUMIFS(E1464:E1480,I1464:I1480,I1453)))</f>
        <v/>
      </c>
      <c r="N1453" s="132" t="str">
        <f>IF(M1453="","",IF(I1453="","",SUMIFS(F1464:F1480,I1464:I1480,I1453)))</f>
        <v/>
      </c>
      <c r="O1453" s="132" t="str">
        <f>IF(M1453="","",IF(COUNTBLANK(I1453:I1456)=1,IF(M1453=2,1,IF(M1453=0,3,IF(AND(M1453=1,M1454&lt;&gt;1),2,IF(COUNTIF(M1453:M1455,1)&gt;1,Z1453)))),IF(COUNTBLANK(I1453:I1456)=0,IF(COUNTIF(M1453:M1456,M1453)=1,IF(M1453=3,1,IF(M1453=2,2,IF(M1453=1,3,IF(M1453=0,4)))),IF(Group_players=3,Z1453,IF(COUNTIF(M1453:M1456,M1453)=2,AB1453,IF(AND(M1453=M1454,M1454=M1455),AB1457,IF(AND(M1453=M1455,M1455=M1456),AB1460,IF(AND(M1453=M1454,M1454=M1456),AB1463,"")))))),99)))</f>
        <v/>
      </c>
      <c r="P1453" s="133" t="str">
        <f>IF(COUNT(U1452:X1463)=3,IF(ISNUMBER(U1452),U1452,IF(ISNUMBER(V1452),V1452,IF(ISNUMBER(W1452),W1452,IF(X1452="","")))),IF(COUNT(U1452:X1463)=6,IF(ISNUMBER(U1460),U1460,IF(ISNUMBER(V1460),V1460,IF(ISNUMBER(W1460),W1460,IF(ISBLANK(X1452),"")))),""))</f>
        <v/>
      </c>
      <c r="Q1453" s="132" t="str">
        <f>IF(M1453="","",SUMIF(I1464:S1480,I1453,S1464:S1480))</f>
        <v/>
      </c>
      <c r="R1453" s="134" t="str">
        <f>IF(M1453="","",L1453+Q1453)</f>
        <v/>
      </c>
      <c r="S1453" s="203"/>
      <c r="T1453" s="208">
        <v>2</v>
      </c>
      <c r="U1453" s="209" t="str">
        <f>IF(M1454="","",IF(COUNTIF(M1453:M1455,M1454)=3,IF(COUNTBLANK(I1453:I1456)=1,(Q1468+Q1470)/(Q1467+Q1471),IF(COUNTBLANK(I1453:I1456)=0,(Q1474+Q1476)/(Q1473+Q1477),"")),""))</f>
        <v/>
      </c>
      <c r="V1453" s="135"/>
      <c r="W1453" s="212" t="str">
        <f>IF(AND(COUNTBLANK(I1453:I1456)=0,M1454=M1453,M1453=M1456),(Q1476+Q1468)/(Q1477+Q1467),"")</f>
        <v/>
      </c>
      <c r="X1453" s="213" t="str">
        <f>IF(AND(COUNTBLANK(I1453:I1456)=0,M1454=M1455,M1455=M1456),(Q1474+Q1468)/(Q1473+Q1467),"")</f>
        <v/>
      </c>
      <c r="Y1453" s="214">
        <v>1</v>
      </c>
      <c r="Z1453" s="215" t="str">
        <f>IF(U1452="","",IF(OR(Group_players=3,AND(Group_players=4,COUNTBLANK(I1453:I1456)=1)),IF(COUNTIF(M1453:M1455,M1453)=1,"",IF(AND(U1452=U1453,U1453=U1454),Z1457,IF(AND(U1452&lt;&gt;U1453,U1452&lt;&gt;U1454,U1453&lt;&gt;U1454),(IF(SMALL(U1452:U1454,1)=U1452,1,IF(SMALL(U1452:U1454,2)=U1452,2,IF(SMALL(U1452:U1454,3)=U1452,3)))),IF(AND(U1452&lt;U1453,U1453=U1454),1,IF(AND(U1452&gt;U1453,U1453=U1454),3,IF(AND(U1452=U1453,U1452&lt;U1454),(IF(Q1470=3,1,2)),IF(AND(U1452=U1453,U1452&gt;U1454),(IF(Q1470=3,2,3)),IF(AND(U1452=U1454,U1452&lt;U1453),(IF(Q1464=3,1,2)),IF(AND(U1452=U1454,U1452&gt;U1453),(IF(Q1464=3,2,3)),99))))))))),""))</f>
        <v/>
      </c>
      <c r="AA1453" s="216">
        <v>1</v>
      </c>
      <c r="AB1453" s="217" t="str">
        <f>IF(COUNTIF(M1453:M1456,M1453)&lt;&gt;2,"",IF(COUNTIF(M1453:M1456,M1453)=1,"",IF(AND(COUNTIF(M1453:M1456,M1453)=2,M1453=2),IF(M1453=M1454,IF(Q1476=3,1,2),IF(M1453=M1455,IF(Q1464=3,1,2),IF(M1453=M1456,IF(Q1470=3,1,2)))),IF(AND(COUNTIF(M1453:M1456,M1453)=2,M1453=1),IF(M1453=M1454,IF(Q1476=3,3,4),IF(M1453=M1455,IF(Q1464=3,3,4),IF(M1453=M1456,IF(Q1470=3,3,4)))),IF(COUNTIF(M1453:M1456,M1453)=3,AB1457)))))</f>
        <v/>
      </c>
      <c r="AC1453" s="192"/>
      <c r="AD1453" s="192"/>
      <c r="AE1453" s="192"/>
      <c r="AF1453" s="192"/>
      <c r="AG1453" s="192"/>
      <c r="AH1453" s="192"/>
      <c r="AI1453" s="192"/>
      <c r="AJ1453" s="192"/>
      <c r="AK1453" s="192"/>
      <c r="AL1453" s="192"/>
      <c r="AM1453" s="192"/>
      <c r="AN1453" s="192"/>
      <c r="AO1453" s="192"/>
      <c r="AP1453" s="192"/>
      <c r="AQ1453" s="192"/>
      <c r="AR1453" s="192"/>
      <c r="AS1453" s="192"/>
      <c r="AT1453" s="192"/>
      <c r="AU1453" s="192"/>
      <c r="AV1453" s="192"/>
      <c r="AW1453" s="192"/>
      <c r="AX1453" s="192"/>
    </row>
    <row r="1454" spans="2:50" ht="15" customHeight="1" thickTop="1" thickBot="1" x14ac:dyDescent="0.35">
      <c r="B1454" s="192"/>
      <c r="C1454" s="192"/>
      <c r="D1454" s="192"/>
      <c r="E1454" s="192"/>
      <c r="F1454" s="192" t="str">
        <f>IF(I1454="","",VLOOKUP(I1454,Siembra,2,FALSE))</f>
        <v/>
      </c>
      <c r="G1454" s="192" t="str">
        <f>O1454</f>
        <v/>
      </c>
      <c r="H1454" s="192">
        <v>2</v>
      </c>
      <c r="I1454" s="128" t="str">
        <f>IF(K1454="","",IF(ISNUMBER(Sorteo!$A$17),VLOOKUP(K1454,Draw,2,FALSE),""))</f>
        <v/>
      </c>
      <c r="J1454" s="129" t="str">
        <f>O1454</f>
        <v/>
      </c>
      <c r="K1454" s="136" t="str">
        <f>IF($K$9="","",IF(Group_players=4,IF(Tablas!CU$4="","",Tablas!CU$4),IF(Group_players=3,IF(Tablas!CU$12="","",Tablas!CU$12),"")))</f>
        <v/>
      </c>
      <c r="L1454" s="137" t="str">
        <f>IF(K1454="","",VLOOKUP(I1454,Siembra,3,FALSE))</f>
        <v/>
      </c>
      <c r="M1454" s="132" t="str">
        <f>IF(AND(L1464="",L1465=""),"",IF(I1454="","",SUMIFS(E1464:E1481,I1464:I1481,I1454)))</f>
        <v/>
      </c>
      <c r="N1454" s="138" t="str">
        <f>IF(M1454="","",IF(I1454="","",SUMIFS(F1464:F1480,I1464:I1480,I1454)))</f>
        <v/>
      </c>
      <c r="O1454" s="132" t="str">
        <f>IF(M1454="","",IF(COUNTBLANK(I1453:I1456)=1,IF(M1454=2,1,IF(M1454=0,3,IF(AND(M1454=1,M1455&lt;&gt;1),2,IF(COUNTIF(M1453:M1456,1)&gt;1,Z1454)))),IF(COUNTBLANK(I1453:I1456)=0,IF(COUNTIF(M1453:M1456,M1454)=1,IF(M1454=3,1,IF(M1454=2,2,IF(M1454=1,3,IF(M1454=0,4)))),IF(Group_players=3,Z1454,IF(COUNTIF(M1453:M1456,M1454)=2,AB1454,IF(AND(M1454=M1453,M1453=M1455),AB1458,IF(AND(M1454=M1453,M1453=M1456),AB1464,IF(AND(M1454=M1455,M1455=M1456),AB1466,"")))))))))</f>
        <v/>
      </c>
      <c r="P1454" s="133" t="str">
        <f>IF(COUNT(U1452:X1463)=3,IF(ISNUMBER(U1453),U1453,IF(ISNUMBER(W1453),W1453,IF(ISNUMBER(X1453),X1453,IF(X1453="","")))),IF(COUNT(U1452:X1463)=6,IF(ISNUMBER(U1461),U1461,IF(ISNUMBER(W1461),W1461,IF(ISNUMBER(X1461),X1461,IF(ISBLANK(X1460),"")))),""))</f>
        <v/>
      </c>
      <c r="Q1454" s="138" t="str">
        <f>IF(M1454="","",SUMIF(I1464:S1480,I1454,S1464:$S1480))</f>
        <v/>
      </c>
      <c r="R1454" s="139" t="str">
        <f>IF(M1454="","",L1454+Q1454)</f>
        <v/>
      </c>
      <c r="S1454" s="203"/>
      <c r="T1454" s="208">
        <v>3</v>
      </c>
      <c r="U1454" s="209" t="str">
        <f>IF(M1455="","",IF(COUNTIF(M1453:M1455,M1455)=3,IF(COUNTBLANK(I1453:I1456)=1,(Q1464+Q1467)/(Q1465+Q1468),IF(COUNTBLANK(I1453:I1456)=0,(Q1464+Q1473)/(Q1465+Q1474),"")),""))</f>
        <v/>
      </c>
      <c r="V1454" s="125" t="str">
        <f>IF(AND(COUNTBLANK(I1453:I1456)=0,M1455=M1456,M1456=M1453),(Q1464+Q1480)/(Q1465+Q1479),"")</f>
        <v/>
      </c>
      <c r="W1454" s="218"/>
      <c r="X1454" s="213" t="str">
        <f>IF(AND(COUNTBLANK(I1453:I1456)=0,M1455=M1456,M1456=M1454),(Q1473+Q1480)/(Q1474+Q1479),"")</f>
        <v/>
      </c>
      <c r="Y1454" s="219">
        <v>2</v>
      </c>
      <c r="Z1454" s="220" t="str">
        <f>IF(U1453="","",IF(OR(Group_players=3,AND(Group_players=4,COUNTBLANK(I1453:I1456)=1)),IF(COUNTIF(M1453:M1455,M1454)=1,"",IF(AND(U1453=U1452,U1453=U1454),Z1458,IF(AND(U1453&lt;&gt;U1452,U1453&lt;&gt;U1454,U1452&lt;&gt;U1454),(IF(SMALL(U1452:U1454,1)=U1453,1,IF(SMALL(U1452:U1454,2)=U1453,2,IF(SMALL(U1452:U1454,3)=U1453,3)))),IF(AND(U1453&lt;U1452,U1452=U1454),1,IF(AND(U1453&gt;U1452,U1452=U1454),3,IF(AND(U1453=U1452,U1453&lt;U1454),(IF(Q1471=3,1,2)),IF(AND(U1453=U1452,U1453&gt;U1454),(IF(Q1471=3,2,3)),IF(AND(U1453=U1454,U1453&lt;U1452),(IF(Q1467=3,1,2)),IF(AND(U1453=U1454,U1453&gt;U1452),(IF(Q1467=3,2,3)),99))))))))),""))</f>
        <v/>
      </c>
      <c r="AA1454" s="221">
        <v>2</v>
      </c>
      <c r="AB1454" s="222" t="str">
        <f>IF(COUNTIF(M1453:M1456,M1454)&lt;&gt;2,"",IF(COUNTIF(M1453:M1456,M1454)=1,"",IF(AND(COUNTIF(M1453:M1456,M1454)=2,M1454=2),IF(M1454=M1453,IF(Q1477=3,1,2),IF(M1454=M1455,IF(Q1473=3,1,2),IF(M1454=M1456,IF(Q1467=3,1,2)))),IF(AND(COUNTIF(M1453:M1456,M1454)=2,M1454=1),IF(M1454=M1453,IF(Q1477=3,3,4),IF(M1454=M1455,IF(Q1473=3,3,4),IF(M1454=M1456,IF(Q1467=3,3,4)))),AB1459))))</f>
        <v/>
      </c>
      <c r="AC1454" s="192"/>
      <c r="AD1454" s="192"/>
      <c r="AE1454" s="192"/>
      <c r="AF1454" s="192"/>
      <c r="AG1454" s="192"/>
      <c r="AH1454" s="192"/>
      <c r="AI1454" s="192"/>
      <c r="AJ1454" s="192"/>
      <c r="AK1454" s="192"/>
      <c r="AL1454" s="192"/>
      <c r="AM1454" s="192"/>
      <c r="AN1454" s="192"/>
      <c r="AO1454" s="192"/>
      <c r="AP1454" s="192"/>
      <c r="AQ1454" s="192"/>
      <c r="AR1454" s="192"/>
      <c r="AS1454" s="192"/>
      <c r="AT1454" s="192"/>
      <c r="AU1454" s="192"/>
      <c r="AV1454" s="192"/>
      <c r="AW1454" s="192"/>
      <c r="AX1454" s="192"/>
    </row>
    <row r="1455" spans="2:50" ht="15" customHeight="1" thickBot="1" x14ac:dyDescent="0.35">
      <c r="B1455" s="192"/>
      <c r="C1455" s="192"/>
      <c r="D1455" s="192"/>
      <c r="E1455" s="192"/>
      <c r="F1455" s="192" t="str">
        <f>IF(I1455="","",VLOOKUP(I1455,Siembra,2,FALSE))</f>
        <v/>
      </c>
      <c r="G1455" s="192" t="str">
        <f>O1455</f>
        <v/>
      </c>
      <c r="H1455" s="192">
        <v>3</v>
      </c>
      <c r="I1455" s="128" t="str">
        <f>IF(K1455="","",IF(ISNUMBER(Sorteo!$A$17),VLOOKUP(K1455,Draw,2,FALSE),""))</f>
        <v/>
      </c>
      <c r="J1455" s="129" t="str">
        <f>O1455</f>
        <v/>
      </c>
      <c r="K1455" s="136" t="str">
        <f>IF($K$9="","",IF(Group_players=4,IF(Tablas!CU$5="","",Tablas!CU$5),IF(Group_players=3,IF(Tablas!CU$13="","",Tablas!CU$13),"")))</f>
        <v/>
      </c>
      <c r="L1455" s="137" t="str">
        <f>IF(K1455="","",VLOOKUP(I1455,Siembra,3,FALSE))</f>
        <v/>
      </c>
      <c r="M1455" s="132" t="str">
        <f>IF(AND(L1465="",L1464=""),"",IF(I1455="","",SUMIFS(E1464:E1482,I1464:I1482,I1455)))</f>
        <v/>
      </c>
      <c r="N1455" s="138" t="str">
        <f>IF(M1455="","",IF(I1455="","",SUMIFS(F1464:F1480,I1464:I1480,I1455)))</f>
        <v/>
      </c>
      <c r="O1455" s="132" t="str">
        <f>IF(M1455="","",IF(COUNTBLANK(I1453:I1456)=1,IF(M1455=2,1,IF(M1455=0,3,IF(AND(M1455=1,M1455&lt;&gt;M1453),2,IF(COUNTIF(M1453:M1456,1)&gt;1,Z1455)))),IF(COUNTBLANK(I1453:I1456)=0,IF(COUNTIF(M1453:M1456,M1455)=1,IF(M1455=3,1,IF(M1455=2,2,IF(M1455=1,3,IF(M1455=0,4)))),IF(Group_players=3,Z1455,IF(COUNTIF(M1453:M1456,M1455)=2,AB1455,IF(AND(M1455=M1453,M1453=M1454),AB1459,IF(AND(M1455=M1453,M1453=M1456),AB1461,IF(AND(M1455=M1454,M1454=M1456),AB1467,"")))))))))</f>
        <v/>
      </c>
      <c r="P1455" s="133" t="str">
        <f>IF(COUNT(U1452:X1463)=3,IF(ISNUMBER(U1454),U1454,IF(ISNUMBER(V1454),V1454,IF(ISNUMBER(X1454),X1454,IF(W1454="","")))),IF(COUNT(U1452:X1463)=6,IF(ISNUMBER(U1462),U1462,IF(ISNUMBER(V1462),V1462,IF(ISNUMBER(X1462),X1462,""))),""))</f>
        <v/>
      </c>
      <c r="Q1455" s="138" t="str">
        <f>IF(M1455="","",SUMIF(I1464:S1480,I1455,S1464:S1480))</f>
        <v/>
      </c>
      <c r="R1455" s="139" t="str">
        <f>IF(M1455="","",L1455+Q1455)</f>
        <v/>
      </c>
      <c r="S1455" s="203"/>
      <c r="T1455" s="208">
        <v>4</v>
      </c>
      <c r="U1455" s="223"/>
      <c r="V1455" s="140" t="str">
        <f>IF(AND(COUNTBLANK(I1453:I1456)=0,M1456=M1453,M1453=M1455),(Q1470+Q1479)/(Q1471+Q1480),"")</f>
        <v/>
      </c>
      <c r="W1455" s="224" t="str">
        <f>IF(AND(COUNTBLANK(I1453:I1456)=0,M1456=M1453,M1453=M1454),(Q1470+Q1467)/(Q1471+Q1468),"")</f>
        <v/>
      </c>
      <c r="X1455" s="225" t="str">
        <f>IF(AND(COUNTBLANK(I1453:I1456)=0,M1456=M1454,M1454=M1455),(Q1467+Q1479)/(Q1468+Q1480),"")</f>
        <v/>
      </c>
      <c r="Y1455" s="226">
        <v>3</v>
      </c>
      <c r="Z1455" s="227" t="str">
        <f>IF(U1454="","",IF(OR(Group_players=3,AND(Group_players=4,COUNTBLANK(I1453:I1456)=1)),IF(COUNTIF(M1453:M1455,M1455)=1,"",IF(AND(U1454=U1452,U1454=U1453),Z1459,IF(AND(U1454&lt;&gt;U1453,U1453&lt;&gt;U1452,U1454&lt;&gt;U1452),(IF(SMALL(U1452:U1454,1)=U1454,1,IF(SMALL(U1452:U1454,2)=U1454,2,IF(SMALL(U1452:U1454,3)=U1454,3)))),IF(AND(U1454&lt;U1453,U1453=U1452),1,IF(AND(U1454&gt;U1453,U1453=U1452),3,IF(AND(U1454=U1453,U1454&lt;U1452),(IF(Q1468=3,1,2)),IF(AND(U1454=U1453,U1454&gt;U1452),(IF(Q1468=3,2,3)),IF(AND(U1454=U1452,U1454&lt;U1453),(IF(Q1465=3,1,2)),IF(AND(U1454=U1452,U1454&gt;U1453),(IF(Q1465=3,2,3)),99))))))))),""))</f>
        <v/>
      </c>
      <c r="AA1455" s="221">
        <v>3</v>
      </c>
      <c r="AB1455" s="222" t="str">
        <f>IF(COUNTIF(M1453:M1456,M1455)&lt;&gt;2,"",IF(COUNTIF(M1453:M1456,M1455)=1,"",IF(AND(COUNTIF(M1453:M1456,M1455)=2,M1455=2),IF(M1455=M1453,IF(Q1465=3,1,2),IF(M1455=M1454,IF(Q1474=3,1,2),IF(M1455=M1456,IF(Q1479=3,1,2)))),IF(AND(COUNTIF(M1453:M1456,M1455)=2,M1455=1),IF(M1455=M1453,IF(Q1465=3,3,4),IF(M1455=M1454,IF(Q1474=3,3,4),IF(M1455=M1456,IF(Q1479=3,3,4)))),AB1459))))</f>
        <v/>
      </c>
      <c r="AC1455" s="192"/>
      <c r="AD1455" s="192"/>
      <c r="AE1455" s="192"/>
      <c r="AF1455" s="192"/>
      <c r="AG1455" s="192"/>
      <c r="AH1455" s="192"/>
      <c r="AI1455" s="192"/>
      <c r="AJ1455" s="192"/>
      <c r="AK1455" s="192"/>
      <c r="AL1455" s="192"/>
      <c r="AM1455" s="192"/>
      <c r="AN1455" s="192"/>
      <c r="AO1455" s="192"/>
      <c r="AP1455" s="192"/>
      <c r="AQ1455" s="192"/>
      <c r="AR1455" s="192"/>
      <c r="AS1455" s="192"/>
      <c r="AT1455" s="192"/>
      <c r="AU1455" s="192"/>
      <c r="AV1455" s="192"/>
      <c r="AW1455" s="192"/>
      <c r="AX1455" s="192"/>
    </row>
    <row r="1456" spans="2:50" ht="15" customHeight="1" thickTop="1" thickBot="1" x14ac:dyDescent="0.35">
      <c r="B1456" s="192"/>
      <c r="C1456" s="192"/>
      <c r="D1456" s="192"/>
      <c r="E1456" s="192"/>
      <c r="F1456" s="192" t="str">
        <f>IF(I1456="","",VLOOKUP(I1456,Siembra,2,FALSE))</f>
        <v/>
      </c>
      <c r="G1456" s="192" t="str">
        <f>O1456</f>
        <v/>
      </c>
      <c r="H1456" s="192">
        <v>4</v>
      </c>
      <c r="I1456" s="141" t="str">
        <f>IF(K1456="","",IF(ISNUMBER(Sorteo!$A$17),VLOOKUP(K1456,Draw,2,FALSE),""))</f>
        <v/>
      </c>
      <c r="J1456" s="142" t="str">
        <f>O1456</f>
        <v/>
      </c>
      <c r="K1456" s="143" t="str">
        <f>IF($K$9="","",IF(Group_players=4,IF(Tablas!CU6="","",Tablas!CU6),""))</f>
        <v/>
      </c>
      <c r="L1456" s="144" t="str">
        <f>IF(K1456="","",VLOOKUP(I1456,Siembra,3,FALSE))</f>
        <v/>
      </c>
      <c r="M1456" s="145" t="str">
        <f>IF(AND(Q1467="",Q1468=""),"",IF(I1456="","",SUMIFS(E1464:E1483,I1464:I1483,I1456)))</f>
        <v/>
      </c>
      <c r="N1456" s="145" t="str">
        <f>IF(M1456="","",IF(I1456="","",SUMIFS(F1464:F1480,I1464:I1480,I1456)))</f>
        <v/>
      </c>
      <c r="O1456" s="145" t="str">
        <f>IF(M1456="","",IF(COUNTIF(M1453:M1456,M1456)=1,IF(M1456=3,1,IF(M1456=2,2,IF(M1456=1,3,IF(M1456=0,4)))),IF(COUNTIF(M1453:M1456,M1456)=2,AB1456,IF(AND(M1456=M1453,M1453=M1455),AB1462,IF(AND(M1456=M1453,M1453=M1454),AB1465,IF(AND(M1456=M1454,M1454=M1455),AB1468,""))))))</f>
        <v/>
      </c>
      <c r="P1456" s="146" t="str">
        <f>IF(COUNT(U1452:X1463)=3,IF(ISNUMBER(V1455),V1455,IF(ISNUMBER(W1455),W1455,IF(ISNUMBER(X1455),X1455,IF(X1455="","")))),IF(COUNT(U1452:X1463)=6,IF(ISNUMBER(V1463),V1463,IF(ISNUMBER(W1463),W1463,IF(ISNUMBER(X1463),X1463,""))),""))</f>
        <v/>
      </c>
      <c r="Q1456" s="145" t="str">
        <f>IF(M1456="","",SUMIF(I1464:S1480,I1456,S1464:$S1480))</f>
        <v/>
      </c>
      <c r="R1456" s="147" t="str">
        <f>IF(M1456="","",L1456+Q1456)</f>
        <v/>
      </c>
      <c r="S1456" s="203"/>
      <c r="T1456" s="192"/>
      <c r="U1456" s="192"/>
      <c r="V1456" s="192"/>
      <c r="W1456" s="192"/>
      <c r="X1456" s="192"/>
      <c r="Y1456" s="230" t="s">
        <v>93</v>
      </c>
      <c r="Z1456" s="231" t="s">
        <v>110</v>
      </c>
      <c r="AA1456" s="232">
        <v>4</v>
      </c>
      <c r="AB1456" s="233" t="str">
        <f>IF(COUNTIF(M1453:M1456,M1456)&lt;&gt;2,"",IF(COUNTIF(M1453:M1456,M1456)=1,"",IF(AND(COUNTIF(M1453:M1456,M1456)=2,M1456=2),IF(M1456=M1453,IF(Q1471=3,1,2),IF(M1456=M1454,IF(Q1468=3,1,2),IF(M1456=M1455,IF(Q1480=3,1,2)))),IF(AND(COUNTIF(M1453:M1456,M1456)=2,M1456=1),IF(M1456=M1453,IF(Q1471=3,3,4),IF(M1456=M1454,IF(Q1468=3,3,4),IF(M1456=M1455,IF(Q1480=3,3,4)))),AB1462))))</f>
        <v/>
      </c>
      <c r="AC1456" s="192"/>
      <c r="AD1456" s="192"/>
      <c r="AE1456" s="192"/>
      <c r="AF1456" s="192"/>
      <c r="AG1456" s="192"/>
      <c r="AH1456" s="192"/>
      <c r="AI1456" s="192"/>
      <c r="AJ1456" s="192"/>
      <c r="AK1456" s="192"/>
      <c r="AL1456" s="192"/>
      <c r="AM1456" s="192"/>
      <c r="AN1456" s="192"/>
      <c r="AO1456" s="192"/>
      <c r="AP1456" s="192"/>
      <c r="AQ1456" s="192"/>
      <c r="AR1456" s="192"/>
      <c r="AS1456" s="192"/>
      <c r="AT1456" s="192"/>
      <c r="AU1456" s="192"/>
      <c r="AV1456" s="192"/>
      <c r="AW1456" s="192"/>
      <c r="AX1456" s="192"/>
    </row>
    <row r="1457" spans="2:50" ht="15" customHeight="1" thickTop="1" x14ac:dyDescent="0.3">
      <c r="B1457" s="192"/>
      <c r="C1457" s="192"/>
      <c r="D1457" s="192"/>
      <c r="E1457" s="192"/>
      <c r="F1457" s="192"/>
      <c r="G1457" s="192"/>
      <c r="H1457" s="192"/>
      <c r="I1457" s="192"/>
      <c r="J1457" s="192"/>
      <c r="K1457" s="192"/>
      <c r="L1457" s="192"/>
      <c r="M1457" s="192"/>
      <c r="N1457" s="192"/>
      <c r="O1457" s="192"/>
      <c r="P1457" s="192"/>
      <c r="Q1457" s="192"/>
      <c r="R1457" s="192"/>
      <c r="S1457" s="192"/>
      <c r="T1457" s="208"/>
      <c r="U1457" s="192"/>
      <c r="V1457" s="148"/>
      <c r="W1457" s="148"/>
      <c r="X1457" s="234"/>
      <c r="Y1457" s="214">
        <v>1</v>
      </c>
      <c r="Z1457" s="215" t="str">
        <f>IF(U1460="","",IF(OR(Group_players=3,AND(Group_players=4,COUNTBLANK(I1453:I1456)=1)),IF(COUNTIF(M1453:M1455,M1453)=1,"",IF(COUNTIF(U1452:U1454,U1452)=3,IF(AND(U1460=U1461,U1461=U1462),"Tied",IF(AND(U1460&lt;&gt;U1461,U1460&lt;&gt;U1462,U1461&lt;&gt;U1462),(IF(SMALL(U1460:U1462,1)=U1460,1,IF(SMALL(U1460:U1462,2)=U1460,2,IF(SMALL(U1460:U1462,3)=U1460,3)))),IF(AND(U1460&lt;U1461,U1461=U1462),1,IF(AND(U1460&gt;U1461,U1461=U1462),3,IF(AND(U1460=U1461,U1460&lt;U1462),(IF(Q1470=3,1,2)),IF(AND(U1460=U1461,U1460&gt;U1462),(IF(Q1470=3,2,3)),IF(AND(U1460=U1462,U1460&lt;U1461),(IF(Q1464=3,1,2)),IF(AND(U1460=U1462,U1460&gt;U1461),(IF(Q1464=3,2,3)),99)))))))),"")),""))</f>
        <v/>
      </c>
      <c r="AA1457" s="208">
        <v>1</v>
      </c>
      <c r="AB1457" s="222" t="str">
        <f>IF(AND(COUNTBLANK(I1453:I1456)=0,Group_players=4,M1453=M1454,M1454=M1455),IF(COUNTIF(U1452:U1455,U1452)=3,AB1470,IF(AND(COUNTIF(U1452:U1455,U1452)=1,U1453&lt;&gt;U1454),IF(M1453=2,IF(SMALL(U1452:U1455,1)=U1452,1,IF(SMALL(U1452:U1455,2)=U1452,2,IF(SMALL(U1452:U1455,3)=U1452,3))),IF(M1453=1,IF(SMALL(U1452:U1455,1)=U1452,2,IF(SMALL(U1452:U1455,2)=U1452,3,IF(SMALL(U1452:U1455,3)=U1452,4))),"")),IF(COUNTIF(U1452:U1455,U1452)=1,IF(U1452&lt;U1453,IF(M1453=2,1,2),IF(M1453=2,3,4)),IF(COUNTIF(U1452:U1455,U1452)=2,IF(U1452=U1453,IF(U1452&lt;U1454,IF(M1453=2,IF(Q1476=3,1,2),IF(M1453=1,IF(Q1476=3,2,3))),IF(U1452&gt;U1454,IF(M1453=2,IF(Q1476=3,2,3),IF(M1453=1,IF(Q1476=3,3,4))))),IF(U1452=U1454,IF(U1452&lt;U1453,IF(M1453=2,IF(Q1464=3,1,2),IF(M1453=1,IF(Q1464=3,2,3))),IF(U1452&gt;U1453,IF(M1453=2,IF(Q1464=3,2,3),IF(M1453=1,IF(Q1464=3,3,4))))))),"")))),"")</f>
        <v/>
      </c>
      <c r="AC1457" s="192"/>
      <c r="AD1457" s="192"/>
      <c r="AE1457" s="192"/>
      <c r="AF1457" s="192"/>
      <c r="AG1457" s="192"/>
      <c r="AH1457" s="192"/>
      <c r="AI1457" s="192"/>
      <c r="AJ1457" s="192"/>
      <c r="AK1457" s="192"/>
      <c r="AL1457" s="192"/>
      <c r="AM1457" s="192"/>
      <c r="AN1457" s="192"/>
      <c r="AO1457" s="192"/>
      <c r="AP1457" s="192"/>
      <c r="AQ1457" s="192"/>
      <c r="AR1457" s="192"/>
      <c r="AS1457" s="192"/>
      <c r="AT1457" s="192"/>
      <c r="AU1457" s="192"/>
      <c r="AV1457" s="192"/>
      <c r="AW1457" s="192"/>
      <c r="AX1457" s="192"/>
    </row>
    <row r="1458" spans="2:50" ht="15" customHeight="1" thickBot="1" x14ac:dyDescent="0.35">
      <c r="B1458" s="192"/>
      <c r="C1458" s="192"/>
      <c r="D1458" s="192"/>
      <c r="E1458" s="192"/>
      <c r="F1458" s="192"/>
      <c r="G1458" s="192"/>
      <c r="H1458" s="192"/>
      <c r="I1458" s="269"/>
      <c r="J1458" s="269"/>
      <c r="K1458" s="192"/>
      <c r="L1458" s="192"/>
      <c r="M1458" s="192"/>
      <c r="N1458" s="192"/>
      <c r="O1458" s="192"/>
      <c r="P1458" s="192"/>
      <c r="Q1458" s="192"/>
      <c r="R1458" s="192"/>
      <c r="S1458" s="192"/>
      <c r="T1458" s="208"/>
      <c r="U1458" s="368" t="s">
        <v>111</v>
      </c>
      <c r="V1458" s="369"/>
      <c r="W1458" s="369"/>
      <c r="X1458" s="369"/>
      <c r="Y1458" s="236">
        <v>2</v>
      </c>
      <c r="Z1458" s="220" t="str">
        <f>IF(U1453="","",IF(OR(Group_players=3,AND(Group_players=4,COUNTBLANK(I1453:I1456)=1)),IF(COUNTIF(M1453:M1455,M1454)=1,"",IF(COUNTIF(U1452:U1454,U1453)=3,IF(AND(U1461=U1460,U1461=U1462),"Tied",IF(AND(U1461&lt;&gt;U1460,U1461&lt;&gt;U1462,U1460&lt;&gt;U1462),(IF(SMALL(U1460:U1462,1)=U1461,1,IF(SMALL(U1460:U1462,2)=U1461,2,IF(SMALL(U1460:U1462,3)=U1461,3)))),IF(AND(U1461&lt;U1460,U1460=U1462),1,IF(AND(U1461&gt;U1460,U1460=U1462),3,IF(AND(U1461=U1460,U1461&lt;U1462),(IF(Q1471=3,1,2)),IF(AND(U1461=U1460,U1461&gt;U1462),(IF(Q1471=3,2,3)),IF(AND(U1461=U1462,U1461&lt;U1460),(IF(Q1467=3,1,2)),IF(AND(U1461=U1462,U1461&gt;U1460),(IF(Q1467=3,2,3)),99)))))))),"")),""))</f>
        <v/>
      </c>
      <c r="AA1458" s="208">
        <v>2</v>
      </c>
      <c r="AB1458" s="222" t="str">
        <f>IF(AND(COUNTBLANK(I1453:I1456)=0,Group_players=4,M1453=M1454,M1454=M1455),IF(COUNTIF(U1452:U1455,U1453)=3,AB1471,IF(AND(COUNTIF(U1452:U1455,U1453)=1,U1452&lt;&gt;U1454),IF(M1454=2,IF(SMALL(U1452:U1455,1)=U1453,1,IF(SMALL(U1452:U1455,2)=U1453,2,IF(SMALL(U1452:U1455,3)=U1453,3))),IF(M1454=1,IF(SMALL(U1452:U1455,1)=U1453,2,IF(SMALL(U1452:U1455,2)=U1453,3,IF(SMALL(U1452:U1455,3)=U1453,4))),"")),IF(COUNTIF(U1452:U1454,U1453)=1,IF(U1453&lt;U1452,IF(M1454=2,1,2),IF(M1454=2,3,99)),IF(COUNTIF(U1452:U1455,U1453)=2,IF(U1453=U1452,IF(U1453&lt;U1454,IF(M1454=2,IF(Q1477=3,1,2),IF(M1454=1,IF(Q1477=3,2,3))),IF(U1453&gt;U1454,IF(M1454=2,IF(Q1477=3,2,3),IF(M1454=1,IF(Q1477=3,3,4))))),IF(U1453=U1454,IF(U1453&lt;U1452,IF(M1454=2,IF(Q1473=3,1,2),IF(M1454=1,IF(Q1473=3,2,3))),IF(U1453&gt;U1452,IF(M1454=2,IF(Q1473=3,2,3),IF(M1454=1,IF(Q1473=3,3,4))))))),"")))),"")</f>
        <v/>
      </c>
      <c r="AC1458" s="192"/>
      <c r="AD1458" s="192"/>
      <c r="AE1458" s="192"/>
      <c r="AF1458" s="192"/>
      <c r="AG1458" s="192"/>
      <c r="AH1458" s="192"/>
      <c r="AI1458" s="192"/>
      <c r="AJ1458" s="192"/>
      <c r="AK1458" s="192"/>
      <c r="AL1458" s="192"/>
      <c r="AM1458" s="192"/>
      <c r="AN1458" s="192"/>
      <c r="AO1458" s="192"/>
      <c r="AP1458" s="192"/>
      <c r="AQ1458" s="192"/>
      <c r="AR1458" s="192"/>
      <c r="AS1458" s="192"/>
      <c r="AT1458" s="192"/>
      <c r="AU1458" s="192"/>
      <c r="AV1458" s="192"/>
      <c r="AW1458" s="192"/>
      <c r="AX1458" s="192"/>
    </row>
    <row r="1459" spans="2:50" ht="15" customHeight="1" thickTop="1" thickBot="1" x14ac:dyDescent="0.35">
      <c r="B1459" s="192"/>
      <c r="C1459" s="192"/>
      <c r="D1459" s="192"/>
      <c r="E1459" s="192"/>
      <c r="F1459" s="192"/>
      <c r="G1459" s="192"/>
      <c r="H1459" s="192"/>
      <c r="I1459" s="192"/>
      <c r="J1459" s="192"/>
      <c r="K1459" s="192"/>
      <c r="L1459" s="192"/>
      <c r="M1459" s="192"/>
      <c r="N1459" s="192"/>
      <c r="O1459" s="192"/>
      <c r="P1459" s="192"/>
      <c r="Q1459" s="192"/>
      <c r="R1459" s="192"/>
      <c r="S1459" s="192"/>
      <c r="T1459" s="120"/>
      <c r="U1459" s="121" t="s">
        <v>101</v>
      </c>
      <c r="V1459" s="122" t="s">
        <v>102</v>
      </c>
      <c r="W1459" s="122" t="s">
        <v>103</v>
      </c>
      <c r="X1459" s="123" t="s">
        <v>104</v>
      </c>
      <c r="Y1459" s="238">
        <v>3</v>
      </c>
      <c r="Z1459" s="239" t="str">
        <f>IF(U1454="","",IF(OR(Group_players=3,AND(Group_players=4,COUNTBLANK(I1453:I1456)=1)),IF(COUNTIF(M1453:M1455,M1455)=1,"",IF(COUNTIF(U1452:U1454,U1454)=3,IF(AND(U1462=U1460,U1462=U1461),"Tied",IF(AND(U1462&lt;&gt;U1461,U1461&lt;&gt;U1460,U1462&lt;&gt;U1460),(IF(SMALL(U1460:U1462,1)=U1462,1,IF(SMALL(U1460:U1462,2)=U1462,2,IF(SMALL(U1460:U1462,3)=U1462,3)))),IF(AND(U1462&lt;U1461,U1461=U1460),1,IF(AND(U1462&gt;U1461,U1461=U1460),3,IF(AND(U1462=U1461,U1462&lt;U1460),(IF(Q1468=3,1,2)),IF(AND(U1462=U1461,U1462&gt;U1460),(IF(Q1468=3,2,3)),IF(AND(U1462=U1460,U1462&lt;U1461),(IF(Q1465=3,1,2)),IF(AND(U1462=U1460,U1462&gt;U1461),(IF(Q1465=3,2,3)),99)))))))),"")),""))</f>
        <v/>
      </c>
      <c r="AA1459" s="240">
        <v>3</v>
      </c>
      <c r="AB1459" s="241" t="str">
        <f>IF(AND(COUNTBLANK(I1453:I1456)=0,Group_players=4,M1453=M1454,M1454=M1455),IF(COUNTIF(U1452:U1455,U1454)=3,AB1472,IF(AND(COUNTIF(U1452:U1455,U1454)=1,U1452&lt;&gt;U1453),IF(M1453=2,IF(SMALL(U1452:U1455,1)=U1454,1,IF(SMALL(U1452:U1455,2)=U1454,2,IF(SMALL(U1452:U1455,3)=U1454,3))),IF(M1455=1,IF(SMALL(U1452:U1455,1)=U1454,2,IF(SMALL(U1452:U1455,2)=U1454,3,IF(SMALL(U1452:U1455,3)=U1454,4))),"")),IF(COUNTIF(U1452:U1455,U1454)=1,IF(U1454&lt;U1453,IF(M1455=2,1,2),IF(M1455=2,3,4)),IF(COUNTIF(U1452:U1455,U1454)=2,IF(U1454=U1453,IF(U1454&lt;U1452,IF(M1455=2,IF(Q1474=3,1,2),IF(M1455=1,IF(Q1474=3,2,3))),IF(U1454&gt;U1452,IF(M1455=2,IF(Q1474=3,2,3),IF(M1455=1,IF(Q1474=3,3,4))))),IF(U1454=U1452,IF(U1454&lt;U1453,IF(M1455=2,IF(Q1465=3,1,2),IF(M1455=1,IF(Q1465=3,2,3))),IF(U1454&gt;U1453,IF(M1455=2,IF(Q1465=3,2,3),IF(M1455=1,IF(Q1465=3,3,4))))))),"")))),"")</f>
        <v/>
      </c>
      <c r="AC1459" s="192"/>
      <c r="AD1459" s="192"/>
      <c r="AE1459" s="192"/>
      <c r="AF1459" s="192"/>
      <c r="AG1459" s="192"/>
      <c r="AH1459" s="192"/>
      <c r="AI1459" s="192"/>
      <c r="AJ1459" s="192"/>
      <c r="AK1459" s="192"/>
      <c r="AL1459" s="192"/>
      <c r="AM1459" s="192"/>
      <c r="AN1459" s="192"/>
      <c r="AO1459" s="192"/>
      <c r="AP1459" s="192"/>
      <c r="AQ1459" s="192"/>
      <c r="AR1459" s="192"/>
      <c r="AS1459" s="192"/>
      <c r="AT1459" s="192"/>
      <c r="AU1459" s="192"/>
      <c r="AV1459" s="192"/>
      <c r="AW1459" s="192"/>
      <c r="AX1459" s="192"/>
    </row>
    <row r="1460" spans="2:50" ht="15" customHeight="1" thickTop="1" thickBot="1" x14ac:dyDescent="0.35">
      <c r="B1460" s="192"/>
      <c r="C1460" s="192"/>
      <c r="D1460" s="192"/>
      <c r="E1460" s="192"/>
      <c r="F1460" s="192"/>
      <c r="G1460" s="192"/>
      <c r="H1460" s="192"/>
      <c r="I1460" s="192"/>
      <c r="J1460" s="192"/>
      <c r="K1460" s="192"/>
      <c r="L1460" s="192"/>
      <c r="M1460" s="192"/>
      <c r="N1460" s="192"/>
      <c r="O1460" s="192"/>
      <c r="P1460" s="192"/>
      <c r="Q1460" s="192"/>
      <c r="R1460" s="192"/>
      <c r="S1460" s="192"/>
      <c r="T1460" s="208">
        <v>1</v>
      </c>
      <c r="U1460" s="209" t="str">
        <f>IF(U1452="","",IF(OR(U1452&lt;&gt;U1453,U1452&lt;&gt;U1454),"",IF(COUNTIF(M1453:M1455,M1453)=1,"",IF(COUNTBLANK(I1453:I1456)=1,(SUM(L1465:P1465)+SUM(L1471:P1471))/(SUM(L1464:P1464)+SUM(L1470:P1470)),IF(COUNTBLANK(I1453:I1456)=0,(SUM(L1477:P1477)+SUM(L1465:P1465))/(SUM(L1476:P1476)+SUM(L1464:P1464)),"")))))</f>
        <v/>
      </c>
      <c r="V1460" s="125" t="str">
        <f>IF(V1452="","",IF(OR(V1452&lt;&gt;V1454,V1452&lt;&gt;V1455),"",IF(AND(COUNTBLANK(I1453:I1456)=0,M1453=M1455,M1455=M1456),(SUM(L1465:P1465)+SUM(L1471:P1471))/(SUM(L1464:P1464)+SUM(L1470:P1470)),"")))</f>
        <v/>
      </c>
      <c r="W1460" s="210" t="str">
        <f>IF(W1452="","",IF(OR(W1452&lt;&gt;W1453,W1452&lt;&gt;W1455),"",IF(AND(COUNTBLANK(I1453:I1456)=0,M1453=M1454,M1454=M1456),(SUM(L1477:P1477)+SUM(L1471:P1471))/(SUM(L1476:P1476)+SUM(L1470:P1470)),"")))</f>
        <v/>
      </c>
      <c r="X1460" s="211"/>
      <c r="Y1460" s="242"/>
      <c r="Z1460" s="242"/>
      <c r="AA1460" s="243">
        <v>1</v>
      </c>
      <c r="AB1460" s="244" t="str">
        <f>IF(AND(COUNTBLANK(I1453:I1456)=0,Group_players=4,M1453=M1455,M1455=M1456),IF(COUNTIF(V1452:V1455,V1452)=3,AB1473,IF(AND(COUNTIF(V1452:V1455,V1452)=1,V1454&lt;&gt;U1463),IF(M1453=2,IF(SMALL(V1452:V1455,1)=V1452,1,IF(SMALL(V1452:V1455,2)=V1452,2,IF(SMALL(V1452:V1455,3)=V1452,3))),IF(M1453=1,IF(SMALL(V1452:V1455,1)=V1452,2,IF(SMALL(V1452:V1455,2)=V1452,3,IF(SMALL(V1452:V1455,3)=V1452,4))),"")),IF(COUNTIF(V1452:V1455,V1452)=1,IF(V1452&lt;V1454,IF(M1453=2,1,2),IF(M1453=2,3,4)),IF(COUNTIF(V1452:V1455,V1452)=2,IF(V1452=V1454,IF(V1452&lt;V1455,IF(M1453=2,IF(Q1464=3,1,2),IF(M1453=1,IF(Q1464=3,2,3))),IF(V1452&gt;V1455,IF(M1453=2,IF(Q1464=3,2,3),IF(M1453=1,IF(Q1464=3,3,4))))),IF(V1452=V1455,IF(V1452&lt;V1454,IF(M1453=2,IF(Q1470=3,1,2),IF(M1453=1,IF(Q1470=3,2,3))),IF(V1452&gt;V1453,IF(M1453=2,IF(Q1470=3,2,3),IF(M1453=1,IF(Q1470=3,3,4))))))),"")))),"")</f>
        <v/>
      </c>
      <c r="AC1460" s="192"/>
      <c r="AD1460" s="192"/>
      <c r="AE1460" s="192"/>
      <c r="AF1460" s="192"/>
      <c r="AG1460" s="192"/>
      <c r="AH1460" s="192"/>
      <c r="AI1460" s="192"/>
      <c r="AJ1460" s="192"/>
      <c r="AK1460" s="192"/>
      <c r="AL1460" s="192"/>
      <c r="AM1460" s="192"/>
      <c r="AN1460" s="192"/>
      <c r="AO1460" s="192"/>
      <c r="AP1460" s="192"/>
      <c r="AQ1460" s="192"/>
      <c r="AR1460" s="192"/>
      <c r="AS1460" s="192"/>
      <c r="AT1460" s="192"/>
      <c r="AU1460" s="192"/>
      <c r="AV1460" s="192"/>
      <c r="AW1460" s="192"/>
      <c r="AX1460" s="192"/>
    </row>
    <row r="1461" spans="2:50" ht="15" customHeight="1" thickTop="1" thickBot="1" x14ac:dyDescent="0.35">
      <c r="B1461" s="192"/>
      <c r="C1461" s="192"/>
      <c r="D1461" s="192"/>
      <c r="E1461" s="117"/>
      <c r="F1461" s="117"/>
      <c r="G1461" s="117"/>
      <c r="H1461" s="192"/>
      <c r="I1461" s="192"/>
      <c r="J1461" s="192"/>
      <c r="K1461" s="192"/>
      <c r="L1461" s="192"/>
      <c r="M1461" s="192"/>
      <c r="N1461" s="192"/>
      <c r="O1461" s="192"/>
      <c r="P1461" s="192"/>
      <c r="Q1461" s="192"/>
      <c r="R1461" s="192"/>
      <c r="S1461" s="394" t="s">
        <v>112</v>
      </c>
      <c r="T1461" s="208">
        <v>2</v>
      </c>
      <c r="U1461" s="209" t="str">
        <f>IF(U1452="","",IF(OR(U1453&lt;&gt;U1452,U1453&lt;&gt;U1454),"",IF(COUNTIF(M1453:M1455,M1454)=1,"",IF(COUNTBLANK(I1453:I1456)=1,(SUM(L1468:P1468)+SUM(L1470:P1470))/(SUM(L1467:P1467)+SUM(L1471:P1471)),IF(COUNTBLANK(I1453:I1456)=0,(SUM(L1476:P1476)+SUM(L1474:P1474))/(SUM(L1477:P1477)+SUM(L1473:P1473)))))))</f>
        <v/>
      </c>
      <c r="V1461" s="135"/>
      <c r="W1461" s="212" t="str">
        <f>IF(W1452="","",IF(OR(W1453&lt;&gt;W1452,W1453&lt;&gt;W1455),"",IF(AND(COUNTBLANK(I1453:I1456)=0,M1453=M1454,M1454=M1456),(SUM(L1468:P1468)+SUM(L1476:P1476))/(SUM(L1477:P1477)+SUM(L1467:P1467)),"")))</f>
        <v/>
      </c>
      <c r="X1461" s="245" t="str">
        <f>IF(X1453="","",IF(OR(X1453&lt;&gt;X1454,X1453&lt;&gt;X1455),"",IF(AND(COUNTBLANK(I1453:I1456)=0,M1454=M1455,M1455=M1456),(SUM(L1474:P1474)+SUM(L1468:P1468))/(SUM(L1473:P1473)+SUM(L1467:P1467)),"")))</f>
        <v/>
      </c>
      <c r="Y1461" s="242"/>
      <c r="Z1461" s="203"/>
      <c r="AA1461" s="246">
        <v>3</v>
      </c>
      <c r="AB1461" s="222" t="str">
        <f>IF(AND(COUNTBLANK(I1453:I1456)=0,Group_players=4,M1453=M1455,M1455=M1456),IF(COUNTIF(V1452:V1455,V1454)=3,AB1474,IF(AND(COUNTIF(V1452:V1455,V1454)=1,V1452&lt;&gt;V1455),IF(M1455=2,IF(SMALL(V1452:V1455,1)=V1454,1,IF(SMALL(V1452:V1455,2)=V1454,2,IF(SMALL(V1452:V1455,3)=V1454,3))),IF(M1455=1,IF(SMALL(V1452:V1455,1)=V1454,2,IF(SMALL(V1452:V1455,2)=V1454,3,IF(SMALL(V1452:V1455,3)=V1454,4))),"")),IF(COUNTIF(V1452:V1455,V1454)=1,IF(V1454&lt;V1452,IF(M1455=2,1,2),IF(M1455=2,3,4)),IF(COUNTIF(V1452:V1455,V1454)=2,IF(V1454=V1452,IF(V1454&lt;V1455,IF(M1455=2,IF(Q1465=3,1,2),IF(M1455=1,IF(Q1465=3,2,3))),IF(V1454&gt;V1455,IF(M1455=2,IF(Q1465=3,2,3),IF(M1455=1,IF(Q1465=3,3,4))))),IF(V1454=V1455,IF(V1454&lt;V1452,IF(M1455=2,IF(Q1479=3,1,2),IF(M1455=1,IF(Q1479=3,2,3))),IF(V1454&gt;V1452,IF(M1455=2,IF(Q1479=3,2,3),IF(M1455=1,IF(Q1479=3,3,4))))))),"")))),"")</f>
        <v/>
      </c>
      <c r="AC1461" s="192"/>
      <c r="AD1461" s="192"/>
      <c r="AE1461" s="192"/>
      <c r="AF1461" s="192"/>
      <c r="AG1461" s="192"/>
      <c r="AH1461" s="192"/>
      <c r="AI1461" s="192"/>
      <c r="AJ1461" s="192"/>
      <c r="AK1461" s="192"/>
      <c r="AL1461" s="192"/>
      <c r="AM1461" s="192"/>
      <c r="AN1461" s="192"/>
      <c r="AO1461" s="192"/>
      <c r="AP1461" s="192"/>
      <c r="AQ1461" s="192"/>
      <c r="AR1461" s="192"/>
      <c r="AS1461" s="192"/>
      <c r="AT1461" s="192"/>
      <c r="AU1461" s="192"/>
      <c r="AV1461" s="192"/>
      <c r="AW1461" s="192"/>
      <c r="AX1461" s="192"/>
    </row>
    <row r="1462" spans="2:50" ht="15" customHeight="1" thickTop="1" thickBot="1" x14ac:dyDescent="0.35">
      <c r="B1462" s="192"/>
      <c r="C1462" s="192"/>
      <c r="D1462" s="192"/>
      <c r="E1462" s="117"/>
      <c r="F1462" s="117"/>
      <c r="G1462" s="117"/>
      <c r="H1462" s="192"/>
      <c r="I1462" s="192"/>
      <c r="J1462" s="192"/>
      <c r="K1462" s="192"/>
      <c r="L1462" s="192"/>
      <c r="M1462" s="192"/>
      <c r="N1462" s="192"/>
      <c r="O1462" s="192"/>
      <c r="P1462" s="192"/>
      <c r="Q1462" s="192"/>
      <c r="R1462" s="247"/>
      <c r="S1462" s="395"/>
      <c r="T1462" s="208">
        <v>3</v>
      </c>
      <c r="U1462" s="209" t="str">
        <f>IF(U1452="","",IF(OR(U1454&lt;&gt;U1452,U1454&lt;&gt;U1453),"",IF(COUNTIF(M1453:M1455,M1455)=1,"",IF(COUNTBLANK(I1453:I1456)=1,(SUM(L1464:P1464)+SUM(L1467:P1467))/(SUM(L1465:P1465)+SUM(L1468:P1468)),IF(COUNTBLANK(I1453:I1456)=0,(SUM(L1464:P1464)+SUM(L1473:P1473))/(SUM(L1465:P1465)+SUM(L1474:P1474)))))))</f>
        <v/>
      </c>
      <c r="V1462" s="125" t="str">
        <f>IF(V1452="","",IF(OR(V1454&lt;&gt;V1452,V1454&lt;&gt;V1455),"",IF(AND(COUNTBLANK(I1453:I1456)=0,M1453=M1455,M1455=M1456),(SUM(L1464:P1464)+SUM(L1480:P1480))/(SUM(L1465:P1465)+SUM(L1479:P1479)),"")))</f>
        <v/>
      </c>
      <c r="W1462" s="218"/>
      <c r="X1462" s="245" t="str">
        <f>IF(X1453="","",IF(OR(X1454&lt;&gt;X1453,X1454&lt;&gt;X1455),"",IF(AND(COUNTBLANK(I1453:I1456)=0,M1454=M1455,M1455=M1456),(SUM(L1473:P1473)+SUM(L1480:P1480))/(SUM(L1474:P1474)+SUM(L1479:P1479)),"")))</f>
        <v/>
      </c>
      <c r="Y1462" s="208"/>
      <c r="Z1462" s="203"/>
      <c r="AA1462" s="240">
        <v>4</v>
      </c>
      <c r="AB1462" s="222" t="str">
        <f>IF(AND(COUNTBLANK(I1453:I1456)=0,Group_players=4,M1453=M1455,M1455=M1456),IF(COUNTIF(V1452:V1455,V1455)=3,AB1475,IF(AND(COUNTIF(V1452:V1455,V1455)=1,V1454&lt;&gt;V1452),IF(M1456=2,IF(SMALL(V1452:V1455,1)=V1455,1,IF(SMALL(V1452:V1455,2)=V1455,2,IF(SMALL(V1452:V1455,3)=V1455,3))),IF(M1456=1,IF(SMALL(V1452:V1455,1)=V1455,2,IF(SMALL(V1452:V1455,2)=V1455,3,IF(SMALL(V1452:V1455,3)=V1455,4))),"")),IF(COUNTIF(V1452:V1455,V1455)=1,IF(V1455&lt;V1452,IF(M1456=2,1,2),IF(M1456=2,3,4)),IF(COUNTIF(V1452:V1455,V1455)=2,IF(V1455=V1452,IF(V1455&lt;V1454,IF(M1456=2,IF(Q1471=3,1,2),IF(M1456=1,IF(Q1471=3,2,3))),IF(V1455&gt;V1454,IF(M1456=2,IF(Q1471=3,2,3),IF(M1456=1,IF(Q1471=3,3,4))))),IF(V1455=V1454,IF(V1455&lt;V1452,IF(M1456=2,IF(Q1480=3,1,2),IF(M1456=1,IF(Q1480=3,2,3))),IF(V1455&gt;V1452,IF(M1456=2,IF(Q1480=3,2,3),IF(M1456=1,IF(Q1480=3,3,4))))))),"")))),"")</f>
        <v/>
      </c>
      <c r="AC1462" s="192"/>
      <c r="AD1462" s="192"/>
      <c r="AE1462" s="192"/>
      <c r="AF1462" s="192"/>
      <c r="AG1462" s="192"/>
      <c r="AH1462" s="192"/>
      <c r="AI1462" s="192"/>
      <c r="AJ1462" s="192"/>
      <c r="AK1462" s="192"/>
      <c r="AL1462" s="192"/>
      <c r="AM1462" s="192"/>
      <c r="AN1462" s="192"/>
      <c r="AO1462" s="192"/>
      <c r="AP1462" s="192"/>
      <c r="AQ1462" s="192"/>
      <c r="AR1462" s="192"/>
      <c r="AS1462" s="192"/>
      <c r="AT1462" s="192"/>
      <c r="AU1462" s="192"/>
      <c r="AV1462" s="192"/>
      <c r="AW1462" s="192"/>
      <c r="AX1462" s="192"/>
    </row>
    <row r="1463" spans="2:50" ht="15" customHeight="1" thickTop="1" thickBot="1" x14ac:dyDescent="0.35">
      <c r="B1463" s="192"/>
      <c r="C1463" s="192"/>
      <c r="D1463" s="192"/>
      <c r="E1463" s="168" t="s">
        <v>113</v>
      </c>
      <c r="F1463" s="168" t="s">
        <v>114</v>
      </c>
      <c r="G1463" s="117"/>
      <c r="H1463" s="192"/>
      <c r="I1463" s="249" t="s">
        <v>115</v>
      </c>
      <c r="J1463" s="249"/>
      <c r="K1463" s="249"/>
      <c r="L1463" s="250" t="s">
        <v>115</v>
      </c>
      <c r="M1463" s="250" t="s">
        <v>116</v>
      </c>
      <c r="N1463" s="250" t="s">
        <v>117</v>
      </c>
      <c r="O1463" s="250" t="s">
        <v>118</v>
      </c>
      <c r="P1463" s="250" t="s">
        <v>119</v>
      </c>
      <c r="Q1463" s="250" t="s">
        <v>120</v>
      </c>
      <c r="R1463" s="250"/>
      <c r="S1463" s="251"/>
      <c r="T1463" s="208">
        <v>4</v>
      </c>
      <c r="U1463" s="223"/>
      <c r="V1463" s="140" t="str">
        <f>IF(V1452="","",IF(OR(V1455&lt;&gt;V1452,V1455&lt;&gt;V1454),"",IF(AND(COUNTBLANK(I1453:I1456)=0,M1453=M1455,M1455=M1456),(SUM(L1470:P1470)+SUM(L1479:P1479))/(SUM(L1471:P1471)+SUM(L1480:P1480)),"")))</f>
        <v/>
      </c>
      <c r="W1463" s="224" t="str">
        <f>IF(W1452="","",IF(OR(W1455&lt;&gt;W1452,W1455&lt;&gt;W1453),"",IF(AND(COUNTBLANK(I1453:I1456)=0,M1453=M1454,M1454=M1456),(SUM(L1470:P1470)+SUM(L1467:P1467))/(SUM(L1471:P1471)+SUM(L1468:P1468)),"")))</f>
        <v/>
      </c>
      <c r="X1463" s="252" t="str">
        <f>IF(X1453="","",IF(OR(X1455&lt;&gt;X1453,X1455&lt;&gt;X1454),"",IF(AND(COUNTBLANK(I1453:I1456)=0,M1454=M1455,M1455=M1456),(SUM(L1467:P1467)+SUM(L1479:P1479))/(SUM(L1468:P1468)+SUM(L1480:P1480)),"")))</f>
        <v/>
      </c>
      <c r="Y1463" s="192"/>
      <c r="Z1463" s="203"/>
      <c r="AA1463" s="243">
        <v>1</v>
      </c>
      <c r="AB1463" s="151" t="str">
        <f>IF(AND(COUNTBLANK(I1453:I1456)=0,Group_players=4,M1453=M1454,M1454=M1456),IF(COUNTIF(W1452:W1455,W1452)=3,AB1476,IF(AND(COUNTIF(W1452:W1455,W1452)=1,W1453&lt;&gt;W1455),IF(M1453=2,IF(SMALL(W1452:W1455,1)=W1452,1,IF(SMALL(W1452:W1455,2)=W1452,2,IF(SMALL(W1452:W1455,3)=W1452,3))),IF(M1453=1,IF(SMALL(W1452:W1455,1)=W1452,2,IF(SMALL(W1452:W1455,2)=W1452,3,IF(SMALL(W1452:W1455,3)=W1452,4))),"")),IF(COUNTIF(W1452:W1455,W1452)=1,IF(W1452&lt;W1453,IF(M1453=2,1,2),IF(M1453=2,3,4)),IF(COUNTIF(W1452:W1455,W1452)=2,IF(W1452=W1453,IF(W1452&lt;W1455,IF(M1453=2,IF(Q1476=3,1,2),IF(M1453=1,IF(Q1476=3,2,3))),IF(W1452&gt;W1455,IF(M1453=2,IF(Q1476=3,2,3),IF(M1453=1,IF(Q1476=3,3,4))))),IF(W1452=W1455,IF(W1452&lt;W1453,IF(M1453=2,IF(Q1470=3,1,2),IF(M1453=1,IF(Q1470=3,2,3))),IF(W1452&gt;W1453,IF(M1453=2,IF(Q1470=3,2,3),IF(M1453=1,IF(Q1470=3,3,4))))))),"")))),"")</f>
        <v/>
      </c>
      <c r="AC1463" s="192"/>
      <c r="AD1463" s="192"/>
      <c r="AE1463" s="192"/>
      <c r="AF1463" s="192"/>
      <c r="AG1463" s="192"/>
      <c r="AH1463" s="192"/>
      <c r="AI1463" s="192"/>
      <c r="AJ1463" s="192"/>
      <c r="AK1463" s="192"/>
      <c r="AL1463" s="192"/>
      <c r="AM1463" s="192"/>
      <c r="AN1463" s="192"/>
      <c r="AO1463" s="192"/>
      <c r="AP1463" s="192"/>
      <c r="AQ1463" s="192"/>
      <c r="AR1463" s="192"/>
      <c r="AS1463" s="192"/>
      <c r="AT1463" s="192"/>
      <c r="AU1463" s="192"/>
      <c r="AV1463" s="192"/>
      <c r="AW1463" s="192"/>
      <c r="AX1463" s="192"/>
    </row>
    <row r="1464" spans="2:50" ht="15" customHeight="1" thickTop="1" x14ac:dyDescent="0.3">
      <c r="B1464" s="192"/>
      <c r="C1464" s="192"/>
      <c r="D1464" s="192"/>
      <c r="E1464" s="164" t="str">
        <f>IF(Q1464="","",IF(Q1464=3,1,0))</f>
        <v/>
      </c>
      <c r="F1464" s="164" t="str">
        <f>IF(Q1464="","",IF(Q1464&lt;3,1,0))</f>
        <v/>
      </c>
      <c r="G1464" s="192"/>
      <c r="H1464" s="192" t="str">
        <f>IF(I1453="","",1)</f>
        <v/>
      </c>
      <c r="I1464" s="192" t="str">
        <f>IF(ISNUMBER(H1464),VLOOKUP(H1464,H1453:I1456,2,TRUE),"")</f>
        <v/>
      </c>
      <c r="J1464" s="192"/>
      <c r="K1464" s="192" t="str">
        <f>VLOOKUP(I1464,I1453:L1456,3,FALSE)</f>
        <v/>
      </c>
      <c r="L1464" s="253"/>
      <c r="M1464" s="254"/>
      <c r="N1464" s="254"/>
      <c r="O1464" s="152"/>
      <c r="P1464" s="153"/>
      <c r="Q1464" s="255" t="str">
        <f>IF(L1464="","",IF(AND(L1464-L1465&gt;1,L1464&gt;10),1,0)+IF(AND(M1464-M1465&gt;1,M1464&gt;10),1,0)+IF(AND(N1464-N1465&gt;1,N1464&gt;10),1,0)+IF(AND(O1464-O1465&gt;1,O1464&gt;10),1,0)+IF(AND(P1464-P1465&gt;1,P1464&gt;10),1,0))</f>
        <v/>
      </c>
      <c r="R1464" s="203" t="str">
        <f>IF(AND(I1464="",I1465=""),"",ABS(VLOOKUP(I1464,I1453:L1456,4,FALSE)-VLOOKUP(I1465,I1453:L1456,4,FALSE)))</f>
        <v/>
      </c>
      <c r="S1464" s="256" t="str">
        <f>IF(R1465="","",IF(Q1464=3,+R1465,-R1465))</f>
        <v/>
      </c>
      <c r="T1464" s="257"/>
      <c r="U1464" s="258"/>
      <c r="V1464" s="258"/>
      <c r="W1464" s="258"/>
      <c r="X1464" s="258"/>
      <c r="Y1464" s="192"/>
      <c r="Z1464" s="203"/>
      <c r="AA1464" s="246">
        <v>2</v>
      </c>
      <c r="AB1464" s="154" t="str">
        <f>IF(AND(COUNTBLANK(I1453:I1456)=0,Group_players=4,M1453=M1454,M1454=M1456),IF(COUNTIF(W1452:W1455,W1453)=3,AB1477,IF(AND(COUNTIF(W1452:W1455,W1453)=1,W1452&lt;&gt;W1454),IF(M1454=2,IF(SMALL(W1452:W1455,1)=W1453,1,IF(SMALL(W1452:W1455,2)=W1453,2,IF(SMALL(W1452:W1455,3)=W1453,3))),IF(M1454=1,IF(SMALL(W1452:W1455,1)=W1453,2,IF(SMALL(W1452:W1455,2)=W1453,3,IF(SMALL(W1452:W1455,3)=W1453,4))),"")),IF(COUNTIF(W1452:W1455,W1453)=1,IF(W1453&lt;W1452,IF(M1454=2,1,2),IF(M1454=2,3,4)),IF(COUNTIF(W1452:W1455,W1453)=2,IF(W1453=W1452,IF(W1453&lt;W1455,IF(M1454=2,IF(Q1477=3,1,2),IF(M1454=1,IF(Q1477=3,2,3))),IF(W1453&gt;W1455,IF(M1454=2,IF(Q1477=3,2,3),IF(M1454=1,IF(Q1477=3,3,4))))),IF(W1453=W1455,IF(W1453&lt;W1452,IF(M1454=2,IF(Q1467=3,1,2),IF(M1454=1,IF(Q1467=3,2,3))),IF(W1453&gt;W1452,IF(M1454=2,IF(Q1467=3,2,3),IF(M1454=1,IF(Q1467=3,3,4))))))),"")))),"")</f>
        <v/>
      </c>
      <c r="AC1464" s="192"/>
      <c r="AD1464" s="192"/>
      <c r="AE1464" s="192"/>
      <c r="AF1464" s="192"/>
      <c r="AG1464" s="192"/>
      <c r="AH1464" s="192"/>
      <c r="AI1464" s="192"/>
      <c r="AJ1464" s="192"/>
      <c r="AK1464" s="192"/>
      <c r="AL1464" s="192"/>
      <c r="AM1464" s="192"/>
      <c r="AN1464" s="192"/>
      <c r="AO1464" s="192"/>
      <c r="AP1464" s="192"/>
      <c r="AQ1464" s="192"/>
      <c r="AR1464" s="192"/>
      <c r="AS1464" s="192"/>
      <c r="AT1464" s="192"/>
      <c r="AU1464" s="192"/>
      <c r="AV1464" s="192"/>
      <c r="AW1464" s="192"/>
      <c r="AX1464" s="192"/>
    </row>
    <row r="1465" spans="2:50" ht="15" customHeight="1" thickBot="1" x14ac:dyDescent="0.35">
      <c r="B1465" s="192"/>
      <c r="C1465" s="192"/>
      <c r="D1465" s="192"/>
      <c r="E1465" s="164" t="str">
        <f>IF(Q1465="","",IF(Q1465=3,1,0))</f>
        <v/>
      </c>
      <c r="F1465" s="164" t="str">
        <f>IF(Q1465="","",IF(Q1465&lt;3,1,0))</f>
        <v/>
      </c>
      <c r="G1465" s="192"/>
      <c r="H1465" s="192" t="str">
        <f>IF(I1454="","",IF(I1455="",2,3))</f>
        <v/>
      </c>
      <c r="I1465" s="192" t="str">
        <f>IF(ISNUMBER(H1465),VLOOKUP(H1465,H1453:I1456,2,TRUE),"")</f>
        <v/>
      </c>
      <c r="J1465" s="192"/>
      <c r="K1465" s="192" t="str">
        <f>VLOOKUP(I1465,I1453:L1456,3,FALSE)</f>
        <v/>
      </c>
      <c r="L1465" s="155"/>
      <c r="M1465" s="259"/>
      <c r="N1465" s="259"/>
      <c r="O1465" s="156"/>
      <c r="P1465" s="157"/>
      <c r="Q1465" s="260" t="str">
        <f>IF(L1465="","",IF(AND(L1465-L1464&gt;1,L1465&gt;10),1,0)+IF(AND(M1465-M1464&gt;1,M1465&gt;10),1,0)+IF(AND(N1465-N1464&gt;1,N1465&gt;10),1,0)+IF(AND(O1465-O1464&gt;1,O1465&gt;10),1,0)+IF(AND(P1465-P1464&gt;1,P1465&gt;10),1,0))</f>
        <v/>
      </c>
      <c r="R1465" s="203" t="str">
        <f>IF(AND(Q1464&lt;&gt;3,Q1465&lt;&gt;3),"",IF(Q1464=3,IF(VLOOKUP(I1464,I1453:L1456,4,FALSE)&gt;VLOOKUP(I1465,I1453:L1456,4,FALSE),VLOOKUP(R1464,Point_dif,2,FALSE),VLOOKUP(R1464,Point_dif,3,FALSE)),IF(Q1465=3,IF(VLOOKUP(I1465,I1453:L1456,4,FALSE)&gt;VLOOKUP(I1464,I1453:L1456,4,FALSE),VLOOKUP(R1464,Point_dif,2,FALSE),VLOOKUP(R1464,Point_dif,3,FALSE)))))</f>
        <v/>
      </c>
      <c r="S1465" s="256" t="str">
        <f>IF(R1465="","",IF(Q1465=3,+R1465,-R1465))</f>
        <v/>
      </c>
      <c r="T1465" s="192"/>
      <c r="U1465" s="235"/>
      <c r="V1465" s="235"/>
      <c r="W1465" s="235"/>
      <c r="X1465" s="235"/>
      <c r="Y1465" s="235"/>
      <c r="Z1465" s="235"/>
      <c r="AA1465" s="240">
        <v>4</v>
      </c>
      <c r="AB1465" s="158" t="str">
        <f>IF(AND(COUNTBLANK(I1453:I1456)=0,Group_players=4,M1453=M1454,M1454=M1456),IF(COUNTIF(W1452:W1455,W1455)=3,AB1478,IF(AND(COUNTIF(W1452:W1455,W1455)=1,W1452&lt;&gt;W1453),IF(M1456=2,IF(SMALL(W1452:W1455,1)=W1455,1,IF(SMALL(W1452:W1455,2)=W1455,2,IF(SMALL(W1452:W1455,3)=W1455,3))),IF(M1456=1,IF(SMALL(W1452:W1455,1)=W1455,2,IF(SMALL(W1452:W1455,2)=W1455,3,IF(SMALL(W1452:W1455,3)=W1455,4))),"")),IF(COUNTIF(W1452:W1455,W1455)=1,IF(W1455&lt;W1452,IF(M1456=2,1,2),IF(M1456=2,3,4)),IF(COUNTIF(W1452:W1455,W1455)=2,IF(W1455=W1452,IF(W1455&lt;W1453,IF(M1456=2,IF(Q1471=3,1,2),IF(M1456=1,IF(Q1471=3,2,3))),IF(W1455&gt;W1454,IF(M1456=2,IF(Q1471=3,2,3),IF(M1456=1,IF(Q1471=3,3,4))))),IF(W1455=W1453,IF(W1455&lt;W1452,IF(M1456=2,IF(Q1468=3,1,2),IF(M1456=1,IF(Q1468=3,2,3))),IF(W1455&gt;W1452,IF(M1456=2,IF(Q1468=3,2,3),IF(M1456=1,IF(Q1468=3,3,4))))))),"")))),"")</f>
        <v/>
      </c>
      <c r="AC1465" s="192"/>
      <c r="AD1465" s="192"/>
      <c r="AE1465" s="192"/>
      <c r="AF1465" s="192"/>
      <c r="AG1465" s="192"/>
      <c r="AH1465" s="192"/>
      <c r="AI1465" s="192"/>
      <c r="AJ1465" s="192"/>
      <c r="AK1465" s="192"/>
      <c r="AL1465" s="192"/>
      <c r="AM1465" s="192"/>
      <c r="AN1465" s="192"/>
      <c r="AO1465" s="192"/>
      <c r="AP1465" s="192"/>
      <c r="AQ1465" s="192"/>
      <c r="AR1465" s="192"/>
      <c r="AS1465" s="192"/>
      <c r="AT1465" s="192"/>
      <c r="AU1465" s="192"/>
      <c r="AV1465" s="192"/>
      <c r="AW1465" s="192"/>
      <c r="AX1465" s="192"/>
    </row>
    <row r="1466" spans="2:50" ht="15" customHeight="1" thickTop="1" thickBot="1" x14ac:dyDescent="0.35">
      <c r="B1466" s="192"/>
      <c r="C1466" s="192"/>
      <c r="D1466" s="192"/>
      <c r="E1466" s="164"/>
      <c r="F1466" s="164"/>
      <c r="G1466" s="192"/>
      <c r="H1466" s="192"/>
      <c r="I1466" s="249" t="s">
        <v>116</v>
      </c>
      <c r="J1466" s="249"/>
      <c r="K1466" s="249"/>
      <c r="L1466" s="250" t="s">
        <v>115</v>
      </c>
      <c r="M1466" s="250" t="s">
        <v>116</v>
      </c>
      <c r="N1466" s="250" t="s">
        <v>117</v>
      </c>
      <c r="O1466" s="250" t="s">
        <v>118</v>
      </c>
      <c r="P1466" s="250" t="s">
        <v>119</v>
      </c>
      <c r="Q1466" s="250" t="s">
        <v>120</v>
      </c>
      <c r="R1466" s="250"/>
      <c r="S1466" s="251"/>
      <c r="T1466" s="192"/>
      <c r="U1466" s="235"/>
      <c r="V1466" s="235"/>
      <c r="W1466" s="235"/>
      <c r="X1466" s="235"/>
      <c r="Y1466" s="235"/>
      <c r="Z1466" s="235"/>
      <c r="AA1466" s="243">
        <v>2</v>
      </c>
      <c r="AB1466" s="151" t="str">
        <f>IF(AND(COUNTBLANK(I1453:I1456)=0,Group_players=4,M1454=M1455,M1455=M1456),IF(COUNTIF(X1452:X1455,X1453)=3,AB1479,IF(AND(COUNTIF(X1452:X1455,X1453)=1,X1454&lt;&gt;X1455),IF(M1454=2,IF(SMALL(X1452:X1455,1)=X1453,1,IF(SMALL(X1452:X1455,2)=X1453,2,IF(SMALL(X1452:X1455,3)=X1453,3))),IF(M1454=1,IF(SMALL(X1452:X1455,1)=X1453,2,IF(SMALL(X1452:X1455,2)=X1453,3,IF(SMALL(X1452:X1455,3)=X1453,4))),"")),IF(COUNTIF(X1452:X1455,X1453)=1,IF(X1453&lt;X1455,IF(M1454=2,1,2),IF(M1454=1,3,3)),IF(COUNTIF(X1452:X1455,X1453)=2,IF(X1453=X1454,IF(X1453&lt;X1455,IF(M1454=2,IF(Q1473=3,1,2),IF(M1454=1,IF(Q1473=3,2,3))),IF(X1453&gt;X1455,IF(M1454=2,IF(Q1473=3,2,3),IF(M1454=1,IF(Q1473=3,3,4))))),IF(X1453=X1455,IF(X1453&lt;X1454,IF(M1454=2,IF(Q1467=3,1,2),IF(M1454=1,IF(Q1467=3,2,3))),IF(X1453&gt;X1454,IF(M1454=2,IF(Q1467=3,2,3),IF(M1454=1,IF(Q1467=3,3,4))))))),"")))),"")</f>
        <v/>
      </c>
      <c r="AC1466" s="192"/>
      <c r="AD1466" s="192"/>
      <c r="AE1466" s="192"/>
      <c r="AF1466" s="192"/>
      <c r="AG1466" s="192"/>
      <c r="AH1466" s="192"/>
      <c r="AI1466" s="192"/>
      <c r="AJ1466" s="192"/>
      <c r="AK1466" s="192"/>
      <c r="AL1466" s="192"/>
      <c r="AM1466" s="192"/>
      <c r="AN1466" s="192"/>
      <c r="AO1466" s="192"/>
      <c r="AP1466" s="192"/>
      <c r="AQ1466" s="192"/>
      <c r="AR1466" s="192"/>
      <c r="AS1466" s="192"/>
      <c r="AT1466" s="192"/>
      <c r="AU1466" s="192"/>
      <c r="AV1466" s="192"/>
      <c r="AW1466" s="192"/>
      <c r="AX1466" s="192"/>
    </row>
    <row r="1467" spans="2:50" ht="15" customHeight="1" thickTop="1" x14ac:dyDescent="0.3">
      <c r="B1467" s="192"/>
      <c r="C1467" s="192"/>
      <c r="D1467" s="192"/>
      <c r="E1467" s="164" t="str">
        <f>IF(Q1467="","",IF(Q1467=3,1,0))</f>
        <v/>
      </c>
      <c r="F1467" s="164" t="str">
        <f>IF(Q1467="","",IF(Q1467&lt;3,1,0))</f>
        <v/>
      </c>
      <c r="G1467" s="192"/>
      <c r="H1467" s="192" t="str">
        <f>IF(I1455="","",2)</f>
        <v/>
      </c>
      <c r="I1467" s="192" t="str">
        <f>IF(ISNUMBER(H1467),VLOOKUP(H1467,H1453:I1456,2,TRUE),"")</f>
        <v/>
      </c>
      <c r="J1467" s="192"/>
      <c r="K1467" s="192" t="str">
        <f>VLOOKUP(I1467,I1453:L1456,3,FALSE)</f>
        <v/>
      </c>
      <c r="L1467" s="253"/>
      <c r="M1467" s="254"/>
      <c r="N1467" s="254"/>
      <c r="O1467" s="152"/>
      <c r="P1467" s="153"/>
      <c r="Q1467" s="255" t="str">
        <f>IF(L1467="","",IF(AND(L1467-L1468&gt;1,L1467&gt;10),1,0)+IF(AND(M1467-M1468&gt;1,M1467&gt;10),1,0)+IF(AND(N1467-N1468&gt;1,N1467&gt;10),1,0)+IF(AND(O1467-O1468&gt;1,O1467&gt;10),1,0)+IF(AND(P1467-P1468&gt;1,P1467&gt;10),1,0))</f>
        <v/>
      </c>
      <c r="R1467" s="203" t="str">
        <f>IF(AND(I1467="",I1468=""),"",ABS(VLOOKUP(I1467,I1453:L1456,4,FALSE)-VLOOKUP(I1468,I1453:L1456,4,FALSE)))</f>
        <v/>
      </c>
      <c r="S1467" s="256" t="str">
        <f>IF(R1468="","",IF(Q1467=3,+R1468,-R1468))</f>
        <v/>
      </c>
      <c r="T1467" s="192"/>
      <c r="U1467" s="235"/>
      <c r="V1467" s="235"/>
      <c r="W1467" s="235"/>
      <c r="X1467" s="235"/>
      <c r="Y1467" s="235"/>
      <c r="Z1467" s="235"/>
      <c r="AA1467" s="246">
        <v>3</v>
      </c>
      <c r="AB1467" s="154" t="str">
        <f>IF(AND(COUNTBLANK(I1453:I1456)=0,Group_players=4,M1454=M1455,M1455=M1456),IF(COUNTIF(X1452:X1455,X1454)=3,AB1480,IF(AND(COUNTIF(X1452:X1455,X1454)=1,X1453&lt;&gt;X1455),IF(M1455=2,IF(SMALL(X1452:X1455,1)=X1454,1,IF(SMALL(X1452:X1455,2)=X1454,2,IF(SMALL(X1452:X1455,3)=X1454,3))),IF(M1455=1,IF(SMALL(X1452:X1455,1)=X1454,2,IF(SMALL(X1452:X1455,2)=X1454,3,IF(SMALL(X1452:X1455,3)=X1454,4))),"")),IF(COUNTIF(X1452:X1455,X1454)=1,IF(X1454&lt;X1453,IF(M1455=2,1,2),IF(M1455=2,3,4)),IF(COUNTIF(X1452:X1455,X1454)=2,IF(X1454=X1453,IF(X1454&lt;X1455,IF(M1455=2,IF(Q1474=3,1,2),IF(M1455=1,IF(Q1474=3,2,3))),IF(X1454&gt;X1455,IF(M1455=2,IF(Q1474=3,2,3),IF(M1455=1,IF(Q1474=3,3,4))))),IF(X1454=X1455,IF(X1454&lt;X1453,IF(M1455=2,IF(Q1479=3,1,2),IF(M1455=1,IF(Q1479=3,2,3))),IF(X1454&gt;X1453,IF(M1455=2,IF(Q1479=3,2,3),IF(M1455=1,IF(Q1479=3,3,4))))))),"")))),"")</f>
        <v/>
      </c>
      <c r="AC1467" s="192"/>
      <c r="AD1467" s="192"/>
      <c r="AE1467" s="192"/>
      <c r="AF1467" s="192"/>
      <c r="AG1467" s="192"/>
      <c r="AH1467" s="192"/>
      <c r="AI1467" s="192"/>
      <c r="AJ1467" s="192"/>
      <c r="AK1467" s="192"/>
      <c r="AL1467" s="192"/>
      <c r="AM1467" s="192"/>
      <c r="AN1467" s="192"/>
      <c r="AO1467" s="192"/>
      <c r="AP1467" s="192"/>
      <c r="AQ1467" s="192"/>
      <c r="AR1467" s="192"/>
      <c r="AS1467" s="192"/>
      <c r="AT1467" s="192"/>
      <c r="AU1467" s="192"/>
      <c r="AV1467" s="192"/>
      <c r="AW1467" s="192"/>
      <c r="AX1467" s="192"/>
    </row>
    <row r="1468" spans="2:50" ht="15" customHeight="1" thickBot="1" x14ac:dyDescent="0.35">
      <c r="B1468" s="192"/>
      <c r="C1468" s="192"/>
      <c r="D1468" s="192"/>
      <c r="E1468" s="164" t="str">
        <f>IF(Q1468="","",IF(Q1468=3,1,0))</f>
        <v/>
      </c>
      <c r="F1468" s="164" t="str">
        <f>IF(Q1468="","",IF(Q1468&lt;3,1,0))</f>
        <v/>
      </c>
      <c r="G1468" s="192"/>
      <c r="H1468" s="192" t="str">
        <f>IF(I1455="","",IF(I1456="",3,4))</f>
        <v/>
      </c>
      <c r="I1468" s="192" t="str">
        <f>IF(ISNUMBER(H1468),VLOOKUP(H1468,H1453:I1456,2,TRUE),"")</f>
        <v/>
      </c>
      <c r="J1468" s="192"/>
      <c r="K1468" s="192" t="str">
        <f>VLOOKUP(I1468,I1453:L1456,3,FALSE)</f>
        <v/>
      </c>
      <c r="L1468" s="155"/>
      <c r="M1468" s="259"/>
      <c r="N1468" s="259"/>
      <c r="O1468" s="156"/>
      <c r="P1468" s="157"/>
      <c r="Q1468" s="260" t="str">
        <f>IF(L1468="","",IF(AND(L1468-L1467&gt;1,L1468&gt;10),1,0)+IF(AND(M1468-M1467&gt;1,M1468&gt;10),1,0)+IF(AND(N1468-N1467&gt;1,N1468&gt;10),1,0)+IF(AND(O1468-O1467&gt;1,O1468&gt;10),1,0)+IF(AND(P1468-P1467&gt;1,P1468&gt;10),1,0))</f>
        <v/>
      </c>
      <c r="R1468" s="203" t="str">
        <f>IF(AND(Q1467&lt;&gt;3,Q1468&lt;&gt;3),"",IF(Q1467=3,IF(VLOOKUP(I1467,I1453:L1456,4,FALSE)&gt;VLOOKUP(I1468,I1453:L1456,4,FALSE),VLOOKUP(R1467,Point_dif,2,FALSE),VLOOKUP(R1467,Point_dif,3,FALSE)),IF(Q1468=3,IF(VLOOKUP(I1468,I1453:L1456,4,FALSE)&gt;VLOOKUP(I1467,I1453:L1456,4,FALSE),VLOOKUP(R1467,Point_dif,2,FALSE),VLOOKUP(R1467,Point_dif,3,FALSE)))))</f>
        <v/>
      </c>
      <c r="S1468" s="256" t="str">
        <f>IF(R1468="","",IF(Q1468=3,+R1468,-R1468))</f>
        <v/>
      </c>
      <c r="T1468" s="192"/>
      <c r="U1468" s="235"/>
      <c r="V1468" s="235"/>
      <c r="W1468" s="235"/>
      <c r="X1468" s="235"/>
      <c r="Y1468" s="235"/>
      <c r="Z1468" s="235"/>
      <c r="AA1468" s="261">
        <v>4</v>
      </c>
      <c r="AB1468" s="158" t="str">
        <f>IF(AND(COUNTBLANK(I1453:I1456)=0,Group_players=4,M1454=M1455,M1455=M1456),IF(COUNTIF(X1452:X1455,X1455)=3,AB1481,IF(AND(COUNTIF(X1452:X1455,X1455)=1,X1454&lt;&gt;X1453),IF(M1456=2,IF(SMALL(X1452:X1455,1)=X1455,1,IF(SMALL(X1452:X1455,2)=X1455,2,IF(SMALL(X1452:X1455,3)=X1455,3))),IF(M1456=1,IF(SMALL(X1452:X1455,1)=X1455,2,IF(SMALL(X1452:X1455,2)=X1455,3,IF(SMALL(X1452:X1455,3)=X1455,4))),"")),IF(COUNTIF(X1452:X1455,X1455)=1,IF(X1455&lt;X1453,IF(M1456=2,1,2),IF(M1456=2,3,4)),IF(COUNTIF(X1452:X1455,X1455)=2,IF(X1455=X1453,IF(X1455&lt;X1454,IF(M1456=2,IF(Q1468=3,1,2),IF(M1456=1,IF(Q1468=3,2,3))),IF(X1455&gt;X1454,IF(M1456=2,IF(Q1468=3,2,3),IF(M1456=1,IF(Q1468=3,3,4))))),IF(X1455=X1454,IF(X1455&lt;X1453,IF(M1456=2,IF(Q1480=3,1,2),IF(M1456=1,IF(Q1480=3,2,3))),IF(X1455&gt;X1453,IF(M1456=2,IF(Q1480=3,2,3),IF(M1456=1,IF(Q1480=3,3,4))))))),"")))),"")</f>
        <v/>
      </c>
      <c r="AC1468" s="192"/>
      <c r="AD1468" s="192"/>
      <c r="AE1468" s="192"/>
      <c r="AF1468" s="192"/>
      <c r="AG1468" s="192"/>
      <c r="AH1468" s="192"/>
      <c r="AI1468" s="192"/>
      <c r="AJ1468" s="192"/>
      <c r="AK1468" s="192"/>
      <c r="AL1468" s="192"/>
      <c r="AM1468" s="192"/>
      <c r="AN1468" s="192"/>
      <c r="AO1468" s="192"/>
      <c r="AP1468" s="192"/>
      <c r="AQ1468" s="192"/>
      <c r="AR1468" s="192"/>
      <c r="AS1468" s="192"/>
      <c r="AT1468" s="192"/>
      <c r="AU1468" s="192"/>
      <c r="AV1468" s="192"/>
      <c r="AW1468" s="192"/>
      <c r="AX1468" s="192"/>
    </row>
    <row r="1469" spans="2:50" ht="15" customHeight="1" thickTop="1" thickBot="1" x14ac:dyDescent="0.35">
      <c r="B1469" s="192"/>
      <c r="C1469" s="192"/>
      <c r="D1469" s="192"/>
      <c r="E1469" s="164"/>
      <c r="F1469" s="164"/>
      <c r="G1469" s="192"/>
      <c r="H1469" s="192"/>
      <c r="I1469" s="249" t="s">
        <v>117</v>
      </c>
      <c r="J1469" s="249"/>
      <c r="K1469" s="249"/>
      <c r="L1469" s="250" t="s">
        <v>115</v>
      </c>
      <c r="M1469" s="250" t="s">
        <v>116</v>
      </c>
      <c r="N1469" s="250" t="s">
        <v>117</v>
      </c>
      <c r="O1469" s="250" t="s">
        <v>118</v>
      </c>
      <c r="P1469" s="250" t="s">
        <v>119</v>
      </c>
      <c r="Q1469" s="250" t="s">
        <v>120</v>
      </c>
      <c r="R1469" s="250"/>
      <c r="S1469" s="251"/>
      <c r="T1469" s="263"/>
      <c r="U1469" s="264"/>
      <c r="V1469" s="242"/>
      <c r="W1469" s="242"/>
      <c r="X1469" s="264"/>
      <c r="Y1469" s="192"/>
      <c r="Z1469" s="203"/>
      <c r="AA1469" s="126" t="s">
        <v>93</v>
      </c>
      <c r="AB1469" s="265" t="s">
        <v>110</v>
      </c>
      <c r="AC1469" s="192"/>
      <c r="AD1469" s="192"/>
      <c r="AE1469" s="192"/>
      <c r="AF1469" s="192"/>
      <c r="AG1469" s="192"/>
      <c r="AH1469" s="192"/>
      <c r="AI1469" s="192"/>
      <c r="AJ1469" s="192"/>
      <c r="AK1469" s="192"/>
      <c r="AL1469" s="192"/>
      <c r="AM1469" s="192"/>
      <c r="AN1469" s="192"/>
      <c r="AO1469" s="192"/>
      <c r="AP1469" s="192"/>
      <c r="AQ1469" s="192"/>
      <c r="AR1469" s="192"/>
      <c r="AS1469" s="192"/>
      <c r="AT1469" s="192"/>
      <c r="AU1469" s="192"/>
      <c r="AV1469" s="192"/>
      <c r="AW1469" s="192"/>
      <c r="AX1469" s="192"/>
    </row>
    <row r="1470" spans="2:50" ht="15" customHeight="1" thickTop="1" x14ac:dyDescent="0.3">
      <c r="B1470" s="192"/>
      <c r="C1470" s="192"/>
      <c r="D1470" s="192"/>
      <c r="E1470" s="164" t="str">
        <f>IF(Q1470="","",IF(Q1470=3,1,0))</f>
        <v/>
      </c>
      <c r="F1470" s="164" t="str">
        <f>IF(Q1470="","",IF(Q1470&lt;3,1,0))</f>
        <v/>
      </c>
      <c r="G1470" s="192"/>
      <c r="H1470" s="192" t="str">
        <f>IF(I1455&lt;&gt;"",1,"")</f>
        <v/>
      </c>
      <c r="I1470" s="192" t="str">
        <f>IF(ISNUMBER(H1470),VLOOKUP(H1470,H1453:I1456,2,TRUE),"")</f>
        <v/>
      </c>
      <c r="J1470" s="192"/>
      <c r="K1470" s="192" t="str">
        <f>VLOOKUP(I1470,I1453:L1456,3,FALSE)</f>
        <v/>
      </c>
      <c r="L1470" s="253"/>
      <c r="M1470" s="254"/>
      <c r="N1470" s="254"/>
      <c r="O1470" s="152"/>
      <c r="P1470" s="153"/>
      <c r="Q1470" s="255" t="str">
        <f>IF(L1470="","",IF(AND(L1470-L1471&gt;1,L1470&gt;10),1,0)+IF(AND(M1470-M1471&gt;1,M1470&gt;10),1,0)+IF(AND(N1470-N1471&gt;1,N1470&gt;10),1,0)+IF(AND(O1470-O1471&gt;1,O1470&gt;10),1,0)+IF(AND(P1470-P1471&gt;1,P1470&gt;10),1,0))</f>
        <v/>
      </c>
      <c r="R1470" s="203" t="str">
        <f>IF(AND(I1470="",I1471=""),"",ABS(VLOOKUP(I1470,I1453:L1456,4,FALSE)-VLOOKUP(I1471,I1453:L1456,4,FALSE)))</f>
        <v/>
      </c>
      <c r="S1470" s="256" t="str">
        <f>IF(R1471="","",IF(Q1470=3,+R1471,-R1471))</f>
        <v/>
      </c>
      <c r="T1470" s="192"/>
      <c r="U1470" s="235"/>
      <c r="V1470" s="235"/>
      <c r="W1470" s="235"/>
      <c r="X1470" s="235"/>
      <c r="Y1470" s="235"/>
      <c r="Z1470" s="235"/>
      <c r="AA1470" s="243">
        <v>1</v>
      </c>
      <c r="AB1470" s="222" t="str">
        <f>IF(AND(COUNTBLANK(I1453:I1456)=0,Group_players=4,M1453=M1454,M1454=M1455),IF(U1460="","",IF(COUNTIF(U1460:U1463,U1460)=3,"Tied",IF(AND(COUNTIF(U1460:U1463,U1460)=1,U1461&lt;&gt;U1462),IF(M1453=2,IF(SMALL(U1460:U1463,1)=U1460,1,IF(SMALL(U1460:U1463,2)=U1460,2,IF(SMALL(U1460:U1463,3)=U1460,3))),IF(M1453=1,IF(SMALL(U1460:U1463,1)=U1460,2,IF(SMALL(U1460:U1463,2)=U1460,3,IF(SMALL(U1460:U1463,3)=U1460,4))),"")),IF(COUNTIF(U1460:U1463,U1460)=1,IF(U1460&lt;U1461,IF(M1453=2,1,2),IF(M1453=2,3,4)),IF(COUNTIF(U1460:U1463,U1460)=2,IF(U1460=U1461,IF(U1460&lt;U1462,IF(M1453=2,IF(Q1476=3,1,2),IF(M1453=1,IF(Q1476=3,2,3))),IF(U1460&gt;U1462,IF(M1453=2,IF(Q1476=3,2,3),IF(M1453=1,IF(Q1476=3,3,4))))),IF(U1460=U1462,IF(U1460&lt;U1461,IF(M1453=2,IF(Q1464=3,1,2),IF(M1453=1,IF(Q1464=3,2,3))),IF(U1460&gt;U1461,IF(M1453=2,IF(Q1464=3,2,3),IF(M1453=1,IF(Q1464=3,3,4)))))))))))),"")</f>
        <v/>
      </c>
      <c r="AC1470" s="192"/>
      <c r="AD1470" s="192"/>
      <c r="AE1470" s="192"/>
      <c r="AF1470" s="192"/>
      <c r="AG1470" s="192"/>
      <c r="AH1470" s="192"/>
      <c r="AI1470" s="192"/>
      <c r="AJ1470" s="192"/>
      <c r="AK1470" s="192"/>
      <c r="AL1470" s="192"/>
      <c r="AM1470" s="192"/>
      <c r="AN1470" s="192"/>
      <c r="AO1470" s="192"/>
      <c r="AP1470" s="192"/>
      <c r="AQ1470" s="192"/>
      <c r="AR1470" s="192"/>
      <c r="AS1470" s="192"/>
      <c r="AT1470" s="192"/>
      <c r="AU1470" s="192"/>
      <c r="AV1470" s="192"/>
      <c r="AW1470" s="192"/>
      <c r="AX1470" s="192"/>
    </row>
    <row r="1471" spans="2:50" ht="15" customHeight="1" thickBot="1" x14ac:dyDescent="0.35">
      <c r="B1471" s="192"/>
      <c r="C1471" s="192"/>
      <c r="D1471" s="192"/>
      <c r="E1471" s="164" t="str">
        <f>IF(Q1471="","",IF(Q1471=3,1,0))</f>
        <v/>
      </c>
      <c r="F1471" s="164" t="str">
        <f>IF(Q1471="","",IF(Q1471&lt;3,1,0))</f>
        <v/>
      </c>
      <c r="G1471" s="192"/>
      <c r="H1471" s="192" t="str">
        <f>IF(I1455="","",IF(I1456&lt;&gt;"",4,2))</f>
        <v/>
      </c>
      <c r="I1471" s="192" t="str">
        <f>IF(ISNUMBER(H1471),VLOOKUP(H1471,H1453:I1456,2,TRUE),"")</f>
        <v/>
      </c>
      <c r="J1471" s="192"/>
      <c r="K1471" s="192" t="str">
        <f>VLOOKUP(I1471,I1453:L1456,3,FALSE)</f>
        <v/>
      </c>
      <c r="L1471" s="155"/>
      <c r="M1471" s="259"/>
      <c r="N1471" s="259"/>
      <c r="O1471" s="156"/>
      <c r="P1471" s="157"/>
      <c r="Q1471" s="260" t="str">
        <f>IF(L1471="","",IF(AND(L1471-L1470&gt;1,L1471&gt;10),1,0)+IF(AND(M1471-M1470&gt;1,M1471&gt;10),1,0)+IF(AND(N1471-N1470&gt;1,N1471&gt;10),1,0)+IF(AND(O1471-O1470&gt;1,O1471&gt;10),1,0)+IF(AND(P1471-P1470&gt;1,P1471&gt;10),1,0))</f>
        <v/>
      </c>
      <c r="R1471" s="203" t="str">
        <f>IF(AND(Q1470&lt;&gt;3,Q1471&lt;&gt;3),"",IF(Q1470=3,IF(VLOOKUP(I1470,I1453:L1456,4,FALSE)&gt;VLOOKUP(I1471,I1453:L1456,4,FALSE),VLOOKUP(R1470,Point_dif,2,FALSE),VLOOKUP(R1470,Point_dif,3,FALSE)),IF(Q1471=3,IF(VLOOKUP(I1471,I1453:L1456,4,FALSE)&gt;VLOOKUP(I1470,I1453:L1456,4,FALSE),VLOOKUP(R1470,Point_dif,2,FALSE),VLOOKUP(R1470,Point_dif,3,FALSE)))))</f>
        <v/>
      </c>
      <c r="S1471" s="256" t="str">
        <f>IF(R1471="","",IF(Q1471=3,+R1471,-R1471))</f>
        <v/>
      </c>
      <c r="T1471" s="192"/>
      <c r="U1471" s="235"/>
      <c r="V1471" s="235"/>
      <c r="W1471" s="235"/>
      <c r="X1471" s="235"/>
      <c r="Y1471" s="235"/>
      <c r="Z1471" s="235"/>
      <c r="AA1471" s="246">
        <v>2</v>
      </c>
      <c r="AB1471" s="222" t="str">
        <f>IF(AND(COUNTBLANK(I1453:I1456)=0,Group_players=4,M1453=M1454,M1454=M1455),IF(U1461="","",IF(COUNTIF(U1460:U1463,U1461)=3,"Tied",IF(AND(COUNTIF(U1460:U1463,U1461)=1,U1460&lt;&gt;U1462),IF(M1454=2,IF(SMALL(U1460:U1463,1)=U1461,1,IF(SMALL(U1460:U1463,2)=U1461,2,IF(SMALL(U1460:U1463,3)=U1461,3))),IF(M1454=1,IF(SMALL(U1460:U1463,1)=U1461,2,IF(SMALL(U1460:U1463,2)=U1461,3,IF(SMALL(U1460:U1463,3)=U1461,4))),"")),IF(COUNTIF(U1460:U1463,U1461)=1,IF(U1461&lt;U1460,IF(M1454=2,1,2),IF(M1454=2,3,4)),IF(COUNTIF(U1460:U1463,U1461)=2,IF(U1461=U1460,IF(U1461&lt;U1462,IF(M1454=2,IF(Q1477=3,1,2),IF(M1454=1,IF(Q1477=3,2,3))),IF(U1461&gt;U1462,IF(M1454=2,IF(Q1477=3,2,3),IF(M1454=1,IF(Q1477=3,3,4))))),IF(U1461=U1462,IF(U1461&lt;U1460,IF(M1454=2,IF(Q1473=3,1,2),IF(M1454=1,IF(Q1473=3,2,3))),IF(U1461&gt;U1460,IF(M1454=2,IF(Q1473=3,2,3),IF(M1454=1,IF(Q1473=3,3,4)))))))))))),"")</f>
        <v/>
      </c>
      <c r="AC1471" s="192"/>
      <c r="AD1471" s="192"/>
      <c r="AE1471" s="192"/>
      <c r="AF1471" s="192"/>
      <c r="AG1471" s="192"/>
      <c r="AH1471" s="192"/>
      <c r="AI1471" s="192"/>
      <c r="AJ1471" s="192"/>
      <c r="AK1471" s="192"/>
      <c r="AL1471" s="192"/>
      <c r="AM1471" s="192"/>
      <c r="AN1471" s="192"/>
      <c r="AO1471" s="192"/>
      <c r="AP1471" s="192"/>
      <c r="AQ1471" s="192"/>
      <c r="AR1471" s="192"/>
      <c r="AS1471" s="192"/>
      <c r="AT1471" s="192"/>
      <c r="AU1471" s="192"/>
      <c r="AV1471" s="192"/>
      <c r="AW1471" s="192"/>
      <c r="AX1471" s="192"/>
    </row>
    <row r="1472" spans="2:50" ht="15" customHeight="1" thickTop="1" thickBot="1" x14ac:dyDescent="0.35">
      <c r="B1472" s="192"/>
      <c r="C1472" s="192"/>
      <c r="D1472" s="192"/>
      <c r="E1472" s="164"/>
      <c r="F1472" s="164"/>
      <c r="G1472" s="192"/>
      <c r="H1472" s="192"/>
      <c r="I1472" s="249" t="s">
        <v>118</v>
      </c>
      <c r="J1472" s="249"/>
      <c r="K1472" s="249"/>
      <c r="L1472" s="250" t="s">
        <v>115</v>
      </c>
      <c r="M1472" s="250" t="s">
        <v>116</v>
      </c>
      <c r="N1472" s="250" t="s">
        <v>117</v>
      </c>
      <c r="O1472" s="250" t="s">
        <v>118</v>
      </c>
      <c r="P1472" s="250" t="s">
        <v>119</v>
      </c>
      <c r="Q1472" s="250" t="s">
        <v>120</v>
      </c>
      <c r="R1472" s="250"/>
      <c r="S1472" s="251"/>
      <c r="T1472" s="192"/>
      <c r="U1472" s="235"/>
      <c r="V1472" s="235"/>
      <c r="W1472" s="235"/>
      <c r="X1472" s="235"/>
      <c r="Y1472" s="235"/>
      <c r="Z1472" s="235"/>
      <c r="AA1472" s="240">
        <v>3</v>
      </c>
      <c r="AB1472" s="241" t="str">
        <f>IF(AND(COUNTBLANK(I1453:I1456)=0,Group_players=4,M1453=M1454,M1454=M1455),IF(U1462="","",IF(COUNTIF(U1460:U1463,U1462)=3,"Tied",IF(AND(COUNTIF(U1460:U1463,U1462)=1,U1460&lt;&gt;U1461),IF(M1453=2,IF(SMALL(U1460:U1463,1)=U1462,1,IF(SMALL(U1460:U1463,2)=U1462,2,IF(SMALL(U1460:U1463,3)=U1462,3))),IF(M1455=1,IF(SMALL(U1460:U1463,1)=U1462,2,IF(SMALL(U1460:U1463,2)=U1462,3,IF(SMALL(U1460:U1463,3)=U1462,4))),"")),IF(COUNTIF(U1460:U1463,U1462)=1,IF(U1462&lt;U1461,IF(M1455=2,1,2),IF(M1455=2,3,4)),IF(COUNTIF(U1460:U1463,U1462)=2,IF(U1462=U1461,IF(U1462&lt;U1460,IF(M1455=2,IF(Q1474=3,1,2),IF(M1455=1,IF(Q1474=3,2,3))),IF(U1462&gt;U1460,IF(M1455=2,IF(Q1474=3,2,3),IF(M1455=1,IF(Q1474=3,3,4))))),IF(U1462=U1460,IF(U1462&lt;U1461,IF(M1455=2,IF(Q1465=3,1,2),IF(M1455=1,IF(Q1465=3,2,3))),IF(U1462&gt;U1461,IF(M1455=2,IF(Q1465=3,2,3),IF(M1455=1,IF(Q1465=3,3,4)))))))))))),"")</f>
        <v/>
      </c>
      <c r="AC1472" s="192"/>
      <c r="AD1472" s="192"/>
      <c r="AE1472" s="192"/>
      <c r="AF1472" s="192"/>
      <c r="AG1472" s="192"/>
      <c r="AH1472" s="192"/>
      <c r="AI1472" s="192"/>
      <c r="AJ1472" s="192"/>
      <c r="AK1472" s="192"/>
      <c r="AL1472" s="192"/>
      <c r="AM1472" s="192"/>
      <c r="AN1472" s="192"/>
      <c r="AO1472" s="192"/>
      <c r="AP1472" s="192"/>
      <c r="AQ1472" s="192"/>
      <c r="AR1472" s="192"/>
      <c r="AS1472" s="192"/>
      <c r="AT1472" s="192"/>
      <c r="AU1472" s="192"/>
      <c r="AV1472" s="192"/>
      <c r="AW1472" s="192"/>
      <c r="AX1472" s="192"/>
    </row>
    <row r="1473" spans="2:50" ht="15" customHeight="1" thickTop="1" x14ac:dyDescent="0.3">
      <c r="B1473" s="192"/>
      <c r="C1473" s="192"/>
      <c r="D1473" s="192"/>
      <c r="E1473" s="164" t="str">
        <f>IF(Q1473="","",IF(Q1473=3,1,0))</f>
        <v/>
      </c>
      <c r="F1473" s="164" t="str">
        <f>IF(Q1473="","",IF(Q1473&lt;3,1,0))</f>
        <v/>
      </c>
      <c r="G1473" s="192"/>
      <c r="H1473" s="192" t="str">
        <f>IF(I1456&lt;&gt;"",2,"")</f>
        <v/>
      </c>
      <c r="I1473" s="192" t="str">
        <f>IF(ISNUMBER(H1473),VLOOKUP(H1473,H1453:I1456,2,TRUE),"")</f>
        <v/>
      </c>
      <c r="J1473" s="192"/>
      <c r="K1473" s="192" t="str">
        <f>VLOOKUP(I1473,I1453:L1456,3,FALSE)</f>
        <v/>
      </c>
      <c r="L1473" s="253"/>
      <c r="M1473" s="254"/>
      <c r="N1473" s="254"/>
      <c r="O1473" s="152"/>
      <c r="P1473" s="153"/>
      <c r="Q1473" s="255" t="str">
        <f>IF(L1473="","",IF(AND(L1473-L1474&gt;1,L1473&gt;10),1,0)+IF(AND(M1473-M1474&gt;1,M1473&gt;10),1,0)+IF(AND(N1473-N1474&gt;1,N1473&gt;10),1,0)+IF(AND(O1473-O1474&gt;1,O1473&gt;10),1,0)+IF(AND(P1473-P1474&gt;1,P1473&gt;10),1,0))</f>
        <v/>
      </c>
      <c r="R1473" s="203" t="str">
        <f>IF(AND(I1473="",I1474=""),"",ABS(VLOOKUP(I1473,I1453:L1456,4,FALSE)-VLOOKUP(I1474,I1453:L1456,4,FALSE)))</f>
        <v/>
      </c>
      <c r="S1473" s="256" t="str">
        <f>IF(R1474="","",IF(Q1473=3,+R1474,-R1474))</f>
        <v/>
      </c>
      <c r="T1473" s="192"/>
      <c r="U1473" s="235"/>
      <c r="V1473" s="235"/>
      <c r="W1473" s="235"/>
      <c r="X1473" s="235"/>
      <c r="Y1473" s="235"/>
      <c r="Z1473" s="235"/>
      <c r="AA1473" s="243">
        <v>1</v>
      </c>
      <c r="AB1473" s="222" t="str">
        <f>IF(AND(COUNTBLANK(I1453:I1456)=0,Group_players=4,M1453=M1455,M1455=M1456),IF(V1460="","",IF(COUNTIF(V1460:V1463,V1460)=3,"Tied",IF(AND(COUNTIF(V1460:V1463,V1460)=1,V1462&lt;&gt;U1463),IF(M1453=2,IF(SMALL(V1460:V1463,1)=V1460,1,IF(SMALL(V1460:V1463,2)=V1460,2,IF(SMALL(V1460:V1463,3)=V1460,3))),IF(M1453=1,IF(SMALL(V1460:V1463,1)=V1460,2,IF(SMALL(V1460:V1463,2)=V1460,3,IF(SMALL(V1460:V1463,3)=V1460,4))),"")),IF(COUNTIF(V1460:V1463,V1460)=1,IF(V1460&lt;V1462,IF(M1453=2,1,2),IF(M1453=2,3,4)),IF(COUNTIF(V1460:V1463,V1460)=2,IF(V1460=V1462,IF(V1460&lt;V1463,IF(M1453=2,IF(Q1464=3,1,2),IF(M1453=1,IF(Q1464=3,2,3))),IF(V1460&gt;V1463,IF(M1453=2,IF(Q1464=3,2,3),IF(M1453=1,IF(Q1464=3,3,4))))),IF(V1460=V1463,IF(V1460&lt;V1462,IF(M1453=2,IF(Q1470=3,1,2),IF(M1453=1,IF(Q1470=3,2,3))),IF(V1460&gt;V1461,IF(M1453=2,IF(Q1470=3,2,3),IF(M1453=1,IF(Q1470=3,3,4)))))))))))),"")</f>
        <v/>
      </c>
      <c r="AC1473" s="192"/>
      <c r="AD1473" s="192"/>
      <c r="AE1473" s="192"/>
      <c r="AF1473" s="192"/>
      <c r="AG1473" s="192"/>
      <c r="AH1473" s="192"/>
      <c r="AI1473" s="192"/>
      <c r="AJ1473" s="192"/>
      <c r="AK1473" s="192"/>
      <c r="AL1473" s="192"/>
      <c r="AM1473" s="192"/>
      <c r="AN1473" s="192"/>
      <c r="AO1473" s="192"/>
      <c r="AP1473" s="192"/>
      <c r="AQ1473" s="192"/>
      <c r="AR1473" s="192"/>
      <c r="AS1473" s="192"/>
      <c r="AT1473" s="192"/>
      <c r="AU1473" s="192"/>
      <c r="AV1473" s="192"/>
      <c r="AW1473" s="192"/>
      <c r="AX1473" s="192"/>
    </row>
    <row r="1474" spans="2:50" ht="15" customHeight="1" thickBot="1" x14ac:dyDescent="0.35">
      <c r="B1474" s="192"/>
      <c r="C1474" s="192"/>
      <c r="D1474" s="192"/>
      <c r="E1474" s="164" t="str">
        <f>IF(Q1474="","",IF(Q1474=3,1,0))</f>
        <v/>
      </c>
      <c r="F1474" s="164" t="str">
        <f>IF(Q1474="","",IF(Q1474&lt;3,1,0))</f>
        <v/>
      </c>
      <c r="G1474" s="192"/>
      <c r="H1474" s="192" t="str">
        <f>IF(I1456&lt;&gt;"",3,"")</f>
        <v/>
      </c>
      <c r="I1474" s="192" t="str">
        <f>IF(ISNUMBER(H1474),VLOOKUP(H1474,H1453:I1456,2,TRUE),"")</f>
        <v/>
      </c>
      <c r="J1474" s="192"/>
      <c r="K1474" s="192" t="str">
        <f>VLOOKUP(I1474,I1453:L1456,3,FALSE)</f>
        <v/>
      </c>
      <c r="L1474" s="155"/>
      <c r="M1474" s="259"/>
      <c r="N1474" s="259"/>
      <c r="O1474" s="156"/>
      <c r="P1474" s="157"/>
      <c r="Q1474" s="260" t="str">
        <f>IF(L1474="","",IF(AND(L1474-L1473&gt;1,L1474&gt;10),1,0)+IF(AND(M1474-M1473&gt;1,M1474&gt;10),1,0)+IF(AND(N1474-N1473&gt;1,N1474&gt;10),1,0)+IF(AND(O1474-O1473&gt;1,O1474&gt;10),1,0)+IF(AND(P1474-P1473&gt;1,P1474&gt;10),1,0))</f>
        <v/>
      </c>
      <c r="R1474" s="203" t="str">
        <f>IF(AND(Q1473&lt;&gt;3,Q1474&lt;&gt;3),"",IF(Q1473=3,IF(VLOOKUP(I1473,I1453:L1456,4,FALSE)&gt;VLOOKUP(I1474,I1453:L1456,4,FALSE),VLOOKUP(R1473,Point_dif,2,FALSE),VLOOKUP(R1473,Point_dif,3,FALSE)),IF(Q1474=3,IF(VLOOKUP(I1474,I1453:L1456,4,FALSE)&gt;VLOOKUP(I1473,I1453:L1456,4,FALSE),VLOOKUP(R1473,Point_dif,2,FALSE),VLOOKUP(R1473,Point_dif,3,FALSE)))))</f>
        <v/>
      </c>
      <c r="S1474" s="256" t="str">
        <f>IF(R1474="","",IF(Q1474=3,+R1474,-R1474))</f>
        <v/>
      </c>
      <c r="T1474" s="192"/>
      <c r="U1474" s="159"/>
      <c r="V1474" s="266"/>
      <c r="W1474" s="266"/>
      <c r="X1474" s="266"/>
      <c r="Y1474" s="192"/>
      <c r="Z1474" s="203"/>
      <c r="AA1474" s="246">
        <v>3</v>
      </c>
      <c r="AB1474" s="222" t="str">
        <f>IF(AND(COUNTBLANK(I1453:I1456)=0,Group_players=4,M1453=M1455,M1455=M1456),IF(V1462="","",IF(COUNTIF(V1460:V1463,V1462)=3,"Tied",IF(AND(COUNTIF(V1460:V1463,V1462)=1,V1460&lt;&gt;V1463),IF(M1455=2,IF(SMALL(V1460:V1463,1)=V1462,1,IF(SMALL(V1460:V1463,2)=V1462,2,IF(SMALL(V1460:V1463,3)=V1462,3))),IF(M1455=1,IF(SMALL(V1460:V1463,1)=V1462,2,IF(SMALL(V1460:V1463,2)=V1462,3,IF(SMALL(V1460:V1463,3)=V1462,4))),"")),IF(COUNTIF(V1460:V1463,V1462)=1,IF(V1462&lt;V1460,IF(M1455=2,1,2),IF(M1455=2,3,4)),IF(COUNTIF(V1460:V1463,V1462)=2,IF(V1462=V1460,IF(V1462&lt;V1463,IF(M1455=2,IF(Q1465=3,1,2),IF(M1455=1,IF(Q1465=3,2,3))),IF(V1462&gt;V1463,IF(M1455=2,IF(Q1465=3,2,3),IF(M1455=1,IF(Q1465=3,3,4))))),IF(V1462=V1463,IF(V1462&lt;V1460,IF(M1455=2,IF(Q1479=3,1,2),IF(M1455=1,IF(Q1479=3,2,3))),IF(V1462&gt;V1460,IF(M1455=2,IF(Q1479=3,2,3),IF(M1455=1,IF(Q1479=3,3,4)))))))))))),"")</f>
        <v/>
      </c>
      <c r="AC1474" s="192"/>
      <c r="AD1474" s="192"/>
      <c r="AE1474" s="192"/>
      <c r="AF1474" s="192"/>
      <c r="AG1474" s="192"/>
      <c r="AH1474" s="192"/>
      <c r="AI1474" s="192"/>
      <c r="AJ1474" s="192"/>
      <c r="AK1474" s="192"/>
      <c r="AL1474" s="192"/>
      <c r="AM1474" s="192"/>
      <c r="AN1474" s="192"/>
      <c r="AO1474" s="192"/>
      <c r="AP1474" s="192"/>
      <c r="AQ1474" s="192"/>
      <c r="AR1474" s="192"/>
      <c r="AS1474" s="192"/>
      <c r="AT1474" s="192"/>
      <c r="AU1474" s="192"/>
      <c r="AV1474" s="192"/>
      <c r="AW1474" s="192"/>
      <c r="AX1474" s="192"/>
    </row>
    <row r="1475" spans="2:50" ht="15" customHeight="1" thickTop="1" thickBot="1" x14ac:dyDescent="0.35">
      <c r="B1475" s="192"/>
      <c r="C1475" s="192"/>
      <c r="D1475" s="192"/>
      <c r="E1475" s="164"/>
      <c r="F1475" s="164"/>
      <c r="G1475" s="192"/>
      <c r="H1475" s="192"/>
      <c r="I1475" s="249" t="s">
        <v>119</v>
      </c>
      <c r="J1475" s="249"/>
      <c r="K1475" s="249"/>
      <c r="L1475" s="250" t="s">
        <v>115</v>
      </c>
      <c r="M1475" s="250" t="s">
        <v>116</v>
      </c>
      <c r="N1475" s="250" t="s">
        <v>117</v>
      </c>
      <c r="O1475" s="250" t="s">
        <v>118</v>
      </c>
      <c r="P1475" s="250" t="s">
        <v>119</v>
      </c>
      <c r="Q1475" s="250" t="s">
        <v>120</v>
      </c>
      <c r="R1475" s="250"/>
      <c r="S1475" s="251"/>
      <c r="T1475" s="247"/>
      <c r="U1475" s="235"/>
      <c r="V1475" s="235"/>
      <c r="W1475" s="235"/>
      <c r="X1475" s="235"/>
      <c r="Y1475" s="235"/>
      <c r="Z1475" s="235"/>
      <c r="AA1475" s="240">
        <v>4</v>
      </c>
      <c r="AB1475" s="241" t="str">
        <f>IF(AND(COUNTBLANK(I1453:I1456)=0,Group_players=4,M1453=M1455,M1455=M1456),IF(V1463="","",IF(COUNTIF(V1460:V1463,V1463)=3,"Tied",IF(AND(COUNTIF(V1460:V1463,V1463)=1,V1462&lt;&gt;V1460),IF(M1456=2,IF(SMALL(V1460:V1463,1)=V1463,1,IF(SMALL(V1460:V1463,2)=V1463,2,IF(SMALL(V1460:V1463,3)=V1463,3))),IF(M1456=1,IF(SMALL(V1460:V1463,1)=V1463,2,IF(SMALL(V1460:V1463,2)=V1463,3,IF(SMALL(V1460:V1463,3)=V1463,4))),"")),IF(COUNTIF(V1460:V1463,V1463)=1,IF(V1463&lt;V1460,IF(M1456=2,1,2),IF(M1456=2,3,4)),IF(COUNTIF(V1460:V1463,V1463)=2,IF(V1463=V1460,IF(V1463&lt;V1462,IF(M1456=2,IF(Q1471=3,1,2),IF(M1456=1,IF(Q1471=3,2,3))),IF(V1463&gt;V1462,IF(M1456=2,IF(Q1471=3,2,3),IF(M1456=1,IF(Q1471=3,3,4))))),IF(V1463=V1462,IF(V1463&lt;V1460,IF(M1456=2,IF(Q1480=3,1,2),IF(M1456=1,IF(Q1480=3,2,3))),IF(V1463&gt;V1460,IF(M1456=2,IF(Q1480=3,2,3),IF(M1456=1,IF(Q1480=3,3,4)))))))))))),"")</f>
        <v/>
      </c>
      <c r="AC1475" s="192"/>
      <c r="AD1475" s="192"/>
      <c r="AE1475" s="192"/>
      <c r="AF1475" s="192"/>
      <c r="AG1475" s="192"/>
      <c r="AH1475" s="192"/>
      <c r="AI1475" s="192"/>
      <c r="AJ1475" s="192"/>
      <c r="AK1475" s="192"/>
      <c r="AL1475" s="192"/>
      <c r="AM1475" s="192"/>
      <c r="AN1475" s="192"/>
      <c r="AO1475" s="192"/>
      <c r="AP1475" s="192"/>
      <c r="AQ1475" s="192"/>
      <c r="AR1475" s="192"/>
      <c r="AS1475" s="192"/>
      <c r="AT1475" s="192"/>
      <c r="AU1475" s="192"/>
      <c r="AV1475" s="192"/>
      <c r="AW1475" s="192"/>
      <c r="AX1475" s="192"/>
    </row>
    <row r="1476" spans="2:50" ht="15" customHeight="1" thickTop="1" x14ac:dyDescent="0.3">
      <c r="B1476" s="192"/>
      <c r="C1476" s="192"/>
      <c r="D1476" s="192"/>
      <c r="E1476" s="164" t="str">
        <f>IF(Q1476="","",IF(Q1476=3,1,0))</f>
        <v/>
      </c>
      <c r="F1476" s="164" t="str">
        <f>IF(Q1476="","",IF(Q1476&lt;3,1,0))</f>
        <v/>
      </c>
      <c r="G1476" s="192"/>
      <c r="H1476" s="192" t="str">
        <f>IF(I1456&lt;&gt;"",1,"")</f>
        <v/>
      </c>
      <c r="I1476" s="192" t="str">
        <f>IF(ISNUMBER(H1476),VLOOKUP(H1476,H1453:I1456,2,TRUE),"")</f>
        <v/>
      </c>
      <c r="J1476" s="192"/>
      <c r="K1476" s="192" t="str">
        <f>VLOOKUP(I1476,I1453:L1456,3,FALSE)</f>
        <v/>
      </c>
      <c r="L1476" s="253"/>
      <c r="M1476" s="254"/>
      <c r="N1476" s="254"/>
      <c r="O1476" s="152"/>
      <c r="P1476" s="153"/>
      <c r="Q1476" s="255" t="str">
        <f>IF(L1476="","",IF(AND(L1476-L1477&gt;1,L1476&gt;10),1,0)+IF(AND(M1476-M1477&gt;1,M1476&gt;10),1,0)+IF(AND(N1476-N1477&gt;1,N1476&gt;10),1,0)+IF(AND(O1476-O1477&gt;1,O1476&gt;10),1,0)+IF(AND(P1476-P1477&gt;1,P1476&gt;10),1,0))</f>
        <v/>
      </c>
      <c r="R1476" s="203" t="str">
        <f>IF(AND(I1476="",I1477=""),"",ABS(VLOOKUP(I1476,I1453:L1456,4,FALSE)-VLOOKUP(I1477,I1453:L1456,4,FALSE)))</f>
        <v/>
      </c>
      <c r="S1476" s="256" t="str">
        <f>IF(R1477="","",IF(Q1476=3,+R1477,-R1477))</f>
        <v/>
      </c>
      <c r="T1476" s="247"/>
      <c r="U1476" s="235"/>
      <c r="V1476" s="235"/>
      <c r="W1476" s="235"/>
      <c r="X1476" s="235"/>
      <c r="Y1476" s="235"/>
      <c r="Z1476" s="235"/>
      <c r="AA1476" s="243">
        <v>1</v>
      </c>
      <c r="AB1476" s="222" t="str">
        <f>IF(AND(COUNTBLANK(I1453:I1456)=0,Group_players=4,M1453=M1454,M1454=M1456),IF(W1460="","",IF(COUNTIF(W1460:W1463,W1460)=3,"Tied",IF(AND(COUNTIF(W1460:W1463,W1460)=1,W1461&lt;&gt;W1462),IF(M1453=2,IF(SMALL(W1460:W1463,1)=W1460,1,IF(SMALL(W1460:W1463,2)=W1460,2,IF(SMALL(W1460:W1463,3)=W1460,3))),IF(M1453=1,IF(SMALL(W1460:W1463,1)=W1460,2,IF(SMALL(W1460:W1463,2)=W1460,3,IF(SMALL(W1460:W1463,3)=W1460,4))),"")),IF(COUNTIF(W1460:W1463,W1460)=1,IF(W1460&lt;W1461,IF(M1453=2,1,2),IF(M1453=2,3,4)),IF(COUNTIF(W1460:W1463,W1460)=2,IF(W1460=W1461,IF(W1460&lt;W1463,IF(M1453=2,IF(Q1476=3,1,2),IF(M1453=1,IF(Q1476=3,2,3))),IF(W1460&gt;W1463,IF(M1453=2,IF(Q1476=3,2,3),IF(M1453=1,IF(Q1476=3,3,4))))),IF(W1460=W1463,IF(W1460&lt;W1461,IF(M1453=2,IF(Q1470=3,1,2),IF(M1453=1,IF(Q1470=3,2,3))),IF(W1460&gt;W1461,IF(M1453=2,IF(Q1470=3,2,3),IF(M1453=1,IF(Q1470=3,3,4)))))))))))),"")</f>
        <v/>
      </c>
      <c r="AC1476" s="192"/>
      <c r="AD1476" s="192"/>
      <c r="AE1476" s="192"/>
      <c r="AF1476" s="192"/>
      <c r="AG1476" s="192"/>
      <c r="AH1476" s="192"/>
      <c r="AI1476" s="192"/>
      <c r="AJ1476" s="192"/>
      <c r="AK1476" s="192"/>
      <c r="AL1476" s="192"/>
      <c r="AM1476" s="192"/>
      <c r="AN1476" s="192"/>
      <c r="AO1476" s="192"/>
      <c r="AP1476" s="192"/>
      <c r="AQ1476" s="192"/>
      <c r="AR1476" s="192"/>
      <c r="AS1476" s="192"/>
      <c r="AT1476" s="192"/>
      <c r="AU1476" s="192"/>
      <c r="AV1476" s="192"/>
      <c r="AW1476" s="192"/>
      <c r="AX1476" s="192"/>
    </row>
    <row r="1477" spans="2:50" ht="15" customHeight="1" thickBot="1" x14ac:dyDescent="0.35">
      <c r="B1477" s="192"/>
      <c r="C1477" s="192"/>
      <c r="D1477" s="192"/>
      <c r="E1477" s="164" t="str">
        <f>IF(Q1477="","",IF(Q1477=3,1,0))</f>
        <v/>
      </c>
      <c r="F1477" s="164" t="str">
        <f>IF(Q1477="","",IF(Q1477&lt;3,1,0))</f>
        <v/>
      </c>
      <c r="G1477" s="192"/>
      <c r="H1477" s="192" t="str">
        <f>IF(I1456&lt;&gt;"",2,"")</f>
        <v/>
      </c>
      <c r="I1477" s="192" t="str">
        <f>IF(ISNUMBER(H1477),VLOOKUP(H1477,H1453:I1456,2,TRUE),"")</f>
        <v/>
      </c>
      <c r="J1477" s="192"/>
      <c r="K1477" s="192" t="str">
        <f>VLOOKUP(I1477,I1453:L1456,3,FALSE)</f>
        <v/>
      </c>
      <c r="L1477" s="155"/>
      <c r="M1477" s="259"/>
      <c r="N1477" s="259"/>
      <c r="O1477" s="156"/>
      <c r="P1477" s="157"/>
      <c r="Q1477" s="260" t="str">
        <f>IF(L1477="","",IF(AND(L1477-L1476&gt;1,L1477&gt;10),1,0)+IF(AND(M1477-M1476&gt;1,M1477&gt;10),1,0)+IF(AND(N1477-N1476&gt;1,N1477&gt;10),1,0)+IF(AND(O1477-O1476&gt;1,O1477&gt;10),1,0)+IF(AND(P1477-P1476&gt;1,P1477&gt;10),1,0))</f>
        <v/>
      </c>
      <c r="R1477" s="203" t="str">
        <f>IF(AND(Q1476&lt;&gt;3,Q1477&lt;&gt;3),"",IF(Q1476=3,IF(VLOOKUP(I1476,I1453:L1456,4,FALSE)&gt;VLOOKUP(I1477,I1453:L1456,4,FALSE),VLOOKUP(R1476,Point_dif,2,FALSE),VLOOKUP(R1476,Point_dif,3,FALSE)),IF(Q1477=3,IF(VLOOKUP(I1477,I1453:L1456,4,FALSE)&gt;VLOOKUP(I1477,I1453:L1456,4,FALSE),VLOOKUP(R1476,Point_dif,2,FALSE),VLOOKUP(R1476,Point_dif,3,FALSE)))))</f>
        <v/>
      </c>
      <c r="S1477" s="256" t="str">
        <f>IF(R1477="","",IF(Q1477=3,+R1477,-R1477))</f>
        <v/>
      </c>
      <c r="T1477" s="247"/>
      <c r="U1477" s="235"/>
      <c r="V1477" s="235"/>
      <c r="W1477" s="235"/>
      <c r="X1477" s="235"/>
      <c r="Y1477" s="235"/>
      <c r="Z1477" s="235"/>
      <c r="AA1477" s="246">
        <v>2</v>
      </c>
      <c r="AB1477" s="222" t="str">
        <f>IF(AND(COUNTBLANK(I1453:I1456)=0,Group_players=4,M1453=M1454,M1454=M1456),IF(W1461="","",IF(COUNTIF(W1460:W1463,W1461)=3,"Tied",IF(AND(COUNTIF(W1460:W1463,W1461)=1,W1460&lt;&gt;W1462),IF(M1454=2,IF(SMALL(W1460:W1463,1)=W1461,1,IF(SMALL(W1460:W1463,2)=W1461,2,IF(SMALL(W1460:W1463,3)=W1461,3))),IF(M1454=1,IF(SMALL(W1460:W1463,1)=W1461,2,IF(SMALL(W1460:W1463,2)=W1461,3,IF(SMALL(W1460:W1463,3)=W1461,4))),"")),IF(COUNTIF(W1460:W1463,W1461)=1,IF(W1461&lt;W1460,IF(M1454=2,1,2),IF(M1454=2,3,4)),IF(COUNTIF(W1460:W1463,W1461)=2,IF(W1461=W1460,IF(W1461&lt;W1463,IF(M1454=2,IF(Q1477=3,1,2),IF(M1454=1,IF(Q1477=3,2,3))),IF(W1461&gt;W1463,IF(M1454=2,IF(Q1477=3,2,3),IF(M1454=1,IF(Q1477=3,3,4))))),IF(W1461=W1463,IF(W1461&lt;W1460,IF(M1454=2,IF(Q1467=3,1,2),IF(M1454=1,IF(Q1467=3,2,3))),IF(W1461&gt;W1460,IF(M1454=2,IF(Q1467=3,2,3),IF(M1454=1,IF(Q1467=3,3,4)))))))))))),"")</f>
        <v/>
      </c>
      <c r="AC1477" s="192"/>
      <c r="AD1477" s="192"/>
      <c r="AE1477" s="192"/>
      <c r="AF1477" s="192"/>
      <c r="AG1477" s="192"/>
      <c r="AH1477" s="192"/>
      <c r="AI1477" s="192"/>
      <c r="AJ1477" s="192"/>
      <c r="AK1477" s="192"/>
      <c r="AL1477" s="192"/>
      <c r="AM1477" s="192"/>
      <c r="AN1477" s="192"/>
      <c r="AO1477" s="192"/>
      <c r="AP1477" s="192"/>
      <c r="AQ1477" s="192"/>
      <c r="AR1477" s="192"/>
      <c r="AS1477" s="192"/>
      <c r="AT1477" s="192"/>
      <c r="AU1477" s="192"/>
      <c r="AV1477" s="192"/>
      <c r="AW1477" s="192"/>
      <c r="AX1477" s="192"/>
    </row>
    <row r="1478" spans="2:50" ht="15" customHeight="1" thickTop="1" thickBot="1" x14ac:dyDescent="0.35">
      <c r="B1478" s="192"/>
      <c r="C1478" s="192"/>
      <c r="D1478" s="192"/>
      <c r="E1478" s="164"/>
      <c r="F1478" s="164"/>
      <c r="G1478" s="192"/>
      <c r="H1478" s="192"/>
      <c r="I1478" s="249" t="s">
        <v>121</v>
      </c>
      <c r="J1478" s="249"/>
      <c r="K1478" s="249"/>
      <c r="L1478" s="250" t="s">
        <v>115</v>
      </c>
      <c r="M1478" s="250" t="s">
        <v>116</v>
      </c>
      <c r="N1478" s="250" t="s">
        <v>117</v>
      </c>
      <c r="O1478" s="250" t="s">
        <v>118</v>
      </c>
      <c r="P1478" s="250" t="s">
        <v>119</v>
      </c>
      <c r="Q1478" s="250" t="s">
        <v>120</v>
      </c>
      <c r="R1478" s="250"/>
      <c r="S1478" s="251"/>
      <c r="T1478" s="247"/>
      <c r="U1478" s="235"/>
      <c r="V1478" s="235"/>
      <c r="W1478" s="235"/>
      <c r="X1478" s="235"/>
      <c r="Y1478" s="235"/>
      <c r="Z1478" s="235"/>
      <c r="AA1478" s="240">
        <v>4</v>
      </c>
      <c r="AB1478" s="241" t="str">
        <f>IF(AND(COUNTBLANK(I1453:I1456)=0,Group_players=4,M1453=M1454,M1454=M1456),IF(W1463="","",IF(COUNTIF(W1460:W1463,W1463)=3,"Tied",IF(AND(COUNTIF(W1460:W1463,W1463)=1,W1460&lt;&gt;W1461),IF(M1456=2,IF(SMALL(W1460:W1463,1)=W1463,1,IF(SMALL(W1460:W1463,2)=W1463,2,IF(SMALL(W1460:W1463,3)=W1463,3))),IF(M1456=1,IF(SMALL(W1460:W1463,1)=W1463,2,IF(SMALL(W1460:W1463,2)=W1463,3,IF(SMALL(W1460:W1463,3)=W1463,4))),"")),IF(COUNTIF(W1460:W1463,W1463)=1,IF(W1463&lt;W1460,IF(M1456=2,1,2),IF(M1456=2,3,4)),IF(COUNTIF(W1460:W1463,W1463)=2,IF(W1463=W1460,IF(W1463&lt;W1461,IF(M1456=2,IF(Q1471=3,1,2),IF(M1456=1,IF(Q1471=3,2,3))),IF(W1463&gt;W1462,IF(M1456=2,IF(Q1471=3,2,3),IF(M1456=1,IF(Q1471=3,3,4))))),IF(W1463=W1461,IF(W1463&lt;W1460,IF(M1456=2,IF(Q1468=3,1,2),IF(M1456=1,IF(Q1468=3,2,3))),IF(W1463&gt;W1460,IF(M1456=2,IF(Q1468=3,2,3),IF(M1456=1,IF(Q1468=3,3,4)))))))))))),"")</f>
        <v/>
      </c>
      <c r="AC1478" s="192"/>
      <c r="AD1478" s="192"/>
      <c r="AE1478" s="192"/>
      <c r="AF1478" s="192"/>
      <c r="AG1478" s="192"/>
      <c r="AH1478" s="192"/>
      <c r="AI1478" s="192"/>
      <c r="AJ1478" s="192"/>
      <c r="AK1478" s="192"/>
      <c r="AL1478" s="192"/>
      <c r="AM1478" s="192"/>
      <c r="AN1478" s="192"/>
      <c r="AO1478" s="192"/>
      <c r="AP1478" s="192"/>
      <c r="AQ1478" s="192"/>
      <c r="AR1478" s="192"/>
      <c r="AS1478" s="192"/>
      <c r="AT1478" s="192"/>
      <c r="AU1478" s="192"/>
      <c r="AV1478" s="192"/>
      <c r="AW1478" s="192"/>
      <c r="AX1478" s="192"/>
    </row>
    <row r="1479" spans="2:50" ht="15" customHeight="1" thickTop="1" x14ac:dyDescent="0.3">
      <c r="B1479" s="192"/>
      <c r="C1479" s="192"/>
      <c r="D1479" s="192"/>
      <c r="E1479" s="164" t="str">
        <f>IF(Q1479="","",IF(Q1479=3,1,0))</f>
        <v/>
      </c>
      <c r="F1479" s="164" t="str">
        <f>IF(Q1479="","",IF(Q1479&lt;3,1,0))</f>
        <v/>
      </c>
      <c r="G1479" s="192"/>
      <c r="H1479" s="192" t="str">
        <f>IF(I1456&lt;&gt;"",3,"")</f>
        <v/>
      </c>
      <c r="I1479" s="192" t="str">
        <f>IF(ISNUMBER(H1479),VLOOKUP(H1479,H1453:I1456,2,TRUE),"")</f>
        <v/>
      </c>
      <c r="J1479" s="192"/>
      <c r="K1479" s="192" t="str">
        <f>VLOOKUP(I1479,I1453:L1456,3,FALSE)</f>
        <v/>
      </c>
      <c r="L1479" s="253"/>
      <c r="M1479" s="254"/>
      <c r="N1479" s="254"/>
      <c r="O1479" s="152"/>
      <c r="P1479" s="153"/>
      <c r="Q1479" s="255" t="str">
        <f>IF(L1479="","",IF(AND(L1479-L1480&gt;1,L1479&gt;10),1,0)+IF(AND(M1479-M1480&gt;1,M1479&gt;10),1,0)+IF(AND(N1479-N1480&gt;1,N1479&gt;10),1,0)+IF(AND(O1479-O1480&gt;1,O1479&gt;10),1,0)+IF(AND(P1479-P1480&gt;1,P1479&gt;10),1,0))</f>
        <v/>
      </c>
      <c r="R1479" s="203" t="str">
        <f>IF(AND(I1479="",I1480=""),"",ABS(VLOOKUP(I1479,I1453:L1456,4,FALSE)-VLOOKUP(I1480,I1453:L1456,4,FALSE)))</f>
        <v/>
      </c>
      <c r="S1479" s="256" t="str">
        <f>IF(R1480="","",IF(Q1479=3,+R1480,-R1480))</f>
        <v/>
      </c>
      <c r="T1479" s="247"/>
      <c r="U1479" s="264"/>
      <c r="V1479" s="242"/>
      <c r="W1479" s="192"/>
      <c r="X1479" s="264"/>
      <c r="Y1479" s="192"/>
      <c r="Z1479" s="192"/>
      <c r="AA1479" s="243">
        <v>2</v>
      </c>
      <c r="AB1479" s="222" t="str">
        <f>IF(AND(COUNTBLANK(I1453:I1456)=0,Group_players=4,M1454=M1455,M1455=M1456),IF(X1461="","",IF(COUNTIF(X1460:X1463,X1461)=3,"Tied",IF(AND(COUNTIF(X1460:X1463,X1461)=1,X1462&lt;&gt;X1463),IF(M1454=2,IF(SMALL(X1460:X1463,1)=X1461,1,IF(SMALL(X1460:X1463,2)=X1461,2,IF(SMALL(X1460:X1463,3)=X1461,3))),IF(M1454=1,IF(SMALL(X1460:X1463,1)=X1461,2,IF(SMALL(X1460:X1463,2)=X1461,3,IF(SMALL(X1460:X1463,3)=X1461,4))),"")),IF(COUNTIF(X1460:X1463,X1461)=1,IF(X1461&lt;X1463,IF(M1454=2,1,2),IF(M1454=1,4)),IF(COUNTIF(X1460:X1463,X1461)=2,IF(X1461=X1462,IF(X1461&lt;X1463,IF(M1454=2,IF(Q1473=3,1,2),IF(M1454=1,IF(Q1473=3,2,3))),IF(X1461&gt;X1463,IF(M1454=2,IF(Q1473=3,2,3),IF(M1454=1,IF(Q1473=3,3,4))))),IF(X1461=X1463,IF(X1461&lt;X1462,IF(M1454=2,IF(Q1467=3,1,2),IF(M1454=1,IF(Q1467=3,2,3))),IF(X1461&gt;X1462,IF(M1454=2,IF(Q1467=3,2,3),IF(M1454=1,IF(Q1467=3,3,4)))))))))))),"")</f>
        <v/>
      </c>
      <c r="AC1479" s="192"/>
      <c r="AD1479" s="192"/>
      <c r="AE1479" s="192"/>
      <c r="AF1479" s="192"/>
      <c r="AG1479" s="192"/>
      <c r="AH1479" s="192"/>
      <c r="AI1479" s="192"/>
      <c r="AJ1479" s="192"/>
      <c r="AK1479" s="192"/>
      <c r="AL1479" s="192"/>
      <c r="AM1479" s="192"/>
      <c r="AN1479" s="192"/>
      <c r="AO1479" s="192"/>
      <c r="AP1479" s="192"/>
      <c r="AQ1479" s="192"/>
      <c r="AR1479" s="192"/>
      <c r="AS1479" s="192"/>
      <c r="AT1479" s="192"/>
      <c r="AU1479" s="192"/>
      <c r="AV1479" s="192"/>
      <c r="AW1479" s="192"/>
      <c r="AX1479" s="192"/>
    </row>
    <row r="1480" spans="2:50" ht="15" customHeight="1" thickBot="1" x14ac:dyDescent="0.35">
      <c r="B1480" s="192"/>
      <c r="C1480" s="192"/>
      <c r="D1480" s="192"/>
      <c r="E1480" s="164" t="str">
        <f>IF(Q1480="","",IF(Q1480=3,1,0))</f>
        <v/>
      </c>
      <c r="F1480" s="164" t="str">
        <f>IF(Q1480="","",IF(Q1480&lt;3,1,0))</f>
        <v/>
      </c>
      <c r="G1480" s="192"/>
      <c r="H1480" s="192" t="str">
        <f>IF(I1456&lt;&gt;"",4,"")</f>
        <v/>
      </c>
      <c r="I1480" s="192" t="str">
        <f>IF(ISNUMBER(H1480),VLOOKUP(H1480,H1453:I1456,2,TRUE),"")</f>
        <v/>
      </c>
      <c r="J1480" s="192"/>
      <c r="K1480" s="192" t="str">
        <f>VLOOKUP(I1480,I1453:L1456,3,FALSE)</f>
        <v/>
      </c>
      <c r="L1480" s="155"/>
      <c r="M1480" s="259"/>
      <c r="N1480" s="259"/>
      <c r="O1480" s="156"/>
      <c r="P1480" s="157"/>
      <c r="Q1480" s="260" t="str">
        <f>IF(L1480="","",IF(AND(L1480-L1479&gt;1,L1480&gt;10),1,0)+IF(AND(M1480-M1479&gt;1,M1480&gt;10),1,0)+IF(AND(N1480-N1479&gt;1,N1480&gt;10),1,0)+IF(AND(O1480-O1479&gt;1,O1480&gt;10),1,0)+IF(AND(P1480-P1479&gt;1,P1480&gt;10),1,0))</f>
        <v/>
      </c>
      <c r="R1480" s="203" t="str">
        <f>IF(AND(Q1479&lt;&gt;3,Q1480&lt;&gt;3),"",IF(Q1479=3,IF(VLOOKUP(I1479,I1453:L1456,4,FALSE)&gt;VLOOKUP(I1480,I1453:L1456,4,FALSE),VLOOKUP(R1479,Point_dif,2,FALSE),VLOOKUP(R1479,Point_dif,3,FALSE)),IF(Q1480=3,IF(VLOOKUP(I1480,I1453:L1456,4,FALSE)&gt;VLOOKUP(I1479,I1453:L1456,4,FALSE),VLOOKUP(R1479,Point_dif,2,FALSE),VLOOKUP(R1479,Point_dif,3,FALSE)))))</f>
        <v/>
      </c>
      <c r="S1480" s="260" t="str">
        <f>IF(R1480="","",IF(Q1480=3,+R1480,-R1480))</f>
        <v/>
      </c>
      <c r="T1480" s="247"/>
      <c r="U1480" s="235"/>
      <c r="V1480" s="235"/>
      <c r="W1480" s="235"/>
      <c r="X1480" s="235"/>
      <c r="Y1480" s="235"/>
      <c r="Z1480" s="235"/>
      <c r="AA1480" s="246">
        <v>3</v>
      </c>
      <c r="AB1480" s="222" t="str">
        <f>IF(AND(COUNTBLANK(I1453:I1456)=0,Group_players=4,Group_players=4,M1454=M1455,M1455=M1456),IF(X1462="","",IF(COUNTIF(X1460:X1463,X1462)=3,"Tied",IF(AND(COUNTIF(X1460:X1463,X1462)=1,X1461&lt;&gt;X1463),IF(M1455=2,IF(SMALL(X1460:X1463,1)=X1462,1,IF(SMALL(X1460:X1463,2)=X1462,2,IF(SMALL(X1460:X1463,3)=X1462,3))),IF(M1455=1,IF(SMALL(X1460:X1463,1)=X1462,2,IF(SMALL(X1460:X1463,2)=X1462,3,IF(SMALL(X1460:X1463,3)=X1462,4))),"")),IF(COUNTIF(X1460:X1463,X1462)=1,IF(X1462&lt;X1461,IF(M1455=2,1,2),IF(M1455=2,3,4)),IF(COUNTIF(X1460:X1463,X1462)=2,IF(X1462=X1461,IF(X1462&lt;X1463,IF(M1455=2,IF(Q1474=3,1,2),IF(M1455=1,IF(Q1474=3,2,3))),IF(X1462&gt;X1463,IF(M1455=2,IF(Q1474=3,2,3),IF(M1455=1,IF(Q1474=3,3,4))))),IF(X1462=X1463,IF(X1462&lt;X1461,IF(M1455=2,IF(Q1479=3,1,2),IF(M1455=1,IF(Q1479=3,2,3))),IF(X1462&gt;X1461,IF(M1455=2,IF(Q1479=3,2,3),IF(M1455=1,IF(Q1479=3,3,4)))))))))))),"")</f>
        <v/>
      </c>
      <c r="AC1480" s="192"/>
      <c r="AD1480" s="192"/>
      <c r="AE1480" s="192"/>
      <c r="AF1480" s="192"/>
      <c r="AG1480" s="192"/>
      <c r="AH1480" s="192"/>
      <c r="AI1480" s="192"/>
      <c r="AJ1480" s="192"/>
      <c r="AK1480" s="192"/>
      <c r="AL1480" s="192"/>
      <c r="AM1480" s="192"/>
      <c r="AN1480" s="192"/>
      <c r="AO1480" s="192"/>
      <c r="AP1480" s="192"/>
      <c r="AQ1480" s="192"/>
      <c r="AR1480" s="192"/>
      <c r="AS1480" s="192"/>
      <c r="AT1480" s="192"/>
      <c r="AU1480" s="192"/>
      <c r="AV1480" s="192"/>
      <c r="AW1480" s="192"/>
      <c r="AX1480" s="192"/>
    </row>
    <row r="1481" spans="2:50" ht="15" customHeight="1" thickTop="1" thickBot="1" x14ac:dyDescent="0.35">
      <c r="B1481" s="192"/>
      <c r="C1481" s="192"/>
      <c r="D1481" s="192"/>
      <c r="E1481" s="192"/>
      <c r="F1481" s="192"/>
      <c r="G1481" s="192"/>
      <c r="H1481" s="192"/>
      <c r="I1481" s="192"/>
      <c r="J1481" s="192"/>
      <c r="K1481" s="192"/>
      <c r="L1481" s="192"/>
      <c r="M1481" s="192"/>
      <c r="N1481" s="192"/>
      <c r="O1481" s="192"/>
      <c r="P1481" s="192"/>
      <c r="Q1481" s="192"/>
      <c r="R1481" s="192"/>
      <c r="S1481" s="192"/>
      <c r="T1481" s="247"/>
      <c r="U1481" s="235"/>
      <c r="V1481" s="235"/>
      <c r="W1481" s="235"/>
      <c r="X1481" s="235"/>
      <c r="Y1481" s="235"/>
      <c r="Z1481" s="235"/>
      <c r="AA1481" s="261">
        <v>4</v>
      </c>
      <c r="AB1481" s="233" t="str">
        <f>IF(AND(COUNTBLANK(I1453:I1456)=0,Group_players=4,M1454=M1455,M1455=M1456),IF(X1463="","",IF(COUNTIF(X1460:X1463,X1463)=3,"Tied",IF(AND(COUNTIF(X1460:X1463,X1463)=1,X1462&lt;&gt;X1461),IF(M1456=2,IF(SMALL(X1460:X1463,1)=X1463,1,IF(SMALL(X1460:X1463,2)=X1463,2,IF(SMALL(X1460:X1463,3)=X1463,3))),IF(M1456=1,IF(SMALL(X1460:X1463,1)=X1463,2,IF(SMALL(X1460:X1463,2)=X1463,3,IF(SMALL(X1460:X1463,3)=X1463,4))),"")),IF(COUNTIF(X1460:X1463,X1463)=1,IF(X1463&lt;X1461,IF(M1456=2,1,2),IF(M1456=2,3,4)),IF(COUNTIF(X1460:X1463,X1463)=2,IF(X1463=X1461,IF(X1463&lt;X1462,IF(M1456=2,IF(Q1468=3,1,2),IF(M1456=1,IF(Q1468=3,2,3))),IF(X1463&gt;X1462,IF(M1456=2,IF(Q1468=3,2,3),IF(M1456=1,IF(Q1468=3,3,4))))),IF(X1463=X1462,IF(X1463&lt;X1461,IF(M1456=2,IF(Q1480=3,1,2),IF(M1456=1,IF(Q1480=3,2,3))),IF(X1463&gt;X1461,IF(M1456=2,IF(Q1480=3,2,3),IF(M1456=1,IF(Q1480=3,3,4)))))))))))),"")</f>
        <v/>
      </c>
      <c r="AC1481" s="192"/>
      <c r="AD1481" s="192"/>
      <c r="AE1481" s="192"/>
      <c r="AF1481" s="192"/>
      <c r="AG1481" s="192"/>
      <c r="AH1481" s="192"/>
      <c r="AI1481" s="192"/>
      <c r="AJ1481" s="192"/>
      <c r="AK1481" s="192"/>
      <c r="AL1481" s="192"/>
      <c r="AM1481" s="192"/>
      <c r="AN1481" s="192"/>
      <c r="AO1481" s="192"/>
      <c r="AP1481" s="192"/>
      <c r="AQ1481" s="192"/>
      <c r="AR1481" s="192"/>
      <c r="AS1481" s="192"/>
      <c r="AT1481" s="192"/>
      <c r="AU1481" s="192"/>
      <c r="AV1481" s="192"/>
      <c r="AW1481" s="192"/>
      <c r="AX1481" s="192"/>
    </row>
    <row r="1482" spans="2:50" ht="15" customHeight="1" thickTop="1" x14ac:dyDescent="0.3">
      <c r="B1482" s="192"/>
      <c r="C1482" s="192"/>
      <c r="D1482" s="192"/>
      <c r="E1482" s="192"/>
      <c r="F1482" s="192"/>
      <c r="G1482" s="192"/>
      <c r="H1482" s="192"/>
      <c r="I1482" s="192"/>
      <c r="J1482" s="192"/>
      <c r="K1482" s="192"/>
      <c r="L1482" s="192"/>
      <c r="M1482" s="192"/>
      <c r="N1482" s="192"/>
      <c r="O1482" s="192"/>
      <c r="P1482" s="192"/>
      <c r="Q1482" s="192"/>
      <c r="R1482" s="192"/>
      <c r="S1482" s="192"/>
      <c r="T1482" s="203"/>
      <c r="U1482" s="192"/>
      <c r="V1482" s="192"/>
      <c r="W1482" s="192"/>
      <c r="X1482" s="192"/>
      <c r="Y1482" s="192"/>
      <c r="Z1482" s="192"/>
      <c r="AA1482" s="192"/>
      <c r="AB1482" s="192"/>
      <c r="AC1482" s="192"/>
      <c r="AD1482" s="192"/>
      <c r="AE1482" s="192"/>
      <c r="AF1482" s="192"/>
      <c r="AG1482" s="192"/>
      <c r="AH1482" s="192"/>
      <c r="AI1482" s="192"/>
      <c r="AJ1482" s="192"/>
      <c r="AK1482" s="192"/>
      <c r="AL1482" s="192"/>
      <c r="AM1482" s="192"/>
      <c r="AN1482" s="192"/>
      <c r="AO1482" s="192"/>
      <c r="AP1482" s="192"/>
      <c r="AQ1482" s="192"/>
      <c r="AR1482" s="192"/>
      <c r="AS1482" s="192"/>
      <c r="AT1482" s="192"/>
      <c r="AU1482" s="192"/>
      <c r="AV1482" s="192"/>
      <c r="AW1482" s="192"/>
      <c r="AX1482" s="192"/>
    </row>
    <row r="1483" spans="2:50" ht="15" customHeight="1" x14ac:dyDescent="0.3">
      <c r="B1483" s="192"/>
      <c r="C1483" s="192"/>
      <c r="D1483" s="192"/>
      <c r="E1483" s="192"/>
      <c r="F1483" s="192"/>
      <c r="G1483" s="192"/>
      <c r="H1483" s="192"/>
      <c r="I1483" s="192"/>
      <c r="J1483" s="192"/>
      <c r="K1483" s="192"/>
      <c r="L1483" s="192"/>
      <c r="M1483" s="192"/>
      <c r="N1483" s="192"/>
      <c r="O1483" s="192"/>
      <c r="P1483" s="192"/>
      <c r="Q1483" s="192"/>
      <c r="R1483" s="192"/>
      <c r="S1483" s="192"/>
      <c r="T1483" s="192"/>
      <c r="U1483" s="192"/>
      <c r="V1483" s="192"/>
      <c r="W1483" s="192"/>
      <c r="X1483" s="192"/>
      <c r="Y1483" s="192"/>
      <c r="Z1483" s="192"/>
      <c r="AA1483" s="192"/>
      <c r="AB1483" s="192"/>
      <c r="AC1483" s="192"/>
      <c r="AD1483" s="192"/>
      <c r="AE1483" s="192"/>
      <c r="AF1483" s="192"/>
      <c r="AG1483" s="192"/>
      <c r="AH1483" s="192"/>
      <c r="AI1483" s="192"/>
      <c r="AJ1483" s="192"/>
      <c r="AK1483" s="192"/>
      <c r="AL1483" s="192"/>
      <c r="AM1483" s="192"/>
      <c r="AN1483" s="192"/>
      <c r="AO1483" s="192"/>
      <c r="AP1483" s="192"/>
      <c r="AQ1483" s="192"/>
      <c r="AR1483" s="192"/>
      <c r="AS1483" s="192"/>
      <c r="AT1483" s="192"/>
      <c r="AU1483" s="192"/>
      <c r="AV1483" s="192"/>
      <c r="AW1483" s="192"/>
      <c r="AX1483" s="192"/>
    </row>
    <row r="1484" spans="2:50" ht="15" customHeight="1" x14ac:dyDescent="0.3">
      <c r="B1484" s="192"/>
      <c r="C1484" s="192"/>
      <c r="D1484" s="192"/>
      <c r="E1484" s="192"/>
      <c r="F1484" s="192"/>
      <c r="G1484" s="192"/>
      <c r="H1484" s="192"/>
      <c r="I1484" s="192"/>
      <c r="J1484" s="192"/>
      <c r="K1484" s="192"/>
      <c r="L1484" s="192"/>
      <c r="M1484" s="192"/>
      <c r="N1484" s="192"/>
      <c r="O1484" s="192"/>
      <c r="P1484" s="192"/>
      <c r="Q1484" s="192"/>
      <c r="R1484" s="192"/>
      <c r="S1484" s="192"/>
      <c r="T1484" s="192"/>
      <c r="U1484" s="192"/>
      <c r="V1484" s="192"/>
      <c r="W1484" s="192"/>
      <c r="X1484" s="192"/>
      <c r="Y1484" s="192"/>
      <c r="Z1484" s="269"/>
      <c r="AA1484" s="192"/>
      <c r="AB1484" s="192"/>
      <c r="AC1484" s="192"/>
      <c r="AD1484" s="192"/>
      <c r="AE1484" s="192"/>
      <c r="AF1484" s="192"/>
      <c r="AG1484" s="192"/>
      <c r="AH1484" s="192"/>
      <c r="AI1484" s="192"/>
      <c r="AJ1484" s="192"/>
      <c r="AK1484" s="192"/>
      <c r="AL1484" s="192"/>
      <c r="AM1484" s="192"/>
      <c r="AN1484" s="192"/>
      <c r="AO1484" s="192"/>
      <c r="AP1484" s="192"/>
      <c r="AQ1484" s="192"/>
      <c r="AR1484" s="192"/>
      <c r="AS1484" s="192"/>
      <c r="AT1484" s="192"/>
      <c r="AU1484" s="192"/>
      <c r="AV1484" s="192"/>
      <c r="AW1484" s="192"/>
      <c r="AX1484" s="192"/>
    </row>
    <row r="1485" spans="2:50" ht="15" customHeight="1" x14ac:dyDescent="0.3">
      <c r="B1485" s="192"/>
      <c r="C1485" s="192"/>
      <c r="D1485" s="192"/>
      <c r="E1485" s="192"/>
      <c r="F1485" s="192"/>
      <c r="G1485" s="192"/>
      <c r="H1485" s="192"/>
      <c r="I1485" s="192"/>
      <c r="J1485" s="192"/>
      <c r="K1485" s="192"/>
      <c r="L1485" s="192"/>
      <c r="M1485" s="192"/>
      <c r="N1485" s="192"/>
      <c r="O1485" s="192"/>
      <c r="P1485" s="192"/>
      <c r="Q1485" s="192"/>
      <c r="R1485" s="192"/>
      <c r="S1485" s="192"/>
      <c r="T1485" s="192"/>
      <c r="U1485" s="192"/>
      <c r="V1485" s="192"/>
      <c r="W1485" s="192"/>
      <c r="X1485" s="192"/>
      <c r="Y1485" s="192"/>
      <c r="Z1485" s="192"/>
      <c r="AA1485" s="192"/>
      <c r="AB1485" s="192"/>
      <c r="AC1485" s="192"/>
      <c r="AD1485" s="192"/>
      <c r="AE1485" s="192"/>
      <c r="AF1485" s="192"/>
      <c r="AG1485" s="192"/>
      <c r="AH1485" s="192"/>
      <c r="AI1485" s="192"/>
      <c r="AJ1485" s="192"/>
      <c r="AK1485" s="192"/>
      <c r="AL1485" s="192"/>
      <c r="AM1485" s="192"/>
      <c r="AN1485" s="192"/>
      <c r="AO1485" s="192"/>
      <c r="AP1485" s="192"/>
      <c r="AQ1485" s="192"/>
      <c r="AR1485" s="192"/>
      <c r="AS1485" s="192"/>
      <c r="AT1485" s="192"/>
      <c r="AU1485" s="192"/>
      <c r="AV1485" s="192"/>
      <c r="AW1485" s="192"/>
      <c r="AX1485" s="192"/>
    </row>
    <row r="1486" spans="2:50" ht="15" customHeight="1" x14ac:dyDescent="0.3">
      <c r="B1486" s="192"/>
      <c r="C1486" s="192"/>
      <c r="D1486" s="192"/>
      <c r="E1486" s="192"/>
      <c r="F1486" s="192"/>
      <c r="G1486" s="192"/>
      <c r="H1486" s="192"/>
      <c r="I1486" s="192"/>
      <c r="J1486" s="192"/>
      <c r="K1486" s="192"/>
      <c r="L1486" s="192"/>
      <c r="M1486" s="192"/>
      <c r="N1486" s="192"/>
      <c r="O1486" s="192"/>
      <c r="P1486" s="192"/>
      <c r="Q1486" s="192"/>
      <c r="R1486" s="192"/>
      <c r="S1486" s="192"/>
      <c r="T1486" s="192"/>
      <c r="U1486" s="192"/>
      <c r="V1486" s="192"/>
      <c r="W1486" s="192"/>
      <c r="X1486" s="192"/>
      <c r="Y1486" s="192"/>
      <c r="Z1486" s="192"/>
      <c r="AA1486" s="192"/>
      <c r="AB1486" s="192"/>
      <c r="AC1486" s="192"/>
      <c r="AD1486" s="192"/>
      <c r="AE1486" s="192"/>
      <c r="AF1486" s="192"/>
      <c r="AG1486" s="192"/>
      <c r="AH1486" s="192"/>
      <c r="AI1486" s="192"/>
      <c r="AJ1486" s="192"/>
      <c r="AK1486" s="192"/>
      <c r="AL1486" s="192"/>
      <c r="AM1486" s="192"/>
      <c r="AN1486" s="192"/>
      <c r="AO1486" s="192"/>
      <c r="AP1486" s="192"/>
      <c r="AQ1486" s="192"/>
      <c r="AR1486" s="192"/>
      <c r="AS1486" s="192"/>
      <c r="AT1486" s="192"/>
      <c r="AU1486" s="192"/>
      <c r="AV1486" s="192"/>
      <c r="AW1486" s="192"/>
      <c r="AX1486" s="192"/>
    </row>
    <row r="1487" spans="2:50" ht="15" customHeight="1" thickBot="1" x14ac:dyDescent="0.4">
      <c r="B1487" s="192"/>
      <c r="C1487" s="192"/>
      <c r="D1487" s="192"/>
      <c r="E1487" s="192"/>
      <c r="F1487" s="192"/>
      <c r="G1487" s="192"/>
      <c r="H1487" s="192"/>
      <c r="I1487" s="383" t="s">
        <v>163</v>
      </c>
      <c r="J1487" s="383"/>
      <c r="K1487" s="383"/>
      <c r="L1487" s="383"/>
      <c r="M1487" s="383"/>
      <c r="N1487" s="383"/>
      <c r="O1487" s="383"/>
      <c r="P1487" s="383"/>
      <c r="Q1487" s="383"/>
      <c r="R1487" s="383"/>
      <c r="S1487" s="192"/>
      <c r="T1487" s="192"/>
      <c r="U1487" s="370" t="s">
        <v>92</v>
      </c>
      <c r="V1487" s="371"/>
      <c r="W1487" s="371"/>
      <c r="X1487" s="372"/>
      <c r="Y1487" s="192"/>
      <c r="Z1487" s="192"/>
      <c r="AA1487" s="192"/>
      <c r="AB1487" s="192"/>
      <c r="AC1487" s="192"/>
      <c r="AD1487" s="192"/>
      <c r="AE1487" s="192"/>
      <c r="AF1487" s="192"/>
      <c r="AG1487" s="192"/>
      <c r="AH1487" s="192"/>
      <c r="AI1487" s="192"/>
      <c r="AJ1487" s="192"/>
      <c r="AK1487" s="192"/>
      <c r="AL1487" s="192"/>
      <c r="AM1487" s="192"/>
      <c r="AN1487" s="192"/>
      <c r="AO1487" s="192"/>
      <c r="AP1487" s="192"/>
      <c r="AQ1487" s="192"/>
      <c r="AR1487" s="192"/>
      <c r="AS1487" s="192"/>
      <c r="AT1487" s="192"/>
      <c r="AU1487" s="192"/>
      <c r="AV1487" s="192"/>
      <c r="AW1487" s="192"/>
      <c r="AX1487" s="192"/>
    </row>
    <row r="1488" spans="2:50" ht="15" customHeight="1" thickTop="1" thickBot="1" x14ac:dyDescent="0.35">
      <c r="B1488" s="192"/>
      <c r="C1488" s="192"/>
      <c r="D1488" s="192"/>
      <c r="E1488" s="192"/>
      <c r="F1488" s="192"/>
      <c r="G1488" s="192"/>
      <c r="H1488" s="192"/>
      <c r="I1488" s="400" t="s">
        <v>93</v>
      </c>
      <c r="J1488" s="160"/>
      <c r="K1488" s="396" t="s">
        <v>94</v>
      </c>
      <c r="L1488" s="398" t="s">
        <v>95</v>
      </c>
      <c r="M1488" s="390" t="s">
        <v>96</v>
      </c>
      <c r="N1488" s="390" t="s">
        <v>97</v>
      </c>
      <c r="O1488" s="373" t="s">
        <v>98</v>
      </c>
      <c r="P1488" s="373" t="str">
        <f>IF(COUNT(U1489:X1500)=3,"LM/WM Ratio",IF(COUNT(U1489:X1500)=6,"LP/WP Ratio",""))</f>
        <v/>
      </c>
      <c r="Q1488" s="390" t="s">
        <v>99</v>
      </c>
      <c r="R1488" s="392" t="s">
        <v>100</v>
      </c>
      <c r="S1488" s="192"/>
      <c r="T1488" s="120"/>
      <c r="U1488" s="121" t="s">
        <v>101</v>
      </c>
      <c r="V1488" s="122" t="s">
        <v>102</v>
      </c>
      <c r="W1488" s="122" t="s">
        <v>103</v>
      </c>
      <c r="X1488" s="123" t="s">
        <v>104</v>
      </c>
      <c r="Y1488" s="380" t="s">
        <v>105</v>
      </c>
      <c r="Z1488" s="379"/>
      <c r="AA1488" s="378" t="s">
        <v>106</v>
      </c>
      <c r="AB1488" s="379"/>
      <c r="AC1488" s="192"/>
      <c r="AD1488" s="192"/>
      <c r="AE1488" s="192"/>
      <c r="AF1488" s="192"/>
      <c r="AG1488" s="192"/>
      <c r="AH1488" s="192"/>
      <c r="AI1488" s="192"/>
      <c r="AJ1488" s="192"/>
      <c r="AK1488" s="192"/>
      <c r="AL1488" s="192"/>
      <c r="AM1488" s="192"/>
      <c r="AN1488" s="192"/>
      <c r="AO1488" s="192"/>
      <c r="AP1488" s="192"/>
      <c r="AQ1488" s="192"/>
      <c r="AR1488" s="192"/>
      <c r="AS1488" s="192"/>
      <c r="AT1488" s="192"/>
      <c r="AU1488" s="192"/>
      <c r="AV1488" s="192"/>
      <c r="AW1488" s="192"/>
      <c r="AX1488" s="192"/>
    </row>
    <row r="1489" spans="2:50" ht="15" customHeight="1" thickTop="1" thickBot="1" x14ac:dyDescent="0.35">
      <c r="B1489" s="192"/>
      <c r="C1489" s="192"/>
      <c r="D1489" s="192"/>
      <c r="E1489" s="192"/>
      <c r="F1489" s="192"/>
      <c r="G1489" s="192"/>
      <c r="H1489" s="192"/>
      <c r="I1489" s="401"/>
      <c r="J1489" s="161"/>
      <c r="K1489" s="397"/>
      <c r="L1489" s="399"/>
      <c r="M1489" s="391"/>
      <c r="N1489" s="391"/>
      <c r="O1489" s="374"/>
      <c r="P1489" s="374"/>
      <c r="Q1489" s="391"/>
      <c r="R1489" s="393"/>
      <c r="S1489" s="192"/>
      <c r="T1489" s="208">
        <v>1</v>
      </c>
      <c r="U1489" s="209" t="str">
        <f>IF(M1490="","",IF(COUNTIF(M1490:M1492,M1490)=3,IF(COUNTBLANK(I1490:I1493)=1,(Q1502+Q1508)/(Q1501+Q1507),IF(COUNTBLANK(I1490:I1493)=0,(Q1514+Q1502)/(Q1513+Q1501),"")),""))</f>
        <v/>
      </c>
      <c r="V1489" s="125" t="str">
        <f>IF(AND(COUNTBLANK(I1490:I1493)=0,M1490=M1492,M1492=M1493),(Q1502+Q1508)/(Q1501+Q1507),"")</f>
        <v/>
      </c>
      <c r="W1489" s="210" t="str">
        <f>IF(AND(COUNTBLANK(I1490:I1493)=0,M1490=M1491,M1491=M1493),(Q1514+Q1508)/(Q1513+Q1507),"")</f>
        <v/>
      </c>
      <c r="X1489" s="211"/>
      <c r="Y1489" s="169" t="s">
        <v>93</v>
      </c>
      <c r="Z1489" s="170" t="s">
        <v>107</v>
      </c>
      <c r="AA1489" s="169" t="s">
        <v>93</v>
      </c>
      <c r="AB1489" s="170" t="s">
        <v>107</v>
      </c>
      <c r="AC1489" s="192"/>
      <c r="AD1489" s="192"/>
      <c r="AE1489" s="192"/>
      <c r="AF1489" s="192"/>
      <c r="AG1489" s="192"/>
      <c r="AH1489" s="192"/>
      <c r="AI1489" s="192"/>
      <c r="AJ1489" s="192"/>
      <c r="AK1489" s="192"/>
      <c r="AL1489" s="192"/>
      <c r="AM1489" s="192"/>
      <c r="AN1489" s="192"/>
      <c r="AO1489" s="192"/>
      <c r="AP1489" s="192"/>
      <c r="AQ1489" s="192"/>
      <c r="AR1489" s="192"/>
      <c r="AS1489" s="192"/>
      <c r="AT1489" s="192"/>
      <c r="AU1489" s="192"/>
      <c r="AV1489" s="192"/>
      <c r="AW1489" s="192"/>
      <c r="AX1489" s="192"/>
    </row>
    <row r="1490" spans="2:50" ht="15" customHeight="1" thickTop="1" thickBot="1" x14ac:dyDescent="0.35">
      <c r="B1490" s="192"/>
      <c r="C1490" s="192"/>
      <c r="D1490" s="192"/>
      <c r="E1490" s="192"/>
      <c r="F1490" s="192" t="str">
        <f>IF(I1490="","",VLOOKUP(I1490,Siembra,2,FALSE))</f>
        <v/>
      </c>
      <c r="G1490" s="192" t="str">
        <f>O1490</f>
        <v/>
      </c>
      <c r="H1490" s="192">
        <v>1</v>
      </c>
      <c r="I1490" s="128" t="str">
        <f>IF(K1490="","",IF(ISNUMBER(Sorteo!$A$17),VLOOKUP(K1490,Draw,2,FALSE),""))</f>
        <v/>
      </c>
      <c r="J1490" s="129" t="str">
        <f>O1490</f>
        <v/>
      </c>
      <c r="K1490" s="130" t="str">
        <f>IF($K$9="","",IF(Group_players=4,IF(Tablas!CV$3="","",Tablas!CV$3),IF(Group_players=3,IF(Tablas!CV$11="","",Tablas!CV$11),"")))</f>
        <v/>
      </c>
      <c r="L1490" s="131" t="str">
        <f>IF(K1490="","",VLOOKUP(I1490,Siembra,3,FALSE))</f>
        <v/>
      </c>
      <c r="M1490" s="132" t="str">
        <f>IF(AND(Q1501="",Q1502=""),"",IF(I1490="","",SUMIFS(E1501:E1517,I1501:I1517,I1490)))</f>
        <v/>
      </c>
      <c r="N1490" s="132" t="str">
        <f>IF(M1490="","",IF(I1490="","",SUMIFS(F1501:F1517,I1501:I1517,I1490)))</f>
        <v/>
      </c>
      <c r="O1490" s="132" t="str">
        <f>IF(M1490="","",IF(COUNTBLANK(I1490:I1493)=1,IF(M1490=2,1,IF(M1490=0,3,IF(AND(M1490=1,M1491&lt;&gt;1),2,IF(COUNTIF(M1490:M1492,1)&gt;1,Z1490)))),IF(COUNTBLANK(I1490:I1493)=0,IF(COUNTIF(M1490:M1493,M1490)=1,IF(M1490=3,1,IF(M1490=2,2,IF(M1490=1,3,IF(M1490=0,4)))),IF(Group_players=3,Z1490,IF(COUNTIF(M1490:M1493,M1490)=2,AB1490,IF(AND(M1490=M1491,M1491=M1492),AB1494,IF(AND(M1490=M1492,M1492=M1493),AB1497,IF(AND(M1490=M1491,M1491=M1493),AB1500,"")))))),99)))</f>
        <v/>
      </c>
      <c r="P1490" s="133" t="str">
        <f>IF(COUNT(U1489:X1500)=3,IF(ISNUMBER(U1489),U1489,IF(ISNUMBER(V1489),V1489,IF(ISNUMBER(W1489),W1489,IF(X1489="","")))),IF(COUNT(U1489:X1500)=6,IF(ISNUMBER(U1497),U1497,IF(ISNUMBER(V1497),V1497,IF(ISNUMBER(W1497),W1497,IF(ISBLANK(X1489),"")))),""))</f>
        <v/>
      </c>
      <c r="Q1490" s="132" t="str">
        <f>IF(M1490="","",SUMIF(I1501:S1517,I1490,S1501:S1517))</f>
        <v/>
      </c>
      <c r="R1490" s="134" t="str">
        <f>IF(M1490="","",L1490+Q1490)</f>
        <v/>
      </c>
      <c r="S1490" s="203"/>
      <c r="T1490" s="208">
        <v>2</v>
      </c>
      <c r="U1490" s="209" t="str">
        <f>IF(M1491="","",IF(COUNTIF(M1490:M1492,M1491)=3,IF(COUNTBLANK(I1490:I1493)=1,(Q1505+Q1507)/(Q1504+Q1508),IF(COUNTBLANK(I1490:I1493)=0,(Q1511+Q1513)/(Q1510+Q1514),"")),""))</f>
        <v/>
      </c>
      <c r="V1490" s="135"/>
      <c r="W1490" s="212" t="str">
        <f>IF(AND(COUNTBLANK(I1490:I1493)=0,M1491=M1490,M1490=M1493),(Q1513+Q1505)/(Q1514+Q1504),"")</f>
        <v/>
      </c>
      <c r="X1490" s="213" t="str">
        <f>IF(AND(COUNTBLANK(I1490:I1493)=0,M1491=M1492,M1492=M1493),(Q1511+Q1505)/(Q1510+Q1504),"")</f>
        <v/>
      </c>
      <c r="Y1490" s="214">
        <v>1</v>
      </c>
      <c r="Z1490" s="215" t="str">
        <f>IF(U1489="","",IF(OR(Group_players=3,AND(Group_players=4,COUNTBLANK(I1490:I1493)=1)),IF(COUNTIF(M1490:M1492,M1490)=1,"",IF(AND(U1489=U1490,U1490=U1491),Z1494,IF(AND(U1489&lt;&gt;U1490,U1489&lt;&gt;U1491,U1490&lt;&gt;U1491),(IF(SMALL(U1489:U1491,1)=U1489,1,IF(SMALL(U1489:U1491,2)=U1489,2,IF(SMALL(U1489:U1491,3)=U1489,3)))),IF(AND(U1489&lt;U1490,U1490=U1491),1,IF(AND(U1489&gt;U1490,U1490=U1491),3,IF(AND(U1489=U1490,U1489&lt;U1491),(IF(Q1507=3,1,2)),IF(AND(U1489=U1490,U1489&gt;U1491),(IF(Q1507=3,2,3)),IF(AND(U1489=U1491,U1489&lt;U1490),(IF(Q1501=3,1,2)),IF(AND(U1489=U1491,U1489&gt;U1490),(IF(Q1501=3,2,3)),99))))))))),""))</f>
        <v/>
      </c>
      <c r="AA1490" s="216">
        <v>1</v>
      </c>
      <c r="AB1490" s="217" t="str">
        <f>IF(COUNTIF(M1490:M1493,M1490)&lt;&gt;2,"",IF(COUNTIF(M1490:M1493,M1490)=1,"",IF(AND(COUNTIF(M1490:M1493,M1490)=2,M1490=2),IF(M1490=M1491,IF(Q1513=3,1,2),IF(M1490=M1492,IF(Q1501=3,1,2),IF(M1490=M1493,IF(Q1507=3,1,2)))),IF(AND(COUNTIF(M1490:M1493,M1490)=2,M1490=1),IF(M1490=M1491,IF(Q1513=3,3,4),IF(M1490=M1492,IF(Q1501=3,3,4),IF(M1490=M1493,IF(Q1507=3,3,4)))),IF(COUNTIF(M1490:M1493,M1490)=3,AB1494)))))</f>
        <v/>
      </c>
      <c r="AC1490" s="192"/>
      <c r="AD1490" s="192"/>
      <c r="AE1490" s="192"/>
      <c r="AF1490" s="192"/>
      <c r="AG1490" s="192"/>
      <c r="AH1490" s="192"/>
      <c r="AI1490" s="192"/>
      <c r="AJ1490" s="192"/>
      <c r="AK1490" s="192"/>
      <c r="AL1490" s="192"/>
      <c r="AM1490" s="192"/>
      <c r="AN1490" s="192"/>
      <c r="AO1490" s="192"/>
      <c r="AP1490" s="192"/>
      <c r="AQ1490" s="192"/>
      <c r="AR1490" s="192"/>
      <c r="AS1490" s="192"/>
      <c r="AT1490" s="192"/>
      <c r="AU1490" s="192"/>
      <c r="AV1490" s="192"/>
      <c r="AW1490" s="192"/>
      <c r="AX1490" s="192"/>
    </row>
    <row r="1491" spans="2:50" ht="15" customHeight="1" thickTop="1" thickBot="1" x14ac:dyDescent="0.35">
      <c r="B1491" s="192"/>
      <c r="C1491" s="192"/>
      <c r="D1491" s="192"/>
      <c r="E1491" s="192"/>
      <c r="F1491" s="192" t="str">
        <f>IF(I1491="","",VLOOKUP(I1491,Siembra,2,FALSE))</f>
        <v/>
      </c>
      <c r="G1491" s="192" t="str">
        <f>O1491</f>
        <v/>
      </c>
      <c r="H1491" s="192">
        <v>2</v>
      </c>
      <c r="I1491" s="128" t="str">
        <f>IF(K1491="","",IF(ISNUMBER(Sorteo!$A$17),VLOOKUP(K1491,Draw,2,FALSE),""))</f>
        <v/>
      </c>
      <c r="J1491" s="129" t="str">
        <f>O1491</f>
        <v/>
      </c>
      <c r="K1491" s="136" t="str">
        <f>IF($K$9="","",IF(Group_players=4,IF(Tablas!CV$4="","",Tablas!CV$4),IF(Group_players=3,IF(Tablas!CV$12="","",Tablas!CV$12),"")))</f>
        <v/>
      </c>
      <c r="L1491" s="137" t="str">
        <f>IF(K1491="","",VLOOKUP(I1491,Siembra,3,FALSE))</f>
        <v/>
      </c>
      <c r="M1491" s="132" t="str">
        <f>IF(AND(L1501="",L1502=""),"",IF(I1491="","",SUMIFS(E1501:E1518,I1501:I1518,I1491)))</f>
        <v/>
      </c>
      <c r="N1491" s="138" t="str">
        <f>IF(M1491="","",IF(I1491="","",SUMIFS(F1501:F1517,I1501:I1517,I1491)))</f>
        <v/>
      </c>
      <c r="O1491" s="132" t="str">
        <f>IF(M1491="","",IF(COUNTBLANK(I1490:I1493)=1,IF(M1491=2,1,IF(M1491=0,3,IF(AND(M1491=1,M1492&lt;&gt;1),2,IF(COUNTIF(M1490:M1493,1)&gt;1,Z1491)))),IF(COUNTBLANK(I1490:I1493)=0,IF(COUNTIF(M1490:M1493,M1491)=1,IF(M1491=3,1,IF(M1491=2,2,IF(M1491=1,3,IF(M1491=0,4)))),IF(Group_players=3,Z1491,IF(COUNTIF(M1490:M1493,M1491)=2,AB1491,IF(AND(M1491=M1490,M1490=M1492),AB1495,IF(AND(M1491=M1490,M1490=M1493),AB1501,IF(AND(M1491=M1492,M1492=M1493),AB1503,"")))))))))</f>
        <v/>
      </c>
      <c r="P1491" s="133" t="str">
        <f>IF(COUNT(U1489:X1500)=3,IF(ISNUMBER(U1490),U1490,IF(ISNUMBER(W1490),W1490,IF(ISNUMBER(X1490),X1490,IF(X1490="","")))),IF(COUNT(U1489:X1500)=6,IF(ISNUMBER(U1498),U1498,IF(ISNUMBER(W1498),W1498,IF(ISNUMBER(X1498),X1498,IF(ISBLANK(X1497),"")))),""))</f>
        <v/>
      </c>
      <c r="Q1491" s="138" t="str">
        <f>IF(M1491="","",SUMIF(I1501:S1517,I1491,S1501:$S1517))</f>
        <v/>
      </c>
      <c r="R1491" s="139" t="str">
        <f>IF(M1491="","",L1491+Q1491)</f>
        <v/>
      </c>
      <c r="S1491" s="203"/>
      <c r="T1491" s="208">
        <v>3</v>
      </c>
      <c r="U1491" s="209" t="str">
        <f>IF(M1492="","",IF(COUNTIF(M1490:M1492,M1492)=3,IF(COUNTBLANK(I1490:I1493)=1,(Q1501+Q1504)/(Q1502+Q1505),IF(COUNTBLANK(I1490:I1493)=0,(Q1501+Q1510)/(Q1502+Q1511),"")),""))</f>
        <v/>
      </c>
      <c r="V1491" s="125" t="str">
        <f>IF(AND(COUNTBLANK(I1490:I1493)=0,M1492=M1493,M1493=M1490),(Q1501+Q1517)/(Q1502+Q1516),"")</f>
        <v/>
      </c>
      <c r="W1491" s="218"/>
      <c r="X1491" s="213" t="str">
        <f>IF(AND(COUNTBLANK(I1490:I1493)=0,M1492=M1493,M1493=M1491),(Q1510+Q1517)/(Q1511+Q1516),"")</f>
        <v/>
      </c>
      <c r="Y1491" s="219">
        <v>2</v>
      </c>
      <c r="Z1491" s="220" t="str">
        <f>IF(U1490="","",IF(OR(Group_players=3,AND(Group_players=4,COUNTBLANK(I1490:I1493)=1)),IF(COUNTIF(M1490:M1492,M1491)=1,"",IF(AND(U1490=U1489,U1490=U1491),Z1495,IF(AND(U1490&lt;&gt;U1489,U1490&lt;&gt;U1491,U1489&lt;&gt;U1491),(IF(SMALL(U1489:U1491,1)=U1490,1,IF(SMALL(U1489:U1491,2)=U1490,2,IF(SMALL(U1489:U1491,3)=U1490,3)))),IF(AND(U1490&lt;U1489,U1489=U1491),1,IF(AND(U1490&gt;U1489,U1489=U1491),3,IF(AND(U1490=U1489,U1490&lt;U1491),(IF(Q1508=3,1,2)),IF(AND(U1490=U1489,U1490&gt;U1491),(IF(Q1508=3,2,3)),IF(AND(U1490=U1491,U1490&lt;U1489),(IF(Q1504=3,1,2)),IF(AND(U1490=U1491,U1490&gt;U1489),(IF(Q1504=3,2,3)),99))))))))),""))</f>
        <v/>
      </c>
      <c r="AA1491" s="221">
        <v>2</v>
      </c>
      <c r="AB1491" s="222" t="str">
        <f>IF(COUNTIF(M1490:M1493,M1491)&lt;&gt;2,"",IF(COUNTIF(M1490:M1493,M1491)=1,"",IF(AND(COUNTIF(M1490:M1493,M1491)=2,M1491=2),IF(M1491=M1490,IF(Q1514=3,1,2),IF(M1491=M1492,IF(Q1510=3,1,2),IF(M1491=M1493,IF(Q1504=3,1,2)))),IF(AND(COUNTIF(M1490:M1493,M1491)=2,M1491=1),IF(M1491=M1490,IF(Q1514=3,3,4),IF(M1491=M1492,IF(Q1510=3,3,4),IF(M1491=M1493,IF(Q1504=3,3,4)))),AB1496))))</f>
        <v/>
      </c>
      <c r="AC1491" s="192"/>
      <c r="AD1491" s="192"/>
      <c r="AE1491" s="192"/>
      <c r="AF1491" s="192"/>
      <c r="AG1491" s="192"/>
      <c r="AH1491" s="192"/>
      <c r="AI1491" s="192"/>
      <c r="AJ1491" s="192"/>
      <c r="AK1491" s="192"/>
      <c r="AL1491" s="192"/>
      <c r="AM1491" s="192"/>
      <c r="AN1491" s="192"/>
      <c r="AO1491" s="192"/>
      <c r="AP1491" s="192"/>
      <c r="AQ1491" s="192"/>
      <c r="AR1491" s="192"/>
      <c r="AS1491" s="192"/>
      <c r="AT1491" s="192"/>
      <c r="AU1491" s="192"/>
      <c r="AV1491" s="192"/>
      <c r="AW1491" s="192"/>
      <c r="AX1491" s="192"/>
    </row>
    <row r="1492" spans="2:50" ht="15" customHeight="1" thickBot="1" x14ac:dyDescent="0.35">
      <c r="B1492" s="192"/>
      <c r="C1492" s="192"/>
      <c r="D1492" s="192"/>
      <c r="E1492" s="192"/>
      <c r="F1492" s="192" t="str">
        <f>IF(I1492="","",VLOOKUP(I1492,Siembra,2,FALSE))</f>
        <v/>
      </c>
      <c r="G1492" s="192" t="str">
        <f>O1492</f>
        <v/>
      </c>
      <c r="H1492" s="192">
        <v>3</v>
      </c>
      <c r="I1492" s="128" t="str">
        <f>IF(K1492="","",IF(ISNUMBER(Sorteo!$A$17),VLOOKUP(K1492,Draw,2,FALSE),""))</f>
        <v/>
      </c>
      <c r="J1492" s="129" t="str">
        <f>O1492</f>
        <v/>
      </c>
      <c r="K1492" s="136" t="str">
        <f>IF($K$9="","",IF(Group_players=4,IF(Tablas!CV$5="","",Tablas!CV$5),IF(Group_players=3,IF(Tablas!CV$13="","",Tablas!CV$13),"")))</f>
        <v/>
      </c>
      <c r="L1492" s="137" t="str">
        <f>IF(K1492="","",VLOOKUP(I1492,Siembra,3,FALSE))</f>
        <v/>
      </c>
      <c r="M1492" s="132" t="str">
        <f>IF(AND(L1502="",L1501=""),"",IF(I1492="","",SUMIFS(E1501:E1519,I1501:I1519,I1492)))</f>
        <v/>
      </c>
      <c r="N1492" s="138" t="str">
        <f>IF(M1492="","",IF(I1492="","",SUMIFS(F1501:F1517,I1501:I1517,I1492)))</f>
        <v/>
      </c>
      <c r="O1492" s="132" t="str">
        <f>IF(M1492="","",IF(COUNTBLANK(I1490:I1493)=1,IF(M1492=2,1,IF(M1492=0,3,IF(AND(M1492=1,M1492&lt;&gt;M1490),2,IF(COUNTIF(M1490:M1493,1)&gt;1,Z1492)))),IF(COUNTBLANK(I1490:I1493)=0,IF(COUNTIF(M1490:M1493,M1492)=1,IF(M1492=3,1,IF(M1492=2,2,IF(M1492=1,3,IF(M1492=0,4)))),IF(Group_players=3,Z1492,IF(COUNTIF(M1490:M1493,M1492)=2,AB1492,IF(AND(M1492=M1490,M1490=M1491),AB1496,IF(AND(M1492=M1490,M1490=M1493),AB1498,IF(AND(M1492=M1491,M1491=M1493),AB1504,"")))))))))</f>
        <v/>
      </c>
      <c r="P1492" s="133" t="str">
        <f>IF(COUNT(U1489:X1500)=3,IF(ISNUMBER(U1491),U1491,IF(ISNUMBER(V1491),V1491,IF(ISNUMBER(X1491),X1491,IF(W1491="","")))),IF(COUNT(U1489:X1500)=6,IF(ISNUMBER(U1499),U1499,IF(ISNUMBER(V1499),V1499,IF(ISNUMBER(X1499),X1499,""))),""))</f>
        <v/>
      </c>
      <c r="Q1492" s="138" t="str">
        <f>IF(M1492="","",SUMIF(I1501:S1517,I1492,S1501:S1517))</f>
        <v/>
      </c>
      <c r="R1492" s="139" t="str">
        <f>IF(M1492="","",L1492+Q1492)</f>
        <v/>
      </c>
      <c r="S1492" s="203"/>
      <c r="T1492" s="208">
        <v>4</v>
      </c>
      <c r="U1492" s="223"/>
      <c r="V1492" s="140" t="str">
        <f>IF(AND(COUNTBLANK(I1490:I1493)=0,M1493=M1490,M1490=M1492),(Q1507+Q1516)/(Q1508+Q1517),"")</f>
        <v/>
      </c>
      <c r="W1492" s="224" t="str">
        <f>IF(AND(COUNTBLANK(I1490:I1493)=0,M1493=M1490,M1490=M1491),(Q1507+Q1504)/(Q1508+Q1505),"")</f>
        <v/>
      </c>
      <c r="X1492" s="225" t="str">
        <f>IF(AND(COUNTBLANK(I1490:I1493)=0,M1493=M1491,M1491=M1492),(Q1504+Q1516)/(Q1505+Q1517),"")</f>
        <v/>
      </c>
      <c r="Y1492" s="226">
        <v>3</v>
      </c>
      <c r="Z1492" s="227" t="str">
        <f>IF(U1491="","",IF(OR(Group_players=3,AND(Group_players=4,COUNTBLANK(I1490:I1493)=1)),IF(COUNTIF(M1490:M1492,M1492)=1,"",IF(AND(U1491=U1489,U1491=U1490),Z1496,IF(AND(U1491&lt;&gt;U1490,U1490&lt;&gt;U1489,U1491&lt;&gt;U1489),(IF(SMALL(U1489:U1491,1)=U1491,1,IF(SMALL(U1489:U1491,2)=U1491,2,IF(SMALL(U1489:U1491,3)=U1491,3)))),IF(AND(U1491&lt;U1490,U1490=U1489),1,IF(AND(U1491&gt;U1490,U1490=U1489),3,IF(AND(U1491=U1490,U1491&lt;U1489),(IF(Q1505=3,1,2)),IF(AND(U1491=U1490,U1491&gt;U1489),(IF(Q1505=3,2,3)),IF(AND(U1491=U1489,U1491&lt;U1490),(IF(Q1502=3,1,2)),IF(AND(U1491=U1489,U1491&gt;U1490),(IF(Q1502=3,2,3)),99))))))))),""))</f>
        <v/>
      </c>
      <c r="AA1492" s="221">
        <v>3</v>
      </c>
      <c r="AB1492" s="222" t="str">
        <f>IF(COUNTIF(M1490:M1493,M1492)&lt;&gt;2,"",IF(COUNTIF(M1490:M1493,M1492)=1,"",IF(AND(COUNTIF(M1490:M1493,M1492)=2,M1492=2),IF(M1492=M1490,IF(Q1502=3,1,2),IF(M1492=M1491,IF(Q1511=3,1,2),IF(M1492=M1493,IF(Q1516=3,1,2)))),IF(AND(COUNTIF(M1490:M1493,M1492)=2,M1492=1),IF(M1492=M1490,IF(Q1502=3,3,4),IF(M1492=M1491,IF(Q1511=3,3,4),IF(M1492=M1493,IF(Q1516=3,3,4)))),AB1496))))</f>
        <v/>
      </c>
      <c r="AC1492" s="192"/>
      <c r="AD1492" s="192"/>
      <c r="AE1492" s="192"/>
      <c r="AF1492" s="192"/>
      <c r="AG1492" s="192"/>
      <c r="AH1492" s="192"/>
      <c r="AI1492" s="192"/>
      <c r="AJ1492" s="192"/>
      <c r="AK1492" s="192"/>
      <c r="AL1492" s="192"/>
      <c r="AM1492" s="192"/>
      <c r="AN1492" s="192"/>
      <c r="AO1492" s="192"/>
      <c r="AP1492" s="192"/>
      <c r="AQ1492" s="192"/>
      <c r="AR1492" s="192"/>
      <c r="AS1492" s="192"/>
      <c r="AT1492" s="192"/>
      <c r="AU1492" s="192"/>
      <c r="AV1492" s="192"/>
      <c r="AW1492" s="192"/>
      <c r="AX1492" s="192"/>
    </row>
    <row r="1493" spans="2:50" ht="15" customHeight="1" thickTop="1" thickBot="1" x14ac:dyDescent="0.35">
      <c r="B1493" s="192"/>
      <c r="C1493" s="192"/>
      <c r="D1493" s="192"/>
      <c r="E1493" s="192"/>
      <c r="F1493" s="192" t="str">
        <f>IF(I1493="","",VLOOKUP(I1493,Siembra,2,FALSE))</f>
        <v/>
      </c>
      <c r="G1493" s="192" t="str">
        <f>O1493</f>
        <v/>
      </c>
      <c r="H1493" s="192">
        <v>4</v>
      </c>
      <c r="I1493" s="141" t="str">
        <f>IF(K1493="","",IF(ISNUMBER(Sorteo!$A$17),VLOOKUP(K1493,Draw,2,FALSE),""))</f>
        <v/>
      </c>
      <c r="J1493" s="142" t="str">
        <f>O1493</f>
        <v/>
      </c>
      <c r="K1493" s="143" t="str">
        <f>IF($K$9="","",IF(Group_players=4,IF(Tablas!CV6="","",Tablas!CV6),""))</f>
        <v/>
      </c>
      <c r="L1493" s="144" t="str">
        <f>IF(K1493="","",VLOOKUP(I1493,Siembra,3,FALSE))</f>
        <v/>
      </c>
      <c r="M1493" s="145" t="str">
        <f>IF(AND(Q1504="",Q1505=""),"",IF(I1493="","",SUMIFS(E1501:E1520,I1501:I1520,I1493)))</f>
        <v/>
      </c>
      <c r="N1493" s="145" t="str">
        <f>IF(M1493="","",IF(I1493="","",SUMIFS(F1501:F1517,I1501:I1517,I1493)))</f>
        <v/>
      </c>
      <c r="O1493" s="145" t="str">
        <f>IF(M1493="","",IF(COUNTIF(M1490:M1493,M1493)=1,IF(M1493=3,1,IF(M1493=2,2,IF(M1493=1,3,IF(M1493=0,4)))),IF(COUNTIF(M1490:M1493,M1493)=2,AB1493,IF(AND(M1493=M1490,M1490=M1492),AB1499,IF(AND(M1493=M1490,M1490=M1491),AB1502,IF(AND(M1493=M1491,M1491=M1492),AB1505,""))))))</f>
        <v/>
      </c>
      <c r="P1493" s="146" t="str">
        <f>IF(COUNT(U1489:X1500)=3,IF(ISNUMBER(V1492),V1492,IF(ISNUMBER(W1492),W1492,IF(ISNUMBER(X1492),X1492,IF(X1492="","")))),IF(COUNT(U1489:X1500)=6,IF(ISNUMBER(V1500),V1500,IF(ISNUMBER(W1500),W1500,IF(ISNUMBER(X1500),X1500,""))),""))</f>
        <v/>
      </c>
      <c r="Q1493" s="145" t="str">
        <f>IF(M1493="","",SUMIF(I1501:S1517,I1493,S1501:$S1517))</f>
        <v/>
      </c>
      <c r="R1493" s="147" t="str">
        <f>IF(M1493="","",L1493+Q1493)</f>
        <v/>
      </c>
      <c r="S1493" s="203"/>
      <c r="T1493" s="192"/>
      <c r="U1493" s="192"/>
      <c r="V1493" s="192"/>
      <c r="W1493" s="192"/>
      <c r="X1493" s="192"/>
      <c r="Y1493" s="230" t="s">
        <v>93</v>
      </c>
      <c r="Z1493" s="231" t="s">
        <v>110</v>
      </c>
      <c r="AA1493" s="232">
        <v>4</v>
      </c>
      <c r="AB1493" s="233" t="str">
        <f>IF(COUNTIF(M1490:M1493,M1493)&lt;&gt;2,"",IF(COUNTIF(M1490:M1493,M1493)=1,"",IF(AND(COUNTIF(M1490:M1493,M1493)=2,M1493=2),IF(M1493=M1490,IF(Q1508=3,1,2),IF(M1493=M1491,IF(Q1505=3,1,2),IF(M1493=M1492,IF(Q1517=3,1,2)))),IF(AND(COUNTIF(M1490:M1493,M1493)=2,M1493=1),IF(M1493=M1490,IF(Q1508=3,3,4),IF(M1493=M1491,IF(Q1505=3,3,4),IF(M1493=M1492,IF(Q1517=3,3,4)))),AB1499))))</f>
        <v/>
      </c>
      <c r="AC1493" s="192"/>
      <c r="AD1493" s="192"/>
      <c r="AE1493" s="192"/>
      <c r="AF1493" s="192"/>
      <c r="AG1493" s="192"/>
      <c r="AH1493" s="192"/>
      <c r="AI1493" s="192"/>
      <c r="AJ1493" s="192"/>
      <c r="AK1493" s="192"/>
      <c r="AL1493" s="192"/>
      <c r="AM1493" s="192"/>
      <c r="AN1493" s="192"/>
      <c r="AO1493" s="192"/>
      <c r="AP1493" s="192"/>
      <c r="AQ1493" s="192"/>
      <c r="AR1493" s="192"/>
      <c r="AS1493" s="192"/>
      <c r="AT1493" s="192"/>
      <c r="AU1493" s="192"/>
      <c r="AV1493" s="192"/>
      <c r="AW1493" s="192"/>
      <c r="AX1493" s="192"/>
    </row>
    <row r="1494" spans="2:50" ht="15" customHeight="1" thickTop="1" x14ac:dyDescent="0.3">
      <c r="B1494" s="192"/>
      <c r="C1494" s="192"/>
      <c r="D1494" s="192"/>
      <c r="E1494" s="192"/>
      <c r="F1494" s="192"/>
      <c r="G1494" s="192"/>
      <c r="H1494" s="192"/>
      <c r="I1494" s="192"/>
      <c r="J1494" s="192"/>
      <c r="K1494" s="192"/>
      <c r="L1494" s="192"/>
      <c r="M1494" s="192"/>
      <c r="N1494" s="192"/>
      <c r="O1494" s="192"/>
      <c r="P1494" s="192"/>
      <c r="Q1494" s="192"/>
      <c r="R1494" s="192"/>
      <c r="S1494" s="192"/>
      <c r="T1494" s="208"/>
      <c r="U1494" s="192"/>
      <c r="V1494" s="148"/>
      <c r="W1494" s="148"/>
      <c r="X1494" s="234"/>
      <c r="Y1494" s="214">
        <v>1</v>
      </c>
      <c r="Z1494" s="215" t="str">
        <f>IF(U1497="","",IF(OR(Group_players=3,AND(Group_players=4,COUNTBLANK(I1490:I1493)=1)),IF(COUNTIF(M1490:M1492,M1490)=1,"",IF(COUNTIF(U1489:U1491,U1489)=3,IF(AND(U1497=U1498,U1498=U1499),"Tied",IF(AND(U1497&lt;&gt;U1498,U1497&lt;&gt;U1499,U1498&lt;&gt;U1499),(IF(SMALL(U1497:U1499,1)=U1497,1,IF(SMALL(U1497:U1499,2)=U1497,2,IF(SMALL(U1497:U1499,3)=U1497,3)))),IF(AND(U1497&lt;U1498,U1498=U1499),1,IF(AND(U1497&gt;U1498,U1498=U1499),3,IF(AND(U1497=U1498,U1497&lt;U1499),(IF(Q1507=3,1,2)),IF(AND(U1497=U1498,U1497&gt;U1499),(IF(Q1507=3,2,3)),IF(AND(U1497=U1499,U1497&lt;U1498),(IF(Q1501=3,1,2)),IF(AND(U1497=U1499,U1497&gt;U1498),(IF(Q1501=3,2,3)),99)))))))),"")),""))</f>
        <v/>
      </c>
      <c r="AA1494" s="208">
        <v>1</v>
      </c>
      <c r="AB1494" s="222" t="str">
        <f>IF(AND(COUNTBLANK(I1490:I1493)=0,Group_players=4,M1490=M1491,M1491=M1492),IF(COUNTIF(U1489:U1492,U1489)=3,AB1507,IF(AND(COUNTIF(U1489:U1492,U1489)=1,U1490&lt;&gt;U1491),IF(M1490=2,IF(SMALL(U1489:U1492,1)=U1489,1,IF(SMALL(U1489:U1492,2)=U1489,2,IF(SMALL(U1489:U1492,3)=U1489,3))),IF(M1490=1,IF(SMALL(U1489:U1492,1)=U1489,2,IF(SMALL(U1489:U1492,2)=U1489,3,IF(SMALL(U1489:U1492,3)=U1489,4))),"")),IF(COUNTIF(U1489:U1492,U1489)=1,IF(U1489&lt;U1490,IF(M1490=2,1,2),IF(M1490=2,3,4)),IF(COUNTIF(U1489:U1492,U1489)=2,IF(U1489=U1490,IF(U1489&lt;U1491,IF(M1490=2,IF(Q1513=3,1,2),IF(M1490=1,IF(Q1513=3,2,3))),IF(U1489&gt;U1491,IF(M1490=2,IF(Q1513=3,2,3),IF(M1490=1,IF(Q1513=3,3,4))))),IF(U1489=U1491,IF(U1489&lt;U1490,IF(M1490=2,IF(Q1501=3,1,2),IF(M1490=1,IF(Q1501=3,2,3))),IF(U1489&gt;U1490,IF(M1490=2,IF(Q1501=3,2,3),IF(M1490=1,IF(Q1501=3,3,4))))))),"")))),"")</f>
        <v/>
      </c>
      <c r="AC1494" s="192"/>
      <c r="AD1494" s="192"/>
      <c r="AE1494" s="192"/>
      <c r="AF1494" s="192"/>
      <c r="AG1494" s="192"/>
      <c r="AH1494" s="192"/>
      <c r="AI1494" s="192"/>
      <c r="AJ1494" s="192"/>
      <c r="AK1494" s="192"/>
      <c r="AL1494" s="192"/>
      <c r="AM1494" s="192"/>
      <c r="AN1494" s="192"/>
      <c r="AO1494" s="192"/>
      <c r="AP1494" s="192"/>
      <c r="AQ1494" s="192"/>
      <c r="AR1494" s="192"/>
      <c r="AS1494" s="192"/>
      <c r="AT1494" s="192"/>
      <c r="AU1494" s="192"/>
      <c r="AV1494" s="192"/>
      <c r="AW1494" s="192"/>
      <c r="AX1494" s="192"/>
    </row>
    <row r="1495" spans="2:50" ht="15" customHeight="1" thickBot="1" x14ac:dyDescent="0.35">
      <c r="B1495" s="192"/>
      <c r="C1495" s="192"/>
      <c r="D1495" s="192"/>
      <c r="E1495" s="192"/>
      <c r="F1495" s="192"/>
      <c r="G1495" s="192"/>
      <c r="H1495" s="192"/>
      <c r="I1495" s="269"/>
      <c r="J1495" s="269"/>
      <c r="K1495" s="192"/>
      <c r="L1495" s="192"/>
      <c r="M1495" s="192"/>
      <c r="N1495" s="192"/>
      <c r="O1495" s="192"/>
      <c r="P1495" s="192"/>
      <c r="Q1495" s="192"/>
      <c r="R1495" s="192"/>
      <c r="S1495" s="192"/>
      <c r="T1495" s="208"/>
      <c r="U1495" s="368" t="s">
        <v>111</v>
      </c>
      <c r="V1495" s="369"/>
      <c r="W1495" s="369"/>
      <c r="X1495" s="369"/>
      <c r="Y1495" s="236">
        <v>2</v>
      </c>
      <c r="Z1495" s="220" t="str">
        <f>IF(U1490="","",IF(OR(Group_players=3,AND(Group_players=4,COUNTBLANK(I1490:I1493)=1)),IF(COUNTIF(M1490:M1492,M1491)=1,"",IF(COUNTIF(U1489:U1491,U1490)=3,IF(AND(U1498=U1497,U1498=U1499),"Tied",IF(AND(U1498&lt;&gt;U1497,U1498&lt;&gt;U1499,U1497&lt;&gt;U1499),(IF(SMALL(U1497:U1499,1)=U1498,1,IF(SMALL(U1497:U1499,2)=U1498,2,IF(SMALL(U1497:U1499,3)=U1498,3)))),IF(AND(U1498&lt;U1497,U1497=U1499),1,IF(AND(U1498&gt;U1497,U1497=U1499),3,IF(AND(U1498=U1497,U1498&lt;U1499),(IF(Q1508=3,1,2)),IF(AND(U1498=U1497,U1498&gt;U1499),(IF(Q1508=3,2,3)),IF(AND(U1498=U1499,U1498&lt;U1497),(IF(Q1504=3,1,2)),IF(AND(U1498=U1499,U1498&gt;U1497),(IF(Q1504=3,2,3)),99)))))))),"")),""))</f>
        <v/>
      </c>
      <c r="AA1495" s="208">
        <v>2</v>
      </c>
      <c r="AB1495" s="222" t="str">
        <f>IF(AND(COUNTBLANK(I1490:I1493)=0,Group_players=4,M1490=M1491,M1491=M1492),IF(COUNTIF(U1489:U1492,U1490)=3,AB1508,IF(AND(COUNTIF(U1489:U1492,U1490)=1,U1489&lt;&gt;U1491),IF(M1491=2,IF(SMALL(U1489:U1492,1)=U1490,1,IF(SMALL(U1489:U1492,2)=U1490,2,IF(SMALL(U1489:U1492,3)=U1490,3))),IF(M1491=1,IF(SMALL(U1489:U1492,1)=U1490,2,IF(SMALL(U1489:U1492,2)=U1490,3,IF(SMALL(U1489:U1492,3)=U1490,4))),"")),IF(COUNTIF(U1489:U1491,U1490)=1,IF(U1490&lt;U1489,IF(M1491=2,1,2),IF(M1491=2,3,99)),IF(COUNTIF(U1489:U1492,U1490)=2,IF(U1490=U1489,IF(U1490&lt;U1491,IF(M1491=2,IF(Q1514=3,1,2),IF(M1491=1,IF(Q1514=3,2,3))),IF(U1490&gt;U1491,IF(M1491=2,IF(Q1514=3,2,3),IF(M1491=1,IF(Q1514=3,3,4))))),IF(U1490=U1491,IF(U1490&lt;U1489,IF(M1491=2,IF(Q1510=3,1,2),IF(M1491=1,IF(Q1510=3,2,3))),IF(U1490&gt;U1489,IF(M1491=2,IF(Q1510=3,2,3),IF(M1491=1,IF(Q1510=3,3,4))))))),"")))),"")</f>
        <v/>
      </c>
      <c r="AC1495" s="192"/>
      <c r="AD1495" s="192"/>
      <c r="AE1495" s="192"/>
      <c r="AF1495" s="192"/>
      <c r="AG1495" s="192"/>
      <c r="AH1495" s="192"/>
      <c r="AI1495" s="192"/>
      <c r="AJ1495" s="192"/>
      <c r="AK1495" s="192"/>
      <c r="AL1495" s="192"/>
      <c r="AM1495" s="192"/>
      <c r="AN1495" s="192"/>
      <c r="AO1495" s="192"/>
      <c r="AP1495" s="192"/>
      <c r="AQ1495" s="192"/>
      <c r="AR1495" s="192"/>
      <c r="AS1495" s="192"/>
      <c r="AT1495" s="192"/>
      <c r="AU1495" s="192"/>
      <c r="AV1495" s="192"/>
      <c r="AW1495" s="192"/>
      <c r="AX1495" s="192"/>
    </row>
    <row r="1496" spans="2:50" ht="15" customHeight="1" thickTop="1" thickBot="1" x14ac:dyDescent="0.35">
      <c r="B1496" s="192"/>
      <c r="C1496" s="192"/>
      <c r="D1496" s="192"/>
      <c r="E1496" s="192"/>
      <c r="F1496" s="192"/>
      <c r="G1496" s="192"/>
      <c r="H1496" s="192"/>
      <c r="I1496" s="192"/>
      <c r="J1496" s="192"/>
      <c r="K1496" s="192"/>
      <c r="L1496" s="192"/>
      <c r="M1496" s="192"/>
      <c r="N1496" s="192"/>
      <c r="O1496" s="192"/>
      <c r="P1496" s="192"/>
      <c r="Q1496" s="192"/>
      <c r="R1496" s="192"/>
      <c r="S1496" s="192"/>
      <c r="T1496" s="120"/>
      <c r="U1496" s="121" t="s">
        <v>101</v>
      </c>
      <c r="V1496" s="122" t="s">
        <v>102</v>
      </c>
      <c r="W1496" s="122" t="s">
        <v>103</v>
      </c>
      <c r="X1496" s="123" t="s">
        <v>104</v>
      </c>
      <c r="Y1496" s="238">
        <v>3</v>
      </c>
      <c r="Z1496" s="239" t="str">
        <f>IF(U1491="","",IF(OR(Group_players=3,AND(Group_players=4,COUNTBLANK(I1490:I1493)=1)),IF(COUNTIF(M1490:M1492,M1492)=1,"",IF(COUNTIF(U1489:U1491,U1491)=3,IF(AND(U1499=U1497,U1499=U1498),"Tied",IF(AND(U1499&lt;&gt;U1498,U1498&lt;&gt;U1497,U1499&lt;&gt;U1497),(IF(SMALL(U1497:U1499,1)=U1499,1,IF(SMALL(U1497:U1499,2)=U1499,2,IF(SMALL(U1497:U1499,3)=U1499,3)))),IF(AND(U1499&lt;U1498,U1498=U1497),1,IF(AND(U1499&gt;U1498,U1498=U1497),3,IF(AND(U1499=U1498,U1499&lt;U1497),(IF(Q1505=3,1,2)),IF(AND(U1499=U1498,U1499&gt;U1497),(IF(Q1505=3,2,3)),IF(AND(U1499=U1497,U1499&lt;U1498),(IF(Q1502=3,1,2)),IF(AND(U1499=U1497,U1499&gt;U1498),(IF(Q1502=3,2,3)),99)))))))),"")),""))</f>
        <v/>
      </c>
      <c r="AA1496" s="240">
        <v>3</v>
      </c>
      <c r="AB1496" s="241" t="str">
        <f>IF(AND(COUNTBLANK(I1490:I1493)=0,Group_players=4,M1490=M1491,M1491=M1492),IF(COUNTIF(U1489:U1492,U1491)=3,AB1509,IF(AND(COUNTIF(U1489:U1492,U1491)=1,U1489&lt;&gt;U1490),IF(M1490=2,IF(SMALL(U1489:U1492,1)=U1491,1,IF(SMALL(U1489:U1492,2)=U1491,2,IF(SMALL(U1489:U1492,3)=U1491,3))),IF(M1492=1,IF(SMALL(U1489:U1492,1)=U1491,2,IF(SMALL(U1489:U1492,2)=U1491,3,IF(SMALL(U1489:U1492,3)=U1491,4))),"")),IF(COUNTIF(U1489:U1492,U1491)=1,IF(U1491&lt;U1490,IF(M1492=2,1,2),IF(M1492=2,3,4)),IF(COUNTIF(U1489:U1492,U1491)=2,IF(U1491=U1490,IF(U1491&lt;U1489,IF(M1492=2,IF(Q1511=3,1,2),IF(M1492=1,IF(Q1511=3,2,3))),IF(U1491&gt;U1489,IF(M1492=2,IF(Q1511=3,2,3),IF(M1492=1,IF(Q1511=3,3,4))))),IF(U1491=U1489,IF(U1491&lt;U1490,IF(M1492=2,IF(Q1502=3,1,2),IF(M1492=1,IF(Q1502=3,2,3))),IF(U1491&gt;U1490,IF(M1492=2,IF(Q1502=3,2,3),IF(M1492=1,IF(Q1502=3,3,4))))))),"")))),"")</f>
        <v/>
      </c>
      <c r="AC1496" s="192"/>
      <c r="AD1496" s="192"/>
      <c r="AE1496" s="192"/>
      <c r="AF1496" s="192"/>
      <c r="AG1496" s="192"/>
      <c r="AH1496" s="192"/>
      <c r="AI1496" s="192"/>
      <c r="AJ1496" s="192"/>
      <c r="AK1496" s="192"/>
      <c r="AL1496" s="192"/>
      <c r="AM1496" s="192"/>
      <c r="AN1496" s="192"/>
      <c r="AO1496" s="192"/>
      <c r="AP1496" s="192"/>
      <c r="AQ1496" s="192"/>
      <c r="AR1496" s="192"/>
      <c r="AS1496" s="192"/>
      <c r="AT1496" s="192"/>
      <c r="AU1496" s="192"/>
      <c r="AV1496" s="192"/>
      <c r="AW1496" s="192"/>
      <c r="AX1496" s="192"/>
    </row>
    <row r="1497" spans="2:50" ht="15" customHeight="1" thickTop="1" thickBot="1" x14ac:dyDescent="0.35">
      <c r="B1497" s="192"/>
      <c r="C1497" s="192"/>
      <c r="D1497" s="192"/>
      <c r="E1497" s="192"/>
      <c r="F1497" s="192"/>
      <c r="G1497" s="192"/>
      <c r="H1497" s="192"/>
      <c r="I1497" s="192"/>
      <c r="J1497" s="192"/>
      <c r="K1497" s="192"/>
      <c r="L1497" s="192"/>
      <c r="M1497" s="192"/>
      <c r="N1497" s="192"/>
      <c r="O1497" s="192"/>
      <c r="P1497" s="192"/>
      <c r="Q1497" s="192"/>
      <c r="R1497" s="192"/>
      <c r="S1497" s="192"/>
      <c r="T1497" s="208">
        <v>1</v>
      </c>
      <c r="U1497" s="209" t="str">
        <f>IF(U1489="","",IF(OR(U1489&lt;&gt;U1490,U1489&lt;&gt;U1491),"",IF(COUNTIF(M1490:M1492,M1490)=1,"",IF(COUNTBLANK(I1490:I1493)=1,(SUM(L1502:P1502)+SUM(L1508:P1508))/(SUM(L1501:P1501)+SUM(L1507:P1507)),IF(COUNTBLANK(I1490:I1493)=0,(SUM(L1514:P1514)+SUM(L1502:P1502))/(SUM(L1513:P1513)+SUM(L1501:P1501)),"")))))</f>
        <v/>
      </c>
      <c r="V1497" s="125" t="str">
        <f>IF(V1489="","",IF(OR(V1489&lt;&gt;V1491,V1489&lt;&gt;V1492),"",IF(AND(COUNTBLANK(I1490:I1493)=0,M1490=M1492,M1492=M1493),(SUM(L1502:P1502)+SUM(L1508:P1508))/(SUM(L1501:P1501)+SUM(L1507:P1507)),"")))</f>
        <v/>
      </c>
      <c r="W1497" s="210" t="str">
        <f>IF(W1489="","",IF(OR(W1489&lt;&gt;W1490,W1489&lt;&gt;W1492),"",IF(AND(COUNTBLANK(I1490:I1493)=0,M1490=M1491,M1491=M1493),(SUM(L1514:P1514)+SUM(L1508:P1508))/(SUM(L1513:P1513)+SUM(L1507:P1507)),"")))</f>
        <v/>
      </c>
      <c r="X1497" s="211"/>
      <c r="Y1497" s="242"/>
      <c r="Z1497" s="242"/>
      <c r="AA1497" s="243">
        <v>1</v>
      </c>
      <c r="AB1497" s="244" t="str">
        <f>IF(AND(COUNTBLANK(I1490:I1493)=0,Group_players=4,M1490=M1492,M1492=M1493),IF(COUNTIF(V1489:V1492,V1489)=3,AB1510,IF(AND(COUNTIF(V1489:V1492,V1489)=1,V1491&lt;&gt;U1500),IF(M1490=2,IF(SMALL(V1489:V1492,1)=V1489,1,IF(SMALL(V1489:V1492,2)=V1489,2,IF(SMALL(V1489:V1492,3)=V1489,3))),IF(M1490=1,IF(SMALL(V1489:V1492,1)=V1489,2,IF(SMALL(V1489:V1492,2)=V1489,3,IF(SMALL(V1489:V1492,3)=V1489,4))),"")),IF(COUNTIF(V1489:V1492,V1489)=1,IF(V1489&lt;V1491,IF(M1490=2,1,2),IF(M1490=2,3,4)),IF(COUNTIF(V1489:V1492,V1489)=2,IF(V1489=V1491,IF(V1489&lt;V1492,IF(M1490=2,IF(Q1501=3,1,2),IF(M1490=1,IF(Q1501=3,2,3))),IF(V1489&gt;V1492,IF(M1490=2,IF(Q1501=3,2,3),IF(M1490=1,IF(Q1501=3,3,4))))),IF(V1489=V1492,IF(V1489&lt;V1491,IF(M1490=2,IF(Q1507=3,1,2),IF(M1490=1,IF(Q1507=3,2,3))),IF(V1489&gt;V1490,IF(M1490=2,IF(Q1507=3,2,3),IF(M1490=1,IF(Q1507=3,3,4))))))),"")))),"")</f>
        <v/>
      </c>
      <c r="AC1497" s="192"/>
      <c r="AD1497" s="192"/>
      <c r="AE1497" s="192"/>
      <c r="AF1497" s="192"/>
      <c r="AG1497" s="192"/>
      <c r="AH1497" s="192"/>
      <c r="AI1497" s="192"/>
      <c r="AJ1497" s="192"/>
      <c r="AK1497" s="192"/>
      <c r="AL1497" s="192"/>
      <c r="AM1497" s="192"/>
      <c r="AN1497" s="192"/>
      <c r="AO1497" s="192"/>
      <c r="AP1497" s="192"/>
      <c r="AQ1497" s="192"/>
      <c r="AR1497" s="192"/>
      <c r="AS1497" s="192"/>
      <c r="AT1497" s="192"/>
      <c r="AU1497" s="192"/>
      <c r="AV1497" s="192"/>
      <c r="AW1497" s="192"/>
      <c r="AX1497" s="192"/>
    </row>
    <row r="1498" spans="2:50" ht="15" customHeight="1" thickTop="1" thickBot="1" x14ac:dyDescent="0.35">
      <c r="B1498" s="192"/>
      <c r="C1498" s="192"/>
      <c r="D1498" s="192"/>
      <c r="E1498" s="117"/>
      <c r="F1498" s="117"/>
      <c r="G1498" s="117"/>
      <c r="H1498" s="192"/>
      <c r="I1498" s="192"/>
      <c r="J1498" s="192"/>
      <c r="K1498" s="192"/>
      <c r="L1498" s="192"/>
      <c r="M1498" s="192"/>
      <c r="N1498" s="192"/>
      <c r="O1498" s="192"/>
      <c r="P1498" s="192"/>
      <c r="Q1498" s="192"/>
      <c r="R1498" s="192"/>
      <c r="S1498" s="394" t="s">
        <v>112</v>
      </c>
      <c r="T1498" s="208">
        <v>2</v>
      </c>
      <c r="U1498" s="209" t="str">
        <f>IF(U1489="","",IF(OR(U1490&lt;&gt;U1489,U1490&lt;&gt;U1491),"",IF(COUNTIF(M1490:M1492,M1491)=1,"",IF(COUNTBLANK(I1490:I1493)=1,(SUM(L1505:P1505)+SUM(L1507:P1507))/(SUM(L1504:P1504)+SUM(L1508:P1508)),IF(COUNTBLANK(I1490:I1493)=0,(SUM(L1513:P1513)+SUM(L1511:P1511))/(SUM(L1514:P1514)+SUM(L1510:P1510)))))))</f>
        <v/>
      </c>
      <c r="V1498" s="135"/>
      <c r="W1498" s="212" t="str">
        <f>IF(W1489="","",IF(OR(W1490&lt;&gt;W1489,W1490&lt;&gt;W1492),"",IF(AND(COUNTBLANK(I1490:I1493)=0,M1490=M1491,M1491=M1493),(SUM(L1505:P1505)+SUM(L1513:P1513))/(SUM(L1514:P1514)+SUM(L1504:P1504)),"")))</f>
        <v/>
      </c>
      <c r="X1498" s="245" t="str">
        <f>IF(X1490="","",IF(OR(X1490&lt;&gt;X1491,X1490&lt;&gt;X1492),"",IF(AND(COUNTBLANK(I1490:I1493)=0,M1491=M1492,M1492=M1493),(SUM(L1511:P1511)+SUM(L1505:P1505))/(SUM(L1510:P1510)+SUM(L1504:P1504)),"")))</f>
        <v/>
      </c>
      <c r="Y1498" s="242"/>
      <c r="Z1498" s="203"/>
      <c r="AA1498" s="246">
        <v>3</v>
      </c>
      <c r="AB1498" s="222" t="str">
        <f>IF(AND(COUNTBLANK(I1490:I1493)=0,Group_players=4,M1490=M1492,M1492=M1493),IF(COUNTIF(V1489:V1492,V1491)=3,AB1511,IF(AND(COUNTIF(V1489:V1492,V1491)=1,V1489&lt;&gt;V1492),IF(M1492=2,IF(SMALL(V1489:V1492,1)=V1491,1,IF(SMALL(V1489:V1492,2)=V1491,2,IF(SMALL(V1489:V1492,3)=V1491,3))),IF(M1492=1,IF(SMALL(V1489:V1492,1)=V1491,2,IF(SMALL(V1489:V1492,2)=V1491,3,IF(SMALL(V1489:V1492,3)=V1491,4))),"")),IF(COUNTIF(V1489:V1492,V1491)=1,IF(V1491&lt;V1489,IF(M1492=2,1,2),IF(M1492=2,3,4)),IF(COUNTIF(V1489:V1492,V1491)=2,IF(V1491=V1489,IF(V1491&lt;V1492,IF(M1492=2,IF(Q1502=3,1,2),IF(M1492=1,IF(Q1502=3,2,3))),IF(V1491&gt;V1492,IF(M1492=2,IF(Q1502=3,2,3),IF(M1492=1,IF(Q1502=3,3,4))))),IF(V1491=V1492,IF(V1491&lt;V1489,IF(M1492=2,IF(Q1516=3,1,2),IF(M1492=1,IF(Q1516=3,2,3))),IF(V1491&gt;V1489,IF(M1492=2,IF(Q1516=3,2,3),IF(M1492=1,IF(Q1516=3,3,4))))))),"")))),"")</f>
        <v/>
      </c>
      <c r="AC1498" s="192"/>
      <c r="AD1498" s="192"/>
      <c r="AE1498" s="192"/>
      <c r="AF1498" s="192"/>
      <c r="AG1498" s="192"/>
      <c r="AH1498" s="192"/>
      <c r="AI1498" s="192"/>
      <c r="AJ1498" s="192"/>
      <c r="AK1498" s="192"/>
      <c r="AL1498" s="192"/>
      <c r="AM1498" s="192"/>
      <c r="AN1498" s="192"/>
      <c r="AO1498" s="192"/>
      <c r="AP1498" s="192"/>
      <c r="AQ1498" s="192"/>
      <c r="AR1498" s="192"/>
      <c r="AS1498" s="192"/>
      <c r="AT1498" s="192"/>
      <c r="AU1498" s="192"/>
      <c r="AV1498" s="192"/>
      <c r="AW1498" s="192"/>
      <c r="AX1498" s="192"/>
    </row>
    <row r="1499" spans="2:50" ht="15" customHeight="1" thickTop="1" thickBot="1" x14ac:dyDescent="0.35">
      <c r="B1499" s="192"/>
      <c r="C1499" s="192"/>
      <c r="D1499" s="192"/>
      <c r="E1499" s="117"/>
      <c r="F1499" s="117"/>
      <c r="G1499" s="117"/>
      <c r="H1499" s="192"/>
      <c r="I1499" s="192"/>
      <c r="J1499" s="192"/>
      <c r="K1499" s="192"/>
      <c r="L1499" s="192"/>
      <c r="M1499" s="192"/>
      <c r="N1499" s="192"/>
      <c r="O1499" s="192"/>
      <c r="P1499" s="192"/>
      <c r="Q1499" s="192"/>
      <c r="R1499" s="247"/>
      <c r="S1499" s="395"/>
      <c r="T1499" s="208">
        <v>3</v>
      </c>
      <c r="U1499" s="209" t="str">
        <f>IF(U1489="","",IF(OR(U1491&lt;&gt;U1489,U1491&lt;&gt;U1490),"",IF(COUNTIF(M1490:M1492,M1492)=1,"",IF(COUNTBLANK(I1490:I1493)=1,(SUM(L1501:P1501)+SUM(L1504:P1504))/(SUM(L1502:P1502)+SUM(L1505:P1505)),IF(COUNTBLANK(I1490:I1493)=0,(SUM(L1501:P1501)+SUM(L1510:P1510))/(SUM(L1502:P1502)+SUM(L1511:P1511)))))))</f>
        <v/>
      </c>
      <c r="V1499" s="125" t="str">
        <f>IF(V1489="","",IF(OR(V1491&lt;&gt;V1489,V1491&lt;&gt;V1492),"",IF(AND(COUNTBLANK(I1490:I1493)=0,M1490=M1492,M1492=M1493),(SUM(L1501:P1501)+SUM(L1517:P1517))/(SUM(L1502:P1502)+SUM(L1516:P1516)),"")))</f>
        <v/>
      </c>
      <c r="W1499" s="218"/>
      <c r="X1499" s="245" t="str">
        <f>IF(X1490="","",IF(OR(X1491&lt;&gt;X1490,X1491&lt;&gt;X1492),"",IF(AND(COUNTBLANK(I1490:I1493)=0,M1491=M1492,M1492=M1493),(SUM(L1510:P1510)+SUM(L1517:P1517))/(SUM(L1511:P1511)+SUM(L1516:P1516)),"")))</f>
        <v/>
      </c>
      <c r="Y1499" s="208"/>
      <c r="Z1499" s="203"/>
      <c r="AA1499" s="240">
        <v>4</v>
      </c>
      <c r="AB1499" s="222" t="str">
        <f>IF(AND(COUNTBLANK(I1490:I1493)=0,Group_players=4,M1490=M1492,M1492=M1493),IF(COUNTIF(V1489:V1492,V1492)=3,AB1512,IF(AND(COUNTIF(V1489:V1492,V1492)=1,V1491&lt;&gt;V1489),IF(M1493=2,IF(SMALL(V1489:V1492,1)=V1492,1,IF(SMALL(V1489:V1492,2)=V1492,2,IF(SMALL(V1489:V1492,3)=V1492,3))),IF(M1493=1,IF(SMALL(V1489:V1492,1)=V1492,2,IF(SMALL(V1489:V1492,2)=V1492,3,IF(SMALL(V1489:V1492,3)=V1492,4))),"")),IF(COUNTIF(V1489:V1492,V1492)=1,IF(V1492&lt;V1489,IF(M1493=2,1,2),IF(M1493=2,3,4)),IF(COUNTIF(V1489:V1492,V1492)=2,IF(V1492=V1489,IF(V1492&lt;V1491,IF(M1493=2,IF(Q1508=3,1,2),IF(M1493=1,IF(Q1508=3,2,3))),IF(V1492&gt;V1491,IF(M1493=2,IF(Q1508=3,2,3),IF(M1493=1,IF(Q1508=3,3,4))))),IF(V1492=V1491,IF(V1492&lt;V1489,IF(M1493=2,IF(Q1517=3,1,2),IF(M1493=1,IF(Q1517=3,2,3))),IF(V1492&gt;V1489,IF(M1493=2,IF(Q1517=3,2,3),IF(M1493=1,IF(Q1517=3,3,4))))))),"")))),"")</f>
        <v/>
      </c>
      <c r="AC1499" s="192"/>
      <c r="AD1499" s="192"/>
      <c r="AE1499" s="192"/>
      <c r="AF1499" s="192"/>
      <c r="AG1499" s="192"/>
      <c r="AH1499" s="192"/>
      <c r="AI1499" s="192"/>
      <c r="AJ1499" s="192"/>
      <c r="AK1499" s="192"/>
      <c r="AL1499" s="192"/>
      <c r="AM1499" s="192"/>
      <c r="AN1499" s="192"/>
      <c r="AO1499" s="192"/>
      <c r="AP1499" s="192"/>
      <c r="AQ1499" s="192"/>
      <c r="AR1499" s="192"/>
      <c r="AS1499" s="192"/>
      <c r="AT1499" s="192"/>
      <c r="AU1499" s="192"/>
      <c r="AV1499" s="192"/>
      <c r="AW1499" s="192"/>
      <c r="AX1499" s="192"/>
    </row>
    <row r="1500" spans="2:50" ht="15" customHeight="1" thickTop="1" thickBot="1" x14ac:dyDescent="0.35">
      <c r="B1500" s="192"/>
      <c r="C1500" s="192"/>
      <c r="D1500" s="192"/>
      <c r="E1500" s="168" t="s">
        <v>113</v>
      </c>
      <c r="F1500" s="168" t="s">
        <v>114</v>
      </c>
      <c r="G1500" s="117"/>
      <c r="H1500" s="192"/>
      <c r="I1500" s="249" t="s">
        <v>115</v>
      </c>
      <c r="J1500" s="249"/>
      <c r="K1500" s="249"/>
      <c r="L1500" s="250" t="s">
        <v>115</v>
      </c>
      <c r="M1500" s="250" t="s">
        <v>116</v>
      </c>
      <c r="N1500" s="250" t="s">
        <v>117</v>
      </c>
      <c r="O1500" s="250" t="s">
        <v>118</v>
      </c>
      <c r="P1500" s="250" t="s">
        <v>119</v>
      </c>
      <c r="Q1500" s="250" t="s">
        <v>120</v>
      </c>
      <c r="R1500" s="250"/>
      <c r="S1500" s="251"/>
      <c r="T1500" s="208">
        <v>4</v>
      </c>
      <c r="U1500" s="223"/>
      <c r="V1500" s="140" t="str">
        <f>IF(V1489="","",IF(OR(V1492&lt;&gt;V1489,V1492&lt;&gt;V1491),"",IF(AND(COUNTBLANK(I1490:I1493)=0,M1490=M1492,M1492=M1493),(SUM(L1507:P1507)+SUM(L1516:P1516))/(SUM(L1508:P1508)+SUM(L1517:P1517)),"")))</f>
        <v/>
      </c>
      <c r="W1500" s="224" t="str">
        <f>IF(W1489="","",IF(OR(W1492&lt;&gt;W1489,W1492&lt;&gt;W1490),"",IF(AND(COUNTBLANK(I1490:I1493)=0,M1490=M1491,M1491=M1493),(SUM(L1507:P1507)+SUM(L1504:P1504))/(SUM(L1508:P1508)+SUM(L1505:P1505)),"")))</f>
        <v/>
      </c>
      <c r="X1500" s="252" t="str">
        <f>IF(X1490="","",IF(OR(X1492&lt;&gt;X1490,X1492&lt;&gt;X1491),"",IF(AND(COUNTBLANK(I1490:I1493)=0,M1491=M1492,M1492=M1493),(SUM(L1504:P1504)+SUM(L1516:P1516))/(SUM(L1505:P1505)+SUM(L1517:P1517)),"")))</f>
        <v/>
      </c>
      <c r="Y1500" s="192"/>
      <c r="Z1500" s="203"/>
      <c r="AA1500" s="243">
        <v>1</v>
      </c>
      <c r="AB1500" s="151" t="str">
        <f>IF(AND(COUNTBLANK(I1490:I1493)=0,Group_players=4,M1490=M1491,M1491=M1493),IF(COUNTIF(W1489:W1492,W1489)=3,AB1513,IF(AND(COUNTIF(W1489:W1492,W1489)=1,W1490&lt;&gt;W1492),IF(M1490=2,IF(SMALL(W1489:W1492,1)=W1489,1,IF(SMALL(W1489:W1492,2)=W1489,2,IF(SMALL(W1489:W1492,3)=W1489,3))),IF(M1490=1,IF(SMALL(W1489:W1492,1)=W1489,2,IF(SMALL(W1489:W1492,2)=W1489,3,IF(SMALL(W1489:W1492,3)=W1489,4))),"")),IF(COUNTIF(W1489:W1492,W1489)=1,IF(W1489&lt;W1490,IF(M1490=2,1,2),IF(M1490=2,3,4)),IF(COUNTIF(W1489:W1492,W1489)=2,IF(W1489=W1490,IF(W1489&lt;W1492,IF(M1490=2,IF(Q1513=3,1,2),IF(M1490=1,IF(Q1513=3,2,3))),IF(W1489&gt;W1492,IF(M1490=2,IF(Q1513=3,2,3),IF(M1490=1,IF(Q1513=3,3,4))))),IF(W1489=W1492,IF(W1489&lt;W1490,IF(M1490=2,IF(Q1507=3,1,2),IF(M1490=1,IF(Q1507=3,2,3))),IF(W1489&gt;W1490,IF(M1490=2,IF(Q1507=3,2,3),IF(M1490=1,IF(Q1507=3,3,4))))))),"")))),"")</f>
        <v/>
      </c>
      <c r="AC1500" s="192"/>
      <c r="AD1500" s="192"/>
      <c r="AE1500" s="192"/>
      <c r="AF1500" s="192"/>
      <c r="AG1500" s="192"/>
      <c r="AH1500" s="192"/>
      <c r="AI1500" s="192"/>
      <c r="AJ1500" s="192"/>
      <c r="AK1500" s="192"/>
      <c r="AL1500" s="192"/>
      <c r="AM1500" s="192"/>
      <c r="AN1500" s="192"/>
      <c r="AO1500" s="192"/>
      <c r="AP1500" s="192"/>
      <c r="AQ1500" s="192"/>
      <c r="AR1500" s="192"/>
      <c r="AS1500" s="192"/>
      <c r="AT1500" s="192"/>
      <c r="AU1500" s="192"/>
      <c r="AV1500" s="192"/>
      <c r="AW1500" s="192"/>
      <c r="AX1500" s="192"/>
    </row>
    <row r="1501" spans="2:50" ht="15" customHeight="1" thickTop="1" x14ac:dyDescent="0.3">
      <c r="B1501" s="192"/>
      <c r="C1501" s="192"/>
      <c r="D1501" s="192"/>
      <c r="E1501" s="164" t="str">
        <f>IF(Q1501="","",IF(Q1501=3,1,0))</f>
        <v/>
      </c>
      <c r="F1501" s="164" t="str">
        <f>IF(Q1501="","",IF(Q1501&lt;3,1,0))</f>
        <v/>
      </c>
      <c r="G1501" s="192"/>
      <c r="H1501" s="192" t="str">
        <f>IF(I1490="","",1)</f>
        <v/>
      </c>
      <c r="I1501" s="192" t="str">
        <f>IF(ISNUMBER(H1501),VLOOKUP(H1501,H1490:I1493,2,TRUE),"")</f>
        <v/>
      </c>
      <c r="J1501" s="192"/>
      <c r="K1501" s="192" t="str">
        <f>VLOOKUP(I1501,I1490:L1493,3,FALSE)</f>
        <v/>
      </c>
      <c r="L1501" s="253"/>
      <c r="M1501" s="254"/>
      <c r="N1501" s="254"/>
      <c r="O1501" s="152"/>
      <c r="P1501" s="153"/>
      <c r="Q1501" s="255" t="str">
        <f>IF(L1501="","",IF(AND(L1501-L1502&gt;1,L1501&gt;10),1,0)+IF(AND(M1501-M1502&gt;1,M1501&gt;10),1,0)+IF(AND(N1501-N1502&gt;1,N1501&gt;10),1,0)+IF(AND(O1501-O1502&gt;1,O1501&gt;10),1,0)+IF(AND(P1501-P1502&gt;1,P1501&gt;10),1,0))</f>
        <v/>
      </c>
      <c r="R1501" s="203" t="str">
        <f>IF(AND(I1501="",I1502=""),"",ABS(VLOOKUP(I1501,I1490:L1493,4,FALSE)-VLOOKUP(I1502,I1490:L1493,4,FALSE)))</f>
        <v/>
      </c>
      <c r="S1501" s="256" t="str">
        <f>IF(R1502="","",IF(Q1501=3,+R1502,-R1502))</f>
        <v/>
      </c>
      <c r="T1501" s="257"/>
      <c r="U1501" s="258"/>
      <c r="V1501" s="258"/>
      <c r="W1501" s="258"/>
      <c r="X1501" s="258"/>
      <c r="Y1501" s="192"/>
      <c r="Z1501" s="203"/>
      <c r="AA1501" s="246">
        <v>2</v>
      </c>
      <c r="AB1501" s="154" t="str">
        <f>IF(AND(COUNTBLANK(I1490:I1493)=0,Group_players=4,M1490=M1491,M1491=M1493),IF(COUNTIF(W1489:W1492,W1490)=3,AB1514,IF(AND(COUNTIF(W1489:W1492,W1490)=1,W1489&lt;&gt;W1491),IF(M1491=2,IF(SMALL(W1489:W1492,1)=W1490,1,IF(SMALL(W1489:W1492,2)=W1490,2,IF(SMALL(W1489:W1492,3)=W1490,3))),IF(M1491=1,IF(SMALL(W1489:W1492,1)=W1490,2,IF(SMALL(W1489:W1492,2)=W1490,3,IF(SMALL(W1489:W1492,3)=W1490,4))),"")),IF(COUNTIF(W1489:W1492,W1490)=1,IF(W1490&lt;W1489,IF(M1491=2,1,2),IF(M1491=2,3,4)),IF(COUNTIF(W1489:W1492,W1490)=2,IF(W1490=W1489,IF(W1490&lt;W1492,IF(M1491=2,IF(Q1514=3,1,2),IF(M1491=1,IF(Q1514=3,2,3))),IF(W1490&gt;W1492,IF(M1491=2,IF(Q1514=3,2,3),IF(M1491=1,IF(Q1514=3,3,4))))),IF(W1490=W1492,IF(W1490&lt;W1489,IF(M1491=2,IF(Q1504=3,1,2),IF(M1491=1,IF(Q1504=3,2,3))),IF(W1490&gt;W1489,IF(M1491=2,IF(Q1504=3,2,3),IF(M1491=1,IF(Q1504=3,3,4))))))),"")))),"")</f>
        <v/>
      </c>
      <c r="AC1501" s="192"/>
      <c r="AD1501" s="192"/>
      <c r="AE1501" s="192"/>
      <c r="AF1501" s="192"/>
      <c r="AG1501" s="192"/>
      <c r="AH1501" s="192"/>
      <c r="AI1501" s="192"/>
      <c r="AJ1501" s="192"/>
      <c r="AK1501" s="192"/>
      <c r="AL1501" s="192"/>
      <c r="AM1501" s="192"/>
      <c r="AN1501" s="192"/>
      <c r="AO1501" s="192"/>
      <c r="AP1501" s="192"/>
      <c r="AQ1501" s="192"/>
      <c r="AR1501" s="192"/>
      <c r="AS1501" s="192"/>
      <c r="AT1501" s="192"/>
      <c r="AU1501" s="192"/>
      <c r="AV1501" s="192"/>
      <c r="AW1501" s="192"/>
      <c r="AX1501" s="192"/>
    </row>
    <row r="1502" spans="2:50" ht="15" customHeight="1" thickBot="1" x14ac:dyDescent="0.35">
      <c r="B1502" s="192"/>
      <c r="C1502" s="192"/>
      <c r="D1502" s="192"/>
      <c r="E1502" s="164" t="str">
        <f>IF(Q1502="","",IF(Q1502=3,1,0))</f>
        <v/>
      </c>
      <c r="F1502" s="164" t="str">
        <f>IF(Q1502="","",IF(Q1502&lt;3,1,0))</f>
        <v/>
      </c>
      <c r="G1502" s="192"/>
      <c r="H1502" s="192" t="str">
        <f>IF(I1491="","",IF(I1492="",2,3))</f>
        <v/>
      </c>
      <c r="I1502" s="192" t="str">
        <f>IF(ISNUMBER(H1502),VLOOKUP(H1502,H1490:I1493,2,TRUE),"")</f>
        <v/>
      </c>
      <c r="J1502" s="192"/>
      <c r="K1502" s="192" t="str">
        <f>VLOOKUP(I1502,I1490:L1493,3,FALSE)</f>
        <v/>
      </c>
      <c r="L1502" s="155"/>
      <c r="M1502" s="259"/>
      <c r="N1502" s="259"/>
      <c r="O1502" s="156"/>
      <c r="P1502" s="157"/>
      <c r="Q1502" s="260" t="str">
        <f>IF(L1502="","",IF(AND(L1502-L1501&gt;1,L1502&gt;10),1,0)+IF(AND(M1502-M1501&gt;1,M1502&gt;10),1,0)+IF(AND(N1502-N1501&gt;1,N1502&gt;10),1,0)+IF(AND(O1502-O1501&gt;1,O1502&gt;10),1,0)+IF(AND(P1502-P1501&gt;1,P1502&gt;10),1,0))</f>
        <v/>
      </c>
      <c r="R1502" s="203" t="str">
        <f>IF(AND(Q1501&lt;&gt;3,Q1502&lt;&gt;3),"",IF(Q1501=3,IF(VLOOKUP(I1501,I1490:L1493,4,FALSE)&gt;VLOOKUP(I1502,I1490:L1493,4,FALSE),VLOOKUP(R1501,Point_dif,2,FALSE),VLOOKUP(R1501,Point_dif,3,FALSE)),IF(Q1502=3,IF(VLOOKUP(I1502,I1490:L1493,4,FALSE)&gt;VLOOKUP(I1501,I1490:L1493,4,FALSE),VLOOKUP(R1501,Point_dif,2,FALSE),VLOOKUP(R1501,Point_dif,3,FALSE)))))</f>
        <v/>
      </c>
      <c r="S1502" s="256" t="str">
        <f>IF(R1502="","",IF(Q1502=3,+R1502,-R1502))</f>
        <v/>
      </c>
      <c r="T1502" s="192"/>
      <c r="U1502" s="235"/>
      <c r="V1502" s="235"/>
      <c r="W1502" s="235"/>
      <c r="X1502" s="235"/>
      <c r="Y1502" s="235"/>
      <c r="Z1502" s="235"/>
      <c r="AA1502" s="240">
        <v>4</v>
      </c>
      <c r="AB1502" s="158" t="str">
        <f>IF(AND(COUNTBLANK(I1490:I1493)=0,Group_players=4,M1490=M1491,M1491=M1493),IF(COUNTIF(W1489:W1492,W1492)=3,AB1515,IF(AND(COUNTIF(W1489:W1492,W1492)=1,W1489&lt;&gt;W1490),IF(M1493=2,IF(SMALL(W1489:W1492,1)=W1492,1,IF(SMALL(W1489:W1492,2)=W1492,2,IF(SMALL(W1489:W1492,3)=W1492,3))),IF(M1493=1,IF(SMALL(W1489:W1492,1)=W1492,2,IF(SMALL(W1489:W1492,2)=W1492,3,IF(SMALL(W1489:W1492,3)=W1492,4))),"")),IF(COUNTIF(W1489:W1492,W1492)=1,IF(W1492&lt;W1489,IF(M1493=2,1,2),IF(M1493=2,3,4)),IF(COUNTIF(W1489:W1492,W1492)=2,IF(W1492=W1489,IF(W1492&lt;W1490,IF(M1493=2,IF(Q1508=3,1,2),IF(M1493=1,IF(Q1508=3,2,3))),IF(W1492&gt;W1491,IF(M1493=2,IF(Q1508=3,2,3),IF(M1493=1,IF(Q1508=3,3,4))))),IF(W1492=W1490,IF(W1492&lt;W1489,IF(M1493=2,IF(Q1505=3,1,2),IF(M1493=1,IF(Q1505=3,2,3))),IF(W1492&gt;W1489,IF(M1493=2,IF(Q1505=3,2,3),IF(M1493=1,IF(Q1505=3,3,4))))))),"")))),"")</f>
        <v/>
      </c>
      <c r="AC1502" s="192"/>
      <c r="AD1502" s="192"/>
      <c r="AE1502" s="192"/>
      <c r="AF1502" s="192"/>
      <c r="AG1502" s="192"/>
      <c r="AH1502" s="192"/>
      <c r="AI1502" s="192"/>
      <c r="AJ1502" s="192"/>
      <c r="AK1502" s="192"/>
      <c r="AL1502" s="192"/>
      <c r="AM1502" s="192"/>
      <c r="AN1502" s="192"/>
      <c r="AO1502" s="192"/>
      <c r="AP1502" s="192"/>
      <c r="AQ1502" s="192"/>
      <c r="AR1502" s="192"/>
      <c r="AS1502" s="192"/>
      <c r="AT1502" s="192"/>
      <c r="AU1502" s="192"/>
      <c r="AV1502" s="192"/>
      <c r="AW1502" s="192"/>
      <c r="AX1502" s="192"/>
    </row>
    <row r="1503" spans="2:50" ht="15" customHeight="1" thickTop="1" thickBot="1" x14ac:dyDescent="0.35">
      <c r="B1503" s="192"/>
      <c r="C1503" s="192"/>
      <c r="D1503" s="192"/>
      <c r="E1503" s="164"/>
      <c r="F1503" s="164"/>
      <c r="G1503" s="192"/>
      <c r="H1503" s="192"/>
      <c r="I1503" s="249" t="s">
        <v>116</v>
      </c>
      <c r="J1503" s="249"/>
      <c r="K1503" s="249"/>
      <c r="L1503" s="250" t="s">
        <v>115</v>
      </c>
      <c r="M1503" s="250" t="s">
        <v>116</v>
      </c>
      <c r="N1503" s="250" t="s">
        <v>117</v>
      </c>
      <c r="O1503" s="250" t="s">
        <v>118</v>
      </c>
      <c r="P1503" s="250" t="s">
        <v>119</v>
      </c>
      <c r="Q1503" s="250" t="s">
        <v>120</v>
      </c>
      <c r="R1503" s="250"/>
      <c r="S1503" s="251"/>
      <c r="T1503" s="192"/>
      <c r="U1503" s="235"/>
      <c r="V1503" s="235"/>
      <c r="W1503" s="235"/>
      <c r="X1503" s="235"/>
      <c r="Y1503" s="235"/>
      <c r="Z1503" s="235"/>
      <c r="AA1503" s="243">
        <v>2</v>
      </c>
      <c r="AB1503" s="151" t="str">
        <f>IF(AND(COUNTBLANK(I1490:I1493)=0,Group_players=4,M1491=M1492,M1492=M1493),IF(COUNTIF(X1489:X1492,X1490)=3,AB1516,IF(AND(COUNTIF(X1489:X1492,X1490)=1,X1491&lt;&gt;X1492),IF(M1491=2,IF(SMALL(X1489:X1492,1)=X1490,1,IF(SMALL(X1489:X1492,2)=X1490,2,IF(SMALL(X1489:X1492,3)=X1490,3))),IF(M1491=1,IF(SMALL(X1489:X1492,1)=X1490,2,IF(SMALL(X1489:X1492,2)=X1490,3,IF(SMALL(X1489:X1492,3)=X1490,4))),"")),IF(COUNTIF(X1489:X1492,X1490)=1,IF(X1490&lt;X1492,IF(M1491=2,1,2),IF(M1491=1,3,3)),IF(COUNTIF(X1489:X1492,X1490)=2,IF(X1490=X1491,IF(X1490&lt;X1492,IF(M1491=2,IF(Q1510=3,1,2),IF(M1491=1,IF(Q1510=3,2,3))),IF(X1490&gt;X1492,IF(M1491=2,IF(Q1510=3,2,3),IF(M1491=1,IF(Q1510=3,3,4))))),IF(X1490=X1492,IF(X1490&lt;X1491,IF(M1491=2,IF(Q1504=3,1,2),IF(M1491=1,IF(Q1504=3,2,3))),IF(X1490&gt;X1491,IF(M1491=2,IF(Q1504=3,2,3),IF(M1491=1,IF(Q1504=3,3,4))))))),"")))),"")</f>
        <v/>
      </c>
      <c r="AC1503" s="192"/>
      <c r="AD1503" s="192"/>
      <c r="AE1503" s="192"/>
      <c r="AF1503" s="192"/>
      <c r="AG1503" s="192"/>
      <c r="AH1503" s="192"/>
      <c r="AI1503" s="192"/>
      <c r="AJ1503" s="192"/>
      <c r="AK1503" s="192"/>
      <c r="AL1503" s="192"/>
      <c r="AM1503" s="192"/>
      <c r="AN1503" s="192"/>
      <c r="AO1503" s="192"/>
      <c r="AP1503" s="192"/>
      <c r="AQ1503" s="192"/>
      <c r="AR1503" s="192"/>
      <c r="AS1503" s="192"/>
      <c r="AT1503" s="192"/>
      <c r="AU1503" s="192"/>
      <c r="AV1503" s="192"/>
      <c r="AW1503" s="192"/>
      <c r="AX1503" s="192"/>
    </row>
    <row r="1504" spans="2:50" ht="15" customHeight="1" thickTop="1" x14ac:dyDescent="0.3">
      <c r="B1504" s="192"/>
      <c r="C1504" s="192"/>
      <c r="D1504" s="192"/>
      <c r="E1504" s="164" t="str">
        <f>IF(Q1504="","",IF(Q1504=3,1,0))</f>
        <v/>
      </c>
      <c r="F1504" s="164" t="str">
        <f>IF(Q1504="","",IF(Q1504&lt;3,1,0))</f>
        <v/>
      </c>
      <c r="G1504" s="192"/>
      <c r="H1504" s="192" t="str">
        <f>IF(I1492="","",2)</f>
        <v/>
      </c>
      <c r="I1504" s="192" t="str">
        <f>IF(ISNUMBER(H1504),VLOOKUP(H1504,H1490:I1493,2,TRUE),"")</f>
        <v/>
      </c>
      <c r="J1504" s="192"/>
      <c r="K1504" s="192" t="str">
        <f>VLOOKUP(I1504,I1490:L1493,3,FALSE)</f>
        <v/>
      </c>
      <c r="L1504" s="253"/>
      <c r="M1504" s="254"/>
      <c r="N1504" s="254"/>
      <c r="O1504" s="152"/>
      <c r="P1504" s="153"/>
      <c r="Q1504" s="255" t="str">
        <f>IF(L1504="","",IF(AND(L1504-L1505&gt;1,L1504&gt;10),1,0)+IF(AND(M1504-M1505&gt;1,M1504&gt;10),1,0)+IF(AND(N1504-N1505&gt;1,N1504&gt;10),1,0)+IF(AND(O1504-O1505&gt;1,O1504&gt;10),1,0)+IF(AND(P1504-P1505&gt;1,P1504&gt;10),1,0))</f>
        <v/>
      </c>
      <c r="R1504" s="203" t="str">
        <f>IF(AND(I1504="",I1505=""),"",ABS(VLOOKUP(I1504,I1490:L1493,4,FALSE)-VLOOKUP(I1505,I1490:L1493,4,FALSE)))</f>
        <v/>
      </c>
      <c r="S1504" s="256" t="str">
        <f>IF(R1505="","",IF(Q1504=3,+R1505,-R1505))</f>
        <v/>
      </c>
      <c r="T1504" s="192"/>
      <c r="U1504" s="235"/>
      <c r="V1504" s="235"/>
      <c r="W1504" s="235"/>
      <c r="X1504" s="235"/>
      <c r="Y1504" s="235"/>
      <c r="Z1504" s="235"/>
      <c r="AA1504" s="246">
        <v>3</v>
      </c>
      <c r="AB1504" s="154" t="str">
        <f>IF(AND(COUNTBLANK(I1490:I1493)=0,Group_players=4,M1491=M1492,M1492=M1493),IF(COUNTIF(X1489:X1492,X1491)=3,AB1517,IF(AND(COUNTIF(X1489:X1492,X1491)=1,X1490&lt;&gt;X1492),IF(M1492=2,IF(SMALL(X1489:X1492,1)=X1491,1,IF(SMALL(X1489:X1492,2)=X1491,2,IF(SMALL(X1489:X1492,3)=X1491,3))),IF(M1492=1,IF(SMALL(X1489:X1492,1)=X1491,2,IF(SMALL(X1489:X1492,2)=X1491,3,IF(SMALL(X1489:X1492,3)=X1491,4))),"")),IF(COUNTIF(X1489:X1492,X1491)=1,IF(X1491&lt;X1490,IF(M1492=2,1,2),IF(M1492=2,3,4)),IF(COUNTIF(X1489:X1492,X1491)=2,IF(X1491=X1490,IF(X1491&lt;X1492,IF(M1492=2,IF(Q1511=3,1,2),IF(M1492=1,IF(Q1511=3,2,3))),IF(X1491&gt;X1492,IF(M1492=2,IF(Q1511=3,2,3),IF(M1492=1,IF(Q1511=3,3,4))))),IF(X1491=X1492,IF(X1491&lt;X1490,IF(M1492=2,IF(Q1516=3,1,2),IF(M1492=1,IF(Q1516=3,2,3))),IF(X1491&gt;X1490,IF(M1492=2,IF(Q1516=3,2,3),IF(M1492=1,IF(Q1516=3,3,4))))))),"")))),"")</f>
        <v/>
      </c>
      <c r="AC1504" s="192"/>
      <c r="AD1504" s="192"/>
      <c r="AE1504" s="192"/>
      <c r="AF1504" s="192"/>
      <c r="AG1504" s="192"/>
      <c r="AH1504" s="192"/>
      <c r="AI1504" s="192"/>
      <c r="AJ1504" s="192"/>
      <c r="AK1504" s="192"/>
      <c r="AL1504" s="192"/>
      <c r="AM1504" s="192"/>
      <c r="AN1504" s="192"/>
      <c r="AO1504" s="192"/>
      <c r="AP1504" s="192"/>
      <c r="AQ1504" s="192"/>
      <c r="AR1504" s="192"/>
      <c r="AS1504" s="192"/>
      <c r="AT1504" s="192"/>
      <c r="AU1504" s="192"/>
      <c r="AV1504" s="192"/>
      <c r="AW1504" s="192"/>
      <c r="AX1504" s="192"/>
    </row>
    <row r="1505" spans="2:50" ht="15" customHeight="1" thickBot="1" x14ac:dyDescent="0.35">
      <c r="B1505" s="192"/>
      <c r="C1505" s="192"/>
      <c r="D1505" s="192"/>
      <c r="E1505" s="164" t="str">
        <f>IF(Q1505="","",IF(Q1505=3,1,0))</f>
        <v/>
      </c>
      <c r="F1505" s="164" t="str">
        <f>IF(Q1505="","",IF(Q1505&lt;3,1,0))</f>
        <v/>
      </c>
      <c r="G1505" s="192"/>
      <c r="H1505" s="192" t="str">
        <f>IF(I1492="","",IF(I1493="",3,4))</f>
        <v/>
      </c>
      <c r="I1505" s="192" t="str">
        <f>IF(ISNUMBER(H1505),VLOOKUP(H1505,H1490:I1493,2,TRUE),"")</f>
        <v/>
      </c>
      <c r="J1505" s="192"/>
      <c r="K1505" s="192" t="str">
        <f>VLOOKUP(I1505,I1490:L1493,3,FALSE)</f>
        <v/>
      </c>
      <c r="L1505" s="155"/>
      <c r="M1505" s="259"/>
      <c r="N1505" s="259"/>
      <c r="O1505" s="156"/>
      <c r="P1505" s="157"/>
      <c r="Q1505" s="260" t="str">
        <f>IF(L1505="","",IF(AND(L1505-L1504&gt;1,L1505&gt;10),1,0)+IF(AND(M1505-M1504&gt;1,M1505&gt;10),1,0)+IF(AND(N1505-N1504&gt;1,N1505&gt;10),1,0)+IF(AND(O1505-O1504&gt;1,O1505&gt;10),1,0)+IF(AND(P1505-P1504&gt;1,P1505&gt;10),1,0))</f>
        <v/>
      </c>
      <c r="R1505" s="203" t="str">
        <f>IF(AND(Q1504&lt;&gt;3,Q1505&lt;&gt;3),"",IF(Q1504=3,IF(VLOOKUP(I1504,I1490:L1493,4,FALSE)&gt;VLOOKUP(I1505,I1490:L1493,4,FALSE),VLOOKUP(R1504,Point_dif,2,FALSE),VLOOKUP(R1504,Point_dif,3,FALSE)),IF(Q1505=3,IF(VLOOKUP(I1505,I1490:L1493,4,FALSE)&gt;VLOOKUP(I1504,I1490:L1493,4,FALSE),VLOOKUP(R1504,Point_dif,2,FALSE),VLOOKUP(R1504,Point_dif,3,FALSE)))))</f>
        <v/>
      </c>
      <c r="S1505" s="256" t="str">
        <f>IF(R1505="","",IF(Q1505=3,+R1505,-R1505))</f>
        <v/>
      </c>
      <c r="T1505" s="192"/>
      <c r="U1505" s="235"/>
      <c r="V1505" s="235"/>
      <c r="W1505" s="235"/>
      <c r="X1505" s="235"/>
      <c r="Y1505" s="235"/>
      <c r="Z1505" s="235"/>
      <c r="AA1505" s="261">
        <v>4</v>
      </c>
      <c r="AB1505" s="158" t="str">
        <f>IF(AND(COUNTBLANK(I1490:I1493)=0,Group_players=4,M1491=M1492,M1492=M1493),IF(COUNTIF(X1489:X1492,X1492)=3,AB1518,IF(AND(COUNTIF(X1489:X1492,X1492)=1,X1491&lt;&gt;X1490),IF(M1493=2,IF(SMALL(X1489:X1492,1)=X1492,1,IF(SMALL(X1489:X1492,2)=X1492,2,IF(SMALL(X1489:X1492,3)=X1492,3))),IF(M1493=1,IF(SMALL(X1489:X1492,1)=X1492,2,IF(SMALL(X1489:X1492,2)=X1492,3,IF(SMALL(X1489:X1492,3)=X1492,4))),"")),IF(COUNTIF(X1489:X1492,X1492)=1,IF(X1492&lt;X1490,IF(M1493=2,1,2),IF(M1493=2,3,4)),IF(COUNTIF(X1489:X1492,X1492)=2,IF(X1492=X1490,IF(X1492&lt;X1491,IF(M1493=2,IF(Q1505=3,1,2),IF(M1493=1,IF(Q1505=3,2,3))),IF(X1492&gt;X1491,IF(M1493=2,IF(Q1505=3,2,3),IF(M1493=1,IF(Q1505=3,3,4))))),IF(X1492=X1491,IF(X1492&lt;X1490,IF(M1493=2,IF(Q1517=3,1,2),IF(M1493=1,IF(Q1517=3,2,3))),IF(X1492&gt;X1490,IF(M1493=2,IF(Q1517=3,2,3),IF(M1493=1,IF(Q1517=3,3,4))))))),"")))),"")</f>
        <v/>
      </c>
      <c r="AC1505" s="192"/>
      <c r="AD1505" s="192"/>
      <c r="AE1505" s="192"/>
      <c r="AF1505" s="192"/>
      <c r="AG1505" s="192"/>
      <c r="AH1505" s="192"/>
      <c r="AI1505" s="192"/>
      <c r="AJ1505" s="192"/>
      <c r="AK1505" s="192"/>
      <c r="AL1505" s="192"/>
      <c r="AM1505" s="192"/>
      <c r="AN1505" s="192"/>
      <c r="AO1505" s="192"/>
      <c r="AP1505" s="192"/>
      <c r="AQ1505" s="192"/>
      <c r="AR1505" s="192"/>
      <c r="AS1505" s="192"/>
      <c r="AT1505" s="192"/>
      <c r="AU1505" s="192"/>
      <c r="AV1505" s="192"/>
      <c r="AW1505" s="192"/>
      <c r="AX1505" s="192"/>
    </row>
    <row r="1506" spans="2:50" ht="15" customHeight="1" thickTop="1" thickBot="1" x14ac:dyDescent="0.35">
      <c r="B1506" s="192"/>
      <c r="C1506" s="192"/>
      <c r="D1506" s="192"/>
      <c r="E1506" s="164"/>
      <c r="F1506" s="164"/>
      <c r="G1506" s="192"/>
      <c r="H1506" s="192"/>
      <c r="I1506" s="249" t="s">
        <v>117</v>
      </c>
      <c r="J1506" s="249"/>
      <c r="K1506" s="249"/>
      <c r="L1506" s="250" t="s">
        <v>115</v>
      </c>
      <c r="M1506" s="250" t="s">
        <v>116</v>
      </c>
      <c r="N1506" s="250" t="s">
        <v>117</v>
      </c>
      <c r="O1506" s="250" t="s">
        <v>118</v>
      </c>
      <c r="P1506" s="250" t="s">
        <v>119</v>
      </c>
      <c r="Q1506" s="250" t="s">
        <v>120</v>
      </c>
      <c r="R1506" s="250"/>
      <c r="S1506" s="251"/>
      <c r="T1506" s="263"/>
      <c r="U1506" s="264"/>
      <c r="V1506" s="242"/>
      <c r="W1506" s="242"/>
      <c r="X1506" s="264"/>
      <c r="Y1506" s="192"/>
      <c r="Z1506" s="203"/>
      <c r="AA1506" s="126" t="s">
        <v>93</v>
      </c>
      <c r="AB1506" s="265" t="s">
        <v>110</v>
      </c>
      <c r="AC1506" s="192"/>
      <c r="AD1506" s="192"/>
      <c r="AE1506" s="192"/>
      <c r="AF1506" s="192"/>
      <c r="AG1506" s="192"/>
      <c r="AH1506" s="192"/>
      <c r="AI1506" s="192"/>
      <c r="AJ1506" s="192"/>
      <c r="AK1506" s="192"/>
      <c r="AL1506" s="192"/>
      <c r="AM1506" s="192"/>
      <c r="AN1506" s="192"/>
      <c r="AO1506" s="192"/>
      <c r="AP1506" s="192"/>
      <c r="AQ1506" s="192"/>
      <c r="AR1506" s="192"/>
      <c r="AS1506" s="192"/>
      <c r="AT1506" s="192"/>
      <c r="AU1506" s="192"/>
      <c r="AV1506" s="192"/>
      <c r="AW1506" s="192"/>
      <c r="AX1506" s="192"/>
    </row>
    <row r="1507" spans="2:50" ht="15" customHeight="1" thickTop="1" x14ac:dyDescent="0.3">
      <c r="B1507" s="192"/>
      <c r="C1507" s="192"/>
      <c r="D1507" s="192"/>
      <c r="E1507" s="164" t="str">
        <f>IF(Q1507="","",IF(Q1507=3,1,0))</f>
        <v/>
      </c>
      <c r="F1507" s="164" t="str">
        <f>IF(Q1507="","",IF(Q1507&lt;3,1,0))</f>
        <v/>
      </c>
      <c r="G1507" s="192"/>
      <c r="H1507" s="192" t="str">
        <f>IF(I1492&lt;&gt;"",1,"")</f>
        <v/>
      </c>
      <c r="I1507" s="192" t="str">
        <f>IF(ISNUMBER(H1507),VLOOKUP(H1507,H1490:I1493,2,TRUE),"")</f>
        <v/>
      </c>
      <c r="J1507" s="192"/>
      <c r="K1507" s="192" t="str">
        <f>VLOOKUP(I1507,I1490:L1493,3,FALSE)</f>
        <v/>
      </c>
      <c r="L1507" s="253"/>
      <c r="M1507" s="254"/>
      <c r="N1507" s="254"/>
      <c r="O1507" s="152"/>
      <c r="P1507" s="153"/>
      <c r="Q1507" s="255" t="str">
        <f>IF(L1507="","",IF(AND(L1507-L1508&gt;1,L1507&gt;10),1,0)+IF(AND(M1507-M1508&gt;1,M1507&gt;10),1,0)+IF(AND(N1507-N1508&gt;1,N1507&gt;10),1,0)+IF(AND(O1507-O1508&gt;1,O1507&gt;10),1,0)+IF(AND(P1507-P1508&gt;1,P1507&gt;10),1,0))</f>
        <v/>
      </c>
      <c r="R1507" s="203" t="str">
        <f>IF(AND(I1507="",I1508=""),"",ABS(VLOOKUP(I1507,I1490:L1493,4,FALSE)-VLOOKUP(I1508,I1490:L1493,4,FALSE)))</f>
        <v/>
      </c>
      <c r="S1507" s="256" t="str">
        <f>IF(R1508="","",IF(Q1507=3,+R1508,-R1508))</f>
        <v/>
      </c>
      <c r="T1507" s="192"/>
      <c r="U1507" s="235"/>
      <c r="V1507" s="235"/>
      <c r="W1507" s="235"/>
      <c r="X1507" s="235"/>
      <c r="Y1507" s="235"/>
      <c r="Z1507" s="235"/>
      <c r="AA1507" s="243">
        <v>1</v>
      </c>
      <c r="AB1507" s="222" t="str">
        <f>IF(AND(COUNTBLANK(I1490:I1493)=0,Group_players=4,M1490=M1491,M1491=M1492),IF(U1497="","",IF(COUNTIF(U1497:U1500,U1497)=3,"Tied",IF(AND(COUNTIF(U1497:U1500,U1497)=1,U1498&lt;&gt;U1499),IF(M1490=2,IF(SMALL(U1497:U1500,1)=U1497,1,IF(SMALL(U1497:U1500,2)=U1497,2,IF(SMALL(U1497:U1500,3)=U1497,3))),IF(M1490=1,IF(SMALL(U1497:U1500,1)=U1497,2,IF(SMALL(U1497:U1500,2)=U1497,3,IF(SMALL(U1497:U1500,3)=U1497,4))),"")),IF(COUNTIF(U1497:U1500,U1497)=1,IF(U1497&lt;U1498,IF(M1490=2,1,2),IF(M1490=2,3,4)),IF(COUNTIF(U1497:U1500,U1497)=2,IF(U1497=U1498,IF(U1497&lt;U1499,IF(M1490=2,IF(Q1513=3,1,2),IF(M1490=1,IF(Q1513=3,2,3))),IF(U1497&gt;U1499,IF(M1490=2,IF(Q1513=3,2,3),IF(M1490=1,IF(Q1513=3,3,4))))),IF(U1497=U1499,IF(U1497&lt;U1498,IF(M1490=2,IF(Q1501=3,1,2),IF(M1490=1,IF(Q1501=3,2,3))),IF(U1497&gt;U1498,IF(M1490=2,IF(Q1501=3,2,3),IF(M1490=1,IF(Q1501=3,3,4)))))))))))),"")</f>
        <v/>
      </c>
      <c r="AC1507" s="192"/>
      <c r="AD1507" s="192"/>
      <c r="AE1507" s="192"/>
      <c r="AF1507" s="192"/>
      <c r="AG1507" s="192"/>
      <c r="AH1507" s="192"/>
      <c r="AI1507" s="192"/>
      <c r="AJ1507" s="192"/>
      <c r="AK1507" s="192"/>
      <c r="AL1507" s="192"/>
      <c r="AM1507" s="192"/>
      <c r="AN1507" s="192"/>
      <c r="AO1507" s="192"/>
      <c r="AP1507" s="192"/>
      <c r="AQ1507" s="192"/>
      <c r="AR1507" s="192"/>
      <c r="AS1507" s="192"/>
      <c r="AT1507" s="192"/>
      <c r="AU1507" s="192"/>
      <c r="AV1507" s="192"/>
      <c r="AW1507" s="192"/>
      <c r="AX1507" s="192"/>
    </row>
    <row r="1508" spans="2:50" ht="15" customHeight="1" thickBot="1" x14ac:dyDescent="0.35">
      <c r="B1508" s="192"/>
      <c r="C1508" s="192"/>
      <c r="D1508" s="192"/>
      <c r="E1508" s="164" t="str">
        <f>IF(Q1508="","",IF(Q1508=3,1,0))</f>
        <v/>
      </c>
      <c r="F1508" s="164" t="str">
        <f>IF(Q1508="","",IF(Q1508&lt;3,1,0))</f>
        <v/>
      </c>
      <c r="G1508" s="192"/>
      <c r="H1508" s="192" t="str">
        <f>IF(I1492="","",IF(I1493&lt;&gt;"",4,2))</f>
        <v/>
      </c>
      <c r="I1508" s="192" t="str">
        <f>IF(ISNUMBER(H1508),VLOOKUP(H1508,H1490:I1493,2,TRUE),"")</f>
        <v/>
      </c>
      <c r="J1508" s="192"/>
      <c r="K1508" s="192" t="str">
        <f>VLOOKUP(I1508,I1490:L1493,3,FALSE)</f>
        <v/>
      </c>
      <c r="L1508" s="155"/>
      <c r="M1508" s="259"/>
      <c r="N1508" s="259"/>
      <c r="O1508" s="156"/>
      <c r="P1508" s="157"/>
      <c r="Q1508" s="260" t="str">
        <f>IF(L1508="","",IF(AND(L1508-L1507&gt;1,L1508&gt;10),1,0)+IF(AND(M1508-M1507&gt;1,M1508&gt;10),1,0)+IF(AND(N1508-N1507&gt;1,N1508&gt;10),1,0)+IF(AND(O1508-O1507&gt;1,O1508&gt;10),1,0)+IF(AND(P1508-P1507&gt;1,P1508&gt;10),1,0))</f>
        <v/>
      </c>
      <c r="R1508" s="203" t="str">
        <f>IF(AND(Q1507&lt;&gt;3,Q1508&lt;&gt;3),"",IF(Q1507=3,IF(VLOOKUP(I1507,I1490:L1493,4,FALSE)&gt;VLOOKUP(I1508,I1490:L1493,4,FALSE),VLOOKUP(R1507,Point_dif,2,FALSE),VLOOKUP(R1507,Point_dif,3,FALSE)),IF(Q1508=3,IF(VLOOKUP(I1508,I1490:L1493,4,FALSE)&gt;VLOOKUP(I1507,I1490:L1493,4,FALSE),VLOOKUP(R1507,Point_dif,2,FALSE),VLOOKUP(R1507,Point_dif,3,FALSE)))))</f>
        <v/>
      </c>
      <c r="S1508" s="256" t="str">
        <f>IF(R1508="","",IF(Q1508=3,+R1508,-R1508))</f>
        <v/>
      </c>
      <c r="T1508" s="192"/>
      <c r="U1508" s="235"/>
      <c r="V1508" s="235"/>
      <c r="W1508" s="235"/>
      <c r="X1508" s="235"/>
      <c r="Y1508" s="235"/>
      <c r="Z1508" s="235"/>
      <c r="AA1508" s="246">
        <v>2</v>
      </c>
      <c r="AB1508" s="222" t="str">
        <f>IF(AND(COUNTBLANK(I1490:I1493)=0,Group_players=4,M1490=M1491,M1491=M1492),IF(U1498="","",IF(COUNTIF(U1497:U1500,U1498)=3,"Tied",IF(AND(COUNTIF(U1497:U1500,U1498)=1,U1497&lt;&gt;U1499),IF(M1491=2,IF(SMALL(U1497:U1500,1)=U1498,1,IF(SMALL(U1497:U1500,2)=U1498,2,IF(SMALL(U1497:U1500,3)=U1498,3))),IF(M1491=1,IF(SMALL(U1497:U1500,1)=U1498,2,IF(SMALL(U1497:U1500,2)=U1498,3,IF(SMALL(U1497:U1500,3)=U1498,4))),"")),IF(COUNTIF(U1497:U1500,U1498)=1,IF(U1498&lt;U1497,IF(M1491=2,1,2),IF(M1491=2,3,4)),IF(COUNTIF(U1497:U1500,U1498)=2,IF(U1498=U1497,IF(U1498&lt;U1499,IF(M1491=2,IF(Q1514=3,1,2),IF(M1491=1,IF(Q1514=3,2,3))),IF(U1498&gt;U1499,IF(M1491=2,IF(Q1514=3,2,3),IF(M1491=1,IF(Q1514=3,3,4))))),IF(U1498=U1499,IF(U1498&lt;U1497,IF(M1491=2,IF(Q1510=3,1,2),IF(M1491=1,IF(Q1510=3,2,3))),IF(U1498&gt;U1497,IF(M1491=2,IF(Q1510=3,2,3),IF(M1491=1,IF(Q1510=3,3,4)))))))))))),"")</f>
        <v/>
      </c>
      <c r="AC1508" s="192"/>
      <c r="AD1508" s="192"/>
      <c r="AE1508" s="192"/>
      <c r="AF1508" s="192"/>
      <c r="AG1508" s="192"/>
      <c r="AH1508" s="192"/>
      <c r="AI1508" s="192"/>
      <c r="AJ1508" s="192"/>
      <c r="AK1508" s="192"/>
      <c r="AL1508" s="192"/>
      <c r="AM1508" s="192"/>
      <c r="AN1508" s="192"/>
      <c r="AO1508" s="192"/>
      <c r="AP1508" s="192"/>
      <c r="AQ1508" s="192"/>
      <c r="AR1508" s="192"/>
      <c r="AS1508" s="192"/>
      <c r="AT1508" s="192"/>
      <c r="AU1508" s="192"/>
      <c r="AV1508" s="192"/>
      <c r="AW1508" s="192"/>
      <c r="AX1508" s="192"/>
    </row>
    <row r="1509" spans="2:50" ht="15" customHeight="1" thickTop="1" thickBot="1" x14ac:dyDescent="0.35">
      <c r="B1509" s="192"/>
      <c r="C1509" s="192"/>
      <c r="D1509" s="192"/>
      <c r="E1509" s="164"/>
      <c r="F1509" s="164"/>
      <c r="G1509" s="192"/>
      <c r="H1509" s="192"/>
      <c r="I1509" s="249" t="s">
        <v>118</v>
      </c>
      <c r="J1509" s="249"/>
      <c r="K1509" s="249"/>
      <c r="L1509" s="250" t="s">
        <v>115</v>
      </c>
      <c r="M1509" s="250" t="s">
        <v>116</v>
      </c>
      <c r="N1509" s="250" t="s">
        <v>117</v>
      </c>
      <c r="O1509" s="250" t="s">
        <v>118</v>
      </c>
      <c r="P1509" s="250" t="s">
        <v>119</v>
      </c>
      <c r="Q1509" s="250" t="s">
        <v>120</v>
      </c>
      <c r="R1509" s="250"/>
      <c r="S1509" s="251"/>
      <c r="T1509" s="192"/>
      <c r="U1509" s="235"/>
      <c r="V1509" s="235"/>
      <c r="W1509" s="235"/>
      <c r="X1509" s="235"/>
      <c r="Y1509" s="235"/>
      <c r="Z1509" s="235"/>
      <c r="AA1509" s="240">
        <v>3</v>
      </c>
      <c r="AB1509" s="241" t="str">
        <f>IF(AND(COUNTBLANK(I1490:I1493)=0,Group_players=4,M1490=M1491,M1491=M1492),IF(U1499="","",IF(COUNTIF(U1497:U1500,U1499)=3,"Tied",IF(AND(COUNTIF(U1497:U1500,U1499)=1,U1497&lt;&gt;U1498),IF(M1490=2,IF(SMALL(U1497:U1500,1)=U1499,1,IF(SMALL(U1497:U1500,2)=U1499,2,IF(SMALL(U1497:U1500,3)=U1499,3))),IF(M1492=1,IF(SMALL(U1497:U1500,1)=U1499,2,IF(SMALL(U1497:U1500,2)=U1499,3,IF(SMALL(U1497:U1500,3)=U1499,4))),"")),IF(COUNTIF(U1497:U1500,U1499)=1,IF(U1499&lt;U1498,IF(M1492=2,1,2),IF(M1492=2,3,4)),IF(COUNTIF(U1497:U1500,U1499)=2,IF(U1499=U1498,IF(U1499&lt;U1497,IF(M1492=2,IF(Q1511=3,1,2),IF(M1492=1,IF(Q1511=3,2,3))),IF(U1499&gt;U1497,IF(M1492=2,IF(Q1511=3,2,3),IF(M1492=1,IF(Q1511=3,3,4))))),IF(U1499=U1497,IF(U1499&lt;U1498,IF(M1492=2,IF(Q1502=3,1,2),IF(M1492=1,IF(Q1502=3,2,3))),IF(U1499&gt;U1498,IF(M1492=2,IF(Q1502=3,2,3),IF(M1492=1,IF(Q1502=3,3,4)))))))))))),"")</f>
        <v/>
      </c>
      <c r="AC1509" s="192"/>
      <c r="AD1509" s="192"/>
      <c r="AE1509" s="192"/>
      <c r="AF1509" s="192"/>
      <c r="AG1509" s="192"/>
      <c r="AH1509" s="192"/>
      <c r="AI1509" s="192"/>
      <c r="AJ1509" s="192"/>
      <c r="AK1509" s="192"/>
      <c r="AL1509" s="192"/>
      <c r="AM1509" s="192"/>
      <c r="AN1509" s="192"/>
      <c r="AO1509" s="192"/>
      <c r="AP1509" s="192"/>
      <c r="AQ1509" s="192"/>
      <c r="AR1509" s="192"/>
      <c r="AS1509" s="192"/>
      <c r="AT1509" s="192"/>
      <c r="AU1509" s="192"/>
      <c r="AV1509" s="192"/>
      <c r="AW1509" s="192"/>
      <c r="AX1509" s="192"/>
    </row>
    <row r="1510" spans="2:50" ht="15" customHeight="1" thickTop="1" x14ac:dyDescent="0.3">
      <c r="B1510" s="192"/>
      <c r="C1510" s="192"/>
      <c r="D1510" s="192"/>
      <c r="E1510" s="164" t="str">
        <f>IF(Q1510="","",IF(Q1510=3,1,0))</f>
        <v/>
      </c>
      <c r="F1510" s="164" t="str">
        <f>IF(Q1510="","",IF(Q1510&lt;3,1,0))</f>
        <v/>
      </c>
      <c r="G1510" s="192"/>
      <c r="H1510" s="192" t="str">
        <f>IF(I1493&lt;&gt;"",2,"")</f>
        <v/>
      </c>
      <c r="I1510" s="192" t="str">
        <f>IF(ISNUMBER(H1510),VLOOKUP(H1510,H1490:I1493,2,TRUE),"")</f>
        <v/>
      </c>
      <c r="J1510" s="192"/>
      <c r="K1510" s="192" t="str">
        <f>VLOOKUP(I1510,I1490:L1493,3,FALSE)</f>
        <v/>
      </c>
      <c r="L1510" s="253"/>
      <c r="M1510" s="254"/>
      <c r="N1510" s="254"/>
      <c r="O1510" s="152"/>
      <c r="P1510" s="153"/>
      <c r="Q1510" s="255" t="str">
        <f>IF(L1510="","",IF(AND(L1510-L1511&gt;1,L1510&gt;10),1,0)+IF(AND(M1510-M1511&gt;1,M1510&gt;10),1,0)+IF(AND(N1510-N1511&gt;1,N1510&gt;10),1,0)+IF(AND(O1510-O1511&gt;1,O1510&gt;10),1,0)+IF(AND(P1510-P1511&gt;1,P1510&gt;10),1,0))</f>
        <v/>
      </c>
      <c r="R1510" s="203" t="str">
        <f>IF(AND(I1510="",I1511=""),"",ABS(VLOOKUP(I1510,I1490:L1493,4,FALSE)-VLOOKUP(I1511,I1490:L1493,4,FALSE)))</f>
        <v/>
      </c>
      <c r="S1510" s="256" t="str">
        <f>IF(R1511="","",IF(Q1510=3,+R1511,-R1511))</f>
        <v/>
      </c>
      <c r="T1510" s="192"/>
      <c r="U1510" s="235"/>
      <c r="V1510" s="235"/>
      <c r="W1510" s="235"/>
      <c r="X1510" s="235"/>
      <c r="Y1510" s="235"/>
      <c r="Z1510" s="235"/>
      <c r="AA1510" s="243">
        <v>1</v>
      </c>
      <c r="AB1510" s="222" t="str">
        <f>IF(AND(COUNTBLANK(I1490:I1493)=0,Group_players=4,M1490=M1492,M1492=M1493),IF(V1497="","",IF(COUNTIF(V1497:V1500,V1497)=3,"Tied",IF(AND(COUNTIF(V1497:V1500,V1497)=1,V1499&lt;&gt;U1500),IF(M1490=2,IF(SMALL(V1497:V1500,1)=V1497,1,IF(SMALL(V1497:V1500,2)=V1497,2,IF(SMALL(V1497:V1500,3)=V1497,3))),IF(M1490=1,IF(SMALL(V1497:V1500,1)=V1497,2,IF(SMALL(V1497:V1500,2)=V1497,3,IF(SMALL(V1497:V1500,3)=V1497,4))),"")),IF(COUNTIF(V1497:V1500,V1497)=1,IF(V1497&lt;V1499,IF(M1490=2,1,2),IF(M1490=2,3,4)),IF(COUNTIF(V1497:V1500,V1497)=2,IF(V1497=V1499,IF(V1497&lt;V1500,IF(M1490=2,IF(Q1501=3,1,2),IF(M1490=1,IF(Q1501=3,2,3))),IF(V1497&gt;V1500,IF(M1490=2,IF(Q1501=3,2,3),IF(M1490=1,IF(Q1501=3,3,4))))),IF(V1497=V1500,IF(V1497&lt;V1499,IF(M1490=2,IF(Q1507=3,1,2),IF(M1490=1,IF(Q1507=3,2,3))),IF(V1497&gt;V1498,IF(M1490=2,IF(Q1507=3,2,3),IF(M1490=1,IF(Q1507=3,3,4)))))))))))),"")</f>
        <v/>
      </c>
      <c r="AC1510" s="192"/>
      <c r="AD1510" s="192"/>
      <c r="AE1510" s="192"/>
      <c r="AF1510" s="192"/>
      <c r="AG1510" s="192"/>
      <c r="AH1510" s="192"/>
      <c r="AI1510" s="192"/>
      <c r="AJ1510" s="192"/>
      <c r="AK1510" s="192"/>
      <c r="AL1510" s="192"/>
      <c r="AM1510" s="192"/>
      <c r="AN1510" s="192"/>
      <c r="AO1510" s="192"/>
      <c r="AP1510" s="192"/>
      <c r="AQ1510" s="192"/>
      <c r="AR1510" s="192"/>
      <c r="AS1510" s="192"/>
      <c r="AT1510" s="192"/>
      <c r="AU1510" s="192"/>
      <c r="AV1510" s="192"/>
      <c r="AW1510" s="192"/>
      <c r="AX1510" s="192"/>
    </row>
    <row r="1511" spans="2:50" ht="15" customHeight="1" thickBot="1" x14ac:dyDescent="0.35">
      <c r="B1511" s="192"/>
      <c r="C1511" s="192"/>
      <c r="D1511" s="192"/>
      <c r="E1511" s="164" t="str">
        <f>IF(Q1511="","",IF(Q1511=3,1,0))</f>
        <v/>
      </c>
      <c r="F1511" s="164" t="str">
        <f>IF(Q1511="","",IF(Q1511&lt;3,1,0))</f>
        <v/>
      </c>
      <c r="G1511" s="192"/>
      <c r="H1511" s="192" t="str">
        <f>IF(I1493&lt;&gt;"",3,"")</f>
        <v/>
      </c>
      <c r="I1511" s="192" t="str">
        <f>IF(ISNUMBER(H1511),VLOOKUP(H1511,H1490:I1493,2,TRUE),"")</f>
        <v/>
      </c>
      <c r="J1511" s="192"/>
      <c r="K1511" s="192" t="str">
        <f>VLOOKUP(I1511,I1490:L1493,3,FALSE)</f>
        <v/>
      </c>
      <c r="L1511" s="155"/>
      <c r="M1511" s="259"/>
      <c r="N1511" s="259"/>
      <c r="O1511" s="156"/>
      <c r="P1511" s="157"/>
      <c r="Q1511" s="260" t="str">
        <f>IF(L1511="","",IF(AND(L1511-L1510&gt;1,L1511&gt;10),1,0)+IF(AND(M1511-M1510&gt;1,M1511&gt;10),1,0)+IF(AND(N1511-N1510&gt;1,N1511&gt;10),1,0)+IF(AND(O1511-O1510&gt;1,O1511&gt;10),1,0)+IF(AND(P1511-P1510&gt;1,P1511&gt;10),1,0))</f>
        <v/>
      </c>
      <c r="R1511" s="203" t="str">
        <f>IF(AND(Q1510&lt;&gt;3,Q1511&lt;&gt;3),"",IF(Q1510=3,IF(VLOOKUP(I1510,I1490:L1493,4,FALSE)&gt;VLOOKUP(I1511,I1490:L1493,4,FALSE),VLOOKUP(R1510,Point_dif,2,FALSE),VLOOKUP(R1510,Point_dif,3,FALSE)),IF(Q1511=3,IF(VLOOKUP(I1511,I1490:L1493,4,FALSE)&gt;VLOOKUP(I1510,I1490:L1493,4,FALSE),VLOOKUP(R1510,Point_dif,2,FALSE),VLOOKUP(R1510,Point_dif,3,FALSE)))))</f>
        <v/>
      </c>
      <c r="S1511" s="256" t="str">
        <f>IF(R1511="","",IF(Q1511=3,+R1511,-R1511))</f>
        <v/>
      </c>
      <c r="T1511" s="192"/>
      <c r="U1511" s="159"/>
      <c r="V1511" s="266"/>
      <c r="W1511" s="266"/>
      <c r="X1511" s="266"/>
      <c r="Y1511" s="192"/>
      <c r="Z1511" s="203"/>
      <c r="AA1511" s="246">
        <v>3</v>
      </c>
      <c r="AB1511" s="222" t="str">
        <f>IF(AND(COUNTBLANK(I1490:I1493)=0,Group_players=4,M1490=M1492,M1492=M1493),IF(V1499="","",IF(COUNTIF(V1497:V1500,V1499)=3,"Tied",IF(AND(COUNTIF(V1497:V1500,V1499)=1,V1497&lt;&gt;V1500),IF(M1492=2,IF(SMALL(V1497:V1500,1)=V1499,1,IF(SMALL(V1497:V1500,2)=V1499,2,IF(SMALL(V1497:V1500,3)=V1499,3))),IF(M1492=1,IF(SMALL(V1497:V1500,1)=V1499,2,IF(SMALL(V1497:V1500,2)=V1499,3,IF(SMALL(V1497:V1500,3)=V1499,4))),"")),IF(COUNTIF(V1497:V1500,V1499)=1,IF(V1499&lt;V1497,IF(M1492=2,1,2),IF(M1492=2,3,4)),IF(COUNTIF(V1497:V1500,V1499)=2,IF(V1499=V1497,IF(V1499&lt;V1500,IF(M1492=2,IF(Q1502=3,1,2),IF(M1492=1,IF(Q1502=3,2,3))),IF(V1499&gt;V1500,IF(M1492=2,IF(Q1502=3,2,3),IF(M1492=1,IF(Q1502=3,3,4))))),IF(V1499=V1500,IF(V1499&lt;V1497,IF(M1492=2,IF(Q1516=3,1,2),IF(M1492=1,IF(Q1516=3,2,3))),IF(V1499&gt;V1497,IF(M1492=2,IF(Q1516=3,2,3),IF(M1492=1,IF(Q1516=3,3,4)))))))))))),"")</f>
        <v/>
      </c>
      <c r="AC1511" s="192"/>
      <c r="AD1511" s="192"/>
      <c r="AE1511" s="192"/>
      <c r="AF1511" s="192"/>
      <c r="AG1511" s="192"/>
      <c r="AH1511" s="192"/>
      <c r="AI1511" s="192"/>
      <c r="AJ1511" s="192"/>
      <c r="AK1511" s="192"/>
      <c r="AL1511" s="192"/>
      <c r="AM1511" s="192"/>
      <c r="AN1511" s="192"/>
      <c r="AO1511" s="192"/>
      <c r="AP1511" s="192"/>
      <c r="AQ1511" s="192"/>
      <c r="AR1511" s="192"/>
      <c r="AS1511" s="192"/>
      <c r="AT1511" s="192"/>
      <c r="AU1511" s="192"/>
      <c r="AV1511" s="192"/>
      <c r="AW1511" s="192"/>
      <c r="AX1511" s="192"/>
    </row>
    <row r="1512" spans="2:50" ht="15" customHeight="1" thickTop="1" thickBot="1" x14ac:dyDescent="0.35">
      <c r="B1512" s="192"/>
      <c r="C1512" s="192"/>
      <c r="D1512" s="192"/>
      <c r="E1512" s="164"/>
      <c r="F1512" s="164"/>
      <c r="G1512" s="192"/>
      <c r="H1512" s="192"/>
      <c r="I1512" s="249" t="s">
        <v>119</v>
      </c>
      <c r="J1512" s="249"/>
      <c r="K1512" s="249"/>
      <c r="L1512" s="250" t="s">
        <v>115</v>
      </c>
      <c r="M1512" s="250" t="s">
        <v>116</v>
      </c>
      <c r="N1512" s="250" t="s">
        <v>117</v>
      </c>
      <c r="O1512" s="250" t="s">
        <v>118</v>
      </c>
      <c r="P1512" s="250" t="s">
        <v>119</v>
      </c>
      <c r="Q1512" s="250" t="s">
        <v>120</v>
      </c>
      <c r="R1512" s="250"/>
      <c r="S1512" s="251"/>
      <c r="T1512" s="247"/>
      <c r="U1512" s="235"/>
      <c r="V1512" s="235"/>
      <c r="W1512" s="235"/>
      <c r="X1512" s="235"/>
      <c r="Y1512" s="235"/>
      <c r="Z1512" s="235"/>
      <c r="AA1512" s="240">
        <v>4</v>
      </c>
      <c r="AB1512" s="241" t="str">
        <f>IF(AND(COUNTBLANK(I1490:I1493)=0,Group_players=4,M1490=M1492,M1492=M1493),IF(V1500="","",IF(COUNTIF(V1497:V1500,V1500)=3,"Tied",IF(AND(COUNTIF(V1497:V1500,V1500)=1,V1499&lt;&gt;V1497),IF(M1493=2,IF(SMALL(V1497:V1500,1)=V1500,1,IF(SMALL(V1497:V1500,2)=V1500,2,IF(SMALL(V1497:V1500,3)=V1500,3))),IF(M1493=1,IF(SMALL(V1497:V1500,1)=V1500,2,IF(SMALL(V1497:V1500,2)=V1500,3,IF(SMALL(V1497:V1500,3)=V1500,4))),"")),IF(COUNTIF(V1497:V1500,V1500)=1,IF(V1500&lt;V1497,IF(M1493=2,1,2),IF(M1493=2,3,4)),IF(COUNTIF(V1497:V1500,V1500)=2,IF(V1500=V1497,IF(V1500&lt;V1499,IF(M1493=2,IF(Q1508=3,1,2),IF(M1493=1,IF(Q1508=3,2,3))),IF(V1500&gt;V1499,IF(M1493=2,IF(Q1508=3,2,3),IF(M1493=1,IF(Q1508=3,3,4))))),IF(V1500=V1499,IF(V1500&lt;V1497,IF(M1493=2,IF(Q1517=3,1,2),IF(M1493=1,IF(Q1517=3,2,3))),IF(V1500&gt;V1497,IF(M1493=2,IF(Q1517=3,2,3),IF(M1493=1,IF(Q1517=3,3,4)))))))))))),"")</f>
        <v/>
      </c>
      <c r="AC1512" s="192"/>
      <c r="AD1512" s="192"/>
      <c r="AE1512" s="192"/>
      <c r="AF1512" s="192"/>
      <c r="AG1512" s="192"/>
      <c r="AH1512" s="192"/>
      <c r="AI1512" s="192"/>
      <c r="AJ1512" s="192"/>
      <c r="AK1512" s="192"/>
      <c r="AL1512" s="192"/>
      <c r="AM1512" s="192"/>
      <c r="AN1512" s="192"/>
      <c r="AO1512" s="192"/>
      <c r="AP1512" s="192"/>
      <c r="AQ1512" s="192"/>
      <c r="AR1512" s="192"/>
      <c r="AS1512" s="192"/>
      <c r="AT1512" s="192"/>
      <c r="AU1512" s="192"/>
      <c r="AV1512" s="192"/>
      <c r="AW1512" s="192"/>
      <c r="AX1512" s="192"/>
    </row>
    <row r="1513" spans="2:50" ht="15" customHeight="1" thickTop="1" x14ac:dyDescent="0.3">
      <c r="B1513" s="192"/>
      <c r="C1513" s="192"/>
      <c r="D1513" s="192"/>
      <c r="E1513" s="164" t="str">
        <f>IF(Q1513="","",IF(Q1513=3,1,0))</f>
        <v/>
      </c>
      <c r="F1513" s="164" t="str">
        <f>IF(Q1513="","",IF(Q1513&lt;3,1,0))</f>
        <v/>
      </c>
      <c r="G1513" s="192"/>
      <c r="H1513" s="192" t="str">
        <f>IF(I1493&lt;&gt;"",1,"")</f>
        <v/>
      </c>
      <c r="I1513" s="192" t="str">
        <f>IF(ISNUMBER(H1513),VLOOKUP(H1513,H1490:I1493,2,TRUE),"")</f>
        <v/>
      </c>
      <c r="J1513" s="192"/>
      <c r="K1513" s="192" t="str">
        <f>VLOOKUP(I1513,I1490:L1493,3,FALSE)</f>
        <v/>
      </c>
      <c r="L1513" s="253"/>
      <c r="M1513" s="254"/>
      <c r="N1513" s="254"/>
      <c r="O1513" s="152"/>
      <c r="P1513" s="153"/>
      <c r="Q1513" s="255" t="str">
        <f>IF(L1513="","",IF(AND(L1513-L1514&gt;1,L1513&gt;10),1,0)+IF(AND(M1513-M1514&gt;1,M1513&gt;10),1,0)+IF(AND(N1513-N1514&gt;1,N1513&gt;10),1,0)+IF(AND(O1513-O1514&gt;1,O1513&gt;10),1,0)+IF(AND(P1513-P1514&gt;1,P1513&gt;10),1,0))</f>
        <v/>
      </c>
      <c r="R1513" s="203" t="str">
        <f>IF(AND(I1513="",I1514=""),"",ABS(VLOOKUP(I1513,I1490:L1493,4,FALSE)-VLOOKUP(I1514,I1490:L1493,4,FALSE)))</f>
        <v/>
      </c>
      <c r="S1513" s="256" t="str">
        <f>IF(R1514="","",IF(Q1513=3,+R1514,-R1514))</f>
        <v/>
      </c>
      <c r="T1513" s="247"/>
      <c r="U1513" s="235"/>
      <c r="V1513" s="235"/>
      <c r="W1513" s="235"/>
      <c r="X1513" s="235"/>
      <c r="Y1513" s="235"/>
      <c r="Z1513" s="235"/>
      <c r="AA1513" s="243">
        <v>1</v>
      </c>
      <c r="AB1513" s="222" t="str">
        <f>IF(AND(COUNTBLANK(I1490:I1493)=0,Group_players=4,M1490=M1491,M1491=M1493),IF(W1497="","",IF(COUNTIF(W1497:W1500,W1497)=3,"Tied",IF(AND(COUNTIF(W1497:W1500,W1497)=1,W1498&lt;&gt;W1499),IF(M1490=2,IF(SMALL(W1497:W1500,1)=W1497,1,IF(SMALL(W1497:W1500,2)=W1497,2,IF(SMALL(W1497:W1500,3)=W1497,3))),IF(M1490=1,IF(SMALL(W1497:W1500,1)=W1497,2,IF(SMALL(W1497:W1500,2)=W1497,3,IF(SMALL(W1497:W1500,3)=W1497,4))),"")),IF(COUNTIF(W1497:W1500,W1497)=1,IF(W1497&lt;W1498,IF(M1490=2,1,2),IF(M1490=2,3,4)),IF(COUNTIF(W1497:W1500,W1497)=2,IF(W1497=W1498,IF(W1497&lt;W1500,IF(M1490=2,IF(Q1513=3,1,2),IF(M1490=1,IF(Q1513=3,2,3))),IF(W1497&gt;W1500,IF(M1490=2,IF(Q1513=3,2,3),IF(M1490=1,IF(Q1513=3,3,4))))),IF(W1497=W1500,IF(W1497&lt;W1498,IF(M1490=2,IF(Q1507=3,1,2),IF(M1490=1,IF(Q1507=3,2,3))),IF(W1497&gt;W1498,IF(M1490=2,IF(Q1507=3,2,3),IF(M1490=1,IF(Q1507=3,3,4)))))))))))),"")</f>
        <v/>
      </c>
      <c r="AC1513" s="192"/>
      <c r="AD1513" s="192"/>
      <c r="AE1513" s="192"/>
      <c r="AF1513" s="192"/>
      <c r="AG1513" s="192"/>
      <c r="AH1513" s="192"/>
      <c r="AI1513" s="192"/>
      <c r="AJ1513" s="192"/>
      <c r="AK1513" s="192"/>
      <c r="AL1513" s="192"/>
      <c r="AM1513" s="192"/>
      <c r="AN1513" s="192"/>
      <c r="AO1513" s="192"/>
      <c r="AP1513" s="192"/>
      <c r="AQ1513" s="192"/>
      <c r="AR1513" s="192"/>
      <c r="AS1513" s="192"/>
      <c r="AT1513" s="192"/>
      <c r="AU1513" s="192"/>
      <c r="AV1513" s="192"/>
      <c r="AW1513" s="192"/>
      <c r="AX1513" s="192"/>
    </row>
    <row r="1514" spans="2:50" ht="15" customHeight="1" thickBot="1" x14ac:dyDescent="0.35">
      <c r="B1514" s="192"/>
      <c r="C1514" s="192"/>
      <c r="D1514" s="192"/>
      <c r="E1514" s="164" t="str">
        <f>IF(Q1514="","",IF(Q1514=3,1,0))</f>
        <v/>
      </c>
      <c r="F1514" s="164" t="str">
        <f>IF(Q1514="","",IF(Q1514&lt;3,1,0))</f>
        <v/>
      </c>
      <c r="G1514" s="192"/>
      <c r="H1514" s="192" t="str">
        <f>IF(I1493&lt;&gt;"",2,"")</f>
        <v/>
      </c>
      <c r="I1514" s="192" t="str">
        <f>IF(ISNUMBER(H1514),VLOOKUP(H1514,H1490:I1493,2,TRUE),"")</f>
        <v/>
      </c>
      <c r="J1514" s="192"/>
      <c r="K1514" s="192" t="str">
        <f>VLOOKUP(I1514,I1490:L1493,3,FALSE)</f>
        <v/>
      </c>
      <c r="L1514" s="155"/>
      <c r="M1514" s="259"/>
      <c r="N1514" s="259"/>
      <c r="O1514" s="156"/>
      <c r="P1514" s="157"/>
      <c r="Q1514" s="260" t="str">
        <f>IF(L1514="","",IF(AND(L1514-L1513&gt;1,L1514&gt;10),1,0)+IF(AND(M1514-M1513&gt;1,M1514&gt;10),1,0)+IF(AND(N1514-N1513&gt;1,N1514&gt;10),1,0)+IF(AND(O1514-O1513&gt;1,O1514&gt;10),1,0)+IF(AND(P1514-P1513&gt;1,P1514&gt;10),1,0))</f>
        <v/>
      </c>
      <c r="R1514" s="203" t="str">
        <f>IF(AND(Q1513&lt;&gt;3,Q1514&lt;&gt;3),"",IF(Q1513=3,IF(VLOOKUP(I1513,I1490:L1493,4,FALSE)&gt;VLOOKUP(I1514,I1490:L1493,4,FALSE),VLOOKUP(R1513,Point_dif,2,FALSE),VLOOKUP(R1513,Point_dif,3,FALSE)),IF(Q1514=3,IF(VLOOKUP(I1514,I1490:L1493,4,FALSE)&gt;VLOOKUP(I1514,I1490:L1493,4,FALSE),VLOOKUP(R1513,Point_dif,2,FALSE),VLOOKUP(R1513,Point_dif,3,FALSE)))))</f>
        <v/>
      </c>
      <c r="S1514" s="256" t="str">
        <f>IF(R1514="","",IF(Q1514=3,+R1514,-R1514))</f>
        <v/>
      </c>
      <c r="T1514" s="247"/>
      <c r="U1514" s="235"/>
      <c r="V1514" s="235"/>
      <c r="W1514" s="235"/>
      <c r="X1514" s="235"/>
      <c r="Y1514" s="235"/>
      <c r="Z1514" s="235"/>
      <c r="AA1514" s="246">
        <v>2</v>
      </c>
      <c r="AB1514" s="222" t="str">
        <f>IF(AND(COUNTBLANK(I1490:I1493)=0,Group_players=4,M1490=M1491,M1491=M1493),IF(W1498="","",IF(COUNTIF(W1497:W1500,W1498)=3,"Tied",IF(AND(COUNTIF(W1497:W1500,W1498)=1,W1497&lt;&gt;W1499),IF(M1491=2,IF(SMALL(W1497:W1500,1)=W1498,1,IF(SMALL(W1497:W1500,2)=W1498,2,IF(SMALL(W1497:W1500,3)=W1498,3))),IF(M1491=1,IF(SMALL(W1497:W1500,1)=W1498,2,IF(SMALL(W1497:W1500,2)=W1498,3,IF(SMALL(W1497:W1500,3)=W1498,4))),"")),IF(COUNTIF(W1497:W1500,W1498)=1,IF(W1498&lt;W1497,IF(M1491=2,1,2),IF(M1491=2,3,4)),IF(COUNTIF(W1497:W1500,W1498)=2,IF(W1498=W1497,IF(W1498&lt;W1500,IF(M1491=2,IF(Q1514=3,1,2),IF(M1491=1,IF(Q1514=3,2,3))),IF(W1498&gt;W1500,IF(M1491=2,IF(Q1514=3,2,3),IF(M1491=1,IF(Q1514=3,3,4))))),IF(W1498=W1500,IF(W1498&lt;W1497,IF(M1491=2,IF(Q1504=3,1,2),IF(M1491=1,IF(Q1504=3,2,3))),IF(W1498&gt;W1497,IF(M1491=2,IF(Q1504=3,2,3),IF(M1491=1,IF(Q1504=3,3,4)))))))))))),"")</f>
        <v/>
      </c>
      <c r="AC1514" s="192"/>
      <c r="AD1514" s="192"/>
      <c r="AE1514" s="192"/>
      <c r="AF1514" s="192"/>
      <c r="AG1514" s="192"/>
      <c r="AH1514" s="192"/>
      <c r="AI1514" s="192"/>
      <c r="AJ1514" s="192"/>
      <c r="AK1514" s="192"/>
      <c r="AL1514" s="192"/>
      <c r="AM1514" s="192"/>
      <c r="AN1514" s="192"/>
      <c r="AO1514" s="192"/>
      <c r="AP1514" s="192"/>
      <c r="AQ1514" s="192"/>
      <c r="AR1514" s="192"/>
      <c r="AS1514" s="192"/>
      <c r="AT1514" s="192"/>
      <c r="AU1514" s="192"/>
      <c r="AV1514" s="192"/>
      <c r="AW1514" s="192"/>
      <c r="AX1514" s="192"/>
    </row>
    <row r="1515" spans="2:50" ht="15" customHeight="1" thickTop="1" thickBot="1" x14ac:dyDescent="0.35">
      <c r="B1515" s="192"/>
      <c r="C1515" s="192"/>
      <c r="D1515" s="192"/>
      <c r="E1515" s="164"/>
      <c r="F1515" s="164"/>
      <c r="G1515" s="192"/>
      <c r="H1515" s="192"/>
      <c r="I1515" s="249" t="s">
        <v>121</v>
      </c>
      <c r="J1515" s="249"/>
      <c r="K1515" s="249"/>
      <c r="L1515" s="250" t="s">
        <v>115</v>
      </c>
      <c r="M1515" s="250" t="s">
        <v>116</v>
      </c>
      <c r="N1515" s="250" t="s">
        <v>117</v>
      </c>
      <c r="O1515" s="250" t="s">
        <v>118</v>
      </c>
      <c r="P1515" s="250" t="s">
        <v>119</v>
      </c>
      <c r="Q1515" s="250" t="s">
        <v>120</v>
      </c>
      <c r="R1515" s="250"/>
      <c r="S1515" s="251"/>
      <c r="T1515" s="247"/>
      <c r="U1515" s="235"/>
      <c r="V1515" s="235"/>
      <c r="W1515" s="235"/>
      <c r="X1515" s="235"/>
      <c r="Y1515" s="235"/>
      <c r="Z1515" s="235"/>
      <c r="AA1515" s="240">
        <v>4</v>
      </c>
      <c r="AB1515" s="241" t="str">
        <f>IF(AND(COUNTBLANK(I1490:I1493)=0,Group_players=4,M1490=M1491,M1491=M1493),IF(W1500="","",IF(COUNTIF(W1497:W1500,W1500)=3,"Tied",IF(AND(COUNTIF(W1497:W1500,W1500)=1,W1497&lt;&gt;W1498),IF(M1493=2,IF(SMALL(W1497:W1500,1)=W1500,1,IF(SMALL(W1497:W1500,2)=W1500,2,IF(SMALL(W1497:W1500,3)=W1500,3))),IF(M1493=1,IF(SMALL(W1497:W1500,1)=W1500,2,IF(SMALL(W1497:W1500,2)=W1500,3,IF(SMALL(W1497:W1500,3)=W1500,4))),"")),IF(COUNTIF(W1497:W1500,W1500)=1,IF(W1500&lt;W1497,IF(M1493=2,1,2),IF(M1493=2,3,4)),IF(COUNTIF(W1497:W1500,W1500)=2,IF(W1500=W1497,IF(W1500&lt;W1498,IF(M1493=2,IF(Q1508=3,1,2),IF(M1493=1,IF(Q1508=3,2,3))),IF(W1500&gt;W1499,IF(M1493=2,IF(Q1508=3,2,3),IF(M1493=1,IF(Q1508=3,3,4))))),IF(W1500=W1498,IF(W1500&lt;W1497,IF(M1493=2,IF(Q1505=3,1,2),IF(M1493=1,IF(Q1505=3,2,3))),IF(W1500&gt;W1497,IF(M1493=2,IF(Q1505=3,2,3),IF(M1493=1,IF(Q1505=3,3,4)))))))))))),"")</f>
        <v/>
      </c>
      <c r="AC1515" s="192"/>
      <c r="AD1515" s="192"/>
      <c r="AE1515" s="192"/>
      <c r="AF1515" s="192"/>
      <c r="AG1515" s="192"/>
      <c r="AH1515" s="192"/>
      <c r="AI1515" s="192"/>
      <c r="AJ1515" s="192"/>
      <c r="AK1515" s="192"/>
      <c r="AL1515" s="192"/>
      <c r="AM1515" s="192"/>
      <c r="AN1515" s="192"/>
      <c r="AO1515" s="192"/>
      <c r="AP1515" s="192"/>
      <c r="AQ1515" s="192"/>
      <c r="AR1515" s="192"/>
      <c r="AS1515" s="192"/>
      <c r="AT1515" s="192"/>
      <c r="AU1515" s="192"/>
      <c r="AV1515" s="192"/>
      <c r="AW1515" s="192"/>
      <c r="AX1515" s="192"/>
    </row>
    <row r="1516" spans="2:50" ht="15" customHeight="1" thickTop="1" x14ac:dyDescent="0.3">
      <c r="B1516" s="192"/>
      <c r="C1516" s="192"/>
      <c r="D1516" s="192"/>
      <c r="E1516" s="164" t="str">
        <f>IF(Q1516="","",IF(Q1516=3,1,0))</f>
        <v/>
      </c>
      <c r="F1516" s="164" t="str">
        <f>IF(Q1516="","",IF(Q1516&lt;3,1,0))</f>
        <v/>
      </c>
      <c r="G1516" s="192"/>
      <c r="H1516" s="192" t="str">
        <f>IF(I1493&lt;&gt;"",3,"")</f>
        <v/>
      </c>
      <c r="I1516" s="192" t="str">
        <f>IF(ISNUMBER(H1516),VLOOKUP(H1516,H1490:I1493,2,TRUE),"")</f>
        <v/>
      </c>
      <c r="J1516" s="192"/>
      <c r="K1516" s="192" t="str">
        <f>VLOOKUP(I1516,I1490:L1493,3,FALSE)</f>
        <v/>
      </c>
      <c r="L1516" s="253"/>
      <c r="M1516" s="254"/>
      <c r="N1516" s="254"/>
      <c r="O1516" s="152"/>
      <c r="P1516" s="153"/>
      <c r="Q1516" s="255" t="str">
        <f>IF(L1516="","",IF(AND(L1516-L1517&gt;1,L1516&gt;10),1,0)+IF(AND(M1516-M1517&gt;1,M1516&gt;10),1,0)+IF(AND(N1516-N1517&gt;1,N1516&gt;10),1,0)+IF(AND(O1516-O1517&gt;1,O1516&gt;10),1,0)+IF(AND(P1516-P1517&gt;1,P1516&gt;10),1,0))</f>
        <v/>
      </c>
      <c r="R1516" s="203" t="str">
        <f>IF(AND(I1516="",I1517=""),"",ABS(VLOOKUP(I1516,I1490:L1493,4,FALSE)-VLOOKUP(I1517,I1490:L1493,4,FALSE)))</f>
        <v/>
      </c>
      <c r="S1516" s="256" t="str">
        <f>IF(R1517="","",IF(Q1516=3,+R1517,-R1517))</f>
        <v/>
      </c>
      <c r="T1516" s="247"/>
      <c r="U1516" s="264"/>
      <c r="V1516" s="242"/>
      <c r="W1516" s="192"/>
      <c r="X1516" s="264"/>
      <c r="Y1516" s="192"/>
      <c r="Z1516" s="192"/>
      <c r="AA1516" s="243">
        <v>2</v>
      </c>
      <c r="AB1516" s="222" t="str">
        <f>IF(AND(COUNTBLANK(I1490:I1493)=0,Group_players=4,M1491=M1492,M1492=M1493),IF(X1498="","",IF(COUNTIF(X1497:X1500,X1498)=3,"Tied",IF(AND(COUNTIF(X1497:X1500,X1498)=1,X1499&lt;&gt;X1500),IF(M1491=2,IF(SMALL(X1497:X1500,1)=X1498,1,IF(SMALL(X1497:X1500,2)=X1498,2,IF(SMALL(X1497:X1500,3)=X1498,3))),IF(M1491=1,IF(SMALL(X1497:X1500,1)=X1498,2,IF(SMALL(X1497:X1500,2)=X1498,3,IF(SMALL(X1497:X1500,3)=X1498,4))),"")),IF(COUNTIF(X1497:X1500,X1498)=1,IF(X1498&lt;X1500,IF(M1491=2,1,2),IF(M1491=1,4)),IF(COUNTIF(X1497:X1500,X1498)=2,IF(X1498=X1499,IF(X1498&lt;X1500,IF(M1491=2,IF(Q1510=3,1,2),IF(M1491=1,IF(Q1510=3,2,3))),IF(X1498&gt;X1500,IF(M1491=2,IF(Q1510=3,2,3),IF(M1491=1,IF(Q1510=3,3,4))))),IF(X1498=X1500,IF(X1498&lt;X1499,IF(M1491=2,IF(Q1504=3,1,2),IF(M1491=1,IF(Q1504=3,2,3))),IF(X1498&gt;X1499,IF(M1491=2,IF(Q1504=3,2,3),IF(M1491=1,IF(Q1504=3,3,4)))))))))))),"")</f>
        <v/>
      </c>
      <c r="AC1516" s="192"/>
      <c r="AD1516" s="192"/>
      <c r="AE1516" s="192"/>
      <c r="AF1516" s="192"/>
      <c r="AG1516" s="192"/>
      <c r="AH1516" s="192"/>
      <c r="AI1516" s="192"/>
      <c r="AJ1516" s="192"/>
      <c r="AK1516" s="192"/>
      <c r="AL1516" s="192"/>
      <c r="AM1516" s="192"/>
      <c r="AN1516" s="192"/>
      <c r="AO1516" s="192"/>
      <c r="AP1516" s="192"/>
      <c r="AQ1516" s="192"/>
      <c r="AR1516" s="192"/>
      <c r="AS1516" s="192"/>
      <c r="AT1516" s="192"/>
      <c r="AU1516" s="192"/>
      <c r="AV1516" s="192"/>
      <c r="AW1516" s="192"/>
      <c r="AX1516" s="192"/>
    </row>
    <row r="1517" spans="2:50" ht="15" customHeight="1" thickBot="1" x14ac:dyDescent="0.35">
      <c r="B1517" s="192"/>
      <c r="C1517" s="192"/>
      <c r="D1517" s="192"/>
      <c r="E1517" s="164" t="str">
        <f>IF(Q1517="","",IF(Q1517=3,1,0))</f>
        <v/>
      </c>
      <c r="F1517" s="164" t="str">
        <f>IF(Q1517="","",IF(Q1517&lt;3,1,0))</f>
        <v/>
      </c>
      <c r="G1517" s="192"/>
      <c r="H1517" s="192" t="str">
        <f>IF(I1493&lt;&gt;"",4,"")</f>
        <v/>
      </c>
      <c r="I1517" s="192" t="str">
        <f>IF(ISNUMBER(H1517),VLOOKUP(H1517,H1490:I1493,2,TRUE),"")</f>
        <v/>
      </c>
      <c r="J1517" s="192"/>
      <c r="K1517" s="192" t="str">
        <f>VLOOKUP(I1517,I1490:L1493,3,FALSE)</f>
        <v/>
      </c>
      <c r="L1517" s="155"/>
      <c r="M1517" s="259"/>
      <c r="N1517" s="259"/>
      <c r="O1517" s="156"/>
      <c r="P1517" s="157"/>
      <c r="Q1517" s="260" t="str">
        <f>IF(L1517="","",IF(AND(L1517-L1516&gt;1,L1517&gt;10),1,0)+IF(AND(M1517-M1516&gt;1,M1517&gt;10),1,0)+IF(AND(N1517-N1516&gt;1,N1517&gt;10),1,0)+IF(AND(O1517-O1516&gt;1,O1517&gt;10),1,0)+IF(AND(P1517-P1516&gt;1,P1517&gt;10),1,0))</f>
        <v/>
      </c>
      <c r="R1517" s="203" t="str">
        <f>IF(AND(Q1516&lt;&gt;3,Q1517&lt;&gt;3),"",IF(Q1516=3,IF(VLOOKUP(I1516,I1490:L1493,4,FALSE)&gt;VLOOKUP(I1517,I1490:L1493,4,FALSE),VLOOKUP(R1516,Point_dif,2,FALSE),VLOOKUP(R1516,Point_dif,3,FALSE)),IF(Q1517=3,IF(VLOOKUP(I1517,I1490:L1493,4,FALSE)&gt;VLOOKUP(I1516,I1490:L1493,4,FALSE),VLOOKUP(R1516,Point_dif,2,FALSE),VLOOKUP(R1516,Point_dif,3,FALSE)))))</f>
        <v/>
      </c>
      <c r="S1517" s="260" t="str">
        <f>IF(R1517="","",IF(Q1517=3,+R1517,-R1517))</f>
        <v/>
      </c>
      <c r="T1517" s="247"/>
      <c r="U1517" s="235"/>
      <c r="V1517" s="235"/>
      <c r="W1517" s="235"/>
      <c r="X1517" s="235"/>
      <c r="Y1517" s="235"/>
      <c r="Z1517" s="235"/>
      <c r="AA1517" s="246">
        <v>3</v>
      </c>
      <c r="AB1517" s="222" t="str">
        <f>IF(AND(COUNTBLANK(I1490:I1493)=0,Group_players=4,Group_players=4,M1491=M1492,M1492=M1493),IF(X1499="","",IF(COUNTIF(X1497:X1500,X1499)=3,"Tied",IF(AND(COUNTIF(X1497:X1500,X1499)=1,X1498&lt;&gt;X1500),IF(M1492=2,IF(SMALL(X1497:X1500,1)=X1499,1,IF(SMALL(X1497:X1500,2)=X1499,2,IF(SMALL(X1497:X1500,3)=X1499,3))),IF(M1492=1,IF(SMALL(X1497:X1500,1)=X1499,2,IF(SMALL(X1497:X1500,2)=X1499,3,IF(SMALL(X1497:X1500,3)=X1499,4))),"")),IF(COUNTIF(X1497:X1500,X1499)=1,IF(X1499&lt;X1498,IF(M1492=2,1,2),IF(M1492=2,3,4)),IF(COUNTIF(X1497:X1500,X1499)=2,IF(X1499=X1498,IF(X1499&lt;X1500,IF(M1492=2,IF(Q1511=3,1,2),IF(M1492=1,IF(Q1511=3,2,3))),IF(X1499&gt;X1500,IF(M1492=2,IF(Q1511=3,2,3),IF(M1492=1,IF(Q1511=3,3,4))))),IF(X1499=X1500,IF(X1499&lt;X1498,IF(M1492=2,IF(Q1516=3,1,2),IF(M1492=1,IF(Q1516=3,2,3))),IF(X1499&gt;X1498,IF(M1492=2,IF(Q1516=3,2,3),IF(M1492=1,IF(Q1516=3,3,4)))))))))))),"")</f>
        <v/>
      </c>
      <c r="AC1517" s="192"/>
      <c r="AD1517" s="192"/>
      <c r="AE1517" s="192"/>
      <c r="AF1517" s="192"/>
      <c r="AG1517" s="192"/>
      <c r="AH1517" s="192"/>
      <c r="AI1517" s="192"/>
      <c r="AJ1517" s="192"/>
      <c r="AK1517" s="192"/>
      <c r="AL1517" s="192"/>
      <c r="AM1517" s="192"/>
      <c r="AN1517" s="192"/>
      <c r="AO1517" s="192"/>
      <c r="AP1517" s="192"/>
      <c r="AQ1517" s="192"/>
      <c r="AR1517" s="192"/>
      <c r="AS1517" s="192"/>
      <c r="AT1517" s="192"/>
      <c r="AU1517" s="192"/>
      <c r="AV1517" s="192"/>
      <c r="AW1517" s="192"/>
      <c r="AX1517" s="192"/>
    </row>
    <row r="1518" spans="2:50" ht="15" customHeight="1" thickTop="1" thickBot="1" x14ac:dyDescent="0.35">
      <c r="B1518" s="192"/>
      <c r="C1518" s="192"/>
      <c r="D1518" s="192"/>
      <c r="E1518" s="192"/>
      <c r="F1518" s="192"/>
      <c r="G1518" s="192"/>
      <c r="H1518" s="192"/>
      <c r="I1518" s="192"/>
      <c r="J1518" s="192"/>
      <c r="K1518" s="192"/>
      <c r="L1518" s="192"/>
      <c r="M1518" s="192"/>
      <c r="N1518" s="192"/>
      <c r="O1518" s="192"/>
      <c r="P1518" s="192"/>
      <c r="Q1518" s="192"/>
      <c r="R1518" s="192"/>
      <c r="S1518" s="192"/>
      <c r="T1518" s="247"/>
      <c r="U1518" s="235"/>
      <c r="V1518" s="235"/>
      <c r="W1518" s="235"/>
      <c r="X1518" s="235"/>
      <c r="Y1518" s="235"/>
      <c r="Z1518" s="235"/>
      <c r="AA1518" s="261">
        <v>4</v>
      </c>
      <c r="AB1518" s="233" t="str">
        <f>IF(AND(COUNTBLANK(I1490:I1493)=0,Group_players=4,M1491=M1492,M1492=M1493),IF(X1500="","",IF(COUNTIF(X1497:X1500,X1500)=3,"Tied",IF(AND(COUNTIF(X1497:X1500,X1500)=1,X1499&lt;&gt;X1498),IF(M1493=2,IF(SMALL(X1497:X1500,1)=X1500,1,IF(SMALL(X1497:X1500,2)=X1500,2,IF(SMALL(X1497:X1500,3)=X1500,3))),IF(M1493=1,IF(SMALL(X1497:X1500,1)=X1500,2,IF(SMALL(X1497:X1500,2)=X1500,3,IF(SMALL(X1497:X1500,3)=X1500,4))),"")),IF(COUNTIF(X1497:X1500,X1500)=1,IF(X1500&lt;X1498,IF(M1493=2,1,2),IF(M1493=2,3,4)),IF(COUNTIF(X1497:X1500,X1500)=2,IF(X1500=X1498,IF(X1500&lt;X1499,IF(M1493=2,IF(Q1505=3,1,2),IF(M1493=1,IF(Q1505=3,2,3))),IF(X1500&gt;X1499,IF(M1493=2,IF(Q1505=3,2,3),IF(M1493=1,IF(Q1505=3,3,4))))),IF(X1500=X1499,IF(X1500&lt;X1498,IF(M1493=2,IF(Q1517=3,1,2),IF(M1493=1,IF(Q1517=3,2,3))),IF(X1500&gt;X1498,IF(M1493=2,IF(Q1517=3,2,3),IF(M1493=1,IF(Q1517=3,3,4)))))))))))),"")</f>
        <v/>
      </c>
      <c r="AC1518" s="192"/>
      <c r="AD1518" s="192"/>
      <c r="AE1518" s="192"/>
      <c r="AF1518" s="192"/>
      <c r="AG1518" s="192"/>
      <c r="AH1518" s="192"/>
      <c r="AI1518" s="192"/>
      <c r="AJ1518" s="192"/>
      <c r="AK1518" s="192"/>
      <c r="AL1518" s="192"/>
      <c r="AM1518" s="192"/>
      <c r="AN1518" s="192"/>
      <c r="AO1518" s="192"/>
      <c r="AP1518" s="192"/>
      <c r="AQ1518" s="192"/>
      <c r="AR1518" s="192"/>
      <c r="AS1518" s="192"/>
      <c r="AT1518" s="192"/>
      <c r="AU1518" s="192"/>
      <c r="AV1518" s="192"/>
      <c r="AW1518" s="192"/>
      <c r="AX1518" s="192"/>
    </row>
    <row r="1519" spans="2:50" ht="15" customHeight="1" thickTop="1" x14ac:dyDescent="0.3">
      <c r="B1519" s="192"/>
      <c r="C1519" s="192"/>
      <c r="D1519" s="192"/>
      <c r="E1519" s="192"/>
      <c r="F1519" s="192"/>
      <c r="G1519" s="192"/>
      <c r="H1519" s="192"/>
      <c r="I1519" s="192"/>
      <c r="J1519" s="192"/>
      <c r="K1519" s="192"/>
      <c r="L1519" s="192"/>
      <c r="M1519" s="192"/>
      <c r="N1519" s="192"/>
      <c r="O1519" s="192"/>
      <c r="P1519" s="192"/>
      <c r="Q1519" s="192"/>
      <c r="R1519" s="192"/>
      <c r="S1519" s="192"/>
      <c r="T1519" s="203"/>
      <c r="U1519" s="192"/>
      <c r="V1519" s="192"/>
      <c r="W1519" s="192"/>
      <c r="X1519" s="192"/>
      <c r="Y1519" s="192"/>
      <c r="Z1519" s="192"/>
      <c r="AA1519" s="192"/>
      <c r="AB1519" s="192"/>
      <c r="AC1519" s="192"/>
      <c r="AD1519" s="192"/>
      <c r="AE1519" s="192"/>
      <c r="AF1519" s="192"/>
      <c r="AG1519" s="192"/>
      <c r="AH1519" s="192"/>
      <c r="AI1519" s="192"/>
      <c r="AJ1519" s="192"/>
      <c r="AK1519" s="192"/>
      <c r="AL1519" s="192"/>
      <c r="AM1519" s="192"/>
      <c r="AN1519" s="192"/>
      <c r="AO1519" s="192"/>
      <c r="AP1519" s="192"/>
      <c r="AQ1519" s="192"/>
      <c r="AR1519" s="192"/>
      <c r="AS1519" s="192"/>
      <c r="AT1519" s="192"/>
      <c r="AU1519" s="192"/>
      <c r="AV1519" s="192"/>
      <c r="AW1519" s="192"/>
      <c r="AX1519" s="192"/>
    </row>
    <row r="1520" spans="2:50" ht="15" customHeight="1" x14ac:dyDescent="0.3">
      <c r="B1520" s="192"/>
      <c r="C1520" s="192"/>
      <c r="D1520" s="192"/>
      <c r="E1520" s="192"/>
      <c r="F1520" s="192"/>
      <c r="G1520" s="192"/>
      <c r="H1520" s="192"/>
      <c r="I1520" s="192"/>
      <c r="J1520" s="192"/>
      <c r="K1520" s="192"/>
      <c r="L1520" s="192"/>
      <c r="M1520" s="192"/>
      <c r="N1520" s="192"/>
      <c r="O1520" s="192"/>
      <c r="P1520" s="192"/>
      <c r="Q1520" s="192"/>
      <c r="R1520" s="192"/>
      <c r="S1520" s="192"/>
      <c r="T1520" s="192"/>
      <c r="U1520" s="192"/>
      <c r="V1520" s="192"/>
      <c r="W1520" s="192"/>
      <c r="X1520" s="192"/>
      <c r="Y1520" s="192"/>
      <c r="Z1520" s="192"/>
      <c r="AA1520" s="192"/>
      <c r="AB1520" s="192"/>
      <c r="AC1520" s="192"/>
      <c r="AD1520" s="192"/>
      <c r="AE1520" s="192"/>
      <c r="AF1520" s="192"/>
      <c r="AG1520" s="192"/>
      <c r="AH1520" s="192"/>
      <c r="AI1520" s="192"/>
      <c r="AJ1520" s="192"/>
      <c r="AK1520" s="192"/>
      <c r="AL1520" s="192"/>
      <c r="AM1520" s="192"/>
      <c r="AN1520" s="192"/>
      <c r="AO1520" s="192"/>
      <c r="AP1520" s="192"/>
      <c r="AQ1520" s="192"/>
      <c r="AR1520" s="192"/>
      <c r="AS1520" s="192"/>
      <c r="AT1520" s="192"/>
      <c r="AU1520" s="192"/>
      <c r="AV1520" s="192"/>
      <c r="AW1520" s="192"/>
      <c r="AX1520" s="192"/>
    </row>
    <row r="1521" spans="2:50" ht="15" customHeight="1" x14ac:dyDescent="0.3">
      <c r="B1521" s="192"/>
      <c r="C1521" s="192"/>
      <c r="D1521" s="192"/>
      <c r="E1521" s="192"/>
      <c r="F1521" s="192"/>
      <c r="G1521" s="192"/>
      <c r="H1521" s="192"/>
      <c r="I1521" s="192"/>
      <c r="J1521" s="192"/>
      <c r="K1521" s="192"/>
      <c r="L1521" s="192"/>
      <c r="M1521" s="192"/>
      <c r="N1521" s="192"/>
      <c r="O1521" s="192"/>
      <c r="P1521" s="192"/>
      <c r="Q1521" s="192"/>
      <c r="R1521" s="192"/>
      <c r="S1521" s="192"/>
      <c r="T1521" s="192"/>
      <c r="U1521" s="192"/>
      <c r="V1521" s="192"/>
      <c r="W1521" s="192"/>
      <c r="X1521" s="192"/>
      <c r="Y1521" s="192"/>
      <c r="Z1521" s="269"/>
      <c r="AA1521" s="192"/>
      <c r="AB1521" s="192"/>
      <c r="AC1521" s="192"/>
      <c r="AD1521" s="192"/>
      <c r="AE1521" s="192"/>
      <c r="AF1521" s="192"/>
      <c r="AG1521" s="192"/>
      <c r="AH1521" s="192"/>
      <c r="AI1521" s="192"/>
      <c r="AJ1521" s="192"/>
      <c r="AK1521" s="192"/>
      <c r="AL1521" s="192"/>
      <c r="AM1521" s="192"/>
      <c r="AN1521" s="192"/>
      <c r="AO1521" s="192"/>
      <c r="AP1521" s="192"/>
      <c r="AQ1521" s="192"/>
      <c r="AR1521" s="192"/>
      <c r="AS1521" s="192"/>
      <c r="AT1521" s="192"/>
      <c r="AU1521" s="192"/>
      <c r="AV1521" s="192"/>
      <c r="AW1521" s="192"/>
      <c r="AX1521" s="192"/>
    </row>
    <row r="1522" spans="2:50" ht="15" customHeight="1" x14ac:dyDescent="0.3">
      <c r="B1522" s="192"/>
      <c r="C1522" s="192"/>
      <c r="D1522" s="192"/>
      <c r="E1522" s="192"/>
      <c r="F1522" s="192"/>
      <c r="G1522" s="192"/>
      <c r="H1522" s="192"/>
      <c r="I1522" s="192"/>
      <c r="J1522" s="192"/>
      <c r="K1522" s="192"/>
      <c r="L1522" s="192"/>
      <c r="M1522" s="192"/>
      <c r="N1522" s="192"/>
      <c r="O1522" s="192"/>
      <c r="P1522" s="192"/>
      <c r="Q1522" s="192"/>
      <c r="R1522" s="192"/>
      <c r="S1522" s="192"/>
      <c r="T1522" s="192"/>
      <c r="U1522" s="192"/>
      <c r="V1522" s="192"/>
      <c r="W1522" s="192"/>
      <c r="X1522" s="192"/>
      <c r="Y1522" s="192"/>
      <c r="Z1522" s="192"/>
      <c r="AA1522" s="192"/>
      <c r="AB1522" s="192"/>
      <c r="AC1522" s="192"/>
      <c r="AD1522" s="192"/>
      <c r="AE1522" s="192"/>
      <c r="AF1522" s="192"/>
      <c r="AG1522" s="192"/>
      <c r="AH1522" s="192"/>
      <c r="AI1522" s="192"/>
      <c r="AJ1522" s="192"/>
      <c r="AK1522" s="192"/>
      <c r="AL1522" s="192"/>
      <c r="AM1522" s="192"/>
      <c r="AN1522" s="192"/>
      <c r="AO1522" s="192"/>
      <c r="AP1522" s="192"/>
      <c r="AQ1522" s="192"/>
      <c r="AR1522" s="192"/>
      <c r="AS1522" s="192"/>
      <c r="AT1522" s="192"/>
      <c r="AU1522" s="192"/>
      <c r="AV1522" s="192"/>
      <c r="AW1522" s="192"/>
      <c r="AX1522" s="192"/>
    </row>
    <row r="1523" spans="2:50" ht="15" customHeight="1" x14ac:dyDescent="0.3">
      <c r="B1523" s="192"/>
      <c r="C1523" s="192"/>
      <c r="D1523" s="192"/>
      <c r="E1523" s="192"/>
      <c r="F1523" s="192"/>
      <c r="G1523" s="192"/>
      <c r="H1523" s="192"/>
      <c r="I1523" s="192"/>
      <c r="J1523" s="192"/>
      <c r="K1523" s="192"/>
      <c r="L1523" s="192"/>
      <c r="M1523" s="192"/>
      <c r="N1523" s="192"/>
      <c r="O1523" s="192"/>
      <c r="P1523" s="192"/>
      <c r="Q1523" s="192"/>
      <c r="R1523" s="192"/>
      <c r="S1523" s="192"/>
      <c r="T1523" s="192"/>
      <c r="U1523" s="192"/>
      <c r="V1523" s="192"/>
      <c r="W1523" s="192"/>
      <c r="X1523" s="192"/>
      <c r="Y1523" s="192"/>
      <c r="Z1523" s="192"/>
      <c r="AA1523" s="192"/>
      <c r="AB1523" s="192"/>
      <c r="AC1523" s="192"/>
      <c r="AD1523" s="192"/>
      <c r="AE1523" s="192"/>
      <c r="AF1523" s="192"/>
      <c r="AG1523" s="192"/>
      <c r="AH1523" s="192"/>
      <c r="AI1523" s="192"/>
      <c r="AJ1523" s="192"/>
      <c r="AK1523" s="192"/>
      <c r="AL1523" s="192"/>
      <c r="AM1523" s="192"/>
      <c r="AN1523" s="192"/>
      <c r="AO1523" s="192"/>
      <c r="AP1523" s="192"/>
      <c r="AQ1523" s="192"/>
      <c r="AR1523" s="192"/>
      <c r="AS1523" s="192"/>
      <c r="AT1523" s="192"/>
      <c r="AU1523" s="192"/>
      <c r="AV1523" s="192"/>
      <c r="AW1523" s="192"/>
      <c r="AX1523" s="192"/>
    </row>
    <row r="1524" spans="2:50" ht="15" customHeight="1" thickBot="1" x14ac:dyDescent="0.4">
      <c r="B1524" s="192"/>
      <c r="C1524" s="192"/>
      <c r="D1524" s="192"/>
      <c r="E1524" s="192"/>
      <c r="F1524" s="192"/>
      <c r="G1524" s="192"/>
      <c r="H1524" s="192"/>
      <c r="I1524" s="383" t="s">
        <v>164</v>
      </c>
      <c r="J1524" s="383"/>
      <c r="K1524" s="383"/>
      <c r="L1524" s="383"/>
      <c r="M1524" s="383"/>
      <c r="N1524" s="383"/>
      <c r="O1524" s="383"/>
      <c r="P1524" s="383"/>
      <c r="Q1524" s="383"/>
      <c r="R1524" s="383"/>
      <c r="S1524" s="192"/>
      <c r="T1524" s="192"/>
      <c r="U1524" s="370" t="s">
        <v>92</v>
      </c>
      <c r="V1524" s="371"/>
      <c r="W1524" s="371"/>
      <c r="X1524" s="372"/>
      <c r="Y1524" s="192"/>
      <c r="Z1524" s="192"/>
      <c r="AA1524" s="192"/>
      <c r="AB1524" s="192"/>
      <c r="AC1524" s="192"/>
      <c r="AD1524" s="192"/>
      <c r="AE1524" s="192"/>
      <c r="AF1524" s="192"/>
      <c r="AG1524" s="192"/>
      <c r="AH1524" s="192"/>
      <c r="AI1524" s="192"/>
      <c r="AJ1524" s="192"/>
      <c r="AK1524" s="192"/>
      <c r="AL1524" s="192"/>
      <c r="AM1524" s="192"/>
      <c r="AN1524" s="192"/>
      <c r="AO1524" s="192"/>
      <c r="AP1524" s="192"/>
      <c r="AQ1524" s="192"/>
      <c r="AR1524" s="192"/>
      <c r="AS1524" s="192"/>
      <c r="AT1524" s="192"/>
      <c r="AU1524" s="192"/>
      <c r="AV1524" s="192"/>
      <c r="AW1524" s="192"/>
      <c r="AX1524" s="192"/>
    </row>
    <row r="1525" spans="2:50" ht="15" customHeight="1" thickTop="1" thickBot="1" x14ac:dyDescent="0.35">
      <c r="B1525" s="192"/>
      <c r="C1525" s="192"/>
      <c r="D1525" s="192"/>
      <c r="E1525" s="192"/>
      <c r="F1525" s="192"/>
      <c r="G1525" s="192"/>
      <c r="H1525" s="192"/>
      <c r="I1525" s="400" t="s">
        <v>93</v>
      </c>
      <c r="J1525" s="160"/>
      <c r="K1525" s="396" t="s">
        <v>94</v>
      </c>
      <c r="L1525" s="398" t="s">
        <v>95</v>
      </c>
      <c r="M1525" s="390" t="s">
        <v>96</v>
      </c>
      <c r="N1525" s="390" t="s">
        <v>97</v>
      </c>
      <c r="O1525" s="373" t="s">
        <v>98</v>
      </c>
      <c r="P1525" s="373" t="str">
        <f>IF(COUNT(U1526:X1537)=3,"LM/WM Ratio",IF(COUNT(U1526:X1537)=6,"LP/WP Ratio",""))</f>
        <v/>
      </c>
      <c r="Q1525" s="390" t="s">
        <v>99</v>
      </c>
      <c r="R1525" s="392" t="s">
        <v>100</v>
      </c>
      <c r="S1525" s="192"/>
      <c r="T1525" s="120"/>
      <c r="U1525" s="121" t="s">
        <v>101</v>
      </c>
      <c r="V1525" s="122" t="s">
        <v>102</v>
      </c>
      <c r="W1525" s="122" t="s">
        <v>103</v>
      </c>
      <c r="X1525" s="123" t="s">
        <v>104</v>
      </c>
      <c r="Y1525" s="380" t="s">
        <v>105</v>
      </c>
      <c r="Z1525" s="379"/>
      <c r="AA1525" s="378" t="s">
        <v>106</v>
      </c>
      <c r="AB1525" s="379"/>
      <c r="AC1525" s="192"/>
      <c r="AD1525" s="192"/>
      <c r="AE1525" s="192"/>
      <c r="AF1525" s="192"/>
      <c r="AG1525" s="192"/>
      <c r="AH1525" s="192"/>
      <c r="AI1525" s="192"/>
      <c r="AJ1525" s="192"/>
      <c r="AK1525" s="192"/>
      <c r="AL1525" s="192"/>
      <c r="AM1525" s="192"/>
      <c r="AN1525" s="192"/>
      <c r="AO1525" s="192"/>
      <c r="AP1525" s="192"/>
      <c r="AQ1525" s="192"/>
      <c r="AR1525" s="192"/>
      <c r="AS1525" s="192"/>
      <c r="AT1525" s="192"/>
      <c r="AU1525" s="192"/>
      <c r="AV1525" s="192"/>
      <c r="AW1525" s="192"/>
      <c r="AX1525" s="192"/>
    </row>
    <row r="1526" spans="2:50" ht="15" customHeight="1" thickTop="1" thickBot="1" x14ac:dyDescent="0.35">
      <c r="B1526" s="192"/>
      <c r="C1526" s="192"/>
      <c r="D1526" s="192"/>
      <c r="E1526" s="192"/>
      <c r="F1526" s="192"/>
      <c r="G1526" s="192"/>
      <c r="H1526" s="192"/>
      <c r="I1526" s="401"/>
      <c r="J1526" s="161"/>
      <c r="K1526" s="397"/>
      <c r="L1526" s="399"/>
      <c r="M1526" s="391"/>
      <c r="N1526" s="391"/>
      <c r="O1526" s="374"/>
      <c r="P1526" s="374"/>
      <c r="Q1526" s="391"/>
      <c r="R1526" s="393"/>
      <c r="S1526" s="192"/>
      <c r="T1526" s="208">
        <v>1</v>
      </c>
      <c r="U1526" s="209" t="str">
        <f>IF(M1527="","",IF(COUNTIF(M1527:M1529,M1527)=3,IF(COUNTBLANK(I1527:I1530)=1,(Q1539+Q1545)/(Q1538+Q1544),IF(COUNTBLANK(I1527:I1530)=0,(Q1551+Q1539)/(Q1550+Q1538),"")),""))</f>
        <v/>
      </c>
      <c r="V1526" s="125" t="str">
        <f>IF(AND(COUNTBLANK(I1527:I1530)=0,M1527=M1529,M1529=M1530),(Q1539+Q1545)/(Q1538+Q1544),"")</f>
        <v/>
      </c>
      <c r="W1526" s="210" t="str">
        <f>IF(AND(COUNTBLANK(I1527:I1530)=0,M1527=M1528,M1528=M1530),(Q1551+Q1545)/(Q1550+Q1544),"")</f>
        <v/>
      </c>
      <c r="X1526" s="211"/>
      <c r="Y1526" s="169" t="s">
        <v>93</v>
      </c>
      <c r="Z1526" s="170" t="s">
        <v>107</v>
      </c>
      <c r="AA1526" s="169" t="s">
        <v>93</v>
      </c>
      <c r="AB1526" s="170" t="s">
        <v>107</v>
      </c>
      <c r="AC1526" s="192"/>
      <c r="AD1526" s="192"/>
      <c r="AE1526" s="192"/>
      <c r="AF1526" s="192"/>
      <c r="AG1526" s="192"/>
      <c r="AH1526" s="192"/>
      <c r="AI1526" s="192"/>
      <c r="AJ1526" s="192"/>
      <c r="AK1526" s="192"/>
      <c r="AL1526" s="192"/>
      <c r="AM1526" s="192"/>
      <c r="AN1526" s="192"/>
      <c r="AO1526" s="192"/>
      <c r="AP1526" s="192"/>
      <c r="AQ1526" s="192"/>
      <c r="AR1526" s="192"/>
      <c r="AS1526" s="192"/>
      <c r="AT1526" s="192"/>
      <c r="AU1526" s="192"/>
      <c r="AV1526" s="192"/>
      <c r="AW1526" s="192"/>
      <c r="AX1526" s="192"/>
    </row>
    <row r="1527" spans="2:50" ht="15" customHeight="1" thickTop="1" thickBot="1" x14ac:dyDescent="0.35">
      <c r="B1527" s="192"/>
      <c r="C1527" s="192"/>
      <c r="D1527" s="192"/>
      <c r="E1527" s="192"/>
      <c r="F1527" s="192" t="str">
        <f>IF(I1527="","",VLOOKUP(I1527,Siembra,2,FALSE))</f>
        <v/>
      </c>
      <c r="G1527" s="192" t="str">
        <f>O1527</f>
        <v/>
      </c>
      <c r="H1527" s="192">
        <v>1</v>
      </c>
      <c r="I1527" s="128" t="str">
        <f>IF(K1527="","",IF(ISNUMBER(Sorteo!$A$17),VLOOKUP(K1527,Draw,2,FALSE),""))</f>
        <v/>
      </c>
      <c r="J1527" s="129" t="str">
        <f>O1527</f>
        <v/>
      </c>
      <c r="K1527" s="130" t="str">
        <f>IF($K$9="","",IF(Group_players=4,IF(Tablas!CW$3="","",Tablas!CW$3),IF(Group_players=3,IF(Tablas!CW$11="","",Tablas!CW$11),"")))</f>
        <v/>
      </c>
      <c r="L1527" s="131" t="str">
        <f>IF(K1527="","",VLOOKUP(I1527,Siembra,3,FALSE))</f>
        <v/>
      </c>
      <c r="M1527" s="132" t="str">
        <f>IF(AND(Q1538="",Q1539=""),"",IF(I1527="","",SUMIFS(E1538:E1554,I1538:I1554,I1527)))</f>
        <v/>
      </c>
      <c r="N1527" s="132" t="str">
        <f>IF(M1527="","",IF(I1527="","",SUMIFS(F1538:F1554,I1538:I1554,I1527)))</f>
        <v/>
      </c>
      <c r="O1527" s="132" t="str">
        <f>IF(M1527="","",IF(COUNTBLANK(I1527:I1530)=1,IF(M1527=2,1,IF(M1527=0,3,IF(AND(M1527=1,M1528&lt;&gt;1),2,IF(COUNTIF(M1527:M1529,1)&gt;1,Z1527)))),IF(COUNTBLANK(I1527:I1530)=0,IF(COUNTIF(M1527:M1530,M1527)=1,IF(M1527=3,1,IF(M1527=2,2,IF(M1527=1,3,IF(M1527=0,4)))),IF(Group_players=3,Z1527,IF(COUNTIF(M1527:M1530,M1527)=2,AB1527,IF(AND(M1527=M1528,M1528=M1529),AB1531,IF(AND(M1527=M1529,M1529=M1530),AB1534,IF(AND(M1527=M1528,M1528=M1530),AB1537,"")))))),99)))</f>
        <v/>
      </c>
      <c r="P1527" s="133" t="str">
        <f>IF(COUNT(U1526:X1537)=3,IF(ISNUMBER(U1526),U1526,IF(ISNUMBER(V1526),V1526,IF(ISNUMBER(W1526),W1526,IF(X1526="","")))),IF(COUNT(U1526:X1537)=6,IF(ISNUMBER(U1534),U1534,IF(ISNUMBER(V1534),V1534,IF(ISNUMBER(W1534),W1534,IF(ISBLANK(X1526),"")))),""))</f>
        <v/>
      </c>
      <c r="Q1527" s="132" t="str">
        <f>IF(M1527="","",SUMIF(I1538:S1554,I1527,S1538:S1554))</f>
        <v/>
      </c>
      <c r="R1527" s="134" t="str">
        <f>IF(M1527="","",L1527+Q1527)</f>
        <v/>
      </c>
      <c r="S1527" s="203"/>
      <c r="T1527" s="208">
        <v>2</v>
      </c>
      <c r="U1527" s="209" t="str">
        <f>IF(M1528="","",IF(COUNTIF(M1527:M1529,M1528)=3,IF(COUNTBLANK(I1527:I1530)=1,(Q1542+Q1544)/(Q1541+Q1545),IF(COUNTBLANK(I1527:I1530)=0,(Q1548+Q1550)/(Q1547+Q1551),"")),""))</f>
        <v/>
      </c>
      <c r="V1527" s="135"/>
      <c r="W1527" s="212" t="str">
        <f>IF(AND(COUNTBLANK(I1527:I1530)=0,M1528=M1527,M1527=M1530),(Q1550+Q1542)/(Q1551+Q1541),"")</f>
        <v/>
      </c>
      <c r="X1527" s="213" t="str">
        <f>IF(AND(COUNTBLANK(I1527:I1530)=0,M1528=M1529,M1529=M1530),(Q1548+Q1542)/(Q1547+Q1541),"")</f>
        <v/>
      </c>
      <c r="Y1527" s="214">
        <v>1</v>
      </c>
      <c r="Z1527" s="215" t="str">
        <f>IF(U1526="","",IF(OR(Group_players=3,AND(Group_players=4,COUNTBLANK(I1527:I1530)=1)),IF(COUNTIF(M1527:M1529,M1527)=1,"",IF(AND(U1526=U1527,U1527=U1528),Z1531,IF(AND(U1526&lt;&gt;U1527,U1526&lt;&gt;U1528,U1527&lt;&gt;U1528),(IF(SMALL(U1526:U1528,1)=U1526,1,IF(SMALL(U1526:U1528,2)=U1526,2,IF(SMALL(U1526:U1528,3)=U1526,3)))),IF(AND(U1526&lt;U1527,U1527=U1528),1,IF(AND(U1526&gt;U1527,U1527=U1528),3,IF(AND(U1526=U1527,U1526&lt;U1528),(IF(Q1544=3,1,2)),IF(AND(U1526=U1527,U1526&gt;U1528),(IF(Q1544=3,2,3)),IF(AND(U1526=U1528,U1526&lt;U1527),(IF(Q1538=3,1,2)),IF(AND(U1526=U1528,U1526&gt;U1527),(IF(Q1538=3,2,3)),99))))))))),""))</f>
        <v/>
      </c>
      <c r="AA1527" s="216">
        <v>1</v>
      </c>
      <c r="AB1527" s="217" t="str">
        <f>IF(COUNTIF(M1527:M1530,M1527)&lt;&gt;2,"",IF(COUNTIF(M1527:M1530,M1527)=1,"",IF(AND(COUNTIF(M1527:M1530,M1527)=2,M1527=2),IF(M1527=M1528,IF(Q1550=3,1,2),IF(M1527=M1529,IF(Q1538=3,1,2),IF(M1527=M1530,IF(Q1544=3,1,2)))),IF(AND(COUNTIF(M1527:M1530,M1527)=2,M1527=1),IF(M1527=M1528,IF(Q1550=3,3,4),IF(M1527=M1529,IF(Q1538=3,3,4),IF(M1527=M1530,IF(Q1544=3,3,4)))),IF(COUNTIF(M1527:M1530,M1527)=3,AB1531)))))</f>
        <v/>
      </c>
      <c r="AC1527" s="192"/>
      <c r="AD1527" s="192"/>
      <c r="AE1527" s="192"/>
      <c r="AF1527" s="192"/>
      <c r="AG1527" s="192"/>
      <c r="AH1527" s="192"/>
      <c r="AI1527" s="192"/>
      <c r="AJ1527" s="192"/>
      <c r="AK1527" s="192"/>
      <c r="AL1527" s="192"/>
      <c r="AM1527" s="192"/>
      <c r="AN1527" s="192"/>
      <c r="AO1527" s="192"/>
      <c r="AP1527" s="192"/>
      <c r="AQ1527" s="192"/>
      <c r="AR1527" s="192"/>
      <c r="AS1527" s="192"/>
      <c r="AT1527" s="192"/>
      <c r="AU1527" s="192"/>
      <c r="AV1527" s="192"/>
      <c r="AW1527" s="192"/>
      <c r="AX1527" s="192"/>
    </row>
    <row r="1528" spans="2:50" ht="15" customHeight="1" thickTop="1" thickBot="1" x14ac:dyDescent="0.35">
      <c r="B1528" s="192"/>
      <c r="C1528" s="192"/>
      <c r="D1528" s="192"/>
      <c r="E1528" s="192"/>
      <c r="F1528" s="192" t="str">
        <f>IF(I1528="","",VLOOKUP(I1528,Siembra,2,FALSE))</f>
        <v/>
      </c>
      <c r="G1528" s="192" t="str">
        <f>O1528</f>
        <v/>
      </c>
      <c r="H1528" s="192">
        <v>2</v>
      </c>
      <c r="I1528" s="128" t="str">
        <f>IF(K1528="","",IF(ISNUMBER(Sorteo!$A$17),VLOOKUP(K1528,Draw,2,FALSE),""))</f>
        <v/>
      </c>
      <c r="J1528" s="129" t="str">
        <f>O1528</f>
        <v/>
      </c>
      <c r="K1528" s="136" t="str">
        <f>IF($K$9="","",IF(Group_players=4,IF(Tablas!CW$4="","",Tablas!CW$4),IF(Group_players=3,IF(Tablas!CW$12="","",Tablas!CW$12),"")))</f>
        <v/>
      </c>
      <c r="L1528" s="137" t="str">
        <f>IF(K1528="","",VLOOKUP(I1528,Siembra,3,FALSE))</f>
        <v/>
      </c>
      <c r="M1528" s="132" t="str">
        <f>IF(AND(L1538="",L1539=""),"",IF(I1528="","",SUMIFS(E1538:E1555,I1538:I1555,I1528)))</f>
        <v/>
      </c>
      <c r="N1528" s="138" t="str">
        <f>IF(M1528="","",IF(I1528="","",SUMIFS(F1538:F1554,I1538:I1554,I1528)))</f>
        <v/>
      </c>
      <c r="O1528" s="132" t="str">
        <f>IF(M1528="","",IF(COUNTBLANK(I1527:I1530)=1,IF(M1528=2,1,IF(M1528=0,3,IF(AND(M1528=1,M1529&lt;&gt;1),2,IF(COUNTIF(M1527:M1530,1)&gt;1,Z1528)))),IF(COUNTBLANK(I1527:I1530)=0,IF(COUNTIF(M1527:M1530,M1528)=1,IF(M1528=3,1,IF(M1528=2,2,IF(M1528=1,3,IF(M1528=0,4)))),IF(Group_players=3,Z1528,IF(COUNTIF(M1527:M1530,M1528)=2,AB1528,IF(AND(M1528=M1527,M1527=M1529),AB1532,IF(AND(M1528=M1527,M1527=M1530),AB1538,IF(AND(M1528=M1529,M1529=M1530),AB1540,"")))))))))</f>
        <v/>
      </c>
      <c r="P1528" s="133" t="str">
        <f>IF(COUNT(U1526:X1537)=3,IF(ISNUMBER(U1527),U1527,IF(ISNUMBER(W1527),W1527,IF(ISNUMBER(X1527),X1527,IF(X1527="","")))),IF(COUNT(U1526:X1537)=6,IF(ISNUMBER(U1535),U1535,IF(ISNUMBER(W1535),W1535,IF(ISNUMBER(X1535),X1535,IF(ISBLANK(X1534),"")))),""))</f>
        <v/>
      </c>
      <c r="Q1528" s="138" t="str">
        <f>IF(M1528="","",SUMIF(I1538:S1554,I1528,S1538:$S1554))</f>
        <v/>
      </c>
      <c r="R1528" s="139" t="str">
        <f>IF(M1528="","",L1528+Q1528)</f>
        <v/>
      </c>
      <c r="S1528" s="203"/>
      <c r="T1528" s="208">
        <v>3</v>
      </c>
      <c r="U1528" s="209" t="str">
        <f>IF(M1529="","",IF(COUNTIF(M1527:M1529,M1529)=3,IF(COUNTBLANK(I1527:I1530)=1,(Q1538+Q1541)/(Q1539+Q1542),IF(COUNTBLANK(I1527:I1530)=0,(Q1538+Q1547)/(Q1539+Q1548),"")),""))</f>
        <v/>
      </c>
      <c r="V1528" s="125" t="str">
        <f>IF(AND(COUNTBLANK(I1527:I1530)=0,M1529=M1530,M1530=M1527),(Q1538+Q1554)/(Q1539+Q1553),"")</f>
        <v/>
      </c>
      <c r="W1528" s="218"/>
      <c r="X1528" s="213" t="str">
        <f>IF(AND(COUNTBLANK(I1527:I1530)=0,M1529=M1530,M1530=M1528),(Q1547+Q1554)/(Q1548+Q1553),"")</f>
        <v/>
      </c>
      <c r="Y1528" s="219">
        <v>2</v>
      </c>
      <c r="Z1528" s="220" t="str">
        <f>IF(U1527="","",IF(OR(Group_players=3,AND(Group_players=4,COUNTBLANK(I1527:I1530)=1)),IF(COUNTIF(M1527:M1529,M1528)=1,"",IF(AND(U1527=U1526,U1527=U1528),Z1532,IF(AND(U1527&lt;&gt;U1526,U1527&lt;&gt;U1528,U1526&lt;&gt;U1528),(IF(SMALL(U1526:U1528,1)=U1527,1,IF(SMALL(U1526:U1528,2)=U1527,2,IF(SMALL(U1526:U1528,3)=U1527,3)))),IF(AND(U1527&lt;U1526,U1526=U1528),1,IF(AND(U1527&gt;U1526,U1526=U1528),3,IF(AND(U1527=U1526,U1527&lt;U1528),(IF(Q1545=3,1,2)),IF(AND(U1527=U1526,U1527&gt;U1528),(IF(Q1545=3,2,3)),IF(AND(U1527=U1528,U1527&lt;U1526),(IF(Q1541=3,1,2)),IF(AND(U1527=U1528,U1527&gt;U1526),(IF(Q1541=3,2,3)),99))))))))),""))</f>
        <v/>
      </c>
      <c r="AA1528" s="221">
        <v>2</v>
      </c>
      <c r="AB1528" s="222" t="str">
        <f>IF(COUNTIF(M1527:M1530,M1528)&lt;&gt;2,"",IF(COUNTIF(M1527:M1530,M1528)=1,"",IF(AND(COUNTIF(M1527:M1530,M1528)=2,M1528=2),IF(M1528=M1527,IF(Q1551=3,1,2),IF(M1528=M1529,IF(Q1547=3,1,2),IF(M1528=M1530,IF(Q1541=3,1,2)))),IF(AND(COUNTIF(M1527:M1530,M1528)=2,M1528=1),IF(M1528=M1527,IF(Q1551=3,3,4),IF(M1528=M1529,IF(Q1547=3,3,4),IF(M1528=M1530,IF(Q1541=3,3,4)))),AB1533))))</f>
        <v/>
      </c>
      <c r="AC1528" s="192"/>
      <c r="AD1528" s="192"/>
      <c r="AE1528" s="192"/>
      <c r="AF1528" s="192"/>
      <c r="AG1528" s="192"/>
      <c r="AH1528" s="192"/>
      <c r="AI1528" s="192"/>
      <c r="AJ1528" s="192"/>
      <c r="AK1528" s="192"/>
      <c r="AL1528" s="192"/>
      <c r="AM1528" s="192"/>
      <c r="AN1528" s="192"/>
      <c r="AO1528" s="192"/>
      <c r="AP1528" s="192"/>
      <c r="AQ1528" s="192"/>
      <c r="AR1528" s="192"/>
      <c r="AS1528" s="192"/>
      <c r="AT1528" s="192"/>
      <c r="AU1528" s="192"/>
      <c r="AV1528" s="192"/>
      <c r="AW1528" s="192"/>
      <c r="AX1528" s="192"/>
    </row>
    <row r="1529" spans="2:50" ht="15" customHeight="1" thickBot="1" x14ac:dyDescent="0.35">
      <c r="B1529" s="192"/>
      <c r="C1529" s="192"/>
      <c r="D1529" s="192"/>
      <c r="E1529" s="192"/>
      <c r="F1529" s="192" t="str">
        <f>IF(I1529="","",VLOOKUP(I1529,Siembra,2,FALSE))</f>
        <v/>
      </c>
      <c r="G1529" s="192" t="str">
        <f>O1529</f>
        <v/>
      </c>
      <c r="H1529" s="192">
        <v>3</v>
      </c>
      <c r="I1529" s="128" t="str">
        <f>IF(K1529="","",IF(ISNUMBER(Sorteo!$A$17),VLOOKUP(K1529,Draw,2,FALSE),""))</f>
        <v/>
      </c>
      <c r="J1529" s="129" t="str">
        <f>O1529</f>
        <v/>
      </c>
      <c r="K1529" s="136" t="str">
        <f>IF($K$9="","",IF(Group_players=4,IF(Tablas!CW$5="","",Tablas!CW$5),IF(Group_players=3,IF(Tablas!CW$13="","",Tablas!CW$13),"")))</f>
        <v/>
      </c>
      <c r="L1529" s="137" t="str">
        <f>IF(K1529="","",VLOOKUP(I1529,Siembra,3,FALSE))</f>
        <v/>
      </c>
      <c r="M1529" s="132" t="str">
        <f>IF(AND(L1539="",L1538=""),"",IF(I1529="","",SUMIFS(E1538:E1556,I1538:I1556,I1529)))</f>
        <v/>
      </c>
      <c r="N1529" s="138" t="str">
        <f>IF(M1529="","",IF(I1529="","",SUMIFS(F1538:F1554,I1538:I1554,I1529)))</f>
        <v/>
      </c>
      <c r="O1529" s="132" t="str">
        <f>IF(M1529="","",IF(COUNTBLANK(I1527:I1530)=1,IF(M1529=2,1,IF(M1529=0,3,IF(AND(M1529=1,M1529&lt;&gt;M1527),2,IF(COUNTIF(M1527:M1530,1)&gt;1,Z1529)))),IF(COUNTBLANK(I1527:I1530)=0,IF(COUNTIF(M1527:M1530,M1529)=1,IF(M1529=3,1,IF(M1529=2,2,IF(M1529=1,3,IF(M1529=0,4)))),IF(Group_players=3,Z1529,IF(COUNTIF(M1527:M1530,M1529)=2,AB1529,IF(AND(M1529=M1527,M1527=M1528),AB1533,IF(AND(M1529=M1527,M1527=M1530),AB1535,IF(AND(M1529=M1528,M1528=M1530),AB1541,"")))))))))</f>
        <v/>
      </c>
      <c r="P1529" s="133" t="str">
        <f>IF(COUNT(U1526:X1537)=3,IF(ISNUMBER(U1528),U1528,IF(ISNUMBER(V1528),V1528,IF(ISNUMBER(X1528),X1528,IF(W1528="","")))),IF(COUNT(U1526:X1537)=6,IF(ISNUMBER(U1536),U1536,IF(ISNUMBER(V1536),V1536,IF(ISNUMBER(X1536),X1536,""))),""))</f>
        <v/>
      </c>
      <c r="Q1529" s="138" t="str">
        <f>IF(M1529="","",SUMIF(I1538:S1554,I1529,S1538:S1554))</f>
        <v/>
      </c>
      <c r="R1529" s="139" t="str">
        <f>IF(M1529="","",L1529+Q1529)</f>
        <v/>
      </c>
      <c r="S1529" s="203"/>
      <c r="T1529" s="208">
        <v>4</v>
      </c>
      <c r="U1529" s="223"/>
      <c r="V1529" s="140" t="str">
        <f>IF(AND(COUNTBLANK(I1527:I1530)=0,M1530=M1527,M1527=M1529),(Q1544+Q1553)/(Q1545+Q1554),"")</f>
        <v/>
      </c>
      <c r="W1529" s="224" t="str">
        <f>IF(AND(COUNTBLANK(I1527:I1530)=0,M1530=M1527,M1527=M1528),(Q1544+Q1541)/(Q1545+Q1542),"")</f>
        <v/>
      </c>
      <c r="X1529" s="225" t="str">
        <f>IF(AND(COUNTBLANK(I1527:I1530)=0,M1530=M1528,M1528=M1529),(Q1541+Q1553)/(Q1542+Q1554),"")</f>
        <v/>
      </c>
      <c r="Y1529" s="226">
        <v>3</v>
      </c>
      <c r="Z1529" s="227" t="str">
        <f>IF(U1528="","",IF(OR(Group_players=3,AND(Group_players=4,COUNTBLANK(I1527:I1530)=1)),IF(COUNTIF(M1527:M1529,M1529)=1,"",IF(AND(U1528=U1526,U1528=U1527),Z1533,IF(AND(U1528&lt;&gt;U1527,U1527&lt;&gt;U1526,U1528&lt;&gt;U1526),(IF(SMALL(U1526:U1528,1)=U1528,1,IF(SMALL(U1526:U1528,2)=U1528,2,IF(SMALL(U1526:U1528,3)=U1528,3)))),IF(AND(U1528&lt;U1527,U1527=U1526),1,IF(AND(U1528&gt;U1527,U1527=U1526),3,IF(AND(U1528=U1527,U1528&lt;U1526),(IF(Q1542=3,1,2)),IF(AND(U1528=U1527,U1528&gt;U1526),(IF(Q1542=3,2,3)),IF(AND(U1528=U1526,U1528&lt;U1527),(IF(Q1539=3,1,2)),IF(AND(U1528=U1526,U1528&gt;U1527),(IF(Q1539=3,2,3)),99))))))))),""))</f>
        <v/>
      </c>
      <c r="AA1529" s="221">
        <v>3</v>
      </c>
      <c r="AB1529" s="222" t="str">
        <f>IF(COUNTIF(M1527:M1530,M1529)&lt;&gt;2,"",IF(COUNTIF(M1527:M1530,M1529)=1,"",IF(AND(COUNTIF(M1527:M1530,M1529)=2,M1529=2),IF(M1529=M1527,IF(Q1539=3,1,2),IF(M1529=M1528,IF(Q1548=3,1,2),IF(M1529=M1530,IF(Q1553=3,1,2)))),IF(AND(COUNTIF(M1527:M1530,M1529)=2,M1529=1),IF(M1529=M1527,IF(Q1539=3,3,4),IF(M1529=M1528,IF(Q1548=3,3,4),IF(M1529=M1530,IF(Q1553=3,3,4)))),AB1533))))</f>
        <v/>
      </c>
      <c r="AC1529" s="192"/>
      <c r="AD1529" s="192"/>
      <c r="AE1529" s="192"/>
      <c r="AF1529" s="192"/>
      <c r="AG1529" s="192"/>
      <c r="AH1529" s="192"/>
      <c r="AI1529" s="192"/>
      <c r="AJ1529" s="192"/>
      <c r="AK1529" s="192"/>
      <c r="AL1529" s="192"/>
      <c r="AM1529" s="192"/>
      <c r="AN1529" s="192"/>
      <c r="AO1529" s="192"/>
      <c r="AP1529" s="192"/>
      <c r="AQ1529" s="192"/>
      <c r="AR1529" s="192"/>
      <c r="AS1529" s="192"/>
      <c r="AT1529" s="192"/>
      <c r="AU1529" s="192"/>
      <c r="AV1529" s="192"/>
      <c r="AW1529" s="192"/>
      <c r="AX1529" s="192"/>
    </row>
    <row r="1530" spans="2:50" ht="15" customHeight="1" thickTop="1" thickBot="1" x14ac:dyDescent="0.35">
      <c r="B1530" s="192"/>
      <c r="C1530" s="192"/>
      <c r="D1530" s="192"/>
      <c r="E1530" s="192"/>
      <c r="F1530" s="192" t="str">
        <f>IF(I1530="","",VLOOKUP(I1530,Siembra,2,FALSE))</f>
        <v/>
      </c>
      <c r="G1530" s="192" t="str">
        <f>O1530</f>
        <v/>
      </c>
      <c r="H1530" s="192">
        <v>4</v>
      </c>
      <c r="I1530" s="141" t="str">
        <f>IF(K1530="","",IF(ISNUMBER(Sorteo!$A$17),VLOOKUP(K1530,Draw,2,FALSE),""))</f>
        <v/>
      </c>
      <c r="J1530" s="142" t="str">
        <f>O1530</f>
        <v/>
      </c>
      <c r="K1530" s="143" t="str">
        <f>IF($K$9="","",IF(Group_players=4,IF(Tablas!CW6="","",Tablas!CW6),""))</f>
        <v/>
      </c>
      <c r="L1530" s="144" t="str">
        <f>IF(K1530="","",VLOOKUP(I1530,Siembra,3,FALSE))</f>
        <v/>
      </c>
      <c r="M1530" s="145" t="str">
        <f>IF(AND(Q1541="",Q1542=""),"",IF(I1530="","",SUMIFS(E1538:E1557,I1538:I1557,I1530)))</f>
        <v/>
      </c>
      <c r="N1530" s="145" t="str">
        <f>IF(M1530="","",IF(I1530="","",SUMIFS(F1538:F1554,I1538:I1554,I1530)))</f>
        <v/>
      </c>
      <c r="O1530" s="145" t="str">
        <f>IF(M1530="","",IF(COUNTIF(M1527:M1530,M1530)=1,IF(M1530=3,1,IF(M1530=2,2,IF(M1530=1,3,IF(M1530=0,4)))),IF(COUNTIF(M1527:M1530,M1530)=2,AB1530,IF(AND(M1530=M1527,M1527=M1529),AB1536,IF(AND(M1530=M1527,M1527=M1528),AB1539,IF(AND(M1530=M1528,M1528=M1529),AB1542,""))))))</f>
        <v/>
      </c>
      <c r="P1530" s="146" t="str">
        <f>IF(COUNT(U1526:X1537)=3,IF(ISNUMBER(V1529),V1529,IF(ISNUMBER(W1529),W1529,IF(ISNUMBER(X1529),X1529,IF(X1529="","")))),IF(COUNT(U1526:X1537)=6,IF(ISNUMBER(V1537),V1537,IF(ISNUMBER(W1537),W1537,IF(ISNUMBER(X1537),X1537,""))),""))</f>
        <v/>
      </c>
      <c r="Q1530" s="145" t="str">
        <f>IF(M1530="","",SUMIF(I1538:S1554,I1530,S1538:$S1554))</f>
        <v/>
      </c>
      <c r="R1530" s="147" t="str">
        <f>IF(M1530="","",L1530+Q1530)</f>
        <v/>
      </c>
      <c r="S1530" s="203"/>
      <c r="T1530" s="192"/>
      <c r="U1530" s="192"/>
      <c r="V1530" s="192"/>
      <c r="W1530" s="192"/>
      <c r="X1530" s="192"/>
      <c r="Y1530" s="230" t="s">
        <v>93</v>
      </c>
      <c r="Z1530" s="231" t="s">
        <v>110</v>
      </c>
      <c r="AA1530" s="232">
        <v>4</v>
      </c>
      <c r="AB1530" s="233" t="str">
        <f>IF(COUNTIF(M1527:M1530,M1530)&lt;&gt;2,"",IF(COUNTIF(M1527:M1530,M1530)=1,"",IF(AND(COUNTIF(M1527:M1530,M1530)=2,M1530=2),IF(M1530=M1527,IF(Q1545=3,1,2),IF(M1530=M1528,IF(Q1542=3,1,2),IF(M1530=M1529,IF(Q1554=3,1,2)))),IF(AND(COUNTIF(M1527:M1530,M1530)=2,M1530=1),IF(M1530=M1527,IF(Q1545=3,3,4),IF(M1530=M1528,IF(Q1542=3,3,4),IF(M1530=M1529,IF(Q1554=3,3,4)))),AB1536))))</f>
        <v/>
      </c>
      <c r="AC1530" s="192"/>
      <c r="AD1530" s="192"/>
      <c r="AE1530" s="192"/>
      <c r="AF1530" s="192"/>
      <c r="AG1530" s="192"/>
      <c r="AH1530" s="192"/>
      <c r="AI1530" s="192"/>
      <c r="AJ1530" s="192"/>
      <c r="AK1530" s="192"/>
      <c r="AL1530" s="192"/>
      <c r="AM1530" s="192"/>
      <c r="AN1530" s="192"/>
      <c r="AO1530" s="192"/>
      <c r="AP1530" s="192"/>
      <c r="AQ1530" s="192"/>
      <c r="AR1530" s="192"/>
      <c r="AS1530" s="192"/>
      <c r="AT1530" s="192"/>
      <c r="AU1530" s="192"/>
      <c r="AV1530" s="192"/>
      <c r="AW1530" s="192"/>
      <c r="AX1530" s="192"/>
    </row>
    <row r="1531" spans="2:50" ht="15" customHeight="1" thickTop="1" x14ac:dyDescent="0.3">
      <c r="B1531" s="192"/>
      <c r="C1531" s="192"/>
      <c r="D1531" s="192"/>
      <c r="E1531" s="192"/>
      <c r="F1531" s="192"/>
      <c r="G1531" s="192"/>
      <c r="H1531" s="192"/>
      <c r="I1531" s="192"/>
      <c r="J1531" s="192"/>
      <c r="K1531" s="192"/>
      <c r="L1531" s="192"/>
      <c r="M1531" s="192"/>
      <c r="N1531" s="192"/>
      <c r="O1531" s="192"/>
      <c r="P1531" s="192"/>
      <c r="Q1531" s="192"/>
      <c r="R1531" s="192"/>
      <c r="S1531" s="192"/>
      <c r="T1531" s="208"/>
      <c r="U1531" s="192"/>
      <c r="V1531" s="148"/>
      <c r="W1531" s="148"/>
      <c r="X1531" s="234"/>
      <c r="Y1531" s="214">
        <v>1</v>
      </c>
      <c r="Z1531" s="215" t="str">
        <f>IF(U1534="","",IF(OR(Group_players=3,AND(Group_players=4,COUNTBLANK(I1527:I1530)=1)),IF(COUNTIF(M1527:M1529,M1527)=1,"",IF(COUNTIF(U1526:U1528,U1526)=3,IF(AND(U1534=U1535,U1535=U1536),"Tied",IF(AND(U1534&lt;&gt;U1535,U1534&lt;&gt;U1536,U1535&lt;&gt;U1536),(IF(SMALL(U1534:U1536,1)=U1534,1,IF(SMALL(U1534:U1536,2)=U1534,2,IF(SMALL(U1534:U1536,3)=U1534,3)))),IF(AND(U1534&lt;U1535,U1535=U1536),1,IF(AND(U1534&gt;U1535,U1535=U1536),3,IF(AND(U1534=U1535,U1534&lt;U1536),(IF(Q1544=3,1,2)),IF(AND(U1534=U1535,U1534&gt;U1536),(IF(Q1544=3,2,3)),IF(AND(U1534=U1536,U1534&lt;U1535),(IF(Q1538=3,1,2)),IF(AND(U1534=U1536,U1534&gt;U1535),(IF(Q1538=3,2,3)),99)))))))),"")),""))</f>
        <v/>
      </c>
      <c r="AA1531" s="208">
        <v>1</v>
      </c>
      <c r="AB1531" s="222" t="str">
        <f>IF(AND(COUNTBLANK(I1527:I1530)=0,Group_players=4,M1527=M1528,M1528=M1529),IF(COUNTIF(U1526:U1529,U1526)=3,AB1544,IF(AND(COUNTIF(U1526:U1529,U1526)=1,U1527&lt;&gt;U1528),IF(M1527=2,IF(SMALL(U1526:U1529,1)=U1526,1,IF(SMALL(U1526:U1529,2)=U1526,2,IF(SMALL(U1526:U1529,3)=U1526,3))),IF(M1527=1,IF(SMALL(U1526:U1529,1)=U1526,2,IF(SMALL(U1526:U1529,2)=U1526,3,IF(SMALL(U1526:U1529,3)=U1526,4))),"")),IF(COUNTIF(U1526:U1529,U1526)=1,IF(U1526&lt;U1527,IF(M1527=2,1,2),IF(M1527=2,3,4)),IF(COUNTIF(U1526:U1529,U1526)=2,IF(U1526=U1527,IF(U1526&lt;U1528,IF(M1527=2,IF(Q1550=3,1,2),IF(M1527=1,IF(Q1550=3,2,3))),IF(U1526&gt;U1528,IF(M1527=2,IF(Q1550=3,2,3),IF(M1527=1,IF(Q1550=3,3,4))))),IF(U1526=U1528,IF(U1526&lt;U1527,IF(M1527=2,IF(Q1538=3,1,2),IF(M1527=1,IF(Q1538=3,2,3))),IF(U1526&gt;U1527,IF(M1527=2,IF(Q1538=3,2,3),IF(M1527=1,IF(Q1538=3,3,4))))))),"")))),"")</f>
        <v/>
      </c>
      <c r="AC1531" s="192"/>
      <c r="AD1531" s="192"/>
      <c r="AE1531" s="192"/>
      <c r="AF1531" s="192"/>
      <c r="AG1531" s="192"/>
      <c r="AH1531" s="192"/>
      <c r="AI1531" s="192"/>
      <c r="AJ1531" s="192"/>
      <c r="AK1531" s="192"/>
      <c r="AL1531" s="192"/>
      <c r="AM1531" s="192"/>
      <c r="AN1531" s="192"/>
      <c r="AO1531" s="192"/>
      <c r="AP1531" s="192"/>
      <c r="AQ1531" s="192"/>
      <c r="AR1531" s="192"/>
      <c r="AS1531" s="192"/>
      <c r="AT1531" s="192"/>
      <c r="AU1531" s="192"/>
      <c r="AV1531" s="192"/>
      <c r="AW1531" s="192"/>
      <c r="AX1531" s="192"/>
    </row>
    <row r="1532" spans="2:50" ht="15" customHeight="1" thickBot="1" x14ac:dyDescent="0.35">
      <c r="B1532" s="192"/>
      <c r="C1532" s="192"/>
      <c r="D1532" s="192"/>
      <c r="E1532" s="192"/>
      <c r="F1532" s="192"/>
      <c r="G1532" s="192"/>
      <c r="H1532" s="192"/>
      <c r="I1532" s="269"/>
      <c r="J1532" s="269"/>
      <c r="K1532" s="192"/>
      <c r="L1532" s="192"/>
      <c r="M1532" s="192"/>
      <c r="N1532" s="192"/>
      <c r="O1532" s="192"/>
      <c r="P1532" s="192"/>
      <c r="Q1532" s="192"/>
      <c r="R1532" s="192"/>
      <c r="S1532" s="192"/>
      <c r="T1532" s="208"/>
      <c r="U1532" s="368" t="s">
        <v>111</v>
      </c>
      <c r="V1532" s="369"/>
      <c r="W1532" s="369"/>
      <c r="X1532" s="369"/>
      <c r="Y1532" s="236">
        <v>2</v>
      </c>
      <c r="Z1532" s="220" t="str">
        <f>IF(U1527="","",IF(OR(Group_players=3,AND(Group_players=4,COUNTBLANK(I1527:I1530)=1)),IF(COUNTIF(M1527:M1529,M1528)=1,"",IF(COUNTIF(U1526:U1528,U1527)=3,IF(AND(U1535=U1534,U1535=U1536),"Tied",IF(AND(U1535&lt;&gt;U1534,U1535&lt;&gt;U1536,U1534&lt;&gt;U1536),(IF(SMALL(U1534:U1536,1)=U1535,1,IF(SMALL(U1534:U1536,2)=U1535,2,IF(SMALL(U1534:U1536,3)=U1535,3)))),IF(AND(U1535&lt;U1534,U1534=U1536),1,IF(AND(U1535&gt;U1534,U1534=U1536),3,IF(AND(U1535=U1534,U1535&lt;U1536),(IF(Q1545=3,1,2)),IF(AND(U1535=U1534,U1535&gt;U1536),(IF(Q1545=3,2,3)),IF(AND(U1535=U1536,U1535&lt;U1534),(IF(Q1541=3,1,2)),IF(AND(U1535=U1536,U1535&gt;U1534),(IF(Q1541=3,2,3)),99)))))))),"")),""))</f>
        <v/>
      </c>
      <c r="AA1532" s="208">
        <v>2</v>
      </c>
      <c r="AB1532" s="222" t="str">
        <f>IF(AND(COUNTBLANK(I1527:I1530)=0,Group_players=4,M1527=M1528,M1528=M1529),IF(COUNTIF(U1526:U1529,U1527)=3,AB1545,IF(AND(COUNTIF(U1526:U1529,U1527)=1,U1526&lt;&gt;U1528),IF(M1528=2,IF(SMALL(U1526:U1529,1)=U1527,1,IF(SMALL(U1526:U1529,2)=U1527,2,IF(SMALL(U1526:U1529,3)=U1527,3))),IF(M1528=1,IF(SMALL(U1526:U1529,1)=U1527,2,IF(SMALL(U1526:U1529,2)=U1527,3,IF(SMALL(U1526:U1529,3)=U1527,4))),"")),IF(COUNTIF(U1526:U1528,U1527)=1,IF(U1527&lt;U1526,IF(M1528=2,1,2),IF(M1528=2,3,99)),IF(COUNTIF(U1526:U1529,U1527)=2,IF(U1527=U1526,IF(U1527&lt;U1528,IF(M1528=2,IF(Q1551=3,1,2),IF(M1528=1,IF(Q1551=3,2,3))),IF(U1527&gt;U1528,IF(M1528=2,IF(Q1551=3,2,3),IF(M1528=1,IF(Q1551=3,3,4))))),IF(U1527=U1528,IF(U1527&lt;U1526,IF(M1528=2,IF(Q1547=3,1,2),IF(M1528=1,IF(Q1547=3,2,3))),IF(U1527&gt;U1526,IF(M1528=2,IF(Q1547=3,2,3),IF(M1528=1,IF(Q1547=3,3,4))))))),"")))),"")</f>
        <v/>
      </c>
      <c r="AC1532" s="192"/>
      <c r="AD1532" s="192"/>
      <c r="AE1532" s="192"/>
      <c r="AF1532" s="192"/>
      <c r="AG1532" s="192"/>
      <c r="AH1532" s="192"/>
      <c r="AI1532" s="192"/>
      <c r="AJ1532" s="192"/>
      <c r="AK1532" s="192"/>
      <c r="AL1532" s="192"/>
      <c r="AM1532" s="192"/>
      <c r="AN1532" s="192"/>
      <c r="AO1532" s="192"/>
      <c r="AP1532" s="192"/>
      <c r="AQ1532" s="192"/>
      <c r="AR1532" s="192"/>
      <c r="AS1532" s="192"/>
      <c r="AT1532" s="192"/>
      <c r="AU1532" s="192"/>
      <c r="AV1532" s="192"/>
      <c r="AW1532" s="192"/>
      <c r="AX1532" s="192"/>
    </row>
    <row r="1533" spans="2:50" ht="15" customHeight="1" thickTop="1" thickBot="1" x14ac:dyDescent="0.35">
      <c r="B1533" s="192"/>
      <c r="C1533" s="192"/>
      <c r="D1533" s="192"/>
      <c r="E1533" s="192"/>
      <c r="F1533" s="192"/>
      <c r="G1533" s="192"/>
      <c r="H1533" s="192"/>
      <c r="I1533" s="192"/>
      <c r="J1533" s="192"/>
      <c r="K1533" s="192"/>
      <c r="L1533" s="192"/>
      <c r="M1533" s="192"/>
      <c r="N1533" s="192"/>
      <c r="O1533" s="192"/>
      <c r="P1533" s="192"/>
      <c r="Q1533" s="192"/>
      <c r="R1533" s="192"/>
      <c r="S1533" s="192"/>
      <c r="T1533" s="120"/>
      <c r="U1533" s="121" t="s">
        <v>101</v>
      </c>
      <c r="V1533" s="122" t="s">
        <v>102</v>
      </c>
      <c r="W1533" s="122" t="s">
        <v>103</v>
      </c>
      <c r="X1533" s="123" t="s">
        <v>104</v>
      </c>
      <c r="Y1533" s="238">
        <v>3</v>
      </c>
      <c r="Z1533" s="239" t="str">
        <f>IF(U1528="","",IF(OR(Group_players=3,AND(Group_players=4,COUNTBLANK(I1527:I1530)=1)),IF(COUNTIF(M1527:M1529,M1529)=1,"",IF(COUNTIF(U1526:U1528,U1528)=3,IF(AND(U1536=U1534,U1536=U1535),"Tied",IF(AND(U1536&lt;&gt;U1535,U1535&lt;&gt;U1534,U1536&lt;&gt;U1534),(IF(SMALL(U1534:U1536,1)=U1536,1,IF(SMALL(U1534:U1536,2)=U1536,2,IF(SMALL(U1534:U1536,3)=U1536,3)))),IF(AND(U1536&lt;U1535,U1535=U1534),1,IF(AND(U1536&gt;U1535,U1535=U1534),3,IF(AND(U1536=U1535,U1536&lt;U1534),(IF(Q1542=3,1,2)),IF(AND(U1536=U1535,U1536&gt;U1534),(IF(Q1542=3,2,3)),IF(AND(U1536=U1534,U1536&lt;U1535),(IF(Q1539=3,1,2)),IF(AND(U1536=U1534,U1536&gt;U1535),(IF(Q1539=3,2,3)),99)))))))),"")),""))</f>
        <v/>
      </c>
      <c r="AA1533" s="240">
        <v>3</v>
      </c>
      <c r="AB1533" s="241" t="str">
        <f>IF(AND(COUNTBLANK(I1527:I1530)=0,Group_players=4,M1527=M1528,M1528=M1529),IF(COUNTIF(U1526:U1529,U1528)=3,AB1546,IF(AND(COUNTIF(U1526:U1529,U1528)=1,U1526&lt;&gt;U1527),IF(M1527=2,IF(SMALL(U1526:U1529,1)=U1528,1,IF(SMALL(U1526:U1529,2)=U1528,2,IF(SMALL(U1526:U1529,3)=U1528,3))),IF(M1529=1,IF(SMALL(U1526:U1529,1)=U1528,2,IF(SMALL(U1526:U1529,2)=U1528,3,IF(SMALL(U1526:U1529,3)=U1528,4))),"")),IF(COUNTIF(U1526:U1529,U1528)=1,IF(U1528&lt;U1527,IF(M1529=2,1,2),IF(M1529=2,3,4)),IF(COUNTIF(U1526:U1529,U1528)=2,IF(U1528=U1527,IF(U1528&lt;U1526,IF(M1529=2,IF(Q1548=3,1,2),IF(M1529=1,IF(Q1548=3,2,3))),IF(U1528&gt;U1526,IF(M1529=2,IF(Q1548=3,2,3),IF(M1529=1,IF(Q1548=3,3,4))))),IF(U1528=U1526,IF(U1528&lt;U1527,IF(M1529=2,IF(Q1539=3,1,2),IF(M1529=1,IF(Q1539=3,2,3))),IF(U1528&gt;U1527,IF(M1529=2,IF(Q1539=3,2,3),IF(M1529=1,IF(Q1539=3,3,4))))))),"")))),"")</f>
        <v/>
      </c>
      <c r="AC1533" s="192"/>
      <c r="AD1533" s="192"/>
      <c r="AE1533" s="192"/>
      <c r="AF1533" s="192"/>
      <c r="AG1533" s="192"/>
      <c r="AH1533" s="192"/>
      <c r="AI1533" s="192"/>
      <c r="AJ1533" s="192"/>
      <c r="AK1533" s="192"/>
      <c r="AL1533" s="192"/>
      <c r="AM1533" s="192"/>
      <c r="AN1533" s="192"/>
      <c r="AO1533" s="192"/>
      <c r="AP1533" s="192"/>
      <c r="AQ1533" s="192"/>
      <c r="AR1533" s="192"/>
      <c r="AS1533" s="192"/>
      <c r="AT1533" s="192"/>
      <c r="AU1533" s="192"/>
      <c r="AV1533" s="192"/>
      <c r="AW1533" s="192"/>
      <c r="AX1533" s="192"/>
    </row>
    <row r="1534" spans="2:50" ht="15" customHeight="1" thickTop="1" thickBot="1" x14ac:dyDescent="0.35">
      <c r="B1534" s="192"/>
      <c r="C1534" s="192"/>
      <c r="D1534" s="192"/>
      <c r="E1534" s="192"/>
      <c r="F1534" s="192"/>
      <c r="G1534" s="192"/>
      <c r="H1534" s="192"/>
      <c r="I1534" s="192"/>
      <c r="J1534" s="192"/>
      <c r="K1534" s="192"/>
      <c r="L1534" s="192"/>
      <c r="M1534" s="192"/>
      <c r="N1534" s="192"/>
      <c r="O1534" s="192"/>
      <c r="P1534" s="192"/>
      <c r="Q1534" s="192"/>
      <c r="R1534" s="192"/>
      <c r="S1534" s="192"/>
      <c r="T1534" s="208">
        <v>1</v>
      </c>
      <c r="U1534" s="209" t="str">
        <f>IF(U1526="","",IF(OR(U1526&lt;&gt;U1527,U1526&lt;&gt;U1528),"",IF(COUNTIF(M1527:M1529,M1527)=1,"",IF(COUNTBLANK(I1527:I1530)=1,(SUM(L1539:P1539)+SUM(L1545:P1545))/(SUM(L1538:P1538)+SUM(L1544:P1544)),IF(COUNTBLANK(I1527:I1530)=0,(SUM(L1551:P1551)+SUM(L1539:P1539))/(SUM(L1550:P1550)+SUM(L1538:P1538)),"")))))</f>
        <v/>
      </c>
      <c r="V1534" s="125" t="str">
        <f>IF(V1526="","",IF(OR(V1526&lt;&gt;V1528,V1526&lt;&gt;V1529),"",IF(AND(COUNTBLANK(I1527:I1530)=0,M1527=M1529,M1529=M1530),(SUM(L1539:P1539)+SUM(L1545:P1545))/(SUM(L1538:P1538)+SUM(L1544:P1544)),"")))</f>
        <v/>
      </c>
      <c r="W1534" s="210" t="str">
        <f>IF(W1526="","",IF(OR(W1526&lt;&gt;W1527,W1526&lt;&gt;W1529),"",IF(AND(COUNTBLANK(I1527:I1530)=0,M1527=M1528,M1528=M1530),(SUM(L1551:P1551)+SUM(L1545:P1545))/(SUM(L1550:P1550)+SUM(L1544:P1544)),"")))</f>
        <v/>
      </c>
      <c r="X1534" s="211"/>
      <c r="Y1534" s="242"/>
      <c r="Z1534" s="242"/>
      <c r="AA1534" s="243">
        <v>1</v>
      </c>
      <c r="AB1534" s="244" t="str">
        <f>IF(AND(COUNTBLANK(I1527:I1530)=0,Group_players=4,M1527=M1529,M1529=M1530),IF(COUNTIF(V1526:V1529,V1526)=3,AB1547,IF(AND(COUNTIF(V1526:V1529,V1526)=1,V1528&lt;&gt;U1537),IF(M1527=2,IF(SMALL(V1526:V1529,1)=V1526,1,IF(SMALL(V1526:V1529,2)=V1526,2,IF(SMALL(V1526:V1529,3)=V1526,3))),IF(M1527=1,IF(SMALL(V1526:V1529,1)=V1526,2,IF(SMALL(V1526:V1529,2)=V1526,3,IF(SMALL(V1526:V1529,3)=V1526,4))),"")),IF(COUNTIF(V1526:V1529,V1526)=1,IF(V1526&lt;V1528,IF(M1527=2,1,2),IF(M1527=2,3,4)),IF(COUNTIF(V1526:V1529,V1526)=2,IF(V1526=V1528,IF(V1526&lt;V1529,IF(M1527=2,IF(Q1538=3,1,2),IF(M1527=1,IF(Q1538=3,2,3))),IF(V1526&gt;V1529,IF(M1527=2,IF(Q1538=3,2,3),IF(M1527=1,IF(Q1538=3,3,4))))),IF(V1526=V1529,IF(V1526&lt;V1528,IF(M1527=2,IF(Q1544=3,1,2),IF(M1527=1,IF(Q1544=3,2,3))),IF(V1526&gt;V1527,IF(M1527=2,IF(Q1544=3,2,3),IF(M1527=1,IF(Q1544=3,3,4))))))),"")))),"")</f>
        <v/>
      </c>
      <c r="AC1534" s="192"/>
      <c r="AD1534" s="192"/>
      <c r="AE1534" s="192"/>
      <c r="AF1534" s="192"/>
      <c r="AG1534" s="192"/>
      <c r="AH1534" s="192"/>
      <c r="AI1534" s="192"/>
      <c r="AJ1534" s="192"/>
      <c r="AK1534" s="192"/>
      <c r="AL1534" s="192"/>
      <c r="AM1534" s="192"/>
      <c r="AN1534" s="192"/>
      <c r="AO1534" s="192"/>
      <c r="AP1534" s="192"/>
      <c r="AQ1534" s="192"/>
      <c r="AR1534" s="192"/>
      <c r="AS1534" s="192"/>
      <c r="AT1534" s="192"/>
      <c r="AU1534" s="192"/>
      <c r="AV1534" s="192"/>
      <c r="AW1534" s="192"/>
      <c r="AX1534" s="192"/>
    </row>
    <row r="1535" spans="2:50" ht="15" customHeight="1" thickTop="1" thickBot="1" x14ac:dyDescent="0.35">
      <c r="B1535" s="192"/>
      <c r="C1535" s="192"/>
      <c r="D1535" s="192"/>
      <c r="E1535" s="117"/>
      <c r="F1535" s="117"/>
      <c r="G1535" s="117"/>
      <c r="H1535" s="192"/>
      <c r="I1535" s="192"/>
      <c r="J1535" s="192"/>
      <c r="K1535" s="192"/>
      <c r="L1535" s="192"/>
      <c r="M1535" s="192"/>
      <c r="N1535" s="192"/>
      <c r="O1535" s="192"/>
      <c r="P1535" s="192"/>
      <c r="Q1535" s="192"/>
      <c r="R1535" s="192"/>
      <c r="S1535" s="394" t="s">
        <v>112</v>
      </c>
      <c r="T1535" s="208">
        <v>2</v>
      </c>
      <c r="U1535" s="209" t="str">
        <f>IF(U1526="","",IF(OR(U1527&lt;&gt;U1526,U1527&lt;&gt;U1528),"",IF(COUNTIF(M1527:M1529,M1528)=1,"",IF(COUNTBLANK(I1527:I1530)=1,(SUM(L1542:P1542)+SUM(L1544:P1544))/(SUM(L1541:P1541)+SUM(L1545:P1545)),IF(COUNTBLANK(I1527:I1530)=0,(SUM(L1550:P1550)+SUM(L1548:P1548))/(SUM(L1551:P1551)+SUM(L1547:P1547)))))))</f>
        <v/>
      </c>
      <c r="V1535" s="135"/>
      <c r="W1535" s="212" t="str">
        <f>IF(W1526="","",IF(OR(W1527&lt;&gt;W1526,W1527&lt;&gt;W1529),"",IF(AND(COUNTBLANK(I1527:I1530)=0,M1527=M1528,M1528=M1530),(SUM(L1542:P1542)+SUM(L1550:P1550))/(SUM(L1551:P1551)+SUM(L1541:P1541)),"")))</f>
        <v/>
      </c>
      <c r="X1535" s="245" t="str">
        <f>IF(X1527="","",IF(OR(X1527&lt;&gt;X1528,X1527&lt;&gt;X1529),"",IF(AND(COUNTBLANK(I1527:I1530)=0,M1528=M1529,M1529=M1530),(SUM(L1548:P1548)+SUM(L1542:P1542))/(SUM(L1547:P1547)+SUM(L1541:P1541)),"")))</f>
        <v/>
      </c>
      <c r="Y1535" s="242"/>
      <c r="Z1535" s="203"/>
      <c r="AA1535" s="246">
        <v>3</v>
      </c>
      <c r="AB1535" s="222" t="str">
        <f>IF(AND(COUNTBLANK(I1527:I1530)=0,Group_players=4,M1527=M1529,M1529=M1530),IF(COUNTIF(V1526:V1529,V1528)=3,AB1548,IF(AND(COUNTIF(V1526:V1529,V1528)=1,V1526&lt;&gt;V1529),IF(M1529=2,IF(SMALL(V1526:V1529,1)=V1528,1,IF(SMALL(V1526:V1529,2)=V1528,2,IF(SMALL(V1526:V1529,3)=V1528,3))),IF(M1529=1,IF(SMALL(V1526:V1529,1)=V1528,2,IF(SMALL(V1526:V1529,2)=V1528,3,IF(SMALL(V1526:V1529,3)=V1528,4))),"")),IF(COUNTIF(V1526:V1529,V1528)=1,IF(V1528&lt;V1526,IF(M1529=2,1,2),IF(M1529=2,3,4)),IF(COUNTIF(V1526:V1529,V1528)=2,IF(V1528=V1526,IF(V1528&lt;V1529,IF(M1529=2,IF(Q1539=3,1,2),IF(M1529=1,IF(Q1539=3,2,3))),IF(V1528&gt;V1529,IF(M1529=2,IF(Q1539=3,2,3),IF(M1529=1,IF(Q1539=3,3,4))))),IF(V1528=V1529,IF(V1528&lt;V1526,IF(M1529=2,IF(Q1553=3,1,2),IF(M1529=1,IF(Q1553=3,2,3))),IF(V1528&gt;V1526,IF(M1529=2,IF(Q1553=3,2,3),IF(M1529=1,IF(Q1553=3,3,4))))))),"")))),"")</f>
        <v/>
      </c>
      <c r="AC1535" s="192"/>
      <c r="AD1535" s="192"/>
      <c r="AE1535" s="192"/>
      <c r="AF1535" s="192"/>
      <c r="AG1535" s="192"/>
      <c r="AH1535" s="192"/>
      <c r="AI1535" s="192"/>
      <c r="AJ1535" s="192"/>
      <c r="AK1535" s="192"/>
      <c r="AL1535" s="192"/>
      <c r="AM1535" s="192"/>
      <c r="AN1535" s="192"/>
      <c r="AO1535" s="192"/>
      <c r="AP1535" s="192"/>
      <c r="AQ1535" s="192"/>
      <c r="AR1535" s="192"/>
      <c r="AS1535" s="192"/>
      <c r="AT1535" s="192"/>
      <c r="AU1535" s="192"/>
      <c r="AV1535" s="192"/>
      <c r="AW1535" s="192"/>
      <c r="AX1535" s="192"/>
    </row>
    <row r="1536" spans="2:50" ht="15" customHeight="1" thickTop="1" thickBot="1" x14ac:dyDescent="0.35">
      <c r="B1536" s="192"/>
      <c r="C1536" s="192"/>
      <c r="D1536" s="192"/>
      <c r="E1536" s="117"/>
      <c r="F1536" s="117"/>
      <c r="G1536" s="117"/>
      <c r="H1536" s="192"/>
      <c r="I1536" s="192"/>
      <c r="J1536" s="192"/>
      <c r="K1536" s="192"/>
      <c r="L1536" s="192"/>
      <c r="M1536" s="192"/>
      <c r="N1536" s="192"/>
      <c r="O1536" s="192"/>
      <c r="P1536" s="192"/>
      <c r="Q1536" s="192"/>
      <c r="R1536" s="247"/>
      <c r="S1536" s="395"/>
      <c r="T1536" s="208">
        <v>3</v>
      </c>
      <c r="U1536" s="209" t="str">
        <f>IF(U1526="","",IF(OR(U1528&lt;&gt;U1526,U1528&lt;&gt;U1527),"",IF(COUNTIF(M1527:M1529,M1529)=1,"",IF(COUNTBLANK(I1527:I1530)=1,(SUM(L1538:P1538)+SUM(L1541:P1541))/(SUM(L1539:P1539)+SUM(L1542:P1542)),IF(COUNTBLANK(I1527:I1530)=0,(SUM(L1538:P1538)+SUM(L1547:P1547))/(SUM(L1539:P1539)+SUM(L1548:P1548)))))))</f>
        <v/>
      </c>
      <c r="V1536" s="125" t="str">
        <f>IF(V1526="","",IF(OR(V1528&lt;&gt;V1526,V1528&lt;&gt;V1529),"",IF(AND(COUNTBLANK(I1527:I1530)=0,M1527=M1529,M1529=M1530),(SUM(L1538:P1538)+SUM(L1554:P1554))/(SUM(L1539:P1539)+SUM(L1553:P1553)),"")))</f>
        <v/>
      </c>
      <c r="W1536" s="218"/>
      <c r="X1536" s="245" t="str">
        <f>IF(X1527="","",IF(OR(X1528&lt;&gt;X1527,X1528&lt;&gt;X1529),"",IF(AND(COUNTBLANK(I1527:I1530)=0,M1528=M1529,M1529=M1530),(SUM(L1547:P1547)+SUM(L1554:P1554))/(SUM(L1548:P1548)+SUM(L1553:P1553)),"")))</f>
        <v/>
      </c>
      <c r="Y1536" s="208"/>
      <c r="Z1536" s="203"/>
      <c r="AA1536" s="240">
        <v>4</v>
      </c>
      <c r="AB1536" s="222" t="str">
        <f>IF(AND(COUNTBLANK(I1527:I1530)=0,Group_players=4,M1527=M1529,M1529=M1530),IF(COUNTIF(V1526:V1529,V1529)=3,AB1549,IF(AND(COUNTIF(V1526:V1529,V1529)=1,V1528&lt;&gt;V1526),IF(M1530=2,IF(SMALL(V1526:V1529,1)=V1529,1,IF(SMALL(V1526:V1529,2)=V1529,2,IF(SMALL(V1526:V1529,3)=V1529,3))),IF(M1530=1,IF(SMALL(V1526:V1529,1)=V1529,2,IF(SMALL(V1526:V1529,2)=V1529,3,IF(SMALL(V1526:V1529,3)=V1529,4))),"")),IF(COUNTIF(V1526:V1529,V1529)=1,IF(V1529&lt;V1526,IF(M1530=2,1,2),IF(M1530=2,3,4)),IF(COUNTIF(V1526:V1529,V1529)=2,IF(V1529=V1526,IF(V1529&lt;V1528,IF(M1530=2,IF(Q1545=3,1,2),IF(M1530=1,IF(Q1545=3,2,3))),IF(V1529&gt;V1528,IF(M1530=2,IF(Q1545=3,2,3),IF(M1530=1,IF(Q1545=3,3,4))))),IF(V1529=V1528,IF(V1529&lt;V1526,IF(M1530=2,IF(Q1554=3,1,2),IF(M1530=1,IF(Q1554=3,2,3))),IF(V1529&gt;V1526,IF(M1530=2,IF(Q1554=3,2,3),IF(M1530=1,IF(Q1554=3,3,4))))))),"")))),"")</f>
        <v/>
      </c>
      <c r="AC1536" s="192"/>
      <c r="AD1536" s="192"/>
      <c r="AE1536" s="192"/>
      <c r="AF1536" s="192"/>
      <c r="AG1536" s="192"/>
      <c r="AH1536" s="192"/>
      <c r="AI1536" s="192"/>
      <c r="AJ1536" s="192"/>
      <c r="AK1536" s="192"/>
      <c r="AL1536" s="192"/>
      <c r="AM1536" s="192"/>
      <c r="AN1536" s="192"/>
      <c r="AO1536" s="192"/>
      <c r="AP1536" s="192"/>
      <c r="AQ1536" s="192"/>
      <c r="AR1536" s="192"/>
      <c r="AS1536" s="192"/>
      <c r="AT1536" s="192"/>
      <c r="AU1536" s="192"/>
      <c r="AV1536" s="192"/>
      <c r="AW1536" s="192"/>
      <c r="AX1536" s="192"/>
    </row>
    <row r="1537" spans="2:50" ht="15" customHeight="1" thickTop="1" thickBot="1" x14ac:dyDescent="0.35">
      <c r="B1537" s="192"/>
      <c r="C1537" s="192"/>
      <c r="D1537" s="192"/>
      <c r="E1537" s="168" t="s">
        <v>113</v>
      </c>
      <c r="F1537" s="168" t="s">
        <v>114</v>
      </c>
      <c r="G1537" s="117"/>
      <c r="H1537" s="192"/>
      <c r="I1537" s="249" t="s">
        <v>115</v>
      </c>
      <c r="J1537" s="249"/>
      <c r="K1537" s="249"/>
      <c r="L1537" s="250" t="s">
        <v>115</v>
      </c>
      <c r="M1537" s="250" t="s">
        <v>116</v>
      </c>
      <c r="N1537" s="250" t="s">
        <v>117</v>
      </c>
      <c r="O1537" s="250" t="s">
        <v>118</v>
      </c>
      <c r="P1537" s="250" t="s">
        <v>119</v>
      </c>
      <c r="Q1537" s="250" t="s">
        <v>120</v>
      </c>
      <c r="R1537" s="250"/>
      <c r="S1537" s="251"/>
      <c r="T1537" s="208">
        <v>4</v>
      </c>
      <c r="U1537" s="223"/>
      <c r="V1537" s="140" t="str">
        <f>IF(V1526="","",IF(OR(V1529&lt;&gt;V1526,V1529&lt;&gt;V1528),"",IF(AND(COUNTBLANK(I1527:I1530)=0,M1527=M1529,M1529=M1530),(SUM(L1544:P1544)+SUM(L1553:P1553))/(SUM(L1545:P1545)+SUM(L1554:P1554)),"")))</f>
        <v/>
      </c>
      <c r="W1537" s="224" t="str">
        <f>IF(W1526="","",IF(OR(W1529&lt;&gt;W1526,W1529&lt;&gt;W1527),"",IF(AND(COUNTBLANK(I1527:I1530)=0,M1527=M1528,M1528=M1530),(SUM(L1544:P1544)+SUM(L1541:P1541))/(SUM(L1545:P1545)+SUM(L1542:P1542)),"")))</f>
        <v/>
      </c>
      <c r="X1537" s="252" t="str">
        <f>IF(X1527="","",IF(OR(X1529&lt;&gt;X1527,X1529&lt;&gt;X1528),"",IF(AND(COUNTBLANK(I1527:I1530)=0,M1528=M1529,M1529=M1530),(SUM(L1541:P1541)+SUM(L1553:P1553))/(SUM(L1542:P1542)+SUM(L1554:P1554)),"")))</f>
        <v/>
      </c>
      <c r="Y1537" s="192"/>
      <c r="Z1537" s="203"/>
      <c r="AA1537" s="243">
        <v>1</v>
      </c>
      <c r="AB1537" s="151" t="str">
        <f>IF(AND(COUNTBLANK(I1527:I1530)=0,Group_players=4,M1527=M1528,M1528=M1530),IF(COUNTIF(W1526:W1529,W1526)=3,AB1550,IF(AND(COUNTIF(W1526:W1529,W1526)=1,W1527&lt;&gt;W1529),IF(M1527=2,IF(SMALL(W1526:W1529,1)=W1526,1,IF(SMALL(W1526:W1529,2)=W1526,2,IF(SMALL(W1526:W1529,3)=W1526,3))),IF(M1527=1,IF(SMALL(W1526:W1529,1)=W1526,2,IF(SMALL(W1526:W1529,2)=W1526,3,IF(SMALL(W1526:W1529,3)=W1526,4))),"")),IF(COUNTIF(W1526:W1529,W1526)=1,IF(W1526&lt;W1527,IF(M1527=2,1,2),IF(M1527=2,3,4)),IF(COUNTIF(W1526:W1529,W1526)=2,IF(W1526=W1527,IF(W1526&lt;W1529,IF(M1527=2,IF(Q1550=3,1,2),IF(M1527=1,IF(Q1550=3,2,3))),IF(W1526&gt;W1529,IF(M1527=2,IF(Q1550=3,2,3),IF(M1527=1,IF(Q1550=3,3,4))))),IF(W1526=W1529,IF(W1526&lt;W1527,IF(M1527=2,IF(Q1544=3,1,2),IF(M1527=1,IF(Q1544=3,2,3))),IF(W1526&gt;W1527,IF(M1527=2,IF(Q1544=3,2,3),IF(M1527=1,IF(Q1544=3,3,4))))))),"")))),"")</f>
        <v/>
      </c>
      <c r="AC1537" s="192"/>
      <c r="AD1537" s="192"/>
      <c r="AE1537" s="192"/>
      <c r="AF1537" s="192"/>
      <c r="AG1537" s="192"/>
      <c r="AH1537" s="192"/>
      <c r="AI1537" s="192"/>
      <c r="AJ1537" s="192"/>
      <c r="AK1537" s="192"/>
      <c r="AL1537" s="192"/>
      <c r="AM1537" s="192"/>
      <c r="AN1537" s="192"/>
      <c r="AO1537" s="192"/>
      <c r="AP1537" s="192"/>
      <c r="AQ1537" s="192"/>
      <c r="AR1537" s="192"/>
      <c r="AS1537" s="192"/>
      <c r="AT1537" s="192"/>
      <c r="AU1537" s="192"/>
      <c r="AV1537" s="192"/>
      <c r="AW1537" s="192"/>
      <c r="AX1537" s="192"/>
    </row>
    <row r="1538" spans="2:50" ht="15" customHeight="1" thickTop="1" x14ac:dyDescent="0.3">
      <c r="B1538" s="192"/>
      <c r="C1538" s="192"/>
      <c r="D1538" s="192"/>
      <c r="E1538" s="164" t="str">
        <f>IF(Q1538="","",IF(Q1538=3,1,0))</f>
        <v/>
      </c>
      <c r="F1538" s="164" t="str">
        <f>IF(Q1538="","",IF(Q1538&lt;3,1,0))</f>
        <v/>
      </c>
      <c r="G1538" s="192"/>
      <c r="H1538" s="192" t="str">
        <f>IF(I1527="","",1)</f>
        <v/>
      </c>
      <c r="I1538" s="192" t="str">
        <f>IF(ISNUMBER(H1538),VLOOKUP(H1538,H1527:I1530,2,TRUE),"")</f>
        <v/>
      </c>
      <c r="J1538" s="192"/>
      <c r="K1538" s="192" t="str">
        <f>VLOOKUP(I1538,I1527:L1530,3,FALSE)</f>
        <v/>
      </c>
      <c r="L1538" s="253"/>
      <c r="M1538" s="254"/>
      <c r="N1538" s="254"/>
      <c r="O1538" s="152"/>
      <c r="P1538" s="153"/>
      <c r="Q1538" s="255" t="str">
        <f>IF(L1538="","",IF(AND(L1538-L1539&gt;1,L1538&gt;10),1,0)+IF(AND(M1538-M1539&gt;1,M1538&gt;10),1,0)+IF(AND(N1538-N1539&gt;1,N1538&gt;10),1,0)+IF(AND(O1538-O1539&gt;1,O1538&gt;10),1,0)+IF(AND(P1538-P1539&gt;1,P1538&gt;10),1,0))</f>
        <v/>
      </c>
      <c r="R1538" s="203" t="str">
        <f>IF(AND(I1538="",I1539=""),"",ABS(VLOOKUP(I1538,I1527:L1530,4,FALSE)-VLOOKUP(I1539,I1527:L1530,4,FALSE)))</f>
        <v/>
      </c>
      <c r="S1538" s="256" t="str">
        <f>IF(R1539="","",IF(Q1538=3,+R1539,-R1539))</f>
        <v/>
      </c>
      <c r="T1538" s="257"/>
      <c r="U1538" s="258"/>
      <c r="V1538" s="258"/>
      <c r="W1538" s="258"/>
      <c r="X1538" s="258"/>
      <c r="Y1538" s="192"/>
      <c r="Z1538" s="203"/>
      <c r="AA1538" s="246">
        <v>2</v>
      </c>
      <c r="AB1538" s="154" t="str">
        <f>IF(AND(COUNTBLANK(I1527:I1530)=0,Group_players=4,M1527=M1528,M1528=M1530),IF(COUNTIF(W1526:W1529,W1527)=3,AB1551,IF(AND(COUNTIF(W1526:W1529,W1527)=1,W1526&lt;&gt;W1528),IF(M1528=2,IF(SMALL(W1526:W1529,1)=W1527,1,IF(SMALL(W1526:W1529,2)=W1527,2,IF(SMALL(W1526:W1529,3)=W1527,3))),IF(M1528=1,IF(SMALL(W1526:W1529,1)=W1527,2,IF(SMALL(W1526:W1529,2)=W1527,3,IF(SMALL(W1526:W1529,3)=W1527,4))),"")),IF(COUNTIF(W1526:W1529,W1527)=1,IF(W1527&lt;W1526,IF(M1528=2,1,2),IF(M1528=2,3,4)),IF(COUNTIF(W1526:W1529,W1527)=2,IF(W1527=W1526,IF(W1527&lt;W1529,IF(M1528=2,IF(Q1551=3,1,2),IF(M1528=1,IF(Q1551=3,2,3))),IF(W1527&gt;W1529,IF(M1528=2,IF(Q1551=3,2,3),IF(M1528=1,IF(Q1551=3,3,4))))),IF(W1527=W1529,IF(W1527&lt;W1526,IF(M1528=2,IF(Q1541=3,1,2),IF(M1528=1,IF(Q1541=3,2,3))),IF(W1527&gt;W1526,IF(M1528=2,IF(Q1541=3,2,3),IF(M1528=1,IF(Q1541=3,3,4))))))),"")))),"")</f>
        <v/>
      </c>
      <c r="AC1538" s="192"/>
      <c r="AD1538" s="192"/>
      <c r="AE1538" s="192"/>
      <c r="AF1538" s="192"/>
      <c r="AG1538" s="192"/>
      <c r="AH1538" s="192"/>
      <c r="AI1538" s="192"/>
      <c r="AJ1538" s="192"/>
      <c r="AK1538" s="192"/>
      <c r="AL1538" s="192"/>
      <c r="AM1538" s="192"/>
      <c r="AN1538" s="192"/>
      <c r="AO1538" s="192"/>
      <c r="AP1538" s="192"/>
      <c r="AQ1538" s="192"/>
      <c r="AR1538" s="192"/>
      <c r="AS1538" s="192"/>
      <c r="AT1538" s="192"/>
      <c r="AU1538" s="192"/>
      <c r="AV1538" s="192"/>
      <c r="AW1538" s="192"/>
      <c r="AX1538" s="192"/>
    </row>
    <row r="1539" spans="2:50" ht="15" customHeight="1" thickBot="1" x14ac:dyDescent="0.35">
      <c r="B1539" s="192"/>
      <c r="C1539" s="192"/>
      <c r="D1539" s="192"/>
      <c r="E1539" s="164" t="str">
        <f>IF(Q1539="","",IF(Q1539=3,1,0))</f>
        <v/>
      </c>
      <c r="F1539" s="164" t="str">
        <f>IF(Q1539="","",IF(Q1539&lt;3,1,0))</f>
        <v/>
      </c>
      <c r="G1539" s="192"/>
      <c r="H1539" s="192" t="str">
        <f>IF(I1528="","",IF(I1529="",2,3))</f>
        <v/>
      </c>
      <c r="I1539" s="192" t="str">
        <f>IF(ISNUMBER(H1539),VLOOKUP(H1539,H1527:I1530,2,TRUE),"")</f>
        <v/>
      </c>
      <c r="J1539" s="192"/>
      <c r="K1539" s="192" t="str">
        <f>VLOOKUP(I1539,I1527:L1530,3,FALSE)</f>
        <v/>
      </c>
      <c r="L1539" s="155"/>
      <c r="M1539" s="259"/>
      <c r="N1539" s="259"/>
      <c r="O1539" s="156"/>
      <c r="P1539" s="157"/>
      <c r="Q1539" s="260" t="str">
        <f>IF(L1539="","",IF(AND(L1539-L1538&gt;1,L1539&gt;10),1,0)+IF(AND(M1539-M1538&gt;1,M1539&gt;10),1,0)+IF(AND(N1539-N1538&gt;1,N1539&gt;10),1,0)+IF(AND(O1539-O1538&gt;1,O1539&gt;10),1,0)+IF(AND(P1539-P1538&gt;1,P1539&gt;10),1,0))</f>
        <v/>
      </c>
      <c r="R1539" s="203" t="str">
        <f>IF(AND(Q1538&lt;&gt;3,Q1539&lt;&gt;3),"",IF(Q1538=3,IF(VLOOKUP(I1538,I1527:L1530,4,FALSE)&gt;VLOOKUP(I1539,I1527:L1530,4,FALSE),VLOOKUP(R1538,Point_dif,2,FALSE),VLOOKUP(R1538,Point_dif,3,FALSE)),IF(Q1539=3,IF(VLOOKUP(I1539,I1527:L1530,4,FALSE)&gt;VLOOKUP(I1538,I1527:L1530,4,FALSE),VLOOKUP(R1538,Point_dif,2,FALSE),VLOOKUP(R1538,Point_dif,3,FALSE)))))</f>
        <v/>
      </c>
      <c r="S1539" s="256" t="str">
        <f>IF(R1539="","",IF(Q1539=3,+R1539,-R1539))</f>
        <v/>
      </c>
      <c r="T1539" s="192"/>
      <c r="U1539" s="235"/>
      <c r="V1539" s="235"/>
      <c r="W1539" s="235"/>
      <c r="X1539" s="235"/>
      <c r="Y1539" s="235"/>
      <c r="Z1539" s="235"/>
      <c r="AA1539" s="240">
        <v>4</v>
      </c>
      <c r="AB1539" s="158" t="str">
        <f>IF(AND(COUNTBLANK(I1527:I1530)=0,Group_players=4,M1527=M1528,M1528=M1530),IF(COUNTIF(W1526:W1529,W1529)=3,AB1552,IF(AND(COUNTIF(W1526:W1529,W1529)=1,W1526&lt;&gt;W1527),IF(M1530=2,IF(SMALL(W1526:W1529,1)=W1529,1,IF(SMALL(W1526:W1529,2)=W1529,2,IF(SMALL(W1526:W1529,3)=W1529,3))),IF(M1530=1,IF(SMALL(W1526:W1529,1)=W1529,2,IF(SMALL(W1526:W1529,2)=W1529,3,IF(SMALL(W1526:W1529,3)=W1529,4))),"")),IF(COUNTIF(W1526:W1529,W1529)=1,IF(W1529&lt;W1526,IF(M1530=2,1,2),IF(M1530=2,3,4)),IF(COUNTIF(W1526:W1529,W1529)=2,IF(W1529=W1526,IF(W1529&lt;W1527,IF(M1530=2,IF(Q1545=3,1,2),IF(M1530=1,IF(Q1545=3,2,3))),IF(W1529&gt;W1528,IF(M1530=2,IF(Q1545=3,2,3),IF(M1530=1,IF(Q1545=3,3,4))))),IF(W1529=W1527,IF(W1529&lt;W1526,IF(M1530=2,IF(Q1542=3,1,2),IF(M1530=1,IF(Q1542=3,2,3))),IF(W1529&gt;W1526,IF(M1530=2,IF(Q1542=3,2,3),IF(M1530=1,IF(Q1542=3,3,4))))))),"")))),"")</f>
        <v/>
      </c>
      <c r="AC1539" s="192"/>
      <c r="AD1539" s="192"/>
      <c r="AE1539" s="192"/>
      <c r="AF1539" s="192"/>
      <c r="AG1539" s="192"/>
      <c r="AH1539" s="192"/>
      <c r="AI1539" s="192"/>
      <c r="AJ1539" s="192"/>
      <c r="AK1539" s="192"/>
      <c r="AL1539" s="192"/>
      <c r="AM1539" s="192"/>
      <c r="AN1539" s="192"/>
      <c r="AO1539" s="192"/>
      <c r="AP1539" s="192"/>
      <c r="AQ1539" s="192"/>
      <c r="AR1539" s="192"/>
      <c r="AS1539" s="192"/>
      <c r="AT1539" s="192"/>
      <c r="AU1539" s="192"/>
      <c r="AV1539" s="192"/>
      <c r="AW1539" s="192"/>
      <c r="AX1539" s="192"/>
    </row>
    <row r="1540" spans="2:50" ht="15" customHeight="1" thickTop="1" thickBot="1" x14ac:dyDescent="0.35">
      <c r="B1540" s="192"/>
      <c r="C1540" s="192"/>
      <c r="D1540" s="192"/>
      <c r="E1540" s="164"/>
      <c r="F1540" s="164"/>
      <c r="G1540" s="192"/>
      <c r="H1540" s="192"/>
      <c r="I1540" s="249" t="s">
        <v>116</v>
      </c>
      <c r="J1540" s="249"/>
      <c r="K1540" s="249"/>
      <c r="L1540" s="250" t="s">
        <v>115</v>
      </c>
      <c r="M1540" s="250" t="s">
        <v>116</v>
      </c>
      <c r="N1540" s="250" t="s">
        <v>117</v>
      </c>
      <c r="O1540" s="250" t="s">
        <v>118</v>
      </c>
      <c r="P1540" s="250" t="s">
        <v>119</v>
      </c>
      <c r="Q1540" s="250" t="s">
        <v>120</v>
      </c>
      <c r="R1540" s="250"/>
      <c r="S1540" s="251"/>
      <c r="T1540" s="192"/>
      <c r="U1540" s="235"/>
      <c r="V1540" s="235"/>
      <c r="W1540" s="235"/>
      <c r="X1540" s="235"/>
      <c r="Y1540" s="235"/>
      <c r="Z1540" s="235"/>
      <c r="AA1540" s="243">
        <v>2</v>
      </c>
      <c r="AB1540" s="151" t="str">
        <f>IF(AND(COUNTBLANK(I1527:I1530)=0,Group_players=4,M1528=M1529,M1529=M1530),IF(COUNTIF(X1526:X1529,X1527)=3,AB1553,IF(AND(COUNTIF(X1526:X1529,X1527)=1,X1528&lt;&gt;X1529),IF(M1528=2,IF(SMALL(X1526:X1529,1)=X1527,1,IF(SMALL(X1526:X1529,2)=X1527,2,IF(SMALL(X1526:X1529,3)=X1527,3))),IF(M1528=1,IF(SMALL(X1526:X1529,1)=X1527,2,IF(SMALL(X1526:X1529,2)=X1527,3,IF(SMALL(X1526:X1529,3)=X1527,4))),"")),IF(COUNTIF(X1526:X1529,X1527)=1,IF(X1527&lt;X1529,IF(M1528=2,1,2),IF(M1528=1,3,3)),IF(COUNTIF(X1526:X1529,X1527)=2,IF(X1527=X1528,IF(X1527&lt;X1529,IF(M1528=2,IF(Q1547=3,1,2),IF(M1528=1,IF(Q1547=3,2,3))),IF(X1527&gt;X1529,IF(M1528=2,IF(Q1547=3,2,3),IF(M1528=1,IF(Q1547=3,3,4))))),IF(X1527=X1529,IF(X1527&lt;X1528,IF(M1528=2,IF(Q1541=3,1,2),IF(M1528=1,IF(Q1541=3,2,3))),IF(X1527&gt;X1528,IF(M1528=2,IF(Q1541=3,2,3),IF(M1528=1,IF(Q1541=3,3,4))))))),"")))),"")</f>
        <v/>
      </c>
      <c r="AC1540" s="192"/>
      <c r="AD1540" s="192"/>
      <c r="AE1540" s="192"/>
      <c r="AF1540" s="192"/>
      <c r="AG1540" s="192"/>
      <c r="AH1540" s="192"/>
      <c r="AI1540" s="192"/>
      <c r="AJ1540" s="192"/>
      <c r="AK1540" s="192"/>
      <c r="AL1540" s="192"/>
      <c r="AM1540" s="192"/>
      <c r="AN1540" s="192"/>
      <c r="AO1540" s="192"/>
      <c r="AP1540" s="192"/>
      <c r="AQ1540" s="192"/>
      <c r="AR1540" s="192"/>
      <c r="AS1540" s="192"/>
      <c r="AT1540" s="192"/>
      <c r="AU1540" s="192"/>
      <c r="AV1540" s="192"/>
      <c r="AW1540" s="192"/>
      <c r="AX1540" s="192"/>
    </row>
    <row r="1541" spans="2:50" ht="15" customHeight="1" thickTop="1" x14ac:dyDescent="0.3">
      <c r="B1541" s="192"/>
      <c r="C1541" s="192"/>
      <c r="D1541" s="192"/>
      <c r="E1541" s="164" t="str">
        <f>IF(Q1541="","",IF(Q1541=3,1,0))</f>
        <v/>
      </c>
      <c r="F1541" s="164" t="str">
        <f>IF(Q1541="","",IF(Q1541&lt;3,1,0))</f>
        <v/>
      </c>
      <c r="G1541" s="192"/>
      <c r="H1541" s="192" t="str">
        <f>IF(I1529="","",2)</f>
        <v/>
      </c>
      <c r="I1541" s="192" t="str">
        <f>IF(ISNUMBER(H1541),VLOOKUP(H1541,H1527:I1530,2,TRUE),"")</f>
        <v/>
      </c>
      <c r="J1541" s="192"/>
      <c r="K1541" s="192" t="str">
        <f>VLOOKUP(I1541,I1527:L1530,3,FALSE)</f>
        <v/>
      </c>
      <c r="L1541" s="253"/>
      <c r="M1541" s="254"/>
      <c r="N1541" s="254"/>
      <c r="O1541" s="152"/>
      <c r="P1541" s="153"/>
      <c r="Q1541" s="255" t="str">
        <f>IF(L1541="","",IF(AND(L1541-L1542&gt;1,L1541&gt;10),1,0)+IF(AND(M1541-M1542&gt;1,M1541&gt;10),1,0)+IF(AND(N1541-N1542&gt;1,N1541&gt;10),1,0)+IF(AND(O1541-O1542&gt;1,O1541&gt;10),1,0)+IF(AND(P1541-P1542&gt;1,P1541&gt;10),1,0))</f>
        <v/>
      </c>
      <c r="R1541" s="203" t="str">
        <f>IF(AND(I1541="",I1542=""),"",ABS(VLOOKUP(I1541,I1527:L1530,4,FALSE)-VLOOKUP(I1542,I1527:L1530,4,FALSE)))</f>
        <v/>
      </c>
      <c r="S1541" s="256" t="str">
        <f>IF(R1542="","",IF(Q1541=3,+R1542,-R1542))</f>
        <v/>
      </c>
      <c r="T1541" s="192"/>
      <c r="U1541" s="235"/>
      <c r="V1541" s="235"/>
      <c r="W1541" s="235"/>
      <c r="X1541" s="235"/>
      <c r="Y1541" s="235"/>
      <c r="Z1541" s="235"/>
      <c r="AA1541" s="246">
        <v>3</v>
      </c>
      <c r="AB1541" s="154" t="str">
        <f>IF(AND(COUNTBLANK(I1527:I1530)=0,Group_players=4,M1528=M1529,M1529=M1530),IF(COUNTIF(X1526:X1529,X1528)=3,AB1554,IF(AND(COUNTIF(X1526:X1529,X1528)=1,X1527&lt;&gt;X1529),IF(M1529=2,IF(SMALL(X1526:X1529,1)=X1528,1,IF(SMALL(X1526:X1529,2)=X1528,2,IF(SMALL(X1526:X1529,3)=X1528,3))),IF(M1529=1,IF(SMALL(X1526:X1529,1)=X1528,2,IF(SMALL(X1526:X1529,2)=X1528,3,IF(SMALL(X1526:X1529,3)=X1528,4))),"")),IF(COUNTIF(X1526:X1529,X1528)=1,IF(X1528&lt;X1527,IF(M1529=2,1,2),IF(M1529=2,3,4)),IF(COUNTIF(X1526:X1529,X1528)=2,IF(X1528=X1527,IF(X1528&lt;X1529,IF(M1529=2,IF(Q1548=3,1,2),IF(M1529=1,IF(Q1548=3,2,3))),IF(X1528&gt;X1529,IF(M1529=2,IF(Q1548=3,2,3),IF(M1529=1,IF(Q1548=3,3,4))))),IF(X1528=X1529,IF(X1528&lt;X1527,IF(M1529=2,IF(Q1553=3,1,2),IF(M1529=1,IF(Q1553=3,2,3))),IF(X1528&gt;X1527,IF(M1529=2,IF(Q1553=3,2,3),IF(M1529=1,IF(Q1553=3,3,4))))))),"")))),"")</f>
        <v/>
      </c>
      <c r="AC1541" s="192"/>
      <c r="AD1541" s="192"/>
      <c r="AE1541" s="192"/>
      <c r="AF1541" s="192"/>
      <c r="AG1541" s="192"/>
      <c r="AH1541" s="192"/>
      <c r="AI1541" s="192"/>
      <c r="AJ1541" s="192"/>
      <c r="AK1541" s="192"/>
      <c r="AL1541" s="192"/>
      <c r="AM1541" s="192"/>
      <c r="AN1541" s="192"/>
      <c r="AO1541" s="192"/>
      <c r="AP1541" s="192"/>
      <c r="AQ1541" s="192"/>
      <c r="AR1541" s="192"/>
      <c r="AS1541" s="192"/>
      <c r="AT1541" s="192"/>
      <c r="AU1541" s="192"/>
      <c r="AV1541" s="192"/>
      <c r="AW1541" s="192"/>
      <c r="AX1541" s="192"/>
    </row>
    <row r="1542" spans="2:50" ht="15" customHeight="1" thickBot="1" x14ac:dyDescent="0.35">
      <c r="B1542" s="192"/>
      <c r="C1542" s="192"/>
      <c r="D1542" s="192"/>
      <c r="E1542" s="164" t="str">
        <f>IF(Q1542="","",IF(Q1542=3,1,0))</f>
        <v/>
      </c>
      <c r="F1542" s="164" t="str">
        <f>IF(Q1542="","",IF(Q1542&lt;3,1,0))</f>
        <v/>
      </c>
      <c r="G1542" s="192"/>
      <c r="H1542" s="192" t="str">
        <f>IF(I1529="","",IF(I1530="",3,4))</f>
        <v/>
      </c>
      <c r="I1542" s="192" t="str">
        <f>IF(ISNUMBER(H1542),VLOOKUP(H1542,H1527:I1530,2,TRUE),"")</f>
        <v/>
      </c>
      <c r="J1542" s="192"/>
      <c r="K1542" s="192" t="str">
        <f>VLOOKUP(I1542,I1527:L1530,3,FALSE)</f>
        <v/>
      </c>
      <c r="L1542" s="155"/>
      <c r="M1542" s="259"/>
      <c r="N1542" s="259"/>
      <c r="O1542" s="156"/>
      <c r="P1542" s="157"/>
      <c r="Q1542" s="260" t="str">
        <f>IF(L1542="","",IF(AND(L1542-L1541&gt;1,L1542&gt;10),1,0)+IF(AND(M1542-M1541&gt;1,M1542&gt;10),1,0)+IF(AND(N1542-N1541&gt;1,N1542&gt;10),1,0)+IF(AND(O1542-O1541&gt;1,O1542&gt;10),1,0)+IF(AND(P1542-P1541&gt;1,P1542&gt;10),1,0))</f>
        <v/>
      </c>
      <c r="R1542" s="203" t="str">
        <f>IF(AND(Q1541&lt;&gt;3,Q1542&lt;&gt;3),"",IF(Q1541=3,IF(VLOOKUP(I1541,I1527:L1530,4,FALSE)&gt;VLOOKUP(I1542,I1527:L1530,4,FALSE),VLOOKUP(R1541,Point_dif,2,FALSE),VLOOKUP(R1541,Point_dif,3,FALSE)),IF(Q1542=3,IF(VLOOKUP(I1542,I1527:L1530,4,FALSE)&gt;VLOOKUP(I1541,I1527:L1530,4,FALSE),VLOOKUP(R1541,Point_dif,2,FALSE),VLOOKUP(R1541,Point_dif,3,FALSE)))))</f>
        <v/>
      </c>
      <c r="S1542" s="256" t="str">
        <f>IF(R1542="","",IF(Q1542=3,+R1542,-R1542))</f>
        <v/>
      </c>
      <c r="T1542" s="192"/>
      <c r="U1542" s="235"/>
      <c r="V1542" s="235"/>
      <c r="W1542" s="235"/>
      <c r="X1542" s="235"/>
      <c r="Y1542" s="235"/>
      <c r="Z1542" s="235"/>
      <c r="AA1542" s="261">
        <v>4</v>
      </c>
      <c r="AB1542" s="158" t="str">
        <f>IF(AND(COUNTBLANK(I1527:I1530)=0,Group_players=4,M1528=M1529,M1529=M1530),IF(COUNTIF(X1526:X1529,X1529)=3,AB1555,IF(AND(COUNTIF(X1526:X1529,X1529)=1,X1528&lt;&gt;X1527),IF(M1530=2,IF(SMALL(X1526:X1529,1)=X1529,1,IF(SMALL(X1526:X1529,2)=X1529,2,IF(SMALL(X1526:X1529,3)=X1529,3))),IF(M1530=1,IF(SMALL(X1526:X1529,1)=X1529,2,IF(SMALL(X1526:X1529,2)=X1529,3,IF(SMALL(X1526:X1529,3)=X1529,4))),"")),IF(COUNTIF(X1526:X1529,X1529)=1,IF(X1529&lt;X1527,IF(M1530=2,1,2),IF(M1530=2,3,4)),IF(COUNTIF(X1526:X1529,X1529)=2,IF(X1529=X1527,IF(X1529&lt;X1528,IF(M1530=2,IF(Q1542=3,1,2),IF(M1530=1,IF(Q1542=3,2,3))),IF(X1529&gt;X1528,IF(M1530=2,IF(Q1542=3,2,3),IF(M1530=1,IF(Q1542=3,3,4))))),IF(X1529=X1528,IF(X1529&lt;X1527,IF(M1530=2,IF(Q1554=3,1,2),IF(M1530=1,IF(Q1554=3,2,3))),IF(X1529&gt;X1527,IF(M1530=2,IF(Q1554=3,2,3),IF(M1530=1,IF(Q1554=3,3,4))))))),"")))),"")</f>
        <v/>
      </c>
      <c r="AC1542" s="192"/>
      <c r="AD1542" s="192"/>
      <c r="AE1542" s="192"/>
      <c r="AF1542" s="192"/>
      <c r="AG1542" s="192"/>
      <c r="AH1542" s="192"/>
      <c r="AI1542" s="192"/>
      <c r="AJ1542" s="192"/>
      <c r="AK1542" s="192"/>
      <c r="AL1542" s="192"/>
      <c r="AM1542" s="192"/>
      <c r="AN1542" s="192"/>
      <c r="AO1542" s="192"/>
      <c r="AP1542" s="192"/>
      <c r="AQ1542" s="192"/>
      <c r="AR1542" s="192"/>
      <c r="AS1542" s="192"/>
      <c r="AT1542" s="192"/>
      <c r="AU1542" s="192"/>
      <c r="AV1542" s="192"/>
      <c r="AW1542" s="192"/>
      <c r="AX1542" s="192"/>
    </row>
    <row r="1543" spans="2:50" ht="15" customHeight="1" thickTop="1" thickBot="1" x14ac:dyDescent="0.35">
      <c r="B1543" s="192"/>
      <c r="C1543" s="192"/>
      <c r="D1543" s="192"/>
      <c r="E1543" s="164"/>
      <c r="F1543" s="164"/>
      <c r="G1543" s="192"/>
      <c r="H1543" s="192"/>
      <c r="I1543" s="249" t="s">
        <v>117</v>
      </c>
      <c r="J1543" s="249"/>
      <c r="K1543" s="249"/>
      <c r="L1543" s="250" t="s">
        <v>115</v>
      </c>
      <c r="M1543" s="250" t="s">
        <v>116</v>
      </c>
      <c r="N1543" s="250" t="s">
        <v>117</v>
      </c>
      <c r="O1543" s="250" t="s">
        <v>118</v>
      </c>
      <c r="P1543" s="250" t="s">
        <v>119</v>
      </c>
      <c r="Q1543" s="250" t="s">
        <v>120</v>
      </c>
      <c r="R1543" s="250"/>
      <c r="S1543" s="251"/>
      <c r="T1543" s="263"/>
      <c r="U1543" s="264"/>
      <c r="V1543" s="242"/>
      <c r="W1543" s="242"/>
      <c r="X1543" s="264"/>
      <c r="Y1543" s="192"/>
      <c r="Z1543" s="203"/>
      <c r="AA1543" s="126" t="s">
        <v>93</v>
      </c>
      <c r="AB1543" s="265" t="s">
        <v>110</v>
      </c>
      <c r="AC1543" s="192"/>
      <c r="AD1543" s="192"/>
      <c r="AE1543" s="192"/>
      <c r="AF1543" s="192"/>
      <c r="AG1543" s="192"/>
      <c r="AH1543" s="192"/>
      <c r="AI1543" s="192"/>
      <c r="AJ1543" s="192"/>
      <c r="AK1543" s="192"/>
      <c r="AL1543" s="192"/>
      <c r="AM1543" s="192"/>
      <c r="AN1543" s="192"/>
      <c r="AO1543" s="192"/>
      <c r="AP1543" s="192"/>
      <c r="AQ1543" s="192"/>
      <c r="AR1543" s="192"/>
      <c r="AS1543" s="192"/>
      <c r="AT1543" s="192"/>
      <c r="AU1543" s="192"/>
      <c r="AV1543" s="192"/>
      <c r="AW1543" s="192"/>
      <c r="AX1543" s="192"/>
    </row>
    <row r="1544" spans="2:50" ht="15" customHeight="1" thickTop="1" x14ac:dyDescent="0.3">
      <c r="B1544" s="192"/>
      <c r="C1544" s="192"/>
      <c r="D1544" s="192"/>
      <c r="E1544" s="164" t="str">
        <f>IF(Q1544="","",IF(Q1544=3,1,0))</f>
        <v/>
      </c>
      <c r="F1544" s="164" t="str">
        <f>IF(Q1544="","",IF(Q1544&lt;3,1,0))</f>
        <v/>
      </c>
      <c r="G1544" s="192"/>
      <c r="H1544" s="192" t="str">
        <f>IF(I1529&lt;&gt;"",1,"")</f>
        <v/>
      </c>
      <c r="I1544" s="192" t="str">
        <f>IF(ISNUMBER(H1544),VLOOKUP(H1544,H1527:I1530,2,TRUE),"")</f>
        <v/>
      </c>
      <c r="J1544" s="192"/>
      <c r="K1544" s="192" t="str">
        <f>VLOOKUP(I1544,I1527:L1530,3,FALSE)</f>
        <v/>
      </c>
      <c r="L1544" s="253"/>
      <c r="M1544" s="254"/>
      <c r="N1544" s="254"/>
      <c r="O1544" s="152"/>
      <c r="P1544" s="153"/>
      <c r="Q1544" s="255" t="str">
        <f>IF(L1544="","",IF(AND(L1544-L1545&gt;1,L1544&gt;10),1,0)+IF(AND(M1544-M1545&gt;1,M1544&gt;10),1,0)+IF(AND(N1544-N1545&gt;1,N1544&gt;10),1,0)+IF(AND(O1544-O1545&gt;1,O1544&gt;10),1,0)+IF(AND(P1544-P1545&gt;1,P1544&gt;10),1,0))</f>
        <v/>
      </c>
      <c r="R1544" s="203" t="str">
        <f>IF(AND(I1544="",I1545=""),"",ABS(VLOOKUP(I1544,I1527:L1530,4,FALSE)-VLOOKUP(I1545,I1527:L1530,4,FALSE)))</f>
        <v/>
      </c>
      <c r="S1544" s="256" t="str">
        <f>IF(R1545="","",IF(Q1544=3,+R1545,-R1545))</f>
        <v/>
      </c>
      <c r="T1544" s="192"/>
      <c r="U1544" s="235"/>
      <c r="V1544" s="235"/>
      <c r="W1544" s="235"/>
      <c r="X1544" s="235"/>
      <c r="Y1544" s="235"/>
      <c r="Z1544" s="235"/>
      <c r="AA1544" s="243">
        <v>1</v>
      </c>
      <c r="AB1544" s="222" t="str">
        <f>IF(AND(COUNTBLANK(I1527:I1530)=0,Group_players=4,M1527=M1528,M1528=M1529),IF(U1534="","",IF(COUNTIF(U1534:U1537,U1534)=3,"Tied",IF(AND(COUNTIF(U1534:U1537,U1534)=1,U1535&lt;&gt;U1536),IF(M1527=2,IF(SMALL(U1534:U1537,1)=U1534,1,IF(SMALL(U1534:U1537,2)=U1534,2,IF(SMALL(U1534:U1537,3)=U1534,3))),IF(M1527=1,IF(SMALL(U1534:U1537,1)=U1534,2,IF(SMALL(U1534:U1537,2)=U1534,3,IF(SMALL(U1534:U1537,3)=U1534,4))),"")),IF(COUNTIF(U1534:U1537,U1534)=1,IF(U1534&lt;U1535,IF(M1527=2,1,2),IF(M1527=2,3,4)),IF(COUNTIF(U1534:U1537,U1534)=2,IF(U1534=U1535,IF(U1534&lt;U1536,IF(M1527=2,IF(Q1550=3,1,2),IF(M1527=1,IF(Q1550=3,2,3))),IF(U1534&gt;U1536,IF(M1527=2,IF(Q1550=3,2,3),IF(M1527=1,IF(Q1550=3,3,4))))),IF(U1534=U1536,IF(U1534&lt;U1535,IF(M1527=2,IF(Q1538=3,1,2),IF(M1527=1,IF(Q1538=3,2,3))),IF(U1534&gt;U1535,IF(M1527=2,IF(Q1538=3,2,3),IF(M1527=1,IF(Q1538=3,3,4)))))))))))),"")</f>
        <v/>
      </c>
      <c r="AC1544" s="192"/>
      <c r="AD1544" s="192"/>
      <c r="AE1544" s="192"/>
      <c r="AF1544" s="192"/>
      <c r="AG1544" s="192"/>
      <c r="AH1544" s="192"/>
      <c r="AI1544" s="192"/>
      <c r="AJ1544" s="192"/>
      <c r="AK1544" s="192"/>
      <c r="AL1544" s="192"/>
      <c r="AM1544" s="192"/>
      <c r="AN1544" s="192"/>
      <c r="AO1544" s="192"/>
      <c r="AP1544" s="192"/>
      <c r="AQ1544" s="192"/>
      <c r="AR1544" s="192"/>
      <c r="AS1544" s="192"/>
      <c r="AT1544" s="192"/>
      <c r="AU1544" s="192"/>
      <c r="AV1544" s="192"/>
      <c r="AW1544" s="192"/>
      <c r="AX1544" s="192"/>
    </row>
    <row r="1545" spans="2:50" ht="15" customHeight="1" thickBot="1" x14ac:dyDescent="0.35">
      <c r="B1545" s="192"/>
      <c r="C1545" s="192"/>
      <c r="D1545" s="192"/>
      <c r="E1545" s="164" t="str">
        <f>IF(Q1545="","",IF(Q1545=3,1,0))</f>
        <v/>
      </c>
      <c r="F1545" s="164" t="str">
        <f>IF(Q1545="","",IF(Q1545&lt;3,1,0))</f>
        <v/>
      </c>
      <c r="G1545" s="192"/>
      <c r="H1545" s="192" t="str">
        <f>IF(I1529="","",IF(I1530&lt;&gt;"",4,2))</f>
        <v/>
      </c>
      <c r="I1545" s="192" t="str">
        <f>IF(ISNUMBER(H1545),VLOOKUP(H1545,H1527:I1530,2,TRUE),"")</f>
        <v/>
      </c>
      <c r="J1545" s="192"/>
      <c r="K1545" s="192" t="str">
        <f>VLOOKUP(I1545,I1527:L1530,3,FALSE)</f>
        <v/>
      </c>
      <c r="L1545" s="155"/>
      <c r="M1545" s="259"/>
      <c r="N1545" s="259"/>
      <c r="O1545" s="156"/>
      <c r="P1545" s="157"/>
      <c r="Q1545" s="260" t="str">
        <f>IF(L1545="","",IF(AND(L1545-L1544&gt;1,L1545&gt;10),1,0)+IF(AND(M1545-M1544&gt;1,M1545&gt;10),1,0)+IF(AND(N1545-N1544&gt;1,N1545&gt;10),1,0)+IF(AND(O1545-O1544&gt;1,O1545&gt;10),1,0)+IF(AND(P1545-P1544&gt;1,P1545&gt;10),1,0))</f>
        <v/>
      </c>
      <c r="R1545" s="203" t="str">
        <f>IF(AND(Q1544&lt;&gt;3,Q1545&lt;&gt;3),"",IF(Q1544=3,IF(VLOOKUP(I1544,I1527:L1530,4,FALSE)&gt;VLOOKUP(I1545,I1527:L1530,4,FALSE),VLOOKUP(R1544,Point_dif,2,FALSE),VLOOKUP(R1544,Point_dif,3,FALSE)),IF(Q1545=3,IF(VLOOKUP(I1545,I1527:L1530,4,FALSE)&gt;VLOOKUP(I1544,I1527:L1530,4,FALSE),VLOOKUP(R1544,Point_dif,2,FALSE),VLOOKUP(R1544,Point_dif,3,FALSE)))))</f>
        <v/>
      </c>
      <c r="S1545" s="256" t="str">
        <f>IF(R1545="","",IF(Q1545=3,+R1545,-R1545))</f>
        <v/>
      </c>
      <c r="T1545" s="192"/>
      <c r="U1545" s="235"/>
      <c r="V1545" s="235"/>
      <c r="W1545" s="235"/>
      <c r="X1545" s="235"/>
      <c r="Y1545" s="235"/>
      <c r="Z1545" s="235"/>
      <c r="AA1545" s="246">
        <v>2</v>
      </c>
      <c r="AB1545" s="222" t="str">
        <f>IF(AND(COUNTBLANK(I1527:I1530)=0,Group_players=4,M1527=M1528,M1528=M1529),IF(U1535="","",IF(COUNTIF(U1534:U1537,U1535)=3,"Tied",IF(AND(COUNTIF(U1534:U1537,U1535)=1,U1534&lt;&gt;U1536),IF(M1528=2,IF(SMALL(U1534:U1537,1)=U1535,1,IF(SMALL(U1534:U1537,2)=U1535,2,IF(SMALL(U1534:U1537,3)=U1535,3))),IF(M1528=1,IF(SMALL(U1534:U1537,1)=U1535,2,IF(SMALL(U1534:U1537,2)=U1535,3,IF(SMALL(U1534:U1537,3)=U1535,4))),"")),IF(COUNTIF(U1534:U1537,U1535)=1,IF(U1535&lt;U1534,IF(M1528=2,1,2),IF(M1528=2,3,4)),IF(COUNTIF(U1534:U1537,U1535)=2,IF(U1535=U1534,IF(U1535&lt;U1536,IF(M1528=2,IF(Q1551=3,1,2),IF(M1528=1,IF(Q1551=3,2,3))),IF(U1535&gt;U1536,IF(M1528=2,IF(Q1551=3,2,3),IF(M1528=1,IF(Q1551=3,3,4))))),IF(U1535=U1536,IF(U1535&lt;U1534,IF(M1528=2,IF(Q1547=3,1,2),IF(M1528=1,IF(Q1547=3,2,3))),IF(U1535&gt;U1534,IF(M1528=2,IF(Q1547=3,2,3),IF(M1528=1,IF(Q1547=3,3,4)))))))))))),"")</f>
        <v/>
      </c>
      <c r="AC1545" s="192"/>
      <c r="AD1545" s="192"/>
      <c r="AE1545" s="192"/>
      <c r="AF1545" s="192"/>
      <c r="AG1545" s="192"/>
      <c r="AH1545" s="192"/>
      <c r="AI1545" s="192"/>
      <c r="AJ1545" s="192"/>
      <c r="AK1545" s="192"/>
      <c r="AL1545" s="192"/>
      <c r="AM1545" s="192"/>
      <c r="AN1545" s="192"/>
      <c r="AO1545" s="192"/>
      <c r="AP1545" s="192"/>
      <c r="AQ1545" s="192"/>
      <c r="AR1545" s="192"/>
      <c r="AS1545" s="192"/>
      <c r="AT1545" s="192"/>
      <c r="AU1545" s="192"/>
      <c r="AV1545" s="192"/>
      <c r="AW1545" s="192"/>
      <c r="AX1545" s="192"/>
    </row>
    <row r="1546" spans="2:50" ht="15" customHeight="1" thickTop="1" thickBot="1" x14ac:dyDescent="0.35">
      <c r="B1546" s="192"/>
      <c r="C1546" s="192"/>
      <c r="D1546" s="192"/>
      <c r="E1546" s="164"/>
      <c r="F1546" s="164"/>
      <c r="G1546" s="192"/>
      <c r="H1546" s="192"/>
      <c r="I1546" s="249" t="s">
        <v>118</v>
      </c>
      <c r="J1546" s="249"/>
      <c r="K1546" s="249"/>
      <c r="L1546" s="250" t="s">
        <v>115</v>
      </c>
      <c r="M1546" s="250" t="s">
        <v>116</v>
      </c>
      <c r="N1546" s="250" t="s">
        <v>117</v>
      </c>
      <c r="O1546" s="250" t="s">
        <v>118</v>
      </c>
      <c r="P1546" s="250" t="s">
        <v>119</v>
      </c>
      <c r="Q1546" s="250" t="s">
        <v>120</v>
      </c>
      <c r="R1546" s="250"/>
      <c r="S1546" s="251"/>
      <c r="T1546" s="192"/>
      <c r="U1546" s="235"/>
      <c r="V1546" s="235"/>
      <c r="W1546" s="235"/>
      <c r="X1546" s="235"/>
      <c r="Y1546" s="235"/>
      <c r="Z1546" s="235"/>
      <c r="AA1546" s="240">
        <v>3</v>
      </c>
      <c r="AB1546" s="241" t="str">
        <f>IF(AND(COUNTBLANK(I1527:I1530)=0,Group_players=4,M1527=M1528,M1528=M1529),IF(U1536="","",IF(COUNTIF(U1534:U1537,U1536)=3,"Tied",IF(AND(COUNTIF(U1534:U1537,U1536)=1,U1534&lt;&gt;U1535),IF(M1527=2,IF(SMALL(U1534:U1537,1)=U1536,1,IF(SMALL(U1534:U1537,2)=U1536,2,IF(SMALL(U1534:U1537,3)=U1536,3))),IF(M1529=1,IF(SMALL(U1534:U1537,1)=U1536,2,IF(SMALL(U1534:U1537,2)=U1536,3,IF(SMALL(U1534:U1537,3)=U1536,4))),"")),IF(COUNTIF(U1534:U1537,U1536)=1,IF(U1536&lt;U1535,IF(M1529=2,1,2),IF(M1529=2,3,4)),IF(COUNTIF(U1534:U1537,U1536)=2,IF(U1536=U1535,IF(U1536&lt;U1534,IF(M1529=2,IF(Q1548=3,1,2),IF(M1529=1,IF(Q1548=3,2,3))),IF(U1536&gt;U1534,IF(M1529=2,IF(Q1548=3,2,3),IF(M1529=1,IF(Q1548=3,3,4))))),IF(U1536=U1534,IF(U1536&lt;U1535,IF(M1529=2,IF(Q1539=3,1,2),IF(M1529=1,IF(Q1539=3,2,3))),IF(U1536&gt;U1535,IF(M1529=2,IF(Q1539=3,2,3),IF(M1529=1,IF(Q1539=3,3,4)))))))))))),"")</f>
        <v/>
      </c>
      <c r="AC1546" s="192"/>
      <c r="AD1546" s="192"/>
      <c r="AE1546" s="192"/>
      <c r="AF1546" s="192"/>
      <c r="AG1546" s="192"/>
      <c r="AH1546" s="192"/>
      <c r="AI1546" s="192"/>
      <c r="AJ1546" s="192"/>
      <c r="AK1546" s="192"/>
      <c r="AL1546" s="192"/>
      <c r="AM1546" s="192"/>
      <c r="AN1546" s="192"/>
      <c r="AO1546" s="192"/>
      <c r="AP1546" s="192"/>
      <c r="AQ1546" s="192"/>
      <c r="AR1546" s="192"/>
      <c r="AS1546" s="192"/>
      <c r="AT1546" s="192"/>
      <c r="AU1546" s="192"/>
      <c r="AV1546" s="192"/>
      <c r="AW1546" s="192"/>
      <c r="AX1546" s="192"/>
    </row>
    <row r="1547" spans="2:50" ht="15" customHeight="1" thickTop="1" x14ac:dyDescent="0.3">
      <c r="B1547" s="192"/>
      <c r="C1547" s="192"/>
      <c r="D1547" s="192"/>
      <c r="E1547" s="164" t="str">
        <f>IF(Q1547="","",IF(Q1547=3,1,0))</f>
        <v/>
      </c>
      <c r="F1547" s="164" t="str">
        <f>IF(Q1547="","",IF(Q1547&lt;3,1,0))</f>
        <v/>
      </c>
      <c r="G1547" s="192"/>
      <c r="H1547" s="192" t="str">
        <f>IF(I1530&lt;&gt;"",2,"")</f>
        <v/>
      </c>
      <c r="I1547" s="192" t="str">
        <f>IF(ISNUMBER(H1547),VLOOKUP(H1547,H1527:I1530,2,TRUE),"")</f>
        <v/>
      </c>
      <c r="J1547" s="192"/>
      <c r="K1547" s="192" t="str">
        <f>VLOOKUP(I1547,I1527:L1530,3,FALSE)</f>
        <v/>
      </c>
      <c r="L1547" s="253"/>
      <c r="M1547" s="254"/>
      <c r="N1547" s="254"/>
      <c r="O1547" s="152"/>
      <c r="P1547" s="153"/>
      <c r="Q1547" s="255" t="str">
        <f>IF(L1547="","",IF(AND(L1547-L1548&gt;1,L1547&gt;10),1,0)+IF(AND(M1547-M1548&gt;1,M1547&gt;10),1,0)+IF(AND(N1547-N1548&gt;1,N1547&gt;10),1,0)+IF(AND(O1547-O1548&gt;1,O1547&gt;10),1,0)+IF(AND(P1547-P1548&gt;1,P1547&gt;10),1,0))</f>
        <v/>
      </c>
      <c r="R1547" s="203" t="str">
        <f>IF(AND(I1547="",I1548=""),"",ABS(VLOOKUP(I1547,I1527:L1530,4,FALSE)-VLOOKUP(I1548,I1527:L1530,4,FALSE)))</f>
        <v/>
      </c>
      <c r="S1547" s="256" t="str">
        <f>IF(R1548="","",IF(Q1547=3,+R1548,-R1548))</f>
        <v/>
      </c>
      <c r="T1547" s="192"/>
      <c r="U1547" s="235"/>
      <c r="V1547" s="235"/>
      <c r="W1547" s="235"/>
      <c r="X1547" s="235"/>
      <c r="Y1547" s="235"/>
      <c r="Z1547" s="235"/>
      <c r="AA1547" s="243">
        <v>1</v>
      </c>
      <c r="AB1547" s="222" t="str">
        <f>IF(AND(COUNTBLANK(I1527:I1530)=0,Group_players=4,M1527=M1529,M1529=M1530),IF(V1534="","",IF(COUNTIF(V1534:V1537,V1534)=3,"Tied",IF(AND(COUNTIF(V1534:V1537,V1534)=1,V1536&lt;&gt;U1537),IF(M1527=2,IF(SMALL(V1534:V1537,1)=V1534,1,IF(SMALL(V1534:V1537,2)=V1534,2,IF(SMALL(V1534:V1537,3)=V1534,3))),IF(M1527=1,IF(SMALL(V1534:V1537,1)=V1534,2,IF(SMALL(V1534:V1537,2)=V1534,3,IF(SMALL(V1534:V1537,3)=V1534,4))),"")),IF(COUNTIF(V1534:V1537,V1534)=1,IF(V1534&lt;V1536,IF(M1527=2,1,2),IF(M1527=2,3,4)),IF(COUNTIF(V1534:V1537,V1534)=2,IF(V1534=V1536,IF(V1534&lt;V1537,IF(M1527=2,IF(Q1538=3,1,2),IF(M1527=1,IF(Q1538=3,2,3))),IF(V1534&gt;V1537,IF(M1527=2,IF(Q1538=3,2,3),IF(M1527=1,IF(Q1538=3,3,4))))),IF(V1534=V1537,IF(V1534&lt;V1536,IF(M1527=2,IF(Q1544=3,1,2),IF(M1527=1,IF(Q1544=3,2,3))),IF(V1534&gt;V1535,IF(M1527=2,IF(Q1544=3,2,3),IF(M1527=1,IF(Q1544=3,3,4)))))))))))),"")</f>
        <v/>
      </c>
      <c r="AC1547" s="192"/>
      <c r="AD1547" s="192"/>
      <c r="AE1547" s="192"/>
      <c r="AF1547" s="192"/>
      <c r="AG1547" s="192"/>
      <c r="AH1547" s="192"/>
      <c r="AI1547" s="192"/>
      <c r="AJ1547" s="192"/>
      <c r="AK1547" s="192"/>
      <c r="AL1547" s="192"/>
      <c r="AM1547" s="192"/>
      <c r="AN1547" s="192"/>
      <c r="AO1547" s="192"/>
      <c r="AP1547" s="192"/>
      <c r="AQ1547" s="192"/>
      <c r="AR1547" s="192"/>
      <c r="AS1547" s="192"/>
      <c r="AT1547" s="192"/>
      <c r="AU1547" s="192"/>
      <c r="AV1547" s="192"/>
      <c r="AW1547" s="192"/>
      <c r="AX1547" s="192"/>
    </row>
    <row r="1548" spans="2:50" ht="15" customHeight="1" thickBot="1" x14ac:dyDescent="0.35">
      <c r="B1548" s="192"/>
      <c r="C1548" s="192"/>
      <c r="D1548" s="192"/>
      <c r="E1548" s="164" t="str">
        <f>IF(Q1548="","",IF(Q1548=3,1,0))</f>
        <v/>
      </c>
      <c r="F1548" s="164" t="str">
        <f>IF(Q1548="","",IF(Q1548&lt;3,1,0))</f>
        <v/>
      </c>
      <c r="G1548" s="192"/>
      <c r="H1548" s="192" t="str">
        <f>IF(I1530&lt;&gt;"",3,"")</f>
        <v/>
      </c>
      <c r="I1548" s="192" t="str">
        <f>IF(ISNUMBER(H1548),VLOOKUP(H1548,H1527:I1530,2,TRUE),"")</f>
        <v/>
      </c>
      <c r="J1548" s="192"/>
      <c r="K1548" s="192" t="str">
        <f>VLOOKUP(I1548,I1527:L1530,3,FALSE)</f>
        <v/>
      </c>
      <c r="L1548" s="155"/>
      <c r="M1548" s="259"/>
      <c r="N1548" s="259"/>
      <c r="O1548" s="156"/>
      <c r="P1548" s="157"/>
      <c r="Q1548" s="260" t="str">
        <f>IF(L1548="","",IF(AND(L1548-L1547&gt;1,L1548&gt;10),1,0)+IF(AND(M1548-M1547&gt;1,M1548&gt;10),1,0)+IF(AND(N1548-N1547&gt;1,N1548&gt;10),1,0)+IF(AND(O1548-O1547&gt;1,O1548&gt;10),1,0)+IF(AND(P1548-P1547&gt;1,P1548&gt;10),1,0))</f>
        <v/>
      </c>
      <c r="R1548" s="203" t="str">
        <f>IF(AND(Q1547&lt;&gt;3,Q1548&lt;&gt;3),"",IF(Q1547=3,IF(VLOOKUP(I1547,I1527:L1530,4,FALSE)&gt;VLOOKUP(I1548,I1527:L1530,4,FALSE),VLOOKUP(R1547,Point_dif,2,FALSE),VLOOKUP(R1547,Point_dif,3,FALSE)),IF(Q1548=3,IF(VLOOKUP(I1548,I1527:L1530,4,FALSE)&gt;VLOOKUP(I1547,I1527:L1530,4,FALSE),VLOOKUP(R1547,Point_dif,2,FALSE),VLOOKUP(R1547,Point_dif,3,FALSE)))))</f>
        <v/>
      </c>
      <c r="S1548" s="256" t="str">
        <f>IF(R1548="","",IF(Q1548=3,+R1548,-R1548))</f>
        <v/>
      </c>
      <c r="T1548" s="192"/>
      <c r="U1548" s="159"/>
      <c r="V1548" s="266"/>
      <c r="W1548" s="266"/>
      <c r="X1548" s="266"/>
      <c r="Y1548" s="192"/>
      <c r="Z1548" s="203"/>
      <c r="AA1548" s="246">
        <v>3</v>
      </c>
      <c r="AB1548" s="222" t="str">
        <f>IF(AND(COUNTBLANK(I1527:I1530)=0,Group_players=4,M1527=M1529,M1529=M1530),IF(V1536="","",IF(COUNTIF(V1534:V1537,V1536)=3,"Tied",IF(AND(COUNTIF(V1534:V1537,V1536)=1,V1534&lt;&gt;V1537),IF(M1529=2,IF(SMALL(V1534:V1537,1)=V1536,1,IF(SMALL(V1534:V1537,2)=V1536,2,IF(SMALL(V1534:V1537,3)=V1536,3))),IF(M1529=1,IF(SMALL(V1534:V1537,1)=V1536,2,IF(SMALL(V1534:V1537,2)=V1536,3,IF(SMALL(V1534:V1537,3)=V1536,4))),"")),IF(COUNTIF(V1534:V1537,V1536)=1,IF(V1536&lt;V1534,IF(M1529=2,1,2),IF(M1529=2,3,4)),IF(COUNTIF(V1534:V1537,V1536)=2,IF(V1536=V1534,IF(V1536&lt;V1537,IF(M1529=2,IF(Q1539=3,1,2),IF(M1529=1,IF(Q1539=3,2,3))),IF(V1536&gt;V1537,IF(M1529=2,IF(Q1539=3,2,3),IF(M1529=1,IF(Q1539=3,3,4))))),IF(V1536=V1537,IF(V1536&lt;V1534,IF(M1529=2,IF(Q1553=3,1,2),IF(M1529=1,IF(Q1553=3,2,3))),IF(V1536&gt;V1534,IF(M1529=2,IF(Q1553=3,2,3),IF(M1529=1,IF(Q1553=3,3,4)))))))))))),"")</f>
        <v/>
      </c>
      <c r="AC1548" s="192"/>
      <c r="AD1548" s="192"/>
      <c r="AE1548" s="192"/>
      <c r="AF1548" s="192"/>
      <c r="AG1548" s="192"/>
      <c r="AH1548" s="192"/>
      <c r="AI1548" s="192"/>
      <c r="AJ1548" s="192"/>
      <c r="AK1548" s="192"/>
      <c r="AL1548" s="192"/>
      <c r="AM1548" s="192"/>
      <c r="AN1548" s="192"/>
      <c r="AO1548" s="192"/>
      <c r="AP1548" s="192"/>
      <c r="AQ1548" s="192"/>
      <c r="AR1548" s="192"/>
      <c r="AS1548" s="192"/>
      <c r="AT1548" s="192"/>
      <c r="AU1548" s="192"/>
      <c r="AV1548" s="192"/>
      <c r="AW1548" s="192"/>
      <c r="AX1548" s="192"/>
    </row>
    <row r="1549" spans="2:50" ht="15" customHeight="1" thickTop="1" thickBot="1" x14ac:dyDescent="0.35">
      <c r="B1549" s="192"/>
      <c r="C1549" s="192"/>
      <c r="D1549" s="192"/>
      <c r="E1549" s="164"/>
      <c r="F1549" s="164"/>
      <c r="G1549" s="192"/>
      <c r="H1549" s="192"/>
      <c r="I1549" s="249" t="s">
        <v>119</v>
      </c>
      <c r="J1549" s="249"/>
      <c r="K1549" s="249"/>
      <c r="L1549" s="250" t="s">
        <v>115</v>
      </c>
      <c r="M1549" s="250" t="s">
        <v>116</v>
      </c>
      <c r="N1549" s="250" t="s">
        <v>117</v>
      </c>
      <c r="O1549" s="250" t="s">
        <v>118</v>
      </c>
      <c r="P1549" s="250" t="s">
        <v>119</v>
      </c>
      <c r="Q1549" s="250" t="s">
        <v>120</v>
      </c>
      <c r="R1549" s="250"/>
      <c r="S1549" s="251"/>
      <c r="T1549" s="247"/>
      <c r="U1549" s="235"/>
      <c r="V1549" s="235"/>
      <c r="W1549" s="235"/>
      <c r="X1549" s="235"/>
      <c r="Y1549" s="235"/>
      <c r="Z1549" s="235"/>
      <c r="AA1549" s="240">
        <v>4</v>
      </c>
      <c r="AB1549" s="241" t="str">
        <f>IF(AND(COUNTBLANK(I1527:I1530)=0,Group_players=4,M1527=M1529,M1529=M1530),IF(V1537="","",IF(COUNTIF(V1534:V1537,V1537)=3,"Tied",IF(AND(COUNTIF(V1534:V1537,V1537)=1,V1536&lt;&gt;V1534),IF(M1530=2,IF(SMALL(V1534:V1537,1)=V1537,1,IF(SMALL(V1534:V1537,2)=V1537,2,IF(SMALL(V1534:V1537,3)=V1537,3))),IF(M1530=1,IF(SMALL(V1534:V1537,1)=V1537,2,IF(SMALL(V1534:V1537,2)=V1537,3,IF(SMALL(V1534:V1537,3)=V1537,4))),"")),IF(COUNTIF(V1534:V1537,V1537)=1,IF(V1537&lt;V1534,IF(M1530=2,1,2),IF(M1530=2,3,4)),IF(COUNTIF(V1534:V1537,V1537)=2,IF(V1537=V1534,IF(V1537&lt;V1536,IF(M1530=2,IF(Q1545=3,1,2),IF(M1530=1,IF(Q1545=3,2,3))),IF(V1537&gt;V1536,IF(M1530=2,IF(Q1545=3,2,3),IF(M1530=1,IF(Q1545=3,3,4))))),IF(V1537=V1536,IF(V1537&lt;V1534,IF(M1530=2,IF(Q1554=3,1,2),IF(M1530=1,IF(Q1554=3,2,3))),IF(V1537&gt;V1534,IF(M1530=2,IF(Q1554=3,2,3),IF(M1530=1,IF(Q1554=3,3,4)))))))))))),"")</f>
        <v/>
      </c>
      <c r="AC1549" s="192"/>
      <c r="AD1549" s="192"/>
      <c r="AE1549" s="192"/>
      <c r="AF1549" s="192"/>
      <c r="AG1549" s="192"/>
      <c r="AH1549" s="192"/>
      <c r="AI1549" s="192"/>
      <c r="AJ1549" s="192"/>
      <c r="AK1549" s="192"/>
      <c r="AL1549" s="192"/>
      <c r="AM1549" s="192"/>
      <c r="AN1549" s="192"/>
      <c r="AO1549" s="192"/>
      <c r="AP1549" s="192"/>
      <c r="AQ1549" s="192"/>
      <c r="AR1549" s="192"/>
      <c r="AS1549" s="192"/>
      <c r="AT1549" s="192"/>
      <c r="AU1549" s="192"/>
      <c r="AV1549" s="192"/>
      <c r="AW1549" s="192"/>
      <c r="AX1549" s="192"/>
    </row>
    <row r="1550" spans="2:50" ht="15" customHeight="1" thickTop="1" x14ac:dyDescent="0.3">
      <c r="B1550" s="192"/>
      <c r="C1550" s="192"/>
      <c r="D1550" s="192"/>
      <c r="E1550" s="164" t="str">
        <f>IF(Q1550="","",IF(Q1550=3,1,0))</f>
        <v/>
      </c>
      <c r="F1550" s="164" t="str">
        <f>IF(Q1550="","",IF(Q1550&lt;3,1,0))</f>
        <v/>
      </c>
      <c r="G1550" s="192"/>
      <c r="H1550" s="192" t="str">
        <f>IF(I1530&lt;&gt;"",1,"")</f>
        <v/>
      </c>
      <c r="I1550" s="192" t="str">
        <f>IF(ISNUMBER(H1550),VLOOKUP(H1550,H1527:I1530,2,TRUE),"")</f>
        <v/>
      </c>
      <c r="J1550" s="192"/>
      <c r="K1550" s="192" t="str">
        <f>VLOOKUP(I1550,I1527:L1530,3,FALSE)</f>
        <v/>
      </c>
      <c r="L1550" s="253"/>
      <c r="M1550" s="254"/>
      <c r="N1550" s="254"/>
      <c r="O1550" s="152"/>
      <c r="P1550" s="153"/>
      <c r="Q1550" s="255" t="str">
        <f>IF(L1550="","",IF(AND(L1550-L1551&gt;1,L1550&gt;10),1,0)+IF(AND(M1550-M1551&gt;1,M1550&gt;10),1,0)+IF(AND(N1550-N1551&gt;1,N1550&gt;10),1,0)+IF(AND(O1550-O1551&gt;1,O1550&gt;10),1,0)+IF(AND(P1550-P1551&gt;1,P1550&gt;10),1,0))</f>
        <v/>
      </c>
      <c r="R1550" s="203" t="str">
        <f>IF(AND(I1550="",I1551=""),"",ABS(VLOOKUP(I1550,I1527:L1530,4,FALSE)-VLOOKUP(I1551,I1527:L1530,4,FALSE)))</f>
        <v/>
      </c>
      <c r="S1550" s="256" t="str">
        <f>IF(R1551="","",IF(Q1550=3,+R1551,-R1551))</f>
        <v/>
      </c>
      <c r="T1550" s="247"/>
      <c r="U1550" s="235"/>
      <c r="V1550" s="235"/>
      <c r="W1550" s="235"/>
      <c r="X1550" s="235"/>
      <c r="Y1550" s="235"/>
      <c r="Z1550" s="235"/>
      <c r="AA1550" s="243">
        <v>1</v>
      </c>
      <c r="AB1550" s="222" t="str">
        <f>IF(AND(COUNTBLANK(I1527:I1530)=0,Group_players=4,M1527=M1528,M1528=M1530),IF(W1534="","",IF(COUNTIF(W1534:W1537,W1534)=3,"Tied",IF(AND(COUNTIF(W1534:W1537,W1534)=1,W1535&lt;&gt;W1536),IF(M1527=2,IF(SMALL(W1534:W1537,1)=W1534,1,IF(SMALL(W1534:W1537,2)=W1534,2,IF(SMALL(W1534:W1537,3)=W1534,3))),IF(M1527=1,IF(SMALL(W1534:W1537,1)=W1534,2,IF(SMALL(W1534:W1537,2)=W1534,3,IF(SMALL(W1534:W1537,3)=W1534,4))),"")),IF(COUNTIF(W1534:W1537,W1534)=1,IF(W1534&lt;W1535,IF(M1527=2,1,2),IF(M1527=2,3,4)),IF(COUNTIF(W1534:W1537,W1534)=2,IF(W1534=W1535,IF(W1534&lt;W1537,IF(M1527=2,IF(Q1550=3,1,2),IF(M1527=1,IF(Q1550=3,2,3))),IF(W1534&gt;W1537,IF(M1527=2,IF(Q1550=3,2,3),IF(M1527=1,IF(Q1550=3,3,4))))),IF(W1534=W1537,IF(W1534&lt;W1535,IF(M1527=2,IF(Q1544=3,1,2),IF(M1527=1,IF(Q1544=3,2,3))),IF(W1534&gt;W1535,IF(M1527=2,IF(Q1544=3,2,3),IF(M1527=1,IF(Q1544=3,3,4)))))))))))),"")</f>
        <v/>
      </c>
      <c r="AC1550" s="192"/>
      <c r="AD1550" s="192"/>
      <c r="AE1550" s="192"/>
      <c r="AF1550" s="192"/>
      <c r="AG1550" s="192"/>
      <c r="AH1550" s="192"/>
      <c r="AI1550" s="192"/>
      <c r="AJ1550" s="192"/>
      <c r="AK1550" s="192"/>
      <c r="AL1550" s="192"/>
      <c r="AM1550" s="192"/>
      <c r="AN1550" s="192"/>
      <c r="AO1550" s="192"/>
      <c r="AP1550" s="192"/>
      <c r="AQ1550" s="192"/>
      <c r="AR1550" s="192"/>
      <c r="AS1550" s="192"/>
      <c r="AT1550" s="192"/>
      <c r="AU1550" s="192"/>
      <c r="AV1550" s="192"/>
      <c r="AW1550" s="192"/>
      <c r="AX1550" s="192"/>
    </row>
    <row r="1551" spans="2:50" ht="15" customHeight="1" thickBot="1" x14ac:dyDescent="0.35">
      <c r="B1551" s="192"/>
      <c r="C1551" s="192"/>
      <c r="D1551" s="192"/>
      <c r="E1551" s="164" t="str">
        <f>IF(Q1551="","",IF(Q1551=3,1,0))</f>
        <v/>
      </c>
      <c r="F1551" s="164" t="str">
        <f>IF(Q1551="","",IF(Q1551&lt;3,1,0))</f>
        <v/>
      </c>
      <c r="G1551" s="192"/>
      <c r="H1551" s="192" t="str">
        <f>IF(I1530&lt;&gt;"",2,"")</f>
        <v/>
      </c>
      <c r="I1551" s="192" t="str">
        <f>IF(ISNUMBER(H1551),VLOOKUP(H1551,H1527:I1530,2,TRUE),"")</f>
        <v/>
      </c>
      <c r="J1551" s="192"/>
      <c r="K1551" s="192" t="str">
        <f>VLOOKUP(I1551,I1527:L1530,3,FALSE)</f>
        <v/>
      </c>
      <c r="L1551" s="155"/>
      <c r="M1551" s="259"/>
      <c r="N1551" s="259"/>
      <c r="O1551" s="156"/>
      <c r="P1551" s="157"/>
      <c r="Q1551" s="260" t="str">
        <f>IF(L1551="","",IF(AND(L1551-L1550&gt;1,L1551&gt;10),1,0)+IF(AND(M1551-M1550&gt;1,M1551&gt;10),1,0)+IF(AND(N1551-N1550&gt;1,N1551&gt;10),1,0)+IF(AND(O1551-O1550&gt;1,O1551&gt;10),1,0)+IF(AND(P1551-P1550&gt;1,P1551&gt;10),1,0))</f>
        <v/>
      </c>
      <c r="R1551" s="203" t="str">
        <f>IF(AND(Q1550&lt;&gt;3,Q1551&lt;&gt;3),"",IF(Q1550=3,IF(VLOOKUP(I1550,I1527:L1530,4,FALSE)&gt;VLOOKUP(I1551,I1527:L1530,4,FALSE),VLOOKUP(R1550,Point_dif,2,FALSE),VLOOKUP(R1550,Point_dif,3,FALSE)),IF(Q1551=3,IF(VLOOKUP(I1551,I1527:L1530,4,FALSE)&gt;VLOOKUP(I1551,I1527:L1530,4,FALSE),VLOOKUP(R1550,Point_dif,2,FALSE),VLOOKUP(R1550,Point_dif,3,FALSE)))))</f>
        <v/>
      </c>
      <c r="S1551" s="256" t="str">
        <f>IF(R1551="","",IF(Q1551=3,+R1551,-R1551))</f>
        <v/>
      </c>
      <c r="T1551" s="247"/>
      <c r="U1551" s="235"/>
      <c r="V1551" s="235"/>
      <c r="W1551" s="235"/>
      <c r="X1551" s="235"/>
      <c r="Y1551" s="235"/>
      <c r="Z1551" s="235"/>
      <c r="AA1551" s="246">
        <v>2</v>
      </c>
      <c r="AB1551" s="222" t="str">
        <f>IF(AND(COUNTBLANK(I1527:I1530)=0,Group_players=4,M1527=M1528,M1528=M1530),IF(W1535="","",IF(COUNTIF(W1534:W1537,W1535)=3,"Tied",IF(AND(COUNTIF(W1534:W1537,W1535)=1,W1534&lt;&gt;W1536),IF(M1528=2,IF(SMALL(W1534:W1537,1)=W1535,1,IF(SMALL(W1534:W1537,2)=W1535,2,IF(SMALL(W1534:W1537,3)=W1535,3))),IF(M1528=1,IF(SMALL(W1534:W1537,1)=W1535,2,IF(SMALL(W1534:W1537,2)=W1535,3,IF(SMALL(W1534:W1537,3)=W1535,4))),"")),IF(COUNTIF(W1534:W1537,W1535)=1,IF(W1535&lt;W1534,IF(M1528=2,1,2),IF(M1528=2,3,4)),IF(COUNTIF(W1534:W1537,W1535)=2,IF(W1535=W1534,IF(W1535&lt;W1537,IF(M1528=2,IF(Q1551=3,1,2),IF(M1528=1,IF(Q1551=3,2,3))),IF(W1535&gt;W1537,IF(M1528=2,IF(Q1551=3,2,3),IF(M1528=1,IF(Q1551=3,3,4))))),IF(W1535=W1537,IF(W1535&lt;W1534,IF(M1528=2,IF(Q1541=3,1,2),IF(M1528=1,IF(Q1541=3,2,3))),IF(W1535&gt;W1534,IF(M1528=2,IF(Q1541=3,2,3),IF(M1528=1,IF(Q1541=3,3,4)))))))))))),"")</f>
        <v/>
      </c>
      <c r="AC1551" s="192"/>
      <c r="AD1551" s="192"/>
      <c r="AE1551" s="192"/>
      <c r="AF1551" s="192"/>
      <c r="AG1551" s="192"/>
      <c r="AH1551" s="192"/>
      <c r="AI1551" s="192"/>
      <c r="AJ1551" s="192"/>
      <c r="AK1551" s="192"/>
      <c r="AL1551" s="192"/>
      <c r="AM1551" s="192"/>
      <c r="AN1551" s="192"/>
      <c r="AO1551" s="192"/>
      <c r="AP1551" s="192"/>
      <c r="AQ1551" s="192"/>
      <c r="AR1551" s="192"/>
      <c r="AS1551" s="192"/>
      <c r="AT1551" s="192"/>
      <c r="AU1551" s="192"/>
      <c r="AV1551" s="192"/>
      <c r="AW1551" s="192"/>
      <c r="AX1551" s="192"/>
    </row>
    <row r="1552" spans="2:50" ht="15" customHeight="1" thickTop="1" thickBot="1" x14ac:dyDescent="0.35">
      <c r="B1552" s="192"/>
      <c r="C1552" s="192"/>
      <c r="D1552" s="192"/>
      <c r="E1552" s="164"/>
      <c r="F1552" s="164"/>
      <c r="G1552" s="192"/>
      <c r="H1552" s="192"/>
      <c r="I1552" s="249" t="s">
        <v>121</v>
      </c>
      <c r="J1552" s="249"/>
      <c r="K1552" s="249"/>
      <c r="L1552" s="250" t="s">
        <v>115</v>
      </c>
      <c r="M1552" s="250" t="s">
        <v>116</v>
      </c>
      <c r="N1552" s="250" t="s">
        <v>117</v>
      </c>
      <c r="O1552" s="250" t="s">
        <v>118</v>
      </c>
      <c r="P1552" s="250" t="s">
        <v>119</v>
      </c>
      <c r="Q1552" s="250" t="s">
        <v>120</v>
      </c>
      <c r="R1552" s="250"/>
      <c r="S1552" s="251"/>
      <c r="T1552" s="247"/>
      <c r="U1552" s="235"/>
      <c r="V1552" s="235"/>
      <c r="W1552" s="235"/>
      <c r="X1552" s="235"/>
      <c r="Y1552" s="235"/>
      <c r="Z1552" s="235"/>
      <c r="AA1552" s="240">
        <v>4</v>
      </c>
      <c r="AB1552" s="241" t="str">
        <f>IF(AND(COUNTBLANK(I1527:I1530)=0,Group_players=4,M1527=M1528,M1528=M1530),IF(W1537="","",IF(COUNTIF(W1534:W1537,W1537)=3,"Tied",IF(AND(COUNTIF(W1534:W1537,W1537)=1,W1534&lt;&gt;W1535),IF(M1530=2,IF(SMALL(W1534:W1537,1)=W1537,1,IF(SMALL(W1534:W1537,2)=W1537,2,IF(SMALL(W1534:W1537,3)=W1537,3))),IF(M1530=1,IF(SMALL(W1534:W1537,1)=W1537,2,IF(SMALL(W1534:W1537,2)=W1537,3,IF(SMALL(W1534:W1537,3)=W1537,4))),"")),IF(COUNTIF(W1534:W1537,W1537)=1,IF(W1537&lt;W1534,IF(M1530=2,1,2),IF(M1530=2,3,4)),IF(COUNTIF(W1534:W1537,W1537)=2,IF(W1537=W1534,IF(W1537&lt;W1535,IF(M1530=2,IF(Q1545=3,1,2),IF(M1530=1,IF(Q1545=3,2,3))),IF(W1537&gt;W1536,IF(M1530=2,IF(Q1545=3,2,3),IF(M1530=1,IF(Q1545=3,3,4))))),IF(W1537=W1535,IF(W1537&lt;W1534,IF(M1530=2,IF(Q1542=3,1,2),IF(M1530=1,IF(Q1542=3,2,3))),IF(W1537&gt;W1534,IF(M1530=2,IF(Q1542=3,2,3),IF(M1530=1,IF(Q1542=3,3,4)))))))))))),"")</f>
        <v/>
      </c>
      <c r="AC1552" s="192"/>
      <c r="AD1552" s="192"/>
      <c r="AE1552" s="192"/>
      <c r="AF1552" s="192"/>
      <c r="AG1552" s="192"/>
      <c r="AH1552" s="192"/>
      <c r="AI1552" s="192"/>
      <c r="AJ1552" s="192"/>
      <c r="AK1552" s="192"/>
      <c r="AL1552" s="192"/>
      <c r="AM1552" s="192"/>
      <c r="AN1552" s="192"/>
      <c r="AO1552" s="192"/>
      <c r="AP1552" s="192"/>
      <c r="AQ1552" s="192"/>
      <c r="AR1552" s="192"/>
      <c r="AS1552" s="192"/>
      <c r="AT1552" s="192"/>
      <c r="AU1552" s="192"/>
      <c r="AV1552" s="192"/>
      <c r="AW1552" s="192"/>
      <c r="AX1552" s="192"/>
    </row>
    <row r="1553" spans="2:50" ht="15" customHeight="1" thickTop="1" x14ac:dyDescent="0.3">
      <c r="B1553" s="192"/>
      <c r="C1553" s="192"/>
      <c r="D1553" s="192"/>
      <c r="E1553" s="164" t="str">
        <f>IF(Q1553="","",IF(Q1553=3,1,0))</f>
        <v/>
      </c>
      <c r="F1553" s="164" t="str">
        <f>IF(Q1553="","",IF(Q1553&lt;3,1,0))</f>
        <v/>
      </c>
      <c r="G1553" s="192"/>
      <c r="H1553" s="192" t="str">
        <f>IF(I1530&lt;&gt;"",3,"")</f>
        <v/>
      </c>
      <c r="I1553" s="192" t="str">
        <f>IF(ISNUMBER(H1553),VLOOKUP(H1553,H1527:I1530,2,TRUE),"")</f>
        <v/>
      </c>
      <c r="J1553" s="192"/>
      <c r="K1553" s="192" t="str">
        <f>VLOOKUP(I1553,I1527:L1530,3,FALSE)</f>
        <v/>
      </c>
      <c r="L1553" s="253"/>
      <c r="M1553" s="254"/>
      <c r="N1553" s="254"/>
      <c r="O1553" s="152"/>
      <c r="P1553" s="153"/>
      <c r="Q1553" s="255" t="str">
        <f>IF(L1553="","",IF(AND(L1553-L1554&gt;1,L1553&gt;10),1,0)+IF(AND(M1553-M1554&gt;1,M1553&gt;10),1,0)+IF(AND(N1553-N1554&gt;1,N1553&gt;10),1,0)+IF(AND(O1553-O1554&gt;1,O1553&gt;10),1,0)+IF(AND(P1553-P1554&gt;1,P1553&gt;10),1,0))</f>
        <v/>
      </c>
      <c r="R1553" s="203" t="str">
        <f>IF(AND(I1553="",I1554=""),"",ABS(VLOOKUP(I1553,I1527:L1530,4,FALSE)-VLOOKUP(I1554,I1527:L1530,4,FALSE)))</f>
        <v/>
      </c>
      <c r="S1553" s="256" t="str">
        <f>IF(R1554="","",IF(Q1553=3,+R1554,-R1554))</f>
        <v/>
      </c>
      <c r="T1553" s="247"/>
      <c r="U1553" s="264"/>
      <c r="V1553" s="242"/>
      <c r="W1553" s="192"/>
      <c r="X1553" s="264"/>
      <c r="Y1553" s="192"/>
      <c r="Z1553" s="192"/>
      <c r="AA1553" s="243">
        <v>2</v>
      </c>
      <c r="AB1553" s="222" t="str">
        <f>IF(AND(COUNTBLANK(I1527:I1530)=0,Group_players=4,M1528=M1529,M1529=M1530),IF(X1535="","",IF(COUNTIF(X1534:X1537,X1535)=3,"Tied",IF(AND(COUNTIF(X1534:X1537,X1535)=1,X1536&lt;&gt;X1537),IF(M1528=2,IF(SMALL(X1534:X1537,1)=X1535,1,IF(SMALL(X1534:X1537,2)=X1535,2,IF(SMALL(X1534:X1537,3)=X1535,3))),IF(M1528=1,IF(SMALL(X1534:X1537,1)=X1535,2,IF(SMALL(X1534:X1537,2)=X1535,3,IF(SMALL(X1534:X1537,3)=X1535,4))),"")),IF(COUNTIF(X1534:X1537,X1535)=1,IF(X1535&lt;X1537,IF(M1528=2,1,2),IF(M1528=1,4)),IF(COUNTIF(X1534:X1537,X1535)=2,IF(X1535=X1536,IF(X1535&lt;X1537,IF(M1528=2,IF(Q1547=3,1,2),IF(M1528=1,IF(Q1547=3,2,3))),IF(X1535&gt;X1537,IF(M1528=2,IF(Q1547=3,2,3),IF(M1528=1,IF(Q1547=3,3,4))))),IF(X1535=X1537,IF(X1535&lt;X1536,IF(M1528=2,IF(Q1541=3,1,2),IF(M1528=1,IF(Q1541=3,2,3))),IF(X1535&gt;X1536,IF(M1528=2,IF(Q1541=3,2,3),IF(M1528=1,IF(Q1541=3,3,4)))))))))))),"")</f>
        <v/>
      </c>
      <c r="AC1553" s="192"/>
      <c r="AD1553" s="192"/>
      <c r="AE1553" s="192"/>
      <c r="AF1553" s="192"/>
      <c r="AG1553" s="192"/>
      <c r="AH1553" s="192"/>
      <c r="AI1553" s="192"/>
      <c r="AJ1553" s="192"/>
      <c r="AK1553" s="192"/>
      <c r="AL1553" s="192"/>
      <c r="AM1553" s="192"/>
      <c r="AN1553" s="192"/>
      <c r="AO1553" s="192"/>
      <c r="AP1553" s="192"/>
      <c r="AQ1553" s="192"/>
      <c r="AR1553" s="192"/>
      <c r="AS1553" s="192"/>
      <c r="AT1553" s="192"/>
      <c r="AU1553" s="192"/>
      <c r="AV1553" s="192"/>
      <c r="AW1553" s="192"/>
      <c r="AX1553" s="192"/>
    </row>
    <row r="1554" spans="2:50" ht="15" customHeight="1" thickBot="1" x14ac:dyDescent="0.35">
      <c r="B1554" s="192"/>
      <c r="C1554" s="192"/>
      <c r="D1554" s="192"/>
      <c r="E1554" s="164" t="str">
        <f>IF(Q1554="","",IF(Q1554=3,1,0))</f>
        <v/>
      </c>
      <c r="F1554" s="164" t="str">
        <f>IF(Q1554="","",IF(Q1554&lt;3,1,0))</f>
        <v/>
      </c>
      <c r="G1554" s="192"/>
      <c r="H1554" s="192" t="str">
        <f>IF(I1530&lt;&gt;"",4,"")</f>
        <v/>
      </c>
      <c r="I1554" s="192" t="str">
        <f>IF(ISNUMBER(H1554),VLOOKUP(H1554,H1527:I1530,2,TRUE),"")</f>
        <v/>
      </c>
      <c r="J1554" s="192"/>
      <c r="K1554" s="192" t="str">
        <f>VLOOKUP(I1554,I1527:L1530,3,FALSE)</f>
        <v/>
      </c>
      <c r="L1554" s="155"/>
      <c r="M1554" s="259"/>
      <c r="N1554" s="259"/>
      <c r="O1554" s="156"/>
      <c r="P1554" s="157"/>
      <c r="Q1554" s="260" t="str">
        <f>IF(L1554="","",IF(AND(L1554-L1553&gt;1,L1554&gt;10),1,0)+IF(AND(M1554-M1553&gt;1,M1554&gt;10),1,0)+IF(AND(N1554-N1553&gt;1,N1554&gt;10),1,0)+IF(AND(O1554-O1553&gt;1,O1554&gt;10),1,0)+IF(AND(P1554-P1553&gt;1,P1554&gt;10),1,0))</f>
        <v/>
      </c>
      <c r="R1554" s="203" t="str">
        <f>IF(AND(Q1553&lt;&gt;3,Q1554&lt;&gt;3),"",IF(Q1553=3,IF(VLOOKUP(I1553,I1527:L1530,4,FALSE)&gt;VLOOKUP(I1554,I1527:L1530,4,FALSE),VLOOKUP(R1553,Point_dif,2,FALSE),VLOOKUP(R1553,Point_dif,3,FALSE)),IF(Q1554=3,IF(VLOOKUP(I1554,I1527:L1530,4,FALSE)&gt;VLOOKUP(I1553,I1527:L1530,4,FALSE),VLOOKUP(R1553,Point_dif,2,FALSE),VLOOKUP(R1553,Point_dif,3,FALSE)))))</f>
        <v/>
      </c>
      <c r="S1554" s="260" t="str">
        <f>IF(R1554="","",IF(Q1554=3,+R1554,-R1554))</f>
        <v/>
      </c>
      <c r="T1554" s="247"/>
      <c r="U1554" s="235"/>
      <c r="V1554" s="235"/>
      <c r="W1554" s="235"/>
      <c r="X1554" s="235"/>
      <c r="Y1554" s="235"/>
      <c r="Z1554" s="235"/>
      <c r="AA1554" s="246">
        <v>3</v>
      </c>
      <c r="AB1554" s="222" t="str">
        <f>IF(AND(COUNTBLANK(I1527:I1530)=0,Group_players=4,Group_players=4,M1528=M1529,M1529=M1530),IF(X1536="","",IF(COUNTIF(X1534:X1537,X1536)=3,"Tied",IF(AND(COUNTIF(X1534:X1537,X1536)=1,X1535&lt;&gt;X1537),IF(M1529=2,IF(SMALL(X1534:X1537,1)=X1536,1,IF(SMALL(X1534:X1537,2)=X1536,2,IF(SMALL(X1534:X1537,3)=X1536,3))),IF(M1529=1,IF(SMALL(X1534:X1537,1)=X1536,2,IF(SMALL(X1534:X1537,2)=X1536,3,IF(SMALL(X1534:X1537,3)=X1536,4))),"")),IF(COUNTIF(X1534:X1537,X1536)=1,IF(X1536&lt;X1535,IF(M1529=2,1,2),IF(M1529=2,3,4)),IF(COUNTIF(X1534:X1537,X1536)=2,IF(X1536=X1535,IF(X1536&lt;X1537,IF(M1529=2,IF(Q1548=3,1,2),IF(M1529=1,IF(Q1548=3,2,3))),IF(X1536&gt;X1537,IF(M1529=2,IF(Q1548=3,2,3),IF(M1529=1,IF(Q1548=3,3,4))))),IF(X1536=X1537,IF(X1536&lt;X1535,IF(M1529=2,IF(Q1553=3,1,2),IF(M1529=1,IF(Q1553=3,2,3))),IF(X1536&gt;X1535,IF(M1529=2,IF(Q1553=3,2,3),IF(M1529=1,IF(Q1553=3,3,4)))))))))))),"")</f>
        <v/>
      </c>
      <c r="AC1554" s="192"/>
      <c r="AD1554" s="192"/>
      <c r="AE1554" s="192"/>
      <c r="AF1554" s="192"/>
      <c r="AG1554" s="192"/>
      <c r="AH1554" s="192"/>
      <c r="AI1554" s="192"/>
      <c r="AJ1554" s="192"/>
      <c r="AK1554" s="192"/>
      <c r="AL1554" s="192"/>
      <c r="AM1554" s="192"/>
      <c r="AN1554" s="192"/>
      <c r="AO1554" s="192"/>
      <c r="AP1554" s="192"/>
      <c r="AQ1554" s="192"/>
      <c r="AR1554" s="192"/>
      <c r="AS1554" s="192"/>
      <c r="AT1554" s="192"/>
      <c r="AU1554" s="192"/>
      <c r="AV1554" s="192"/>
      <c r="AW1554" s="192"/>
      <c r="AX1554" s="192"/>
    </row>
    <row r="1555" spans="2:50" ht="15" customHeight="1" thickTop="1" thickBot="1" x14ac:dyDescent="0.35">
      <c r="B1555" s="192"/>
      <c r="C1555" s="192"/>
      <c r="D1555" s="192"/>
      <c r="E1555" s="192"/>
      <c r="F1555" s="192"/>
      <c r="G1555" s="192"/>
      <c r="H1555" s="192"/>
      <c r="I1555" s="192"/>
      <c r="J1555" s="192"/>
      <c r="K1555" s="192"/>
      <c r="L1555" s="192"/>
      <c r="M1555" s="192"/>
      <c r="N1555" s="192"/>
      <c r="O1555" s="192"/>
      <c r="P1555" s="192"/>
      <c r="Q1555" s="192"/>
      <c r="R1555" s="192"/>
      <c r="S1555" s="192"/>
      <c r="T1555" s="247"/>
      <c r="U1555" s="235"/>
      <c r="V1555" s="235"/>
      <c r="W1555" s="235"/>
      <c r="X1555" s="235"/>
      <c r="Y1555" s="235"/>
      <c r="Z1555" s="235"/>
      <c r="AA1555" s="261">
        <v>4</v>
      </c>
      <c r="AB1555" s="233" t="str">
        <f>IF(AND(COUNTBLANK(I1527:I1530)=0,Group_players=4,M1528=M1529,M1529=M1530),IF(X1537="","",IF(COUNTIF(X1534:X1537,X1537)=3,"Tied",IF(AND(COUNTIF(X1534:X1537,X1537)=1,X1536&lt;&gt;X1535),IF(M1530=2,IF(SMALL(X1534:X1537,1)=X1537,1,IF(SMALL(X1534:X1537,2)=X1537,2,IF(SMALL(X1534:X1537,3)=X1537,3))),IF(M1530=1,IF(SMALL(X1534:X1537,1)=X1537,2,IF(SMALL(X1534:X1537,2)=X1537,3,IF(SMALL(X1534:X1537,3)=X1537,4))),"")),IF(COUNTIF(X1534:X1537,X1537)=1,IF(X1537&lt;X1535,IF(M1530=2,1,2),IF(M1530=2,3,4)),IF(COUNTIF(X1534:X1537,X1537)=2,IF(X1537=X1535,IF(X1537&lt;X1536,IF(M1530=2,IF(Q1542=3,1,2),IF(M1530=1,IF(Q1542=3,2,3))),IF(X1537&gt;X1536,IF(M1530=2,IF(Q1542=3,2,3),IF(M1530=1,IF(Q1542=3,3,4))))),IF(X1537=X1536,IF(X1537&lt;X1535,IF(M1530=2,IF(Q1554=3,1,2),IF(M1530=1,IF(Q1554=3,2,3))),IF(X1537&gt;X1535,IF(M1530=2,IF(Q1554=3,2,3),IF(M1530=1,IF(Q1554=3,3,4)))))))))))),"")</f>
        <v/>
      </c>
      <c r="AC1555" s="192"/>
      <c r="AD1555" s="192"/>
      <c r="AE1555" s="192"/>
      <c r="AF1555" s="192"/>
      <c r="AG1555" s="192"/>
      <c r="AH1555" s="192"/>
      <c r="AI1555" s="192"/>
      <c r="AJ1555" s="192"/>
      <c r="AK1555" s="192"/>
      <c r="AL1555" s="192"/>
      <c r="AM1555" s="192"/>
      <c r="AN1555" s="192"/>
      <c r="AO1555" s="192"/>
      <c r="AP1555" s="192"/>
      <c r="AQ1555" s="192"/>
      <c r="AR1555" s="192"/>
      <c r="AS1555" s="192"/>
      <c r="AT1555" s="192"/>
      <c r="AU1555" s="192"/>
      <c r="AV1555" s="192"/>
      <c r="AW1555" s="192"/>
      <c r="AX1555" s="192"/>
    </row>
    <row r="1556" spans="2:50" ht="15" customHeight="1" thickTop="1" x14ac:dyDescent="0.3">
      <c r="B1556" s="192"/>
      <c r="C1556" s="192"/>
      <c r="D1556" s="192"/>
      <c r="E1556" s="192"/>
      <c r="F1556" s="192"/>
      <c r="G1556" s="192"/>
      <c r="H1556" s="192"/>
      <c r="I1556" s="192"/>
      <c r="J1556" s="192"/>
      <c r="K1556" s="192"/>
      <c r="L1556" s="192"/>
      <c r="M1556" s="192"/>
      <c r="N1556" s="192"/>
      <c r="O1556" s="192"/>
      <c r="P1556" s="192"/>
      <c r="Q1556" s="192"/>
      <c r="R1556" s="192"/>
      <c r="S1556" s="192"/>
      <c r="T1556" s="203"/>
      <c r="U1556" s="192"/>
      <c r="V1556" s="192"/>
      <c r="W1556" s="192"/>
      <c r="X1556" s="192"/>
      <c r="Y1556" s="192"/>
      <c r="Z1556" s="192"/>
      <c r="AA1556" s="192"/>
      <c r="AB1556" s="192"/>
      <c r="AC1556" s="192"/>
      <c r="AD1556" s="192"/>
      <c r="AE1556" s="192"/>
      <c r="AF1556" s="192"/>
      <c r="AG1556" s="192"/>
      <c r="AH1556" s="192"/>
      <c r="AI1556" s="192"/>
      <c r="AJ1556" s="192"/>
      <c r="AK1556" s="192"/>
      <c r="AL1556" s="192"/>
      <c r="AM1556" s="192"/>
      <c r="AN1556" s="192"/>
      <c r="AO1556" s="192"/>
      <c r="AP1556" s="192"/>
      <c r="AQ1556" s="192"/>
      <c r="AR1556" s="192"/>
      <c r="AS1556" s="192"/>
      <c r="AT1556" s="192"/>
      <c r="AU1556" s="192"/>
      <c r="AV1556" s="192"/>
      <c r="AW1556" s="192"/>
      <c r="AX1556" s="192"/>
    </row>
    <row r="1557" spans="2:50" ht="15" customHeight="1" x14ac:dyDescent="0.3">
      <c r="B1557" s="192"/>
      <c r="C1557" s="192"/>
      <c r="D1557" s="192"/>
      <c r="E1557" s="192"/>
      <c r="F1557" s="192"/>
      <c r="G1557" s="192"/>
      <c r="H1557" s="192"/>
      <c r="I1557" s="192"/>
      <c r="J1557" s="192"/>
      <c r="K1557" s="192"/>
      <c r="L1557" s="192"/>
      <c r="M1557" s="192"/>
      <c r="N1557" s="192"/>
      <c r="O1557" s="192"/>
      <c r="P1557" s="192"/>
      <c r="Q1557" s="192"/>
      <c r="R1557" s="192"/>
      <c r="S1557" s="192"/>
      <c r="T1557" s="192"/>
      <c r="U1557" s="192"/>
      <c r="V1557" s="192"/>
      <c r="W1557" s="192"/>
      <c r="X1557" s="192"/>
      <c r="Y1557" s="192"/>
      <c r="Z1557" s="192"/>
      <c r="AA1557" s="192"/>
      <c r="AB1557" s="192"/>
      <c r="AC1557" s="192"/>
      <c r="AD1557" s="192"/>
      <c r="AE1557" s="192"/>
      <c r="AF1557" s="192"/>
      <c r="AG1557" s="192"/>
      <c r="AH1557" s="192"/>
      <c r="AI1557" s="192"/>
      <c r="AJ1557" s="192"/>
      <c r="AK1557" s="192"/>
      <c r="AL1557" s="192"/>
      <c r="AM1557" s="192"/>
      <c r="AN1557" s="192"/>
      <c r="AO1557" s="192"/>
      <c r="AP1557" s="192"/>
      <c r="AQ1557" s="192"/>
      <c r="AR1557" s="192"/>
      <c r="AS1557" s="192"/>
      <c r="AT1557" s="192"/>
      <c r="AU1557" s="192"/>
      <c r="AV1557" s="192"/>
      <c r="AW1557" s="192"/>
      <c r="AX1557" s="192"/>
    </row>
    <row r="1558" spans="2:50" ht="15" customHeight="1" x14ac:dyDescent="0.3">
      <c r="B1558" s="192"/>
      <c r="C1558" s="192"/>
      <c r="D1558" s="192"/>
      <c r="E1558" s="192"/>
      <c r="F1558" s="192"/>
      <c r="G1558" s="192"/>
      <c r="H1558" s="192"/>
      <c r="I1558" s="192"/>
      <c r="J1558" s="192"/>
      <c r="K1558" s="192"/>
      <c r="L1558" s="192"/>
      <c r="M1558" s="192"/>
      <c r="N1558" s="192"/>
      <c r="O1558" s="192"/>
      <c r="P1558" s="192"/>
      <c r="Q1558" s="192"/>
      <c r="R1558" s="192"/>
      <c r="S1558" s="192"/>
      <c r="T1558" s="192"/>
      <c r="U1558" s="192"/>
      <c r="V1558" s="192"/>
      <c r="W1558" s="192"/>
      <c r="X1558" s="192"/>
      <c r="Y1558" s="192"/>
      <c r="Z1558" s="269"/>
      <c r="AA1558" s="192"/>
      <c r="AB1558" s="192"/>
      <c r="AC1558" s="192"/>
      <c r="AD1558" s="192"/>
      <c r="AE1558" s="192"/>
      <c r="AF1558" s="192"/>
      <c r="AG1558" s="192"/>
      <c r="AH1558" s="192"/>
      <c r="AI1558" s="192"/>
      <c r="AJ1558" s="192"/>
      <c r="AK1558" s="192"/>
      <c r="AL1558" s="192"/>
      <c r="AM1558" s="192"/>
      <c r="AN1558" s="192"/>
      <c r="AO1558" s="192"/>
      <c r="AP1558" s="192"/>
      <c r="AQ1558" s="192"/>
      <c r="AR1558" s="192"/>
      <c r="AS1558" s="192"/>
      <c r="AT1558" s="192"/>
      <c r="AU1558" s="192"/>
      <c r="AV1558" s="192"/>
      <c r="AW1558" s="192"/>
      <c r="AX1558" s="192"/>
    </row>
    <row r="1559" spans="2:50" ht="15" customHeight="1" x14ac:dyDescent="0.3">
      <c r="B1559" s="192"/>
      <c r="C1559" s="192"/>
      <c r="D1559" s="192"/>
      <c r="E1559" s="192"/>
      <c r="F1559" s="192"/>
      <c r="G1559" s="192"/>
      <c r="H1559" s="192"/>
      <c r="I1559" s="192"/>
      <c r="J1559" s="192"/>
      <c r="K1559" s="192"/>
      <c r="L1559" s="192"/>
      <c r="M1559" s="192"/>
      <c r="N1559" s="192"/>
      <c r="O1559" s="192"/>
      <c r="P1559" s="192"/>
      <c r="Q1559" s="192"/>
      <c r="R1559" s="192"/>
      <c r="S1559" s="192"/>
      <c r="T1559" s="192"/>
      <c r="U1559" s="192"/>
      <c r="V1559" s="192"/>
      <c r="W1559" s="192"/>
      <c r="X1559" s="192"/>
      <c r="Y1559" s="192"/>
      <c r="Z1559" s="192"/>
      <c r="AA1559" s="192"/>
      <c r="AB1559" s="192"/>
      <c r="AC1559" s="192"/>
      <c r="AD1559" s="192"/>
      <c r="AE1559" s="192"/>
      <c r="AF1559" s="192"/>
      <c r="AG1559" s="192"/>
      <c r="AH1559" s="192"/>
      <c r="AI1559" s="192"/>
      <c r="AJ1559" s="192"/>
      <c r="AK1559" s="192"/>
      <c r="AL1559" s="192"/>
      <c r="AM1559" s="192"/>
      <c r="AN1559" s="192"/>
      <c r="AO1559" s="192"/>
      <c r="AP1559" s="192"/>
      <c r="AQ1559" s="192"/>
      <c r="AR1559" s="192"/>
      <c r="AS1559" s="192"/>
      <c r="AT1559" s="192"/>
      <c r="AU1559" s="192"/>
      <c r="AV1559" s="192"/>
      <c r="AW1559" s="192"/>
      <c r="AX1559" s="192"/>
    </row>
    <row r="1560" spans="2:50" ht="15" customHeight="1" x14ac:dyDescent="0.3">
      <c r="B1560" s="192"/>
      <c r="C1560" s="192"/>
      <c r="D1560" s="192"/>
      <c r="E1560" s="192"/>
      <c r="F1560" s="192"/>
      <c r="G1560" s="192"/>
      <c r="H1560" s="192"/>
      <c r="I1560" s="192"/>
      <c r="J1560" s="192"/>
      <c r="K1560" s="192"/>
      <c r="L1560" s="192"/>
      <c r="M1560" s="192"/>
      <c r="N1560" s="192"/>
      <c r="O1560" s="192"/>
      <c r="P1560" s="192"/>
      <c r="Q1560" s="192"/>
      <c r="R1560" s="192"/>
      <c r="S1560" s="192"/>
      <c r="T1560" s="192"/>
      <c r="U1560" s="192"/>
      <c r="V1560" s="192"/>
      <c r="W1560" s="192"/>
      <c r="X1560" s="192"/>
      <c r="Y1560" s="192"/>
      <c r="Z1560" s="192"/>
      <c r="AA1560" s="192"/>
      <c r="AB1560" s="192"/>
      <c r="AC1560" s="192"/>
      <c r="AD1560" s="192"/>
      <c r="AE1560" s="192"/>
      <c r="AF1560" s="192"/>
      <c r="AG1560" s="192"/>
      <c r="AH1560" s="192"/>
      <c r="AI1560" s="192"/>
      <c r="AJ1560" s="192"/>
      <c r="AK1560" s="192"/>
      <c r="AL1560" s="192"/>
      <c r="AM1560" s="192"/>
      <c r="AN1560" s="192"/>
      <c r="AO1560" s="192"/>
      <c r="AP1560" s="192"/>
      <c r="AQ1560" s="192"/>
      <c r="AR1560" s="192"/>
      <c r="AS1560" s="192"/>
      <c r="AT1560" s="192"/>
      <c r="AU1560" s="192"/>
      <c r="AV1560" s="192"/>
      <c r="AW1560" s="192"/>
      <c r="AX1560" s="192"/>
    </row>
    <row r="1561" spans="2:50" ht="15" customHeight="1" thickBot="1" x14ac:dyDescent="0.4">
      <c r="B1561" s="192"/>
      <c r="C1561" s="192"/>
      <c r="D1561" s="192"/>
      <c r="E1561" s="192"/>
      <c r="F1561" s="192"/>
      <c r="G1561" s="192"/>
      <c r="H1561" s="192"/>
      <c r="I1561" s="383" t="s">
        <v>165</v>
      </c>
      <c r="J1561" s="383"/>
      <c r="K1561" s="383"/>
      <c r="L1561" s="383"/>
      <c r="M1561" s="383"/>
      <c r="N1561" s="383"/>
      <c r="O1561" s="383"/>
      <c r="P1561" s="383"/>
      <c r="Q1561" s="383"/>
      <c r="R1561" s="383"/>
      <c r="S1561" s="192"/>
      <c r="T1561" s="192"/>
      <c r="U1561" s="370" t="s">
        <v>92</v>
      </c>
      <c r="V1561" s="371"/>
      <c r="W1561" s="371"/>
      <c r="X1561" s="372"/>
      <c r="Y1561" s="192"/>
      <c r="Z1561" s="192"/>
      <c r="AA1561" s="192"/>
      <c r="AB1561" s="192"/>
      <c r="AC1561" s="192"/>
      <c r="AD1561" s="192"/>
      <c r="AE1561" s="192"/>
      <c r="AF1561" s="192"/>
      <c r="AG1561" s="192"/>
      <c r="AH1561" s="192"/>
      <c r="AI1561" s="192"/>
      <c r="AJ1561" s="192"/>
      <c r="AK1561" s="192"/>
      <c r="AL1561" s="192"/>
      <c r="AM1561" s="192"/>
      <c r="AN1561" s="192"/>
      <c r="AO1561" s="192"/>
      <c r="AP1561" s="192"/>
      <c r="AQ1561" s="192"/>
      <c r="AR1561" s="192"/>
      <c r="AS1561" s="192"/>
      <c r="AT1561" s="192"/>
      <c r="AU1561" s="192"/>
      <c r="AV1561" s="192"/>
      <c r="AW1561" s="192"/>
      <c r="AX1561" s="192"/>
    </row>
    <row r="1562" spans="2:50" ht="15" customHeight="1" thickTop="1" thickBot="1" x14ac:dyDescent="0.35">
      <c r="B1562" s="192"/>
      <c r="C1562" s="192"/>
      <c r="D1562" s="192"/>
      <c r="E1562" s="192"/>
      <c r="F1562" s="192"/>
      <c r="G1562" s="192"/>
      <c r="H1562" s="192"/>
      <c r="I1562" s="402" t="s">
        <v>93</v>
      </c>
      <c r="J1562" s="160"/>
      <c r="K1562" s="396" t="s">
        <v>94</v>
      </c>
      <c r="L1562" s="398" t="s">
        <v>95</v>
      </c>
      <c r="M1562" s="390" t="s">
        <v>96</v>
      </c>
      <c r="N1562" s="390" t="s">
        <v>97</v>
      </c>
      <c r="O1562" s="373" t="s">
        <v>98</v>
      </c>
      <c r="P1562" s="373" t="str">
        <f>IF(COUNT(U1563:X1574)=3,"LM/WM Ratio",IF(COUNT(U1563:X1574)=6,"LP/WP Ratio",""))</f>
        <v/>
      </c>
      <c r="Q1562" s="390" t="s">
        <v>99</v>
      </c>
      <c r="R1562" s="392" t="s">
        <v>100</v>
      </c>
      <c r="S1562" s="192"/>
      <c r="T1562" s="120"/>
      <c r="U1562" s="121" t="s">
        <v>101</v>
      </c>
      <c r="V1562" s="122" t="s">
        <v>102</v>
      </c>
      <c r="W1562" s="122" t="s">
        <v>103</v>
      </c>
      <c r="X1562" s="123" t="s">
        <v>104</v>
      </c>
      <c r="Y1562" s="380" t="s">
        <v>105</v>
      </c>
      <c r="Z1562" s="379"/>
      <c r="AA1562" s="378" t="s">
        <v>106</v>
      </c>
      <c r="AB1562" s="379"/>
      <c r="AC1562" s="192"/>
      <c r="AD1562" s="192"/>
      <c r="AE1562" s="192"/>
      <c r="AF1562" s="192"/>
      <c r="AG1562" s="192"/>
      <c r="AH1562" s="192"/>
      <c r="AI1562" s="192"/>
      <c r="AJ1562" s="192"/>
      <c r="AK1562" s="192"/>
      <c r="AL1562" s="192"/>
      <c r="AM1562" s="192"/>
      <c r="AN1562" s="192"/>
      <c r="AO1562" s="192"/>
      <c r="AP1562" s="192"/>
      <c r="AQ1562" s="192"/>
      <c r="AR1562" s="192"/>
      <c r="AS1562" s="192"/>
      <c r="AT1562" s="192"/>
      <c r="AU1562" s="192"/>
      <c r="AV1562" s="192"/>
      <c r="AW1562" s="192"/>
      <c r="AX1562" s="192"/>
    </row>
    <row r="1563" spans="2:50" ht="15" customHeight="1" thickTop="1" thickBot="1" x14ac:dyDescent="0.35">
      <c r="B1563" s="192"/>
      <c r="C1563" s="192"/>
      <c r="D1563" s="192"/>
      <c r="E1563" s="192"/>
      <c r="F1563" s="192"/>
      <c r="G1563" s="192"/>
      <c r="H1563" s="192"/>
      <c r="I1563" s="403"/>
      <c r="J1563" s="161"/>
      <c r="K1563" s="397"/>
      <c r="L1563" s="399"/>
      <c r="M1563" s="391"/>
      <c r="N1563" s="391"/>
      <c r="O1563" s="374"/>
      <c r="P1563" s="374"/>
      <c r="Q1563" s="391"/>
      <c r="R1563" s="393"/>
      <c r="S1563" s="192"/>
      <c r="T1563" s="208">
        <v>1</v>
      </c>
      <c r="U1563" s="209" t="str">
        <f>IF(M1564="","",IF(COUNTIF(M1564:M1566,M1564)=3,IF(COUNTBLANK(I1564:I1567)=1,(Q1576+Q1582)/(Q1575+Q1581),IF(COUNTBLANK(I1564:I1567)=0,(Q1588+Q1576)/(Q1587+Q1575),"")),""))</f>
        <v/>
      </c>
      <c r="V1563" s="125" t="str">
        <f>IF(AND(COUNTBLANK(I1564:I1567)=0,M1564=M1566,M1566=M1567),(Q1576+Q1582)/(Q1575+Q1581),"")</f>
        <v/>
      </c>
      <c r="W1563" s="210" t="str">
        <f>IF(AND(COUNTBLANK(I1564:I1567)=0,M1564=M1565,M1565=M1567),(Q1588+Q1582)/(Q1587+Q1581),"")</f>
        <v/>
      </c>
      <c r="X1563" s="211"/>
      <c r="Y1563" s="169" t="s">
        <v>93</v>
      </c>
      <c r="Z1563" s="170" t="s">
        <v>107</v>
      </c>
      <c r="AA1563" s="169" t="s">
        <v>93</v>
      </c>
      <c r="AB1563" s="170" t="s">
        <v>107</v>
      </c>
      <c r="AC1563" s="192"/>
      <c r="AD1563" s="192"/>
      <c r="AE1563" s="192"/>
      <c r="AF1563" s="192"/>
      <c r="AG1563" s="192"/>
      <c r="AH1563" s="192"/>
      <c r="AI1563" s="192"/>
      <c r="AJ1563" s="192"/>
      <c r="AK1563" s="192"/>
      <c r="AL1563" s="192"/>
      <c r="AM1563" s="192"/>
      <c r="AN1563" s="192"/>
      <c r="AO1563" s="192"/>
      <c r="AP1563" s="192"/>
      <c r="AQ1563" s="192"/>
      <c r="AR1563" s="192"/>
      <c r="AS1563" s="192"/>
      <c r="AT1563" s="192"/>
      <c r="AU1563" s="192"/>
      <c r="AV1563" s="192"/>
      <c r="AW1563" s="192"/>
      <c r="AX1563" s="192"/>
    </row>
    <row r="1564" spans="2:50" ht="15" customHeight="1" thickTop="1" thickBot="1" x14ac:dyDescent="0.35">
      <c r="B1564" s="192"/>
      <c r="C1564" s="192"/>
      <c r="D1564" s="192"/>
      <c r="E1564" s="192"/>
      <c r="F1564" s="192" t="str">
        <f>IF(I1564="","",VLOOKUP(I1564,Siembra,2,FALSE))</f>
        <v/>
      </c>
      <c r="G1564" s="192" t="str">
        <f>O1564</f>
        <v/>
      </c>
      <c r="H1564" s="192">
        <v>1</v>
      </c>
      <c r="I1564" s="128" t="str">
        <f>IF(K1564="","",IF(ISNUMBER(Sorteo!$A$17),VLOOKUP(K1564,Draw,2,FALSE),""))</f>
        <v/>
      </c>
      <c r="J1564" s="129" t="str">
        <f>O1564</f>
        <v/>
      </c>
      <c r="K1564" s="130" t="str">
        <f>IF($K$9="","",IF(Group_players=4,IF(Tablas!CX$3="","",Tablas!CX$3),IF(Group_players=3,IF(Tablas!CX$11="","",Tablas!CX$11),"")))</f>
        <v/>
      </c>
      <c r="L1564" s="131" t="str">
        <f>IF(K1564="","",VLOOKUP(I1564,Siembra,3,FALSE))</f>
        <v/>
      </c>
      <c r="M1564" s="132" t="str">
        <f>IF(AND(Q1575="",Q1576=""),"",IF(I1564="","",SUMIFS(E1575:E1591,I1575:I1591,I1564)))</f>
        <v/>
      </c>
      <c r="N1564" s="132" t="str">
        <f>IF(M1564="","",IF(I1564="","",SUMIFS(F1575:F1591,I1575:I1591,I1564)))</f>
        <v/>
      </c>
      <c r="O1564" s="132" t="str">
        <f>IF(M1564="","",IF(COUNTBLANK(I1564:I1567)=1,IF(M1564=2,1,IF(M1564=0,3,IF(AND(M1564=1,M1565&lt;&gt;1),2,IF(COUNTIF(M1564:M1566,1)&gt;1,Z1564)))),IF(COUNTBLANK(I1564:I1567)=0,IF(COUNTIF(M1564:M1567,M1564)=1,IF(M1564=3,1,IF(M1564=2,2,IF(M1564=1,3,IF(M1564=0,4)))),IF(Group_players=3,Z1564,IF(COUNTIF(M1564:M1567,M1564)=2,AB1564,IF(AND(M1564=M1565,M1565=M1566),AB1568,IF(AND(M1564=M1566,M1566=M1567),AB1571,IF(AND(M1564=M1565,M1565=M1567),AB1574,"")))))),99)))</f>
        <v/>
      </c>
      <c r="P1564" s="133" t="str">
        <f>IF(COUNT(U1563:X1574)=3,IF(ISNUMBER(U1563),U1563,IF(ISNUMBER(V1563),V1563,IF(ISNUMBER(W1563),W1563,IF(X1563="","")))),IF(COUNT(U1563:X1574)=6,IF(ISNUMBER(U1571),U1571,IF(ISNUMBER(V1571),V1571,IF(ISNUMBER(W1571),W1571,IF(ISBLANK(X1563),"")))),""))</f>
        <v/>
      </c>
      <c r="Q1564" s="132" t="str">
        <f>IF(M1564="","",SUMIF(I1575:S1591,I1564,S1575:S1591))</f>
        <v/>
      </c>
      <c r="R1564" s="134" t="str">
        <f>IF(M1564="","",L1564+Q1564)</f>
        <v/>
      </c>
      <c r="S1564" s="203"/>
      <c r="T1564" s="208">
        <v>2</v>
      </c>
      <c r="U1564" s="209" t="str">
        <f>IF(M1565="","",IF(COUNTIF(M1564:M1566,M1565)=3,IF(COUNTBLANK(I1564:I1567)=1,(Q1579+Q1581)/(Q1578+Q1582),IF(COUNTBLANK(I1564:I1567)=0,(Q1585+Q1587)/(Q1584+Q1588),"")),""))</f>
        <v/>
      </c>
      <c r="V1564" s="135"/>
      <c r="W1564" s="212" t="str">
        <f>IF(AND(COUNTBLANK(I1564:I1567)=0,M1565=M1564,M1564=M1567),(Q1587+Q1579)/(Q1588+Q1578),"")</f>
        <v/>
      </c>
      <c r="X1564" s="213" t="str">
        <f>IF(AND(COUNTBLANK(I1564:I1567)=0,M1565=M1566,M1566=M1567),(Q1585+Q1579)/(Q1584+Q1578),"")</f>
        <v/>
      </c>
      <c r="Y1564" s="214">
        <v>1</v>
      </c>
      <c r="Z1564" s="215" t="str">
        <f>IF(U1563="","",IF(OR(Group_players=3,AND(Group_players=4,COUNTBLANK(I1564:I1567)=1)),IF(COUNTIF(M1564:M1566,M1564)=1,"",IF(AND(U1563=U1564,U1564=U1565),Z1568,IF(AND(U1563&lt;&gt;U1564,U1563&lt;&gt;U1565,U1564&lt;&gt;U1565),(IF(SMALL(U1563:U1565,1)=U1563,1,IF(SMALL(U1563:U1565,2)=U1563,2,IF(SMALL(U1563:U1565,3)=U1563,3)))),IF(AND(U1563&lt;U1564,U1564=U1565),1,IF(AND(U1563&gt;U1564,U1564=U1565),3,IF(AND(U1563=U1564,U1563&lt;U1565),(IF(Q1581=3,1,2)),IF(AND(U1563=U1564,U1563&gt;U1565),(IF(Q1581=3,2,3)),IF(AND(U1563=U1565,U1563&lt;U1564),(IF(Q1575=3,1,2)),IF(AND(U1563=U1565,U1563&gt;U1564),(IF(Q1575=3,2,3)),99))))))))),""))</f>
        <v/>
      </c>
      <c r="AA1564" s="216">
        <v>1</v>
      </c>
      <c r="AB1564" s="217" t="str">
        <f>IF(COUNTIF(M1564:M1567,M1564)&lt;&gt;2,"",IF(COUNTIF(M1564:M1567,M1564)=1,"",IF(AND(COUNTIF(M1564:M1567,M1564)=2,M1564=2),IF(M1564=M1565,IF(Q1587=3,1,2),IF(M1564=M1566,IF(Q1575=3,1,2),IF(M1564=M1567,IF(Q1581=3,1,2)))),IF(AND(COUNTIF(M1564:M1567,M1564)=2,M1564=1),IF(M1564=M1565,IF(Q1587=3,3,4),IF(M1564=M1566,IF(Q1575=3,3,4),IF(M1564=M1567,IF(Q1581=3,3,4)))),IF(COUNTIF(M1564:M1567,M1564)=3,AB1568)))))</f>
        <v/>
      </c>
      <c r="AC1564" s="192"/>
      <c r="AD1564" s="192"/>
      <c r="AE1564" s="192"/>
      <c r="AF1564" s="192"/>
      <c r="AG1564" s="192"/>
      <c r="AH1564" s="192"/>
      <c r="AI1564" s="192"/>
      <c r="AJ1564" s="192"/>
      <c r="AK1564" s="192"/>
      <c r="AL1564" s="192"/>
      <c r="AM1564" s="192"/>
      <c r="AN1564" s="192"/>
      <c r="AO1564" s="192"/>
      <c r="AP1564" s="192"/>
      <c r="AQ1564" s="192"/>
      <c r="AR1564" s="192"/>
      <c r="AS1564" s="192"/>
      <c r="AT1564" s="192"/>
      <c r="AU1564" s="192"/>
      <c r="AV1564" s="192"/>
      <c r="AW1564" s="192"/>
      <c r="AX1564" s="192"/>
    </row>
    <row r="1565" spans="2:50" ht="15" customHeight="1" thickTop="1" thickBot="1" x14ac:dyDescent="0.35">
      <c r="B1565" s="192"/>
      <c r="C1565" s="192"/>
      <c r="D1565" s="192"/>
      <c r="E1565" s="192"/>
      <c r="F1565" s="192" t="str">
        <f>IF(I1565="","",VLOOKUP(I1565,Siembra,2,FALSE))</f>
        <v/>
      </c>
      <c r="G1565" s="192" t="str">
        <f>O1565</f>
        <v/>
      </c>
      <c r="H1565" s="192">
        <v>2</v>
      </c>
      <c r="I1565" s="128" t="str">
        <f>IF(K1565="","",IF(ISNUMBER(Sorteo!$A$17),VLOOKUP(K1565,Draw,2,FALSE),""))</f>
        <v/>
      </c>
      <c r="J1565" s="129" t="str">
        <f>O1565</f>
        <v/>
      </c>
      <c r="K1565" s="136" t="str">
        <f>IF($K$9="","",IF(Group_players=4,IF(Tablas!CX$4="","",Tablas!CX$4),IF(Group_players=3,IF(Tablas!CX$12="","",Tablas!CX$12),"")))</f>
        <v/>
      </c>
      <c r="L1565" s="137" t="str">
        <f>IF(K1565="","",VLOOKUP(I1565,Siembra,3,FALSE))</f>
        <v/>
      </c>
      <c r="M1565" s="132" t="str">
        <f>IF(AND(L1575="",L1576=""),"",IF(I1565="","",SUMIFS(E1575:E1592,I1575:I1592,I1565)))</f>
        <v/>
      </c>
      <c r="N1565" s="138" t="str">
        <f>IF(M1565="","",IF(I1565="","",SUMIFS(F1575:F1591,I1575:I1591,I1565)))</f>
        <v/>
      </c>
      <c r="O1565" s="132" t="str">
        <f>IF(M1565="","",IF(COUNTBLANK(I1564:I1567)=1,IF(M1565=2,1,IF(M1565=0,3,IF(AND(M1565=1,M1566&lt;&gt;1),2,IF(COUNTIF(M1564:M1567,1)&gt;1,Z1565)))),IF(COUNTBLANK(I1564:I1567)=0,IF(COUNTIF(M1564:M1567,M1565)=1,IF(M1565=3,1,IF(M1565=2,2,IF(M1565=1,3,IF(M1565=0,4)))),IF(Group_players=3,Z1565,IF(COUNTIF(M1564:M1567,M1565)=2,AB1565,IF(AND(M1565=M1564,M1564=M1566),AB1569,IF(AND(M1565=M1564,M1564=M1567),AB1575,IF(AND(M1565=M1566,M1566=M1567),AB1577,"")))))))))</f>
        <v/>
      </c>
      <c r="P1565" s="133" t="str">
        <f>IF(COUNT(U1563:X1574)=3,IF(ISNUMBER(U1564),U1564,IF(ISNUMBER(W1564),W1564,IF(ISNUMBER(X1564),X1564,IF(X1564="","")))),IF(COUNT(U1563:X1574)=6,IF(ISNUMBER(U1572),U1572,IF(ISNUMBER(W1572),W1572,IF(ISNUMBER(X1572),X1572,IF(ISBLANK(X1571),"")))),""))</f>
        <v/>
      </c>
      <c r="Q1565" s="138" t="str">
        <f>IF(M1565="","",SUMIF(I1575:S1591,I1565,S1575:$S1591))</f>
        <v/>
      </c>
      <c r="R1565" s="139" t="str">
        <f>IF(M1565="","",L1565+Q1565)</f>
        <v/>
      </c>
      <c r="S1565" s="203"/>
      <c r="T1565" s="208">
        <v>3</v>
      </c>
      <c r="U1565" s="209" t="str">
        <f>IF(M1566="","",IF(COUNTIF(M1564:M1566,M1566)=3,IF(COUNTBLANK(I1564:I1567)=1,(Q1575+Q1578)/(Q1576+Q1579),IF(COUNTBLANK(I1564:I1567)=0,(Q1575+Q1584)/(Q1576+Q1585),"")),""))</f>
        <v/>
      </c>
      <c r="V1565" s="125" t="str">
        <f>IF(AND(COUNTBLANK(I1564:I1567)=0,M1566=M1567,M1567=M1564),(Q1575+Q1591)/(Q1576+Q1590),"")</f>
        <v/>
      </c>
      <c r="W1565" s="218"/>
      <c r="X1565" s="213" t="str">
        <f>IF(AND(COUNTBLANK(I1564:I1567)=0,M1566=M1567,M1567=M1565),(Q1584+Q1591)/(Q1585+Q1590),"")</f>
        <v/>
      </c>
      <c r="Y1565" s="219">
        <v>2</v>
      </c>
      <c r="Z1565" s="220" t="str">
        <f>IF(U1564="","",IF(OR(Group_players=3,AND(Group_players=4,COUNTBLANK(I1564:I1567)=1)),IF(COUNTIF(M1564:M1566,M1565)=1,"",IF(AND(U1564=U1563,U1564=U1565),Z1569,IF(AND(U1564&lt;&gt;U1563,U1564&lt;&gt;U1565,U1563&lt;&gt;U1565),(IF(SMALL(U1563:U1565,1)=U1564,1,IF(SMALL(U1563:U1565,2)=U1564,2,IF(SMALL(U1563:U1565,3)=U1564,3)))),IF(AND(U1564&lt;U1563,U1563=U1565),1,IF(AND(U1564&gt;U1563,U1563=U1565),3,IF(AND(U1564=U1563,U1564&lt;U1565),(IF(Q1582=3,1,2)),IF(AND(U1564=U1563,U1564&gt;U1565),(IF(Q1582=3,2,3)),IF(AND(U1564=U1565,U1564&lt;U1563),(IF(Q1578=3,1,2)),IF(AND(U1564=U1565,U1564&gt;U1563),(IF(Q1578=3,2,3)),99))))))))),""))</f>
        <v/>
      </c>
      <c r="AA1565" s="221">
        <v>2</v>
      </c>
      <c r="AB1565" s="222" t="str">
        <f>IF(COUNTIF(M1564:M1567,M1565)&lt;&gt;2,"",IF(COUNTIF(M1564:M1567,M1565)=1,"",IF(AND(COUNTIF(M1564:M1567,M1565)=2,M1565=2),IF(M1565=M1564,IF(Q1588=3,1,2),IF(M1565=M1566,IF(Q1584=3,1,2),IF(M1565=M1567,IF(Q1578=3,1,2)))),IF(AND(COUNTIF(M1564:M1567,M1565)=2,M1565=1),IF(M1565=M1564,IF(Q1588=3,3,4),IF(M1565=M1566,IF(Q1584=3,3,4),IF(M1565=M1567,IF(Q1578=3,3,4)))),AB1570))))</f>
        <v/>
      </c>
      <c r="AC1565" s="192"/>
      <c r="AD1565" s="192"/>
      <c r="AE1565" s="192"/>
      <c r="AF1565" s="192"/>
      <c r="AG1565" s="192"/>
      <c r="AH1565" s="192"/>
      <c r="AI1565" s="192"/>
      <c r="AJ1565" s="192"/>
      <c r="AK1565" s="192"/>
      <c r="AL1565" s="192"/>
      <c r="AM1565" s="192"/>
      <c r="AN1565" s="192"/>
      <c r="AO1565" s="192"/>
      <c r="AP1565" s="192"/>
      <c r="AQ1565" s="192"/>
      <c r="AR1565" s="192"/>
      <c r="AS1565" s="192"/>
      <c r="AT1565" s="192"/>
      <c r="AU1565" s="192"/>
      <c r="AV1565" s="192"/>
      <c r="AW1565" s="192"/>
      <c r="AX1565" s="192"/>
    </row>
    <row r="1566" spans="2:50" ht="15" customHeight="1" thickBot="1" x14ac:dyDescent="0.35">
      <c r="B1566" s="192"/>
      <c r="C1566" s="192"/>
      <c r="D1566" s="192"/>
      <c r="E1566" s="192"/>
      <c r="F1566" s="192" t="str">
        <f>IF(I1566="","",VLOOKUP(I1566,Siembra,2,FALSE))</f>
        <v/>
      </c>
      <c r="G1566" s="192" t="str">
        <f>O1566</f>
        <v/>
      </c>
      <c r="H1566" s="192">
        <v>3</v>
      </c>
      <c r="I1566" s="128" t="str">
        <f>IF(K1566="","",IF(ISNUMBER(Sorteo!$A$17),VLOOKUP(K1566,Draw,2,FALSE),""))</f>
        <v/>
      </c>
      <c r="J1566" s="129" t="str">
        <f>O1566</f>
        <v/>
      </c>
      <c r="K1566" s="136" t="str">
        <f>IF($K$9="","",IF(Group_players=4,IF(Tablas!CX$5="","",Tablas!CX$5),IF(Group_players=3,IF(Tablas!CX$13="","",Tablas!CX$13),"")))</f>
        <v/>
      </c>
      <c r="L1566" s="137" t="str">
        <f>IF(K1566="","",VLOOKUP(I1566,Siembra,3,FALSE))</f>
        <v/>
      </c>
      <c r="M1566" s="132" t="str">
        <f>IF(AND(L1576="",L1575=""),"",IF(I1566="","",SUMIFS(E1575:E1593,I1575:I1593,I1566)))</f>
        <v/>
      </c>
      <c r="N1566" s="138" t="str">
        <f>IF(M1566="","",IF(I1566="","",SUMIFS(F1575:F1591,I1575:I1591,I1566)))</f>
        <v/>
      </c>
      <c r="O1566" s="132" t="str">
        <f>IF(M1566="","",IF(COUNTBLANK(I1564:I1567)=1,IF(M1566=2,1,IF(M1566=0,3,IF(AND(M1566=1,M1566&lt;&gt;M1564),2,IF(COUNTIF(M1564:M1567,1)&gt;1,Z1566)))),IF(COUNTBLANK(I1564:I1567)=0,IF(COUNTIF(M1564:M1567,M1566)=1,IF(M1566=3,1,IF(M1566=2,2,IF(M1566=1,3,IF(M1566=0,4)))),IF(Group_players=3,Z1566,IF(COUNTIF(M1564:M1567,M1566)=2,AB1566,IF(AND(M1566=M1564,M1564=M1565),AB1570,IF(AND(M1566=M1564,M1564=M1567),AB1572,IF(AND(M1566=M1565,M1565=M1567),AB1578,"")))))))))</f>
        <v/>
      </c>
      <c r="P1566" s="133" t="str">
        <f>IF(COUNT(U1563:X1574)=3,IF(ISNUMBER(U1565),U1565,IF(ISNUMBER(V1565),V1565,IF(ISNUMBER(X1565),X1565,IF(W1565="","")))),IF(COUNT(U1563:X1574)=6,IF(ISNUMBER(U1573),U1573,IF(ISNUMBER(V1573),V1573,IF(ISNUMBER(X1573),X1573,""))),""))</f>
        <v/>
      </c>
      <c r="Q1566" s="138" t="str">
        <f>IF(M1566="","",SUMIF(I1575:S1591,I1566,S1575:S1591))</f>
        <v/>
      </c>
      <c r="R1566" s="139" t="str">
        <f>IF(M1566="","",L1566+Q1566)</f>
        <v/>
      </c>
      <c r="S1566" s="203"/>
      <c r="T1566" s="208">
        <v>4</v>
      </c>
      <c r="U1566" s="223"/>
      <c r="V1566" s="140" t="str">
        <f>IF(AND(COUNTBLANK(I1564:I1567)=0,M1567=M1564,M1564=M1566),(Q1581+Q1590)/(Q1582+Q1591),"")</f>
        <v/>
      </c>
      <c r="W1566" s="224" t="str">
        <f>IF(AND(COUNTBLANK(I1564:I1567)=0,M1567=M1564,M1564=M1565),(Q1581+Q1578)/(Q1582+Q1579),"")</f>
        <v/>
      </c>
      <c r="X1566" s="225" t="str">
        <f>IF(AND(COUNTBLANK(I1564:I1567)=0,M1567=M1565,M1565=M1566),(Q1578+Q1590)/(Q1579+Q1591),"")</f>
        <v/>
      </c>
      <c r="Y1566" s="226">
        <v>3</v>
      </c>
      <c r="Z1566" s="227" t="str">
        <f>IF(U1565="","",IF(OR(Group_players=3,AND(Group_players=4,COUNTBLANK(I1564:I1567)=1)),IF(COUNTIF(M1564:M1566,M1566)=1,"",IF(AND(U1565=U1563,U1565=U1564),Z1570,IF(AND(U1565&lt;&gt;U1564,U1564&lt;&gt;U1563,U1565&lt;&gt;U1563),(IF(SMALL(U1563:U1565,1)=U1565,1,IF(SMALL(U1563:U1565,2)=U1565,2,IF(SMALL(U1563:U1565,3)=U1565,3)))),IF(AND(U1565&lt;U1564,U1564=U1563),1,IF(AND(U1565&gt;U1564,U1564=U1563),3,IF(AND(U1565=U1564,U1565&lt;U1563),(IF(Q1579=3,1,2)),IF(AND(U1565=U1564,U1565&gt;U1563),(IF(Q1579=3,2,3)),IF(AND(U1565=U1563,U1565&lt;U1564),(IF(Q1576=3,1,2)),IF(AND(U1565=U1563,U1565&gt;U1564),(IF(Q1576=3,2,3)),99))))))))),""))</f>
        <v/>
      </c>
      <c r="AA1566" s="221">
        <v>3</v>
      </c>
      <c r="AB1566" s="222" t="str">
        <f>IF(COUNTIF(M1564:M1567,M1566)&lt;&gt;2,"",IF(COUNTIF(M1564:M1567,M1566)=1,"",IF(AND(COUNTIF(M1564:M1567,M1566)=2,M1566=2),IF(M1566=M1564,IF(Q1576=3,1,2),IF(M1566=M1565,IF(Q1585=3,1,2),IF(M1566=M1567,IF(Q1590=3,1,2)))),IF(AND(COUNTIF(M1564:M1567,M1566)=2,M1566=1),IF(M1566=M1564,IF(Q1576=3,3,4),IF(M1566=M1565,IF(Q1585=3,3,4),IF(M1566=M1567,IF(Q1590=3,3,4)))),AB1570))))</f>
        <v/>
      </c>
      <c r="AC1566" s="192"/>
      <c r="AD1566" s="192"/>
      <c r="AE1566" s="192"/>
      <c r="AF1566" s="192"/>
      <c r="AG1566" s="192"/>
      <c r="AH1566" s="192"/>
      <c r="AI1566" s="192"/>
      <c r="AJ1566" s="192"/>
      <c r="AK1566" s="192"/>
      <c r="AL1566" s="192"/>
      <c r="AM1566" s="192"/>
      <c r="AN1566" s="192"/>
      <c r="AO1566" s="192"/>
      <c r="AP1566" s="192"/>
      <c r="AQ1566" s="192"/>
      <c r="AR1566" s="192"/>
      <c r="AS1566" s="192"/>
      <c r="AT1566" s="192"/>
      <c r="AU1566" s="192"/>
      <c r="AV1566" s="192"/>
      <c r="AW1566" s="192"/>
      <c r="AX1566" s="192"/>
    </row>
    <row r="1567" spans="2:50" ht="15" customHeight="1" thickTop="1" thickBot="1" x14ac:dyDescent="0.35">
      <c r="B1567" s="192"/>
      <c r="C1567" s="192"/>
      <c r="D1567" s="192"/>
      <c r="E1567" s="192"/>
      <c r="F1567" s="192" t="str">
        <f>IF(I1567="","",VLOOKUP(I1567,Siembra,2,FALSE))</f>
        <v/>
      </c>
      <c r="G1567" s="192" t="str">
        <f>O1567</f>
        <v/>
      </c>
      <c r="H1567" s="192">
        <v>4</v>
      </c>
      <c r="I1567" s="141" t="str">
        <f>IF(K1567="","",IF(ISNUMBER(Sorteo!$A$17),VLOOKUP(K1567,Draw,2,FALSE),""))</f>
        <v/>
      </c>
      <c r="J1567" s="142" t="str">
        <f>O1567</f>
        <v/>
      </c>
      <c r="K1567" s="143" t="str">
        <f>IF($K$9="","",IF(Group_players=4,IF(Tablas!CX6="","",Tablas!CX6),""))</f>
        <v/>
      </c>
      <c r="L1567" s="144" t="str">
        <f>IF(K1567="","",VLOOKUP(I1567,Siembra,3,FALSE))</f>
        <v/>
      </c>
      <c r="M1567" s="145" t="str">
        <f>IF(AND(Q1578="",Q1579=""),"",IF(I1567="","",SUMIFS(E1575:E1594,I1575:I1594,I1567)))</f>
        <v/>
      </c>
      <c r="N1567" s="145" t="str">
        <f>IF(M1567="","",IF(I1567="","",SUMIFS(F1575:F1591,I1575:I1591,I1567)))</f>
        <v/>
      </c>
      <c r="O1567" s="145" t="str">
        <f>IF(M1567="","",IF(COUNTIF(M1564:M1567,M1567)=1,IF(M1567=3,1,IF(M1567=2,2,IF(M1567=1,3,IF(M1567=0,4)))),IF(COUNTIF(M1564:M1567,M1567)=2,AB1567,IF(AND(M1567=M1564,M1564=M1566),AB1573,IF(AND(M1567=M1564,M1564=M1565),AB1576,IF(AND(M1567=M1565,M1565=M1566),AB1579,""))))))</f>
        <v/>
      </c>
      <c r="P1567" s="146" t="str">
        <f>IF(COUNT(U1563:X1574)=3,IF(ISNUMBER(V1566),V1566,IF(ISNUMBER(W1566),W1566,IF(ISNUMBER(X1566),X1566,IF(X1566="","")))),IF(COUNT(U1563:X1574)=6,IF(ISNUMBER(V1574),V1574,IF(ISNUMBER(W1574),W1574,IF(ISNUMBER(X1574),X1574,""))),""))</f>
        <v/>
      </c>
      <c r="Q1567" s="145" t="str">
        <f>IF(M1567="","",SUMIF(I1575:S1591,I1567,S1575:$S1591))</f>
        <v/>
      </c>
      <c r="R1567" s="147" t="str">
        <f>IF(M1567="","",L1567+Q1567)</f>
        <v/>
      </c>
      <c r="S1567" s="203"/>
      <c r="T1567" s="192"/>
      <c r="U1567" s="192"/>
      <c r="V1567" s="192"/>
      <c r="W1567" s="192"/>
      <c r="X1567" s="192"/>
      <c r="Y1567" s="230" t="s">
        <v>93</v>
      </c>
      <c r="Z1567" s="231" t="s">
        <v>110</v>
      </c>
      <c r="AA1567" s="232">
        <v>4</v>
      </c>
      <c r="AB1567" s="233" t="str">
        <f>IF(COUNTIF(M1564:M1567,M1567)&lt;&gt;2,"",IF(COUNTIF(M1564:M1567,M1567)=1,"",IF(AND(COUNTIF(M1564:M1567,M1567)=2,M1567=2),IF(M1567=M1564,IF(Q1582=3,1,2),IF(M1567=M1565,IF(Q1579=3,1,2),IF(M1567=M1566,IF(Q1591=3,1,2)))),IF(AND(COUNTIF(M1564:M1567,M1567)=2,M1567=1),IF(M1567=M1564,IF(Q1582=3,3,4),IF(M1567=M1565,IF(Q1579=3,3,4),IF(M1567=M1566,IF(Q1591=3,3,4)))),AB1573))))</f>
        <v/>
      </c>
      <c r="AC1567" s="192"/>
      <c r="AD1567" s="192"/>
      <c r="AE1567" s="192"/>
      <c r="AF1567" s="192"/>
      <c r="AG1567" s="192"/>
      <c r="AH1567" s="192"/>
      <c r="AI1567" s="192"/>
      <c r="AJ1567" s="192"/>
      <c r="AK1567" s="192"/>
      <c r="AL1567" s="192"/>
      <c r="AM1567" s="192"/>
      <c r="AN1567" s="192"/>
      <c r="AO1567" s="192"/>
      <c r="AP1567" s="192"/>
      <c r="AQ1567" s="192"/>
      <c r="AR1567" s="192"/>
      <c r="AS1567" s="192"/>
      <c r="AT1567" s="192"/>
      <c r="AU1567" s="192"/>
      <c r="AV1567" s="192"/>
      <c r="AW1567" s="192"/>
      <c r="AX1567" s="192"/>
    </row>
    <row r="1568" spans="2:50" ht="15" customHeight="1" thickTop="1" x14ac:dyDescent="0.3">
      <c r="B1568" s="192"/>
      <c r="C1568" s="192"/>
      <c r="D1568" s="192"/>
      <c r="E1568" s="192"/>
      <c r="F1568" s="192"/>
      <c r="G1568" s="192"/>
      <c r="H1568" s="192"/>
      <c r="I1568" s="192"/>
      <c r="J1568" s="192"/>
      <c r="K1568" s="192"/>
      <c r="L1568" s="192"/>
      <c r="M1568" s="192"/>
      <c r="N1568" s="192"/>
      <c r="O1568" s="192"/>
      <c r="P1568" s="192"/>
      <c r="Q1568" s="192"/>
      <c r="R1568" s="192"/>
      <c r="S1568" s="192"/>
      <c r="T1568" s="208"/>
      <c r="U1568" s="192"/>
      <c r="V1568" s="148"/>
      <c r="W1568" s="148"/>
      <c r="X1568" s="234"/>
      <c r="Y1568" s="214">
        <v>1</v>
      </c>
      <c r="Z1568" s="215" t="str">
        <f>IF(U1571="","",IF(OR(Group_players=3,AND(Group_players=4,COUNTBLANK(I1564:I1567)=1)),IF(COUNTIF(M1564:M1566,M1564)=1,"",IF(COUNTIF(U1563:U1565,U1563)=3,IF(AND(U1571=U1572,U1572=U1573),"Tied",IF(AND(U1571&lt;&gt;U1572,U1571&lt;&gt;U1573,U1572&lt;&gt;U1573),(IF(SMALL(U1571:U1573,1)=U1571,1,IF(SMALL(U1571:U1573,2)=U1571,2,IF(SMALL(U1571:U1573,3)=U1571,3)))),IF(AND(U1571&lt;U1572,U1572=U1573),1,IF(AND(U1571&gt;U1572,U1572=U1573),3,IF(AND(U1571=U1572,U1571&lt;U1573),(IF(Q1581=3,1,2)),IF(AND(U1571=U1572,U1571&gt;U1573),(IF(Q1581=3,2,3)),IF(AND(U1571=U1573,U1571&lt;U1572),(IF(Q1575=3,1,2)),IF(AND(U1571=U1573,U1571&gt;U1572),(IF(Q1575=3,2,3)),99)))))))),"")),""))</f>
        <v/>
      </c>
      <c r="AA1568" s="208">
        <v>1</v>
      </c>
      <c r="AB1568" s="222" t="str">
        <f>IF(AND(COUNTBLANK(I1564:I1567)=0,Group_players=4,M1564=M1565,M1565=M1566),IF(COUNTIF(U1563:U1566,U1563)=3,AB1581,IF(AND(COUNTIF(U1563:U1566,U1563)=1,U1564&lt;&gt;U1565),IF(M1564=2,IF(SMALL(U1563:U1566,1)=U1563,1,IF(SMALL(U1563:U1566,2)=U1563,2,IF(SMALL(U1563:U1566,3)=U1563,3))),IF(M1564=1,IF(SMALL(U1563:U1566,1)=U1563,2,IF(SMALL(U1563:U1566,2)=U1563,3,IF(SMALL(U1563:U1566,3)=U1563,4))),"")),IF(COUNTIF(U1563:U1566,U1563)=1,IF(U1563&lt;U1564,IF(M1564=2,1,2),IF(M1564=2,3,4)),IF(COUNTIF(U1563:U1566,U1563)=2,IF(U1563=U1564,IF(U1563&lt;U1565,IF(M1564=2,IF(Q1587=3,1,2),IF(M1564=1,IF(Q1587=3,2,3))),IF(U1563&gt;U1565,IF(M1564=2,IF(Q1587=3,2,3),IF(M1564=1,IF(Q1587=3,3,4))))),IF(U1563=U1565,IF(U1563&lt;U1564,IF(M1564=2,IF(Q1575=3,1,2),IF(M1564=1,IF(Q1575=3,2,3))),IF(U1563&gt;U1564,IF(M1564=2,IF(Q1575=3,2,3),IF(M1564=1,IF(Q1575=3,3,4))))))),"")))),"")</f>
        <v/>
      </c>
      <c r="AC1568" s="192"/>
      <c r="AD1568" s="192"/>
      <c r="AE1568" s="192"/>
      <c r="AF1568" s="192"/>
      <c r="AG1568" s="192"/>
      <c r="AH1568" s="192"/>
      <c r="AI1568" s="192"/>
      <c r="AJ1568" s="192"/>
      <c r="AK1568" s="192"/>
      <c r="AL1568" s="192"/>
      <c r="AM1568" s="192"/>
      <c r="AN1568" s="192"/>
      <c r="AO1568" s="192"/>
      <c r="AP1568" s="192"/>
      <c r="AQ1568" s="192"/>
      <c r="AR1568" s="192"/>
      <c r="AS1568" s="192"/>
      <c r="AT1568" s="192"/>
      <c r="AU1568" s="192"/>
      <c r="AV1568" s="192"/>
      <c r="AW1568" s="192"/>
      <c r="AX1568" s="192"/>
    </row>
    <row r="1569" spans="2:50" ht="15" customHeight="1" thickBot="1" x14ac:dyDescent="0.35">
      <c r="B1569" s="192"/>
      <c r="C1569" s="192"/>
      <c r="D1569" s="192"/>
      <c r="E1569" s="192"/>
      <c r="F1569" s="192"/>
      <c r="G1569" s="192"/>
      <c r="H1569" s="192"/>
      <c r="I1569" s="269"/>
      <c r="J1569" s="269"/>
      <c r="K1569" s="192"/>
      <c r="L1569" s="192"/>
      <c r="M1569" s="192"/>
      <c r="N1569" s="192"/>
      <c r="O1569" s="192"/>
      <c r="P1569" s="192"/>
      <c r="Q1569" s="192"/>
      <c r="R1569" s="192"/>
      <c r="S1569" s="192"/>
      <c r="T1569" s="208"/>
      <c r="U1569" s="368" t="s">
        <v>111</v>
      </c>
      <c r="V1569" s="369"/>
      <c r="W1569" s="369"/>
      <c r="X1569" s="369"/>
      <c r="Y1569" s="236">
        <v>2</v>
      </c>
      <c r="Z1569" s="220" t="str">
        <f>IF(U1564="","",IF(OR(Group_players=3,AND(Group_players=4,COUNTBLANK(I1564:I1567)=1)),IF(COUNTIF(M1564:M1566,M1565)=1,"",IF(COUNTIF(U1563:U1565,U1564)=3,IF(AND(U1572=U1571,U1572=U1573),"Tied",IF(AND(U1572&lt;&gt;U1571,U1572&lt;&gt;U1573,U1571&lt;&gt;U1573),(IF(SMALL(U1571:U1573,1)=U1572,1,IF(SMALL(U1571:U1573,2)=U1572,2,IF(SMALL(U1571:U1573,3)=U1572,3)))),IF(AND(U1572&lt;U1571,U1571=U1573),1,IF(AND(U1572&gt;U1571,U1571=U1573),3,IF(AND(U1572=U1571,U1572&lt;U1573),(IF(Q1582=3,1,2)),IF(AND(U1572=U1571,U1572&gt;U1573),(IF(Q1582=3,2,3)),IF(AND(U1572=U1573,U1572&lt;U1571),(IF(Q1578=3,1,2)),IF(AND(U1572=U1573,U1572&gt;U1571),(IF(Q1578=3,2,3)),99)))))))),"")),""))</f>
        <v/>
      </c>
      <c r="AA1569" s="208">
        <v>2</v>
      </c>
      <c r="AB1569" s="222" t="str">
        <f>IF(AND(COUNTBLANK(I1564:I1567)=0,Group_players=4,M1564=M1565,M1565=M1566),IF(COUNTIF(U1563:U1566,U1564)=3,AB1582,IF(AND(COUNTIF(U1563:U1566,U1564)=1,U1563&lt;&gt;U1565),IF(M1565=2,IF(SMALL(U1563:U1566,1)=U1564,1,IF(SMALL(U1563:U1566,2)=U1564,2,IF(SMALL(U1563:U1566,3)=U1564,3))),IF(M1565=1,IF(SMALL(U1563:U1566,1)=U1564,2,IF(SMALL(U1563:U1566,2)=U1564,3,IF(SMALL(U1563:U1566,3)=U1564,4))),"")),IF(COUNTIF(U1563:U1565,U1564)=1,IF(U1564&lt;U1563,IF(M1565=2,1,2),IF(M1565=2,3,99)),IF(COUNTIF(U1563:U1566,U1564)=2,IF(U1564=U1563,IF(U1564&lt;U1565,IF(M1565=2,IF(Q1588=3,1,2),IF(M1565=1,IF(Q1588=3,2,3))),IF(U1564&gt;U1565,IF(M1565=2,IF(Q1588=3,2,3),IF(M1565=1,IF(Q1588=3,3,4))))),IF(U1564=U1565,IF(U1564&lt;U1563,IF(M1565=2,IF(Q1584=3,1,2),IF(M1565=1,IF(Q1584=3,2,3))),IF(U1564&gt;U1563,IF(M1565=2,IF(Q1584=3,2,3),IF(M1565=1,IF(Q1584=3,3,4))))))),"")))),"")</f>
        <v/>
      </c>
      <c r="AC1569" s="192"/>
      <c r="AD1569" s="192"/>
      <c r="AE1569" s="192"/>
      <c r="AF1569" s="192"/>
      <c r="AG1569" s="192"/>
      <c r="AH1569" s="192"/>
      <c r="AI1569" s="192"/>
      <c r="AJ1569" s="192"/>
      <c r="AK1569" s="192"/>
      <c r="AL1569" s="192"/>
      <c r="AM1569" s="192"/>
      <c r="AN1569" s="192"/>
      <c r="AO1569" s="192"/>
      <c r="AP1569" s="192"/>
      <c r="AQ1569" s="192"/>
      <c r="AR1569" s="192"/>
      <c r="AS1569" s="192"/>
      <c r="AT1569" s="192"/>
      <c r="AU1569" s="192"/>
      <c r="AV1569" s="192"/>
      <c r="AW1569" s="192"/>
      <c r="AX1569" s="192"/>
    </row>
    <row r="1570" spans="2:50" ht="15" customHeight="1" thickTop="1" thickBot="1" x14ac:dyDescent="0.35">
      <c r="B1570" s="192"/>
      <c r="C1570" s="192"/>
      <c r="D1570" s="192"/>
      <c r="E1570" s="192"/>
      <c r="F1570" s="192"/>
      <c r="G1570" s="192"/>
      <c r="H1570" s="192"/>
      <c r="I1570" s="192"/>
      <c r="J1570" s="192"/>
      <c r="K1570" s="192"/>
      <c r="L1570" s="192"/>
      <c r="M1570" s="192"/>
      <c r="N1570" s="192"/>
      <c r="O1570" s="192"/>
      <c r="P1570" s="192"/>
      <c r="Q1570" s="192"/>
      <c r="R1570" s="192"/>
      <c r="S1570" s="192"/>
      <c r="T1570" s="120"/>
      <c r="U1570" s="121" t="s">
        <v>101</v>
      </c>
      <c r="V1570" s="122" t="s">
        <v>102</v>
      </c>
      <c r="W1570" s="122" t="s">
        <v>103</v>
      </c>
      <c r="X1570" s="123" t="s">
        <v>104</v>
      </c>
      <c r="Y1570" s="238">
        <v>3</v>
      </c>
      <c r="Z1570" s="239" t="str">
        <f>IF(U1565="","",IF(OR(Group_players=3,AND(Group_players=4,COUNTBLANK(I1564:I1567)=1)),IF(COUNTIF(M1564:M1566,M1566)=1,"",IF(COUNTIF(U1563:U1565,U1565)=3,IF(AND(U1573=U1571,U1573=U1572),"Tied",IF(AND(U1573&lt;&gt;U1572,U1572&lt;&gt;U1571,U1573&lt;&gt;U1571),(IF(SMALL(U1571:U1573,1)=U1573,1,IF(SMALL(U1571:U1573,2)=U1573,2,IF(SMALL(U1571:U1573,3)=U1573,3)))),IF(AND(U1573&lt;U1572,U1572=U1571),1,IF(AND(U1573&gt;U1572,U1572=U1571),3,IF(AND(U1573=U1572,U1573&lt;U1571),(IF(Q1579=3,1,2)),IF(AND(U1573=U1572,U1573&gt;U1571),(IF(Q1579=3,2,3)),IF(AND(U1573=U1571,U1573&lt;U1572),(IF(Q1576=3,1,2)),IF(AND(U1573=U1571,U1573&gt;U1572),(IF(Q1576=3,2,3)),99)))))))),"")),""))</f>
        <v/>
      </c>
      <c r="AA1570" s="240">
        <v>3</v>
      </c>
      <c r="AB1570" s="241" t="str">
        <f>IF(AND(COUNTBLANK(I1564:I1567)=0,Group_players=4,M1564=M1565,M1565=M1566),IF(COUNTIF(U1563:U1566,U1565)=3,AB1583,IF(AND(COUNTIF(U1563:U1566,U1565)=1,U1563&lt;&gt;U1564),IF(M1564=2,IF(SMALL(U1563:U1566,1)=U1565,1,IF(SMALL(U1563:U1566,2)=U1565,2,IF(SMALL(U1563:U1566,3)=U1565,3))),IF(M1566=1,IF(SMALL(U1563:U1566,1)=U1565,2,IF(SMALL(U1563:U1566,2)=U1565,3,IF(SMALL(U1563:U1566,3)=U1565,4))),"")),IF(COUNTIF(U1563:U1566,U1565)=1,IF(U1565&lt;U1564,IF(M1566=2,1,2),IF(M1566=2,3,4)),IF(COUNTIF(U1563:U1566,U1565)=2,IF(U1565=U1564,IF(U1565&lt;U1563,IF(M1566=2,IF(Q1585=3,1,2),IF(M1566=1,IF(Q1585=3,2,3))),IF(U1565&gt;U1563,IF(M1566=2,IF(Q1585=3,2,3),IF(M1566=1,IF(Q1585=3,3,4))))),IF(U1565=U1563,IF(U1565&lt;U1564,IF(M1566=2,IF(Q1576=3,1,2),IF(M1566=1,IF(Q1576=3,2,3))),IF(U1565&gt;U1564,IF(M1566=2,IF(Q1576=3,2,3),IF(M1566=1,IF(Q1576=3,3,4))))))),"")))),"")</f>
        <v/>
      </c>
      <c r="AC1570" s="192"/>
      <c r="AD1570" s="192"/>
      <c r="AE1570" s="192"/>
      <c r="AF1570" s="192"/>
      <c r="AG1570" s="192"/>
      <c r="AH1570" s="192"/>
      <c r="AI1570" s="192"/>
      <c r="AJ1570" s="192"/>
      <c r="AK1570" s="192"/>
      <c r="AL1570" s="192"/>
      <c r="AM1570" s="192"/>
      <c r="AN1570" s="192"/>
      <c r="AO1570" s="192"/>
      <c r="AP1570" s="192"/>
      <c r="AQ1570" s="192"/>
      <c r="AR1570" s="192"/>
      <c r="AS1570" s="192"/>
      <c r="AT1570" s="192"/>
      <c r="AU1570" s="192"/>
      <c r="AV1570" s="192"/>
      <c r="AW1570" s="192"/>
      <c r="AX1570" s="192"/>
    </row>
    <row r="1571" spans="2:50" ht="15" customHeight="1" thickTop="1" thickBot="1" x14ac:dyDescent="0.35">
      <c r="B1571" s="192"/>
      <c r="C1571" s="192"/>
      <c r="D1571" s="192"/>
      <c r="E1571" s="192"/>
      <c r="F1571" s="192"/>
      <c r="G1571" s="192"/>
      <c r="H1571" s="192"/>
      <c r="I1571" s="192"/>
      <c r="J1571" s="192"/>
      <c r="K1571" s="192"/>
      <c r="L1571" s="192"/>
      <c r="M1571" s="192"/>
      <c r="N1571" s="192"/>
      <c r="O1571" s="192"/>
      <c r="P1571" s="192"/>
      <c r="Q1571" s="192"/>
      <c r="R1571" s="192"/>
      <c r="S1571" s="192"/>
      <c r="T1571" s="208">
        <v>1</v>
      </c>
      <c r="U1571" s="209" t="str">
        <f>IF(U1563="","",IF(OR(U1563&lt;&gt;U1564,U1563&lt;&gt;U1565),"",IF(COUNTIF(M1564:M1566,M1564)=1,"",IF(COUNTBLANK(I1564:I1567)=1,(SUM(L1576:P1576)+SUM(L1582:P1582))/(SUM(L1575:P1575)+SUM(L1581:P1581)),IF(COUNTBLANK(I1564:I1567)=0,(SUM(L1588:P1588)+SUM(L1576:P1576))/(SUM(L1587:P1587)+SUM(L1575:P1575)),"")))))</f>
        <v/>
      </c>
      <c r="V1571" s="125" t="str">
        <f>IF(V1563="","",IF(OR(V1563&lt;&gt;V1565,V1563&lt;&gt;V1566),"",IF(AND(COUNTBLANK(I1564:I1567)=0,M1564=M1566,M1566=M1567),(SUM(L1576:P1576)+SUM(L1582:P1582))/(SUM(L1575:P1575)+SUM(L1581:P1581)),"")))</f>
        <v/>
      </c>
      <c r="W1571" s="210" t="str">
        <f>IF(W1563="","",IF(OR(W1563&lt;&gt;W1564,W1563&lt;&gt;W1566),"",IF(AND(COUNTBLANK(I1564:I1567)=0,M1564=M1565,M1565=M1567),(SUM(L1588:P1588)+SUM(L1582:P1582))/(SUM(L1587:P1587)+SUM(L1581:P1581)),"")))</f>
        <v/>
      </c>
      <c r="X1571" s="211"/>
      <c r="Y1571" s="242"/>
      <c r="Z1571" s="242"/>
      <c r="AA1571" s="243">
        <v>1</v>
      </c>
      <c r="AB1571" s="244" t="str">
        <f>IF(AND(COUNTBLANK(I1564:I1567)=0,Group_players=4,M1564=M1566,M1566=M1567),IF(COUNTIF(V1563:V1566,V1563)=3,AB1584,IF(AND(COUNTIF(V1563:V1566,V1563)=1,V1565&lt;&gt;U1574),IF(M1564=2,IF(SMALL(V1563:V1566,1)=V1563,1,IF(SMALL(V1563:V1566,2)=V1563,2,IF(SMALL(V1563:V1566,3)=V1563,3))),IF(M1564=1,IF(SMALL(V1563:V1566,1)=V1563,2,IF(SMALL(V1563:V1566,2)=V1563,3,IF(SMALL(V1563:V1566,3)=V1563,4))),"")),IF(COUNTIF(V1563:V1566,V1563)=1,IF(V1563&lt;V1565,IF(M1564=2,1,2),IF(M1564=2,3,4)),IF(COUNTIF(V1563:V1566,V1563)=2,IF(V1563=V1565,IF(V1563&lt;V1566,IF(M1564=2,IF(Q1575=3,1,2),IF(M1564=1,IF(Q1575=3,2,3))),IF(V1563&gt;V1566,IF(M1564=2,IF(Q1575=3,2,3),IF(M1564=1,IF(Q1575=3,3,4))))),IF(V1563=V1566,IF(V1563&lt;V1565,IF(M1564=2,IF(Q1581=3,1,2),IF(M1564=1,IF(Q1581=3,2,3))),IF(V1563&gt;V1564,IF(M1564=2,IF(Q1581=3,2,3),IF(M1564=1,IF(Q1581=3,3,4))))))),"")))),"")</f>
        <v/>
      </c>
      <c r="AC1571" s="192"/>
      <c r="AD1571" s="192"/>
      <c r="AE1571" s="192"/>
      <c r="AF1571" s="192"/>
      <c r="AG1571" s="192"/>
      <c r="AH1571" s="192"/>
      <c r="AI1571" s="192"/>
      <c r="AJ1571" s="192"/>
      <c r="AK1571" s="192"/>
      <c r="AL1571" s="192"/>
      <c r="AM1571" s="192"/>
      <c r="AN1571" s="192"/>
      <c r="AO1571" s="192"/>
      <c r="AP1571" s="192"/>
      <c r="AQ1571" s="192"/>
      <c r="AR1571" s="192"/>
      <c r="AS1571" s="192"/>
      <c r="AT1571" s="192"/>
      <c r="AU1571" s="192"/>
      <c r="AV1571" s="192"/>
      <c r="AW1571" s="192"/>
      <c r="AX1571" s="192"/>
    </row>
    <row r="1572" spans="2:50" ht="15" customHeight="1" thickTop="1" thickBot="1" x14ac:dyDescent="0.35">
      <c r="B1572" s="192"/>
      <c r="C1572" s="192"/>
      <c r="D1572" s="192"/>
      <c r="E1572" s="117"/>
      <c r="F1572" s="117"/>
      <c r="G1572" s="117"/>
      <c r="H1572" s="192"/>
      <c r="I1572" s="192"/>
      <c r="J1572" s="192"/>
      <c r="K1572" s="192"/>
      <c r="L1572" s="192"/>
      <c r="M1572" s="192"/>
      <c r="N1572" s="192"/>
      <c r="O1572" s="192"/>
      <c r="P1572" s="192"/>
      <c r="Q1572" s="192"/>
      <c r="R1572" s="192"/>
      <c r="S1572" s="394" t="s">
        <v>112</v>
      </c>
      <c r="T1572" s="208">
        <v>2</v>
      </c>
      <c r="U1572" s="209" t="str">
        <f>IF(U1563="","",IF(OR(U1564&lt;&gt;U1563,U1564&lt;&gt;U1565),"",IF(COUNTIF(M1564:M1566,M1565)=1,"",IF(COUNTBLANK(I1564:I1567)=1,(SUM(L1579:P1579)+SUM(L1581:P1581))/(SUM(L1578:P1578)+SUM(L1582:P1582)),IF(COUNTBLANK(I1564:I1567)=0,(SUM(L1587:P1587)+SUM(L1585:P1585))/(SUM(L1588:P1588)+SUM(L1584:P1584)))))))</f>
        <v/>
      </c>
      <c r="V1572" s="135"/>
      <c r="W1572" s="212" t="str">
        <f>IF(W1563="","",IF(OR(W1564&lt;&gt;W1563,W1564&lt;&gt;W1566),"",IF(AND(COUNTBLANK(I1564:I1567)=0,M1564=M1565,M1565=M1567),(SUM(L1579:P1579)+SUM(L1587:P1587))/(SUM(L1588:P1588)+SUM(L1578:P1578)),"")))</f>
        <v/>
      </c>
      <c r="X1572" s="245" t="str">
        <f>IF(X1564="","",IF(OR(X1564&lt;&gt;X1565,X1564&lt;&gt;X1566),"",IF(AND(COUNTBLANK(I1564:I1567)=0,M1565=M1566,M1566=M1567),(SUM(L1585:P1585)+SUM(L1579:P1579))/(SUM(L1584:P1584)+SUM(L1578:P1578)),"")))</f>
        <v/>
      </c>
      <c r="Y1572" s="242"/>
      <c r="Z1572" s="203"/>
      <c r="AA1572" s="246">
        <v>3</v>
      </c>
      <c r="AB1572" s="222" t="str">
        <f>IF(AND(COUNTBLANK(I1564:I1567)=0,Group_players=4,M1564=M1566,M1566=M1567),IF(COUNTIF(V1563:V1566,V1565)=3,AB1585,IF(AND(COUNTIF(V1563:V1566,V1565)=1,V1563&lt;&gt;V1566),IF(M1566=2,IF(SMALL(V1563:V1566,1)=V1565,1,IF(SMALL(V1563:V1566,2)=V1565,2,IF(SMALL(V1563:V1566,3)=V1565,3))),IF(M1566=1,IF(SMALL(V1563:V1566,1)=V1565,2,IF(SMALL(V1563:V1566,2)=V1565,3,IF(SMALL(V1563:V1566,3)=V1565,4))),"")),IF(COUNTIF(V1563:V1566,V1565)=1,IF(V1565&lt;V1563,IF(M1566=2,1,2),IF(M1566=2,3,4)),IF(COUNTIF(V1563:V1566,V1565)=2,IF(V1565=V1563,IF(V1565&lt;V1566,IF(M1566=2,IF(Q1576=3,1,2),IF(M1566=1,IF(Q1576=3,2,3))),IF(V1565&gt;V1566,IF(M1566=2,IF(Q1576=3,2,3),IF(M1566=1,IF(Q1576=3,3,4))))),IF(V1565=V1566,IF(V1565&lt;V1563,IF(M1566=2,IF(Q1590=3,1,2),IF(M1566=1,IF(Q1590=3,2,3))),IF(V1565&gt;V1563,IF(M1566=2,IF(Q1590=3,2,3),IF(M1566=1,IF(Q1590=3,3,4))))))),"")))),"")</f>
        <v/>
      </c>
      <c r="AC1572" s="192"/>
      <c r="AD1572" s="192"/>
      <c r="AE1572" s="192"/>
      <c r="AF1572" s="192"/>
      <c r="AG1572" s="192"/>
      <c r="AH1572" s="192"/>
      <c r="AI1572" s="192"/>
      <c r="AJ1572" s="192"/>
      <c r="AK1572" s="192"/>
      <c r="AL1572" s="192"/>
      <c r="AM1572" s="192"/>
      <c r="AN1572" s="192"/>
      <c r="AO1572" s="192"/>
      <c r="AP1572" s="192"/>
      <c r="AQ1572" s="192"/>
      <c r="AR1572" s="192"/>
      <c r="AS1572" s="192"/>
      <c r="AT1572" s="192"/>
      <c r="AU1572" s="192"/>
      <c r="AV1572" s="192"/>
      <c r="AW1572" s="192"/>
      <c r="AX1572" s="192"/>
    </row>
    <row r="1573" spans="2:50" ht="15" customHeight="1" thickTop="1" thickBot="1" x14ac:dyDescent="0.35">
      <c r="B1573" s="192"/>
      <c r="C1573" s="192"/>
      <c r="D1573" s="192"/>
      <c r="E1573" s="117"/>
      <c r="F1573" s="117"/>
      <c r="G1573" s="117"/>
      <c r="H1573" s="192"/>
      <c r="I1573" s="192"/>
      <c r="J1573" s="192"/>
      <c r="K1573" s="192"/>
      <c r="L1573" s="192"/>
      <c r="M1573" s="192"/>
      <c r="N1573" s="192"/>
      <c r="O1573" s="192"/>
      <c r="P1573" s="192"/>
      <c r="Q1573" s="192"/>
      <c r="R1573" s="247"/>
      <c r="S1573" s="395"/>
      <c r="T1573" s="208">
        <v>3</v>
      </c>
      <c r="U1573" s="209" t="str">
        <f>IF(U1563="","",IF(OR(U1565&lt;&gt;U1563,U1565&lt;&gt;U1564),"",IF(COUNTIF(M1564:M1566,M1566)=1,"",IF(COUNTBLANK(I1564:I1567)=1,(SUM(L1575:P1575)+SUM(L1578:P1578))/(SUM(L1576:P1576)+SUM(L1579:P1579)),IF(COUNTBLANK(I1564:I1567)=0,(SUM(L1575:P1575)+SUM(L1584:P1584))/(SUM(L1576:P1576)+SUM(L1585:P1585)))))))</f>
        <v/>
      </c>
      <c r="V1573" s="125" t="str">
        <f>IF(V1563="","",IF(OR(V1565&lt;&gt;V1563,V1565&lt;&gt;V1566),"",IF(AND(COUNTBLANK(I1564:I1567)=0,M1564=M1566,M1566=M1567),(SUM(L1575:P1575)+SUM(L1591:P1591))/(SUM(L1576:P1576)+SUM(L1590:P1590)),"")))</f>
        <v/>
      </c>
      <c r="W1573" s="218"/>
      <c r="X1573" s="245" t="str">
        <f>IF(X1564="","",IF(OR(X1565&lt;&gt;X1564,X1565&lt;&gt;X1566),"",IF(AND(COUNTBLANK(I1564:I1567)=0,M1565=M1566,M1566=M1567),(SUM(L1584:P1584)+SUM(L1591:P1591))/(SUM(L1585:P1585)+SUM(L1590:P1590)),"")))</f>
        <v/>
      </c>
      <c r="Y1573" s="208"/>
      <c r="Z1573" s="203"/>
      <c r="AA1573" s="240">
        <v>4</v>
      </c>
      <c r="AB1573" s="222" t="str">
        <f>IF(AND(COUNTBLANK(I1564:I1567)=0,Group_players=4,M1564=M1566,M1566=M1567),IF(COUNTIF(V1563:V1566,V1566)=3,AB1586,IF(AND(COUNTIF(V1563:V1566,V1566)=1,V1565&lt;&gt;V1563),IF(M1567=2,IF(SMALL(V1563:V1566,1)=V1566,1,IF(SMALL(V1563:V1566,2)=V1566,2,IF(SMALL(V1563:V1566,3)=V1566,3))),IF(M1567=1,IF(SMALL(V1563:V1566,1)=V1566,2,IF(SMALL(V1563:V1566,2)=V1566,3,IF(SMALL(V1563:V1566,3)=V1566,4))),"")),IF(COUNTIF(V1563:V1566,V1566)=1,IF(V1566&lt;V1563,IF(M1567=2,1,2),IF(M1567=2,3,4)),IF(COUNTIF(V1563:V1566,V1566)=2,IF(V1566=V1563,IF(V1566&lt;V1565,IF(M1567=2,IF(Q1582=3,1,2),IF(M1567=1,IF(Q1582=3,2,3))),IF(V1566&gt;V1565,IF(M1567=2,IF(Q1582=3,2,3),IF(M1567=1,IF(Q1582=3,3,4))))),IF(V1566=V1565,IF(V1566&lt;V1563,IF(M1567=2,IF(Q1591=3,1,2),IF(M1567=1,IF(Q1591=3,2,3))),IF(V1566&gt;V1563,IF(M1567=2,IF(Q1591=3,2,3),IF(M1567=1,IF(Q1591=3,3,4))))))),"")))),"")</f>
        <v/>
      </c>
      <c r="AC1573" s="192"/>
      <c r="AD1573" s="192"/>
      <c r="AE1573" s="192"/>
      <c r="AF1573" s="192"/>
      <c r="AG1573" s="192"/>
      <c r="AH1573" s="192"/>
      <c r="AI1573" s="192"/>
      <c r="AJ1573" s="192"/>
      <c r="AK1573" s="192"/>
      <c r="AL1573" s="192"/>
      <c r="AM1573" s="192"/>
      <c r="AN1573" s="192"/>
      <c r="AO1573" s="192"/>
      <c r="AP1573" s="192"/>
      <c r="AQ1573" s="192"/>
      <c r="AR1573" s="192"/>
      <c r="AS1573" s="192"/>
      <c r="AT1573" s="192"/>
      <c r="AU1573" s="192"/>
      <c r="AV1573" s="192"/>
      <c r="AW1573" s="192"/>
      <c r="AX1573" s="192"/>
    </row>
    <row r="1574" spans="2:50" ht="15" customHeight="1" thickTop="1" thickBot="1" x14ac:dyDescent="0.35">
      <c r="B1574" s="192"/>
      <c r="C1574" s="192"/>
      <c r="D1574" s="192"/>
      <c r="E1574" s="168" t="s">
        <v>113</v>
      </c>
      <c r="F1574" s="168" t="s">
        <v>114</v>
      </c>
      <c r="G1574" s="117"/>
      <c r="H1574" s="192"/>
      <c r="I1574" s="249" t="s">
        <v>115</v>
      </c>
      <c r="J1574" s="249"/>
      <c r="K1574" s="249"/>
      <c r="L1574" s="250" t="s">
        <v>115</v>
      </c>
      <c r="M1574" s="250" t="s">
        <v>116</v>
      </c>
      <c r="N1574" s="250" t="s">
        <v>117</v>
      </c>
      <c r="O1574" s="250" t="s">
        <v>118</v>
      </c>
      <c r="P1574" s="250" t="s">
        <v>119</v>
      </c>
      <c r="Q1574" s="250" t="s">
        <v>120</v>
      </c>
      <c r="R1574" s="250"/>
      <c r="S1574" s="251"/>
      <c r="T1574" s="208">
        <v>4</v>
      </c>
      <c r="U1574" s="223"/>
      <c r="V1574" s="140" t="str">
        <f>IF(V1563="","",IF(OR(V1566&lt;&gt;V1563,V1566&lt;&gt;V1565),"",IF(AND(COUNTBLANK(I1564:I1567)=0,M1564=M1566,M1566=M1567),(SUM(L1581:P1581)+SUM(L1590:P1590))/(SUM(L1582:P1582)+SUM(L1591:P1591)),"")))</f>
        <v/>
      </c>
      <c r="W1574" s="224" t="str">
        <f>IF(W1563="","",IF(OR(W1566&lt;&gt;W1563,W1566&lt;&gt;W1564),"",IF(AND(COUNTBLANK(I1564:I1567)=0,M1564=M1565,M1565=M1567),(SUM(L1581:P1581)+SUM(L1578:P1578))/(SUM(L1582:P1582)+SUM(L1579:P1579)),"")))</f>
        <v/>
      </c>
      <c r="X1574" s="252" t="str">
        <f>IF(X1564="","",IF(OR(X1566&lt;&gt;X1564,X1566&lt;&gt;X1565),"",IF(AND(COUNTBLANK(I1564:I1567)=0,M1565=M1566,M1566=M1567),(SUM(L1578:P1578)+SUM(L1590:P1590))/(SUM(L1579:P1579)+SUM(L1591:P1591)),"")))</f>
        <v/>
      </c>
      <c r="Y1574" s="192"/>
      <c r="Z1574" s="203"/>
      <c r="AA1574" s="243">
        <v>1</v>
      </c>
      <c r="AB1574" s="151" t="str">
        <f>IF(AND(COUNTBLANK(I1564:I1567)=0,Group_players=4,M1564=M1565,M1565=M1567),IF(COUNTIF(W1563:W1566,W1563)=3,AB1587,IF(AND(COUNTIF(W1563:W1566,W1563)=1,W1564&lt;&gt;W1566),IF(M1564=2,IF(SMALL(W1563:W1566,1)=W1563,1,IF(SMALL(W1563:W1566,2)=W1563,2,IF(SMALL(W1563:W1566,3)=W1563,3))),IF(M1564=1,IF(SMALL(W1563:W1566,1)=W1563,2,IF(SMALL(W1563:W1566,2)=W1563,3,IF(SMALL(W1563:W1566,3)=W1563,4))),"")),IF(COUNTIF(W1563:W1566,W1563)=1,IF(W1563&lt;W1564,IF(M1564=2,1,2),IF(M1564=2,3,4)),IF(COUNTIF(W1563:W1566,W1563)=2,IF(W1563=W1564,IF(W1563&lt;W1566,IF(M1564=2,IF(Q1587=3,1,2),IF(M1564=1,IF(Q1587=3,2,3))),IF(W1563&gt;W1566,IF(M1564=2,IF(Q1587=3,2,3),IF(M1564=1,IF(Q1587=3,3,4))))),IF(W1563=W1566,IF(W1563&lt;W1564,IF(M1564=2,IF(Q1581=3,1,2),IF(M1564=1,IF(Q1581=3,2,3))),IF(W1563&gt;W1564,IF(M1564=2,IF(Q1581=3,2,3),IF(M1564=1,IF(Q1581=3,3,4))))))),"")))),"")</f>
        <v/>
      </c>
      <c r="AC1574" s="192"/>
      <c r="AD1574" s="192"/>
      <c r="AE1574" s="192"/>
      <c r="AF1574" s="192"/>
      <c r="AG1574" s="192"/>
      <c r="AH1574" s="192"/>
      <c r="AI1574" s="192"/>
      <c r="AJ1574" s="192"/>
      <c r="AK1574" s="192"/>
      <c r="AL1574" s="192"/>
      <c r="AM1574" s="192"/>
      <c r="AN1574" s="192"/>
      <c r="AO1574" s="192"/>
      <c r="AP1574" s="192"/>
      <c r="AQ1574" s="192"/>
      <c r="AR1574" s="192"/>
      <c r="AS1574" s="192"/>
      <c r="AT1574" s="192"/>
      <c r="AU1574" s="192"/>
      <c r="AV1574" s="192"/>
      <c r="AW1574" s="192"/>
      <c r="AX1574" s="192"/>
    </row>
    <row r="1575" spans="2:50" ht="15" customHeight="1" thickTop="1" x14ac:dyDescent="0.3">
      <c r="B1575" s="192"/>
      <c r="C1575" s="192"/>
      <c r="D1575" s="192"/>
      <c r="E1575" s="164" t="str">
        <f>IF(Q1575="","",IF(Q1575=3,1,0))</f>
        <v/>
      </c>
      <c r="F1575" s="164" t="str">
        <f>IF(Q1575="","",IF(Q1575&lt;3,1,0))</f>
        <v/>
      </c>
      <c r="G1575" s="192"/>
      <c r="H1575" s="192" t="str">
        <f>IF(I1564="","",1)</f>
        <v/>
      </c>
      <c r="I1575" s="192" t="str">
        <f>IF(ISNUMBER(H1575),VLOOKUP(H1575,H1564:I1567,2,TRUE),"")</f>
        <v/>
      </c>
      <c r="J1575" s="192"/>
      <c r="K1575" s="192" t="str">
        <f>VLOOKUP(I1575,I1564:L1567,3,FALSE)</f>
        <v/>
      </c>
      <c r="L1575" s="253"/>
      <c r="M1575" s="254"/>
      <c r="N1575" s="254"/>
      <c r="O1575" s="152"/>
      <c r="P1575" s="153"/>
      <c r="Q1575" s="255" t="str">
        <f>IF(L1575="","",IF(AND(L1575-L1576&gt;1,L1575&gt;10),1,0)+IF(AND(M1575-M1576&gt;1,M1575&gt;10),1,0)+IF(AND(N1575-N1576&gt;1,N1575&gt;10),1,0)+IF(AND(O1575-O1576&gt;1,O1575&gt;10),1,0)+IF(AND(P1575-P1576&gt;1,P1575&gt;10),1,0))</f>
        <v/>
      </c>
      <c r="R1575" s="203" t="str">
        <f>IF(AND(I1575="",I1576=""),"",ABS(VLOOKUP(I1575,I1564:L1567,4,FALSE)-VLOOKUP(I1576,I1564:L1567,4,FALSE)))</f>
        <v/>
      </c>
      <c r="S1575" s="256" t="str">
        <f>IF(R1576="","",IF(Q1575=3,+R1576,-R1576))</f>
        <v/>
      </c>
      <c r="T1575" s="257"/>
      <c r="U1575" s="258"/>
      <c r="V1575" s="258"/>
      <c r="W1575" s="258"/>
      <c r="X1575" s="258"/>
      <c r="Y1575" s="192"/>
      <c r="Z1575" s="203"/>
      <c r="AA1575" s="246">
        <v>2</v>
      </c>
      <c r="AB1575" s="154" t="str">
        <f>IF(AND(COUNTBLANK(I1564:I1567)=0,Group_players=4,M1564=M1565,M1565=M1567),IF(COUNTIF(W1563:W1566,W1564)=3,AB1588,IF(AND(COUNTIF(W1563:W1566,W1564)=1,W1563&lt;&gt;W1565),IF(M1565=2,IF(SMALL(W1563:W1566,1)=W1564,1,IF(SMALL(W1563:W1566,2)=W1564,2,IF(SMALL(W1563:W1566,3)=W1564,3))),IF(M1565=1,IF(SMALL(W1563:W1566,1)=W1564,2,IF(SMALL(W1563:W1566,2)=W1564,3,IF(SMALL(W1563:W1566,3)=W1564,4))),"")),IF(COUNTIF(W1563:W1566,W1564)=1,IF(W1564&lt;W1563,IF(M1565=2,1,2),IF(M1565=2,3,4)),IF(COUNTIF(W1563:W1566,W1564)=2,IF(W1564=W1563,IF(W1564&lt;W1566,IF(M1565=2,IF(Q1588=3,1,2),IF(M1565=1,IF(Q1588=3,2,3))),IF(W1564&gt;W1566,IF(M1565=2,IF(Q1588=3,2,3),IF(M1565=1,IF(Q1588=3,3,4))))),IF(W1564=W1566,IF(W1564&lt;W1563,IF(M1565=2,IF(Q1578=3,1,2),IF(M1565=1,IF(Q1578=3,2,3))),IF(W1564&gt;W1563,IF(M1565=2,IF(Q1578=3,2,3),IF(M1565=1,IF(Q1578=3,3,4))))))),"")))),"")</f>
        <v/>
      </c>
      <c r="AC1575" s="192"/>
      <c r="AD1575" s="192"/>
      <c r="AE1575" s="192"/>
      <c r="AF1575" s="192"/>
      <c r="AG1575" s="192"/>
      <c r="AH1575" s="192"/>
      <c r="AI1575" s="192"/>
      <c r="AJ1575" s="192"/>
      <c r="AK1575" s="192"/>
      <c r="AL1575" s="192"/>
      <c r="AM1575" s="192"/>
      <c r="AN1575" s="192"/>
      <c r="AO1575" s="192"/>
      <c r="AP1575" s="192"/>
      <c r="AQ1575" s="192"/>
      <c r="AR1575" s="192"/>
      <c r="AS1575" s="192"/>
      <c r="AT1575" s="192"/>
      <c r="AU1575" s="192"/>
      <c r="AV1575" s="192"/>
      <c r="AW1575" s="192"/>
      <c r="AX1575" s="192"/>
    </row>
    <row r="1576" spans="2:50" ht="15" customHeight="1" thickBot="1" x14ac:dyDescent="0.35">
      <c r="B1576" s="192"/>
      <c r="C1576" s="192"/>
      <c r="D1576" s="192"/>
      <c r="E1576" s="164" t="str">
        <f>IF(Q1576="","",IF(Q1576=3,1,0))</f>
        <v/>
      </c>
      <c r="F1576" s="164" t="str">
        <f>IF(Q1576="","",IF(Q1576&lt;3,1,0))</f>
        <v/>
      </c>
      <c r="G1576" s="192"/>
      <c r="H1576" s="192" t="str">
        <f>IF(I1565="","",IF(I1566="",2,3))</f>
        <v/>
      </c>
      <c r="I1576" s="192" t="str">
        <f>IF(ISNUMBER(H1576),VLOOKUP(H1576,H1564:I1567,2,TRUE),"")</f>
        <v/>
      </c>
      <c r="J1576" s="192"/>
      <c r="K1576" s="192" t="str">
        <f>VLOOKUP(I1576,I1564:L1567,3,FALSE)</f>
        <v/>
      </c>
      <c r="L1576" s="155"/>
      <c r="M1576" s="259"/>
      <c r="N1576" s="259"/>
      <c r="O1576" s="156"/>
      <c r="P1576" s="157"/>
      <c r="Q1576" s="260" t="str">
        <f>IF(L1576="","",IF(AND(L1576-L1575&gt;1,L1576&gt;10),1,0)+IF(AND(M1576-M1575&gt;1,M1576&gt;10),1,0)+IF(AND(N1576-N1575&gt;1,N1576&gt;10),1,0)+IF(AND(O1576-O1575&gt;1,O1576&gt;10),1,0)+IF(AND(P1576-P1575&gt;1,P1576&gt;10),1,0))</f>
        <v/>
      </c>
      <c r="R1576" s="203" t="str">
        <f>IF(AND(Q1575&lt;&gt;3,Q1576&lt;&gt;3),"",IF(Q1575=3,IF(VLOOKUP(I1575,I1564:L1567,4,FALSE)&gt;VLOOKUP(I1576,I1564:L1567,4,FALSE),VLOOKUP(R1575,Point_dif,2,FALSE),VLOOKUP(R1575,Point_dif,3,FALSE)),IF(Q1576=3,IF(VLOOKUP(I1576,I1564:L1567,4,FALSE)&gt;VLOOKUP(I1575,I1564:L1567,4,FALSE),VLOOKUP(R1575,Point_dif,2,FALSE),VLOOKUP(R1575,Point_dif,3,FALSE)))))</f>
        <v/>
      </c>
      <c r="S1576" s="256" t="str">
        <f>IF(R1576="","",IF(Q1576=3,+R1576,-R1576))</f>
        <v/>
      </c>
      <c r="T1576" s="192"/>
      <c r="U1576" s="235"/>
      <c r="V1576" s="235"/>
      <c r="W1576" s="235"/>
      <c r="X1576" s="235"/>
      <c r="Y1576" s="235"/>
      <c r="Z1576" s="235"/>
      <c r="AA1576" s="240">
        <v>4</v>
      </c>
      <c r="AB1576" s="158" t="str">
        <f>IF(AND(COUNTBLANK(I1564:I1567)=0,Group_players=4,M1564=M1565,M1565=M1567),IF(COUNTIF(W1563:W1566,W1566)=3,AB1589,IF(AND(COUNTIF(W1563:W1566,W1566)=1,W1563&lt;&gt;W1564),IF(M1567=2,IF(SMALL(W1563:W1566,1)=W1566,1,IF(SMALL(W1563:W1566,2)=W1566,2,IF(SMALL(W1563:W1566,3)=W1566,3))),IF(M1567=1,IF(SMALL(W1563:W1566,1)=W1566,2,IF(SMALL(W1563:W1566,2)=W1566,3,IF(SMALL(W1563:W1566,3)=W1566,4))),"")),IF(COUNTIF(W1563:W1566,W1566)=1,IF(W1566&lt;W1563,IF(M1567=2,1,2),IF(M1567=2,3,4)),IF(COUNTIF(W1563:W1566,W1566)=2,IF(W1566=W1563,IF(W1566&lt;W1564,IF(M1567=2,IF(Q1582=3,1,2),IF(M1567=1,IF(Q1582=3,2,3))),IF(W1566&gt;W1565,IF(M1567=2,IF(Q1582=3,2,3),IF(M1567=1,IF(Q1582=3,3,4))))),IF(W1566=W1564,IF(W1566&lt;W1563,IF(M1567=2,IF(Q1579=3,1,2),IF(M1567=1,IF(Q1579=3,2,3))),IF(W1566&gt;W1563,IF(M1567=2,IF(Q1579=3,2,3),IF(M1567=1,IF(Q1579=3,3,4))))))),"")))),"")</f>
        <v/>
      </c>
      <c r="AC1576" s="192"/>
      <c r="AD1576" s="192"/>
      <c r="AE1576" s="192"/>
      <c r="AF1576" s="192"/>
      <c r="AG1576" s="192"/>
      <c r="AH1576" s="192"/>
      <c r="AI1576" s="192"/>
      <c r="AJ1576" s="192"/>
      <c r="AK1576" s="192"/>
      <c r="AL1576" s="192"/>
      <c r="AM1576" s="192"/>
      <c r="AN1576" s="192"/>
      <c r="AO1576" s="192"/>
      <c r="AP1576" s="192"/>
      <c r="AQ1576" s="192"/>
      <c r="AR1576" s="192"/>
      <c r="AS1576" s="192"/>
      <c r="AT1576" s="192"/>
      <c r="AU1576" s="192"/>
      <c r="AV1576" s="192"/>
      <c r="AW1576" s="192"/>
      <c r="AX1576" s="192"/>
    </row>
    <row r="1577" spans="2:50" ht="15" customHeight="1" thickTop="1" thickBot="1" x14ac:dyDescent="0.35">
      <c r="B1577" s="192"/>
      <c r="C1577" s="192"/>
      <c r="D1577" s="192"/>
      <c r="E1577" s="164"/>
      <c r="F1577" s="164"/>
      <c r="G1577" s="192"/>
      <c r="H1577" s="192"/>
      <c r="I1577" s="249" t="s">
        <v>116</v>
      </c>
      <c r="J1577" s="249"/>
      <c r="K1577" s="249"/>
      <c r="L1577" s="250" t="s">
        <v>115</v>
      </c>
      <c r="M1577" s="250" t="s">
        <v>116</v>
      </c>
      <c r="N1577" s="250" t="s">
        <v>117</v>
      </c>
      <c r="O1577" s="250" t="s">
        <v>118</v>
      </c>
      <c r="P1577" s="250" t="s">
        <v>119</v>
      </c>
      <c r="Q1577" s="250" t="s">
        <v>120</v>
      </c>
      <c r="R1577" s="250"/>
      <c r="S1577" s="251"/>
      <c r="T1577" s="192"/>
      <c r="U1577" s="235"/>
      <c r="V1577" s="235"/>
      <c r="W1577" s="235"/>
      <c r="X1577" s="235"/>
      <c r="Y1577" s="235"/>
      <c r="Z1577" s="235"/>
      <c r="AA1577" s="243">
        <v>2</v>
      </c>
      <c r="AB1577" s="151" t="str">
        <f>IF(AND(COUNTBLANK(I1564:I1567)=0,Group_players=4,M1565=M1566,M1566=M1567),IF(COUNTIF(X1563:X1566,X1564)=3,AB1590,IF(AND(COUNTIF(X1563:X1566,X1564)=1,X1565&lt;&gt;X1566),IF(M1565=2,IF(SMALL(X1563:X1566,1)=X1564,1,IF(SMALL(X1563:X1566,2)=X1564,2,IF(SMALL(X1563:X1566,3)=X1564,3))),IF(M1565=1,IF(SMALL(X1563:X1566,1)=X1564,2,IF(SMALL(X1563:X1566,2)=X1564,3,IF(SMALL(X1563:X1566,3)=X1564,4))),"")),IF(COUNTIF(X1563:X1566,X1564)=1,IF(X1564&lt;X1566,IF(M1565=2,1,2),IF(M1565=1,3,3)),IF(COUNTIF(X1563:X1566,X1564)=2,IF(X1564=X1565,IF(X1564&lt;X1566,IF(M1565=2,IF(Q1584=3,1,2),IF(M1565=1,IF(Q1584=3,2,3))),IF(X1564&gt;X1566,IF(M1565=2,IF(Q1584=3,2,3),IF(M1565=1,IF(Q1584=3,3,4))))),IF(X1564=X1566,IF(X1564&lt;X1565,IF(M1565=2,IF(Q1578=3,1,2),IF(M1565=1,IF(Q1578=3,2,3))),IF(X1564&gt;X1565,IF(M1565=2,IF(Q1578=3,2,3),IF(M1565=1,IF(Q1578=3,3,4))))))),"")))),"")</f>
        <v/>
      </c>
      <c r="AC1577" s="192"/>
      <c r="AD1577" s="192"/>
      <c r="AE1577" s="192"/>
      <c r="AF1577" s="192"/>
      <c r="AG1577" s="192"/>
      <c r="AH1577" s="192"/>
      <c r="AI1577" s="192"/>
      <c r="AJ1577" s="192"/>
      <c r="AK1577" s="192"/>
      <c r="AL1577" s="192"/>
      <c r="AM1577" s="192"/>
      <c r="AN1577" s="192"/>
      <c r="AO1577" s="192"/>
      <c r="AP1577" s="192"/>
      <c r="AQ1577" s="192"/>
      <c r="AR1577" s="192"/>
      <c r="AS1577" s="192"/>
      <c r="AT1577" s="192"/>
      <c r="AU1577" s="192"/>
      <c r="AV1577" s="192"/>
      <c r="AW1577" s="192"/>
      <c r="AX1577" s="192"/>
    </row>
    <row r="1578" spans="2:50" ht="15" customHeight="1" thickTop="1" x14ac:dyDescent="0.3">
      <c r="B1578" s="192"/>
      <c r="C1578" s="192"/>
      <c r="D1578" s="192"/>
      <c r="E1578" s="164" t="str">
        <f>IF(Q1578="","",IF(Q1578=3,1,0))</f>
        <v/>
      </c>
      <c r="F1578" s="164" t="str">
        <f>IF(Q1578="","",IF(Q1578&lt;3,1,0))</f>
        <v/>
      </c>
      <c r="G1578" s="192"/>
      <c r="H1578" s="192" t="str">
        <f>IF(I1566="","",2)</f>
        <v/>
      </c>
      <c r="I1578" s="192" t="str">
        <f>IF(ISNUMBER(H1578),VLOOKUP(H1578,H1564:I1567,2,TRUE),"")</f>
        <v/>
      </c>
      <c r="J1578" s="192"/>
      <c r="K1578" s="192" t="str">
        <f>VLOOKUP(I1578,I1564:L1567,3,FALSE)</f>
        <v/>
      </c>
      <c r="L1578" s="253"/>
      <c r="M1578" s="254"/>
      <c r="N1578" s="254"/>
      <c r="O1578" s="152"/>
      <c r="P1578" s="153"/>
      <c r="Q1578" s="255" t="str">
        <f>IF(L1578="","",IF(AND(L1578-L1579&gt;1,L1578&gt;10),1,0)+IF(AND(M1578-M1579&gt;1,M1578&gt;10),1,0)+IF(AND(N1578-N1579&gt;1,N1578&gt;10),1,0)+IF(AND(O1578-O1579&gt;1,O1578&gt;10),1,0)+IF(AND(P1578-P1579&gt;1,P1578&gt;10),1,0))</f>
        <v/>
      </c>
      <c r="R1578" s="203" t="str">
        <f>IF(AND(I1578="",I1579=""),"",ABS(VLOOKUP(I1578,I1564:L1567,4,FALSE)-VLOOKUP(I1579,I1564:L1567,4,FALSE)))</f>
        <v/>
      </c>
      <c r="S1578" s="256" t="str">
        <f>IF(R1579="","",IF(Q1578=3,+R1579,-R1579))</f>
        <v/>
      </c>
      <c r="T1578" s="192"/>
      <c r="U1578" s="235"/>
      <c r="V1578" s="235"/>
      <c r="W1578" s="235"/>
      <c r="X1578" s="235"/>
      <c r="Y1578" s="235"/>
      <c r="Z1578" s="235"/>
      <c r="AA1578" s="246">
        <v>3</v>
      </c>
      <c r="AB1578" s="154" t="str">
        <f>IF(AND(COUNTBLANK(I1564:I1567)=0,Group_players=4,M1565=M1566,M1566=M1567),IF(COUNTIF(X1563:X1566,X1565)=3,AB1591,IF(AND(COUNTIF(X1563:X1566,X1565)=1,X1564&lt;&gt;X1566),IF(M1566=2,IF(SMALL(X1563:X1566,1)=X1565,1,IF(SMALL(X1563:X1566,2)=X1565,2,IF(SMALL(X1563:X1566,3)=X1565,3))),IF(M1566=1,IF(SMALL(X1563:X1566,1)=X1565,2,IF(SMALL(X1563:X1566,2)=X1565,3,IF(SMALL(X1563:X1566,3)=X1565,4))),"")),IF(COUNTIF(X1563:X1566,X1565)=1,IF(X1565&lt;X1564,IF(M1566=2,1,2),IF(M1566=2,3,4)),IF(COUNTIF(X1563:X1566,X1565)=2,IF(X1565=X1564,IF(X1565&lt;X1566,IF(M1566=2,IF(Q1585=3,1,2),IF(M1566=1,IF(Q1585=3,2,3))),IF(X1565&gt;X1566,IF(M1566=2,IF(Q1585=3,2,3),IF(M1566=1,IF(Q1585=3,3,4))))),IF(X1565=X1566,IF(X1565&lt;X1564,IF(M1566=2,IF(Q1590=3,1,2),IF(M1566=1,IF(Q1590=3,2,3))),IF(X1565&gt;X1564,IF(M1566=2,IF(Q1590=3,2,3),IF(M1566=1,IF(Q1590=3,3,4))))))),"")))),"")</f>
        <v/>
      </c>
      <c r="AC1578" s="192"/>
      <c r="AD1578" s="192"/>
      <c r="AE1578" s="192"/>
      <c r="AF1578" s="192"/>
      <c r="AG1578" s="192"/>
      <c r="AH1578" s="192"/>
      <c r="AI1578" s="192"/>
      <c r="AJ1578" s="192"/>
      <c r="AK1578" s="192"/>
      <c r="AL1578" s="192"/>
      <c r="AM1578" s="192"/>
      <c r="AN1578" s="192"/>
      <c r="AO1578" s="192"/>
      <c r="AP1578" s="192"/>
      <c r="AQ1578" s="192"/>
      <c r="AR1578" s="192"/>
      <c r="AS1578" s="192"/>
      <c r="AT1578" s="192"/>
      <c r="AU1578" s="192"/>
      <c r="AV1578" s="192"/>
      <c r="AW1578" s="192"/>
      <c r="AX1578" s="192"/>
    </row>
    <row r="1579" spans="2:50" ht="15" customHeight="1" thickBot="1" x14ac:dyDescent="0.35">
      <c r="B1579" s="192"/>
      <c r="C1579" s="192"/>
      <c r="D1579" s="192"/>
      <c r="E1579" s="164" t="str">
        <f>IF(Q1579="","",IF(Q1579=3,1,0))</f>
        <v/>
      </c>
      <c r="F1579" s="164" t="str">
        <f>IF(Q1579="","",IF(Q1579&lt;3,1,0))</f>
        <v/>
      </c>
      <c r="G1579" s="192"/>
      <c r="H1579" s="192" t="str">
        <f>IF(I1566="","",IF(I1567="",3,4))</f>
        <v/>
      </c>
      <c r="I1579" s="192" t="str">
        <f>IF(ISNUMBER(H1579),VLOOKUP(H1579,H1564:I1567,2,TRUE),"")</f>
        <v/>
      </c>
      <c r="J1579" s="192"/>
      <c r="K1579" s="192" t="str">
        <f>VLOOKUP(I1579,I1564:L1567,3,FALSE)</f>
        <v/>
      </c>
      <c r="L1579" s="155"/>
      <c r="M1579" s="259"/>
      <c r="N1579" s="259"/>
      <c r="O1579" s="156"/>
      <c r="P1579" s="157"/>
      <c r="Q1579" s="260" t="str">
        <f>IF(L1579="","",IF(AND(L1579-L1578&gt;1,L1579&gt;10),1,0)+IF(AND(M1579-M1578&gt;1,M1579&gt;10),1,0)+IF(AND(N1579-N1578&gt;1,N1579&gt;10),1,0)+IF(AND(O1579-O1578&gt;1,O1579&gt;10),1,0)+IF(AND(P1579-P1578&gt;1,P1579&gt;10),1,0))</f>
        <v/>
      </c>
      <c r="R1579" s="203" t="str">
        <f>IF(AND(Q1578&lt;&gt;3,Q1579&lt;&gt;3),"",IF(Q1578=3,IF(VLOOKUP(I1578,I1564:L1567,4,FALSE)&gt;VLOOKUP(I1579,I1564:L1567,4,FALSE),VLOOKUP(R1578,Point_dif,2,FALSE),VLOOKUP(R1578,Point_dif,3,FALSE)),IF(Q1579=3,IF(VLOOKUP(I1579,I1564:L1567,4,FALSE)&gt;VLOOKUP(I1578,I1564:L1567,4,FALSE),VLOOKUP(R1578,Point_dif,2,FALSE),VLOOKUP(R1578,Point_dif,3,FALSE)))))</f>
        <v/>
      </c>
      <c r="S1579" s="256" t="str">
        <f>IF(R1579="","",IF(Q1579=3,+R1579,-R1579))</f>
        <v/>
      </c>
      <c r="T1579" s="192"/>
      <c r="U1579" s="235"/>
      <c r="V1579" s="235"/>
      <c r="W1579" s="235"/>
      <c r="X1579" s="235"/>
      <c r="Y1579" s="235"/>
      <c r="Z1579" s="235"/>
      <c r="AA1579" s="261">
        <v>4</v>
      </c>
      <c r="AB1579" s="158" t="str">
        <f>IF(AND(COUNTBLANK(I1564:I1567)=0,Group_players=4,M1565=M1566,M1566=M1567),IF(COUNTIF(X1563:X1566,X1566)=3,AB1592,IF(AND(COUNTIF(X1563:X1566,X1566)=1,X1565&lt;&gt;X1564),IF(M1567=2,IF(SMALL(X1563:X1566,1)=X1566,1,IF(SMALL(X1563:X1566,2)=X1566,2,IF(SMALL(X1563:X1566,3)=X1566,3))),IF(M1567=1,IF(SMALL(X1563:X1566,1)=X1566,2,IF(SMALL(X1563:X1566,2)=X1566,3,IF(SMALL(X1563:X1566,3)=X1566,4))),"")),IF(COUNTIF(X1563:X1566,X1566)=1,IF(X1566&lt;X1564,IF(M1567=2,1,2),IF(M1567=2,3,4)),IF(COUNTIF(X1563:X1566,X1566)=2,IF(X1566=X1564,IF(X1566&lt;X1565,IF(M1567=2,IF(Q1579=3,1,2),IF(M1567=1,IF(Q1579=3,2,3))),IF(X1566&gt;X1565,IF(M1567=2,IF(Q1579=3,2,3),IF(M1567=1,IF(Q1579=3,3,4))))),IF(X1566=X1565,IF(X1566&lt;X1564,IF(M1567=2,IF(Q1591=3,1,2),IF(M1567=1,IF(Q1591=3,2,3))),IF(X1566&gt;X1564,IF(M1567=2,IF(Q1591=3,2,3),IF(M1567=1,IF(Q1591=3,3,4))))))),"")))),"")</f>
        <v/>
      </c>
      <c r="AC1579" s="192"/>
      <c r="AD1579" s="192"/>
      <c r="AE1579" s="192"/>
      <c r="AF1579" s="192"/>
      <c r="AG1579" s="192"/>
      <c r="AH1579" s="192"/>
      <c r="AI1579" s="192"/>
      <c r="AJ1579" s="192"/>
      <c r="AK1579" s="192"/>
      <c r="AL1579" s="192"/>
      <c r="AM1579" s="192"/>
      <c r="AN1579" s="192"/>
      <c r="AO1579" s="192"/>
      <c r="AP1579" s="192"/>
      <c r="AQ1579" s="192"/>
      <c r="AR1579" s="192"/>
      <c r="AS1579" s="192"/>
      <c r="AT1579" s="192"/>
      <c r="AU1579" s="192"/>
      <c r="AV1579" s="192"/>
      <c r="AW1579" s="192"/>
      <c r="AX1579" s="192"/>
    </row>
    <row r="1580" spans="2:50" ht="15" customHeight="1" thickTop="1" thickBot="1" x14ac:dyDescent="0.35">
      <c r="B1580" s="192"/>
      <c r="C1580" s="192"/>
      <c r="D1580" s="192"/>
      <c r="E1580" s="164"/>
      <c r="F1580" s="164"/>
      <c r="G1580" s="192"/>
      <c r="H1580" s="192"/>
      <c r="I1580" s="249" t="s">
        <v>117</v>
      </c>
      <c r="J1580" s="249"/>
      <c r="K1580" s="249"/>
      <c r="L1580" s="250" t="s">
        <v>115</v>
      </c>
      <c r="M1580" s="250" t="s">
        <v>116</v>
      </c>
      <c r="N1580" s="250" t="s">
        <v>117</v>
      </c>
      <c r="O1580" s="250" t="s">
        <v>118</v>
      </c>
      <c r="P1580" s="250" t="s">
        <v>119</v>
      </c>
      <c r="Q1580" s="250" t="s">
        <v>120</v>
      </c>
      <c r="R1580" s="250"/>
      <c r="S1580" s="251"/>
      <c r="T1580" s="263"/>
      <c r="U1580" s="264"/>
      <c r="V1580" s="242"/>
      <c r="W1580" s="242"/>
      <c r="X1580" s="264"/>
      <c r="Y1580" s="192"/>
      <c r="Z1580" s="203"/>
      <c r="AA1580" s="126" t="s">
        <v>93</v>
      </c>
      <c r="AB1580" s="265" t="s">
        <v>110</v>
      </c>
      <c r="AC1580" s="192"/>
      <c r="AD1580" s="192"/>
      <c r="AE1580" s="192"/>
      <c r="AF1580" s="192"/>
      <c r="AG1580" s="192"/>
      <c r="AH1580" s="192"/>
      <c r="AI1580" s="192"/>
      <c r="AJ1580" s="192"/>
      <c r="AK1580" s="192"/>
      <c r="AL1580" s="192"/>
      <c r="AM1580" s="192"/>
      <c r="AN1580" s="192"/>
      <c r="AO1580" s="192"/>
      <c r="AP1580" s="192"/>
      <c r="AQ1580" s="192"/>
      <c r="AR1580" s="192"/>
      <c r="AS1580" s="192"/>
      <c r="AT1580" s="192"/>
      <c r="AU1580" s="192"/>
      <c r="AV1580" s="192"/>
      <c r="AW1580" s="192"/>
      <c r="AX1580" s="192"/>
    </row>
    <row r="1581" spans="2:50" ht="15" customHeight="1" thickTop="1" x14ac:dyDescent="0.3">
      <c r="B1581" s="192"/>
      <c r="C1581" s="192"/>
      <c r="D1581" s="192"/>
      <c r="E1581" s="164" t="str">
        <f>IF(Q1581="","",IF(Q1581=3,1,0))</f>
        <v/>
      </c>
      <c r="F1581" s="164" t="str">
        <f>IF(Q1581="","",IF(Q1581&lt;3,1,0))</f>
        <v/>
      </c>
      <c r="G1581" s="192"/>
      <c r="H1581" s="192" t="str">
        <f>IF(I1566&lt;&gt;"",1,"")</f>
        <v/>
      </c>
      <c r="I1581" s="192" t="str">
        <f>IF(ISNUMBER(H1581),VLOOKUP(H1581,H1564:I1567,2,TRUE),"")</f>
        <v/>
      </c>
      <c r="J1581" s="192"/>
      <c r="K1581" s="192" t="str">
        <f>VLOOKUP(I1581,I1564:L1567,3,FALSE)</f>
        <v/>
      </c>
      <c r="L1581" s="253"/>
      <c r="M1581" s="254"/>
      <c r="N1581" s="254"/>
      <c r="O1581" s="152"/>
      <c r="P1581" s="153"/>
      <c r="Q1581" s="255" t="str">
        <f>IF(L1581="","",IF(AND(L1581-L1582&gt;1,L1581&gt;10),1,0)+IF(AND(M1581-M1582&gt;1,M1581&gt;10),1,0)+IF(AND(N1581-N1582&gt;1,N1581&gt;10),1,0)+IF(AND(O1581-O1582&gt;1,O1581&gt;10),1,0)+IF(AND(P1581-P1582&gt;1,P1581&gt;10),1,0))</f>
        <v/>
      </c>
      <c r="R1581" s="203" t="str">
        <f>IF(AND(I1581="",I1582=""),"",ABS(VLOOKUP(I1581,I1564:L1567,4,FALSE)-VLOOKUP(I1582,I1564:L1567,4,FALSE)))</f>
        <v/>
      </c>
      <c r="S1581" s="256" t="str">
        <f>IF(R1582="","",IF(Q1581=3,+R1582,-R1582))</f>
        <v/>
      </c>
      <c r="T1581" s="192"/>
      <c r="U1581" s="235"/>
      <c r="V1581" s="235"/>
      <c r="W1581" s="235"/>
      <c r="X1581" s="235"/>
      <c r="Y1581" s="235"/>
      <c r="Z1581" s="235"/>
      <c r="AA1581" s="243">
        <v>1</v>
      </c>
      <c r="AB1581" s="222" t="str">
        <f>IF(AND(COUNTBLANK(I1564:I1567)=0,Group_players=4,M1564=M1565,M1565=M1566),IF(U1571="","",IF(COUNTIF(U1571:U1574,U1571)=3,"Tied",IF(AND(COUNTIF(U1571:U1574,U1571)=1,U1572&lt;&gt;U1573),IF(M1564=2,IF(SMALL(U1571:U1574,1)=U1571,1,IF(SMALL(U1571:U1574,2)=U1571,2,IF(SMALL(U1571:U1574,3)=U1571,3))),IF(M1564=1,IF(SMALL(U1571:U1574,1)=U1571,2,IF(SMALL(U1571:U1574,2)=U1571,3,IF(SMALL(U1571:U1574,3)=U1571,4))),"")),IF(COUNTIF(U1571:U1574,U1571)=1,IF(U1571&lt;U1572,IF(M1564=2,1,2),IF(M1564=2,3,4)),IF(COUNTIF(U1571:U1574,U1571)=2,IF(U1571=U1572,IF(U1571&lt;U1573,IF(M1564=2,IF(Q1587=3,1,2),IF(M1564=1,IF(Q1587=3,2,3))),IF(U1571&gt;U1573,IF(M1564=2,IF(Q1587=3,2,3),IF(M1564=1,IF(Q1587=3,3,4))))),IF(U1571=U1573,IF(U1571&lt;U1572,IF(M1564=2,IF(Q1575=3,1,2),IF(M1564=1,IF(Q1575=3,2,3))),IF(U1571&gt;U1572,IF(M1564=2,IF(Q1575=3,2,3),IF(M1564=1,IF(Q1575=3,3,4)))))))))))),"")</f>
        <v/>
      </c>
      <c r="AC1581" s="192"/>
      <c r="AD1581" s="192"/>
      <c r="AE1581" s="192"/>
      <c r="AF1581" s="192"/>
      <c r="AG1581" s="192"/>
      <c r="AH1581" s="192"/>
      <c r="AI1581" s="192"/>
      <c r="AJ1581" s="192"/>
      <c r="AK1581" s="192"/>
      <c r="AL1581" s="192"/>
      <c r="AM1581" s="192"/>
      <c r="AN1581" s="192"/>
      <c r="AO1581" s="192"/>
      <c r="AP1581" s="192"/>
      <c r="AQ1581" s="192"/>
      <c r="AR1581" s="192"/>
      <c r="AS1581" s="192"/>
      <c r="AT1581" s="192"/>
      <c r="AU1581" s="192"/>
      <c r="AV1581" s="192"/>
      <c r="AW1581" s="192"/>
      <c r="AX1581" s="192"/>
    </row>
    <row r="1582" spans="2:50" ht="15" customHeight="1" thickBot="1" x14ac:dyDescent="0.35">
      <c r="B1582" s="192"/>
      <c r="C1582" s="192"/>
      <c r="D1582" s="192"/>
      <c r="E1582" s="164" t="str">
        <f>IF(Q1582="","",IF(Q1582=3,1,0))</f>
        <v/>
      </c>
      <c r="F1582" s="164" t="str">
        <f>IF(Q1582="","",IF(Q1582&lt;3,1,0))</f>
        <v/>
      </c>
      <c r="G1582" s="192"/>
      <c r="H1582" s="192" t="str">
        <f>IF(I1566="","",IF(I1567&lt;&gt;"",4,2))</f>
        <v/>
      </c>
      <c r="I1582" s="192" t="str">
        <f>IF(ISNUMBER(H1582),VLOOKUP(H1582,H1564:I1567,2,TRUE),"")</f>
        <v/>
      </c>
      <c r="J1582" s="192"/>
      <c r="K1582" s="192" t="str">
        <f>VLOOKUP(I1582,I1564:L1567,3,FALSE)</f>
        <v/>
      </c>
      <c r="L1582" s="155"/>
      <c r="M1582" s="259"/>
      <c r="N1582" s="259"/>
      <c r="O1582" s="156"/>
      <c r="P1582" s="157"/>
      <c r="Q1582" s="260" t="str">
        <f>IF(L1582="","",IF(AND(L1582-L1581&gt;1,L1582&gt;10),1,0)+IF(AND(M1582-M1581&gt;1,M1582&gt;10),1,0)+IF(AND(N1582-N1581&gt;1,N1582&gt;10),1,0)+IF(AND(O1582-O1581&gt;1,O1582&gt;10),1,0)+IF(AND(P1582-P1581&gt;1,P1582&gt;10),1,0))</f>
        <v/>
      </c>
      <c r="R1582" s="203" t="str">
        <f>IF(AND(Q1581&lt;&gt;3,Q1582&lt;&gt;3),"",IF(Q1581=3,IF(VLOOKUP(I1581,I1564:L1567,4,FALSE)&gt;VLOOKUP(I1582,I1564:L1567,4,FALSE),VLOOKUP(R1581,Point_dif,2,FALSE),VLOOKUP(R1581,Point_dif,3,FALSE)),IF(Q1582=3,IF(VLOOKUP(I1582,I1564:L1567,4,FALSE)&gt;VLOOKUP(I1581,I1564:L1567,4,FALSE),VLOOKUP(R1581,Point_dif,2,FALSE),VLOOKUP(R1581,Point_dif,3,FALSE)))))</f>
        <v/>
      </c>
      <c r="S1582" s="256" t="str">
        <f>IF(R1582="","",IF(Q1582=3,+R1582,-R1582))</f>
        <v/>
      </c>
      <c r="T1582" s="192"/>
      <c r="U1582" s="235"/>
      <c r="V1582" s="235"/>
      <c r="W1582" s="235"/>
      <c r="X1582" s="235"/>
      <c r="Y1582" s="235"/>
      <c r="Z1582" s="235"/>
      <c r="AA1582" s="246">
        <v>2</v>
      </c>
      <c r="AB1582" s="222" t="str">
        <f>IF(AND(COUNTBLANK(I1564:I1567)=0,Group_players=4,M1564=M1565,M1565=M1566),IF(U1572="","",IF(COUNTIF(U1571:U1574,U1572)=3,"Tied",IF(AND(COUNTIF(U1571:U1574,U1572)=1,U1571&lt;&gt;U1573),IF(M1565=2,IF(SMALL(U1571:U1574,1)=U1572,1,IF(SMALL(U1571:U1574,2)=U1572,2,IF(SMALL(U1571:U1574,3)=U1572,3))),IF(M1565=1,IF(SMALL(U1571:U1574,1)=U1572,2,IF(SMALL(U1571:U1574,2)=U1572,3,IF(SMALL(U1571:U1574,3)=U1572,4))),"")),IF(COUNTIF(U1571:U1574,U1572)=1,IF(U1572&lt;U1571,IF(M1565=2,1,2),IF(M1565=2,3,4)),IF(COUNTIF(U1571:U1574,U1572)=2,IF(U1572=U1571,IF(U1572&lt;U1573,IF(M1565=2,IF(Q1588=3,1,2),IF(M1565=1,IF(Q1588=3,2,3))),IF(U1572&gt;U1573,IF(M1565=2,IF(Q1588=3,2,3),IF(M1565=1,IF(Q1588=3,3,4))))),IF(U1572=U1573,IF(U1572&lt;U1571,IF(M1565=2,IF(Q1584=3,1,2),IF(M1565=1,IF(Q1584=3,2,3))),IF(U1572&gt;U1571,IF(M1565=2,IF(Q1584=3,2,3),IF(M1565=1,IF(Q1584=3,3,4)))))))))))),"")</f>
        <v/>
      </c>
      <c r="AC1582" s="192"/>
      <c r="AD1582" s="192"/>
      <c r="AE1582" s="192"/>
      <c r="AF1582" s="192"/>
      <c r="AG1582" s="192"/>
      <c r="AH1582" s="192"/>
      <c r="AI1582" s="192"/>
      <c r="AJ1582" s="192"/>
      <c r="AK1582" s="192"/>
      <c r="AL1582" s="192"/>
      <c r="AM1582" s="192"/>
      <c r="AN1582" s="192"/>
      <c r="AO1582" s="192"/>
      <c r="AP1582" s="192"/>
      <c r="AQ1582" s="192"/>
      <c r="AR1582" s="192"/>
      <c r="AS1582" s="192"/>
      <c r="AT1582" s="192"/>
      <c r="AU1582" s="192"/>
      <c r="AV1582" s="192"/>
      <c r="AW1582" s="192"/>
      <c r="AX1582" s="192"/>
    </row>
    <row r="1583" spans="2:50" ht="15" customHeight="1" thickTop="1" thickBot="1" x14ac:dyDescent="0.35">
      <c r="B1583" s="192"/>
      <c r="C1583" s="192"/>
      <c r="D1583" s="192"/>
      <c r="E1583" s="164"/>
      <c r="F1583" s="164"/>
      <c r="G1583" s="192"/>
      <c r="H1583" s="192"/>
      <c r="I1583" s="249" t="s">
        <v>118</v>
      </c>
      <c r="J1583" s="249"/>
      <c r="K1583" s="249"/>
      <c r="L1583" s="250" t="s">
        <v>115</v>
      </c>
      <c r="M1583" s="250" t="s">
        <v>116</v>
      </c>
      <c r="N1583" s="250" t="s">
        <v>117</v>
      </c>
      <c r="O1583" s="250" t="s">
        <v>118</v>
      </c>
      <c r="P1583" s="250" t="s">
        <v>119</v>
      </c>
      <c r="Q1583" s="250" t="s">
        <v>120</v>
      </c>
      <c r="R1583" s="250"/>
      <c r="S1583" s="251"/>
      <c r="T1583" s="192"/>
      <c r="U1583" s="235"/>
      <c r="V1583" s="235"/>
      <c r="W1583" s="235"/>
      <c r="X1583" s="235"/>
      <c r="Y1583" s="235"/>
      <c r="Z1583" s="235"/>
      <c r="AA1583" s="240">
        <v>3</v>
      </c>
      <c r="AB1583" s="241" t="str">
        <f>IF(AND(COUNTBLANK(I1564:I1567)=0,Group_players=4,M1564=M1565,M1565=M1566),IF(U1573="","",IF(COUNTIF(U1571:U1574,U1573)=3,"Tied",IF(AND(COUNTIF(U1571:U1574,U1573)=1,U1571&lt;&gt;U1572),IF(M1564=2,IF(SMALL(U1571:U1574,1)=U1573,1,IF(SMALL(U1571:U1574,2)=U1573,2,IF(SMALL(U1571:U1574,3)=U1573,3))),IF(M1566=1,IF(SMALL(U1571:U1574,1)=U1573,2,IF(SMALL(U1571:U1574,2)=U1573,3,IF(SMALL(U1571:U1574,3)=U1573,4))),"")),IF(COUNTIF(U1571:U1574,U1573)=1,IF(U1573&lt;U1572,IF(M1566=2,1,2),IF(M1566=2,3,4)),IF(COUNTIF(U1571:U1574,U1573)=2,IF(U1573=U1572,IF(U1573&lt;U1571,IF(M1566=2,IF(Q1585=3,1,2),IF(M1566=1,IF(Q1585=3,2,3))),IF(U1573&gt;U1571,IF(M1566=2,IF(Q1585=3,2,3),IF(M1566=1,IF(Q1585=3,3,4))))),IF(U1573=U1571,IF(U1573&lt;U1572,IF(M1566=2,IF(Q1576=3,1,2),IF(M1566=1,IF(Q1576=3,2,3))),IF(U1573&gt;U1572,IF(M1566=2,IF(Q1576=3,2,3),IF(M1566=1,IF(Q1576=3,3,4)))))))))))),"")</f>
        <v/>
      </c>
      <c r="AC1583" s="192"/>
      <c r="AD1583" s="192"/>
      <c r="AE1583" s="192"/>
      <c r="AF1583" s="192"/>
      <c r="AG1583" s="192"/>
      <c r="AH1583" s="192"/>
      <c r="AI1583" s="192"/>
      <c r="AJ1583" s="192"/>
      <c r="AK1583" s="192"/>
      <c r="AL1583" s="192"/>
      <c r="AM1583" s="192"/>
      <c r="AN1583" s="192"/>
      <c r="AO1583" s="192"/>
      <c r="AP1583" s="192"/>
      <c r="AQ1583" s="192"/>
      <c r="AR1583" s="192"/>
      <c r="AS1583" s="192"/>
      <c r="AT1583" s="192"/>
      <c r="AU1583" s="192"/>
      <c r="AV1583" s="192"/>
      <c r="AW1583" s="192"/>
      <c r="AX1583" s="192"/>
    </row>
    <row r="1584" spans="2:50" ht="15" customHeight="1" thickTop="1" x14ac:dyDescent="0.3">
      <c r="B1584" s="192"/>
      <c r="C1584" s="192"/>
      <c r="D1584" s="192"/>
      <c r="E1584" s="164" t="str">
        <f>IF(Q1584="","",IF(Q1584=3,1,0))</f>
        <v/>
      </c>
      <c r="F1584" s="164" t="str">
        <f>IF(Q1584="","",IF(Q1584&lt;3,1,0))</f>
        <v/>
      </c>
      <c r="G1584" s="192"/>
      <c r="H1584" s="192" t="str">
        <f>IF(I1567&lt;&gt;"",2,"")</f>
        <v/>
      </c>
      <c r="I1584" s="192" t="str">
        <f>IF(ISNUMBER(H1584),VLOOKUP(H1584,H1564:I1567,2,TRUE),"")</f>
        <v/>
      </c>
      <c r="J1584" s="192"/>
      <c r="K1584" s="192" t="str">
        <f>VLOOKUP(I1584,I1564:L1567,3,FALSE)</f>
        <v/>
      </c>
      <c r="L1584" s="253"/>
      <c r="M1584" s="254"/>
      <c r="N1584" s="254"/>
      <c r="O1584" s="152"/>
      <c r="P1584" s="153"/>
      <c r="Q1584" s="255" t="str">
        <f>IF(L1584="","",IF(AND(L1584-L1585&gt;1,L1584&gt;10),1,0)+IF(AND(M1584-M1585&gt;1,M1584&gt;10),1,0)+IF(AND(N1584-N1585&gt;1,N1584&gt;10),1,0)+IF(AND(O1584-O1585&gt;1,O1584&gt;10),1,0)+IF(AND(P1584-P1585&gt;1,P1584&gt;10),1,0))</f>
        <v/>
      </c>
      <c r="R1584" s="203" t="str">
        <f>IF(AND(I1584="",I1585=""),"",ABS(VLOOKUP(I1584,I1564:L1567,4,FALSE)-VLOOKUP(I1585,I1564:L1567,4,FALSE)))</f>
        <v/>
      </c>
      <c r="S1584" s="256" t="str">
        <f>IF(R1585="","",IF(Q1584=3,+R1585,-R1585))</f>
        <v/>
      </c>
      <c r="T1584" s="192"/>
      <c r="U1584" s="235"/>
      <c r="V1584" s="235"/>
      <c r="W1584" s="235"/>
      <c r="X1584" s="235"/>
      <c r="Y1584" s="235"/>
      <c r="Z1584" s="235"/>
      <c r="AA1584" s="243">
        <v>1</v>
      </c>
      <c r="AB1584" s="222" t="str">
        <f>IF(AND(COUNTBLANK(I1564:I1567)=0,Group_players=4,M1564=M1566,M1566=M1567),IF(V1571="","",IF(COUNTIF(V1571:V1574,V1571)=3,"Tied",IF(AND(COUNTIF(V1571:V1574,V1571)=1,V1573&lt;&gt;U1574),IF(M1564=2,IF(SMALL(V1571:V1574,1)=V1571,1,IF(SMALL(V1571:V1574,2)=V1571,2,IF(SMALL(V1571:V1574,3)=V1571,3))),IF(M1564=1,IF(SMALL(V1571:V1574,1)=V1571,2,IF(SMALL(V1571:V1574,2)=V1571,3,IF(SMALL(V1571:V1574,3)=V1571,4))),"")),IF(COUNTIF(V1571:V1574,V1571)=1,IF(V1571&lt;V1573,IF(M1564=2,1,2),IF(M1564=2,3,4)),IF(COUNTIF(V1571:V1574,V1571)=2,IF(V1571=V1573,IF(V1571&lt;V1574,IF(M1564=2,IF(Q1575=3,1,2),IF(M1564=1,IF(Q1575=3,2,3))),IF(V1571&gt;V1574,IF(M1564=2,IF(Q1575=3,2,3),IF(M1564=1,IF(Q1575=3,3,4))))),IF(V1571=V1574,IF(V1571&lt;V1573,IF(M1564=2,IF(Q1581=3,1,2),IF(M1564=1,IF(Q1581=3,2,3))),IF(V1571&gt;V1572,IF(M1564=2,IF(Q1581=3,2,3),IF(M1564=1,IF(Q1581=3,3,4)))))))))))),"")</f>
        <v/>
      </c>
      <c r="AC1584" s="192"/>
      <c r="AD1584" s="192"/>
      <c r="AE1584" s="192"/>
      <c r="AF1584" s="192"/>
      <c r="AG1584" s="192"/>
      <c r="AH1584" s="192"/>
      <c r="AI1584" s="192"/>
      <c r="AJ1584" s="192"/>
      <c r="AK1584" s="192"/>
      <c r="AL1584" s="192"/>
      <c r="AM1584" s="192"/>
      <c r="AN1584" s="192"/>
      <c r="AO1584" s="192"/>
      <c r="AP1584" s="192"/>
      <c r="AQ1584" s="192"/>
      <c r="AR1584" s="192"/>
      <c r="AS1584" s="192"/>
      <c r="AT1584" s="192"/>
      <c r="AU1584" s="192"/>
      <c r="AV1584" s="192"/>
      <c r="AW1584" s="192"/>
      <c r="AX1584" s="192"/>
    </row>
    <row r="1585" spans="2:50" ht="15" customHeight="1" thickBot="1" x14ac:dyDescent="0.35">
      <c r="B1585" s="192"/>
      <c r="C1585" s="192"/>
      <c r="D1585" s="192"/>
      <c r="E1585" s="164" t="str">
        <f>IF(Q1585="","",IF(Q1585=3,1,0))</f>
        <v/>
      </c>
      <c r="F1585" s="164" t="str">
        <f>IF(Q1585="","",IF(Q1585&lt;3,1,0))</f>
        <v/>
      </c>
      <c r="G1585" s="192"/>
      <c r="H1585" s="192" t="str">
        <f>IF(I1567&lt;&gt;"",3,"")</f>
        <v/>
      </c>
      <c r="I1585" s="192" t="str">
        <f>IF(ISNUMBER(H1585),VLOOKUP(H1585,H1564:I1567,2,TRUE),"")</f>
        <v/>
      </c>
      <c r="J1585" s="192"/>
      <c r="K1585" s="192" t="str">
        <f>VLOOKUP(I1585,I1564:L1567,3,FALSE)</f>
        <v/>
      </c>
      <c r="L1585" s="155"/>
      <c r="M1585" s="259"/>
      <c r="N1585" s="259"/>
      <c r="O1585" s="156"/>
      <c r="P1585" s="157"/>
      <c r="Q1585" s="260" t="str">
        <f>IF(L1585="","",IF(AND(L1585-L1584&gt;1,L1585&gt;10),1,0)+IF(AND(M1585-M1584&gt;1,M1585&gt;10),1,0)+IF(AND(N1585-N1584&gt;1,N1585&gt;10),1,0)+IF(AND(O1585-O1584&gt;1,O1585&gt;10),1,0)+IF(AND(P1585-P1584&gt;1,P1585&gt;10),1,0))</f>
        <v/>
      </c>
      <c r="R1585" s="203" t="str">
        <f>IF(AND(Q1584&lt;&gt;3,Q1585&lt;&gt;3),"",IF(Q1584=3,IF(VLOOKUP(I1584,I1564:L1567,4,FALSE)&gt;VLOOKUP(I1585,I1564:L1567,4,FALSE),VLOOKUP(R1584,Point_dif,2,FALSE),VLOOKUP(R1584,Point_dif,3,FALSE)),IF(Q1585=3,IF(VLOOKUP(I1585,I1564:L1567,4,FALSE)&gt;VLOOKUP(I1584,I1564:L1567,4,FALSE),VLOOKUP(R1584,Point_dif,2,FALSE),VLOOKUP(R1584,Point_dif,3,FALSE)))))</f>
        <v/>
      </c>
      <c r="S1585" s="256" t="str">
        <f>IF(R1585="","",IF(Q1585=3,+R1585,-R1585))</f>
        <v/>
      </c>
      <c r="T1585" s="192"/>
      <c r="U1585" s="159"/>
      <c r="V1585" s="266"/>
      <c r="W1585" s="266"/>
      <c r="X1585" s="266"/>
      <c r="Y1585" s="192"/>
      <c r="Z1585" s="203"/>
      <c r="AA1585" s="246">
        <v>3</v>
      </c>
      <c r="AB1585" s="222" t="str">
        <f>IF(AND(COUNTBLANK(I1564:I1567)=0,Group_players=4,M1564=M1566,M1566=M1567),IF(V1573="","",IF(COUNTIF(V1571:V1574,V1573)=3,"Tied",IF(AND(COUNTIF(V1571:V1574,V1573)=1,V1571&lt;&gt;V1574),IF(M1566=2,IF(SMALL(V1571:V1574,1)=V1573,1,IF(SMALL(V1571:V1574,2)=V1573,2,IF(SMALL(V1571:V1574,3)=V1573,3))),IF(M1566=1,IF(SMALL(V1571:V1574,1)=V1573,2,IF(SMALL(V1571:V1574,2)=V1573,3,IF(SMALL(V1571:V1574,3)=V1573,4))),"")),IF(COUNTIF(V1571:V1574,V1573)=1,IF(V1573&lt;V1571,IF(M1566=2,1,2),IF(M1566=2,3,4)),IF(COUNTIF(V1571:V1574,V1573)=2,IF(V1573=V1571,IF(V1573&lt;V1574,IF(M1566=2,IF(Q1576=3,1,2),IF(M1566=1,IF(Q1576=3,2,3))),IF(V1573&gt;V1574,IF(M1566=2,IF(Q1576=3,2,3),IF(M1566=1,IF(Q1576=3,3,4))))),IF(V1573=V1574,IF(V1573&lt;V1571,IF(M1566=2,IF(Q1590=3,1,2),IF(M1566=1,IF(Q1590=3,2,3))),IF(V1573&gt;V1571,IF(M1566=2,IF(Q1590=3,2,3),IF(M1566=1,IF(Q1590=3,3,4)))))))))))),"")</f>
        <v/>
      </c>
      <c r="AC1585" s="192"/>
      <c r="AD1585" s="192"/>
      <c r="AE1585" s="192"/>
      <c r="AF1585" s="192"/>
      <c r="AG1585" s="192"/>
      <c r="AH1585" s="192"/>
      <c r="AI1585" s="192"/>
      <c r="AJ1585" s="192"/>
      <c r="AK1585" s="192"/>
      <c r="AL1585" s="192"/>
      <c r="AM1585" s="192"/>
      <c r="AN1585" s="192"/>
      <c r="AO1585" s="192"/>
      <c r="AP1585" s="192"/>
      <c r="AQ1585" s="192"/>
      <c r="AR1585" s="192"/>
      <c r="AS1585" s="192"/>
      <c r="AT1585" s="192"/>
      <c r="AU1585" s="192"/>
      <c r="AV1585" s="192"/>
      <c r="AW1585" s="192"/>
      <c r="AX1585" s="192"/>
    </row>
    <row r="1586" spans="2:50" ht="15" customHeight="1" thickTop="1" thickBot="1" x14ac:dyDescent="0.35">
      <c r="B1586" s="192"/>
      <c r="C1586" s="192"/>
      <c r="D1586" s="192"/>
      <c r="E1586" s="164"/>
      <c r="F1586" s="164"/>
      <c r="G1586" s="192"/>
      <c r="H1586" s="192"/>
      <c r="I1586" s="249" t="s">
        <v>119</v>
      </c>
      <c r="J1586" s="249"/>
      <c r="K1586" s="249"/>
      <c r="L1586" s="250" t="s">
        <v>115</v>
      </c>
      <c r="M1586" s="250" t="s">
        <v>116</v>
      </c>
      <c r="N1586" s="250" t="s">
        <v>117</v>
      </c>
      <c r="O1586" s="250" t="s">
        <v>118</v>
      </c>
      <c r="P1586" s="250" t="s">
        <v>119</v>
      </c>
      <c r="Q1586" s="250" t="s">
        <v>120</v>
      </c>
      <c r="R1586" s="250"/>
      <c r="S1586" s="251"/>
      <c r="T1586" s="247"/>
      <c r="U1586" s="235"/>
      <c r="V1586" s="235"/>
      <c r="W1586" s="235"/>
      <c r="X1586" s="235"/>
      <c r="Y1586" s="235"/>
      <c r="Z1586" s="235"/>
      <c r="AA1586" s="240">
        <v>4</v>
      </c>
      <c r="AB1586" s="241" t="str">
        <f>IF(AND(COUNTBLANK(I1564:I1567)=0,Group_players=4,M1564=M1566,M1566=M1567),IF(V1574="","",IF(COUNTIF(V1571:V1574,V1574)=3,"Tied",IF(AND(COUNTIF(V1571:V1574,V1574)=1,V1573&lt;&gt;V1571),IF(M1567=2,IF(SMALL(V1571:V1574,1)=V1574,1,IF(SMALL(V1571:V1574,2)=V1574,2,IF(SMALL(V1571:V1574,3)=V1574,3))),IF(M1567=1,IF(SMALL(V1571:V1574,1)=V1574,2,IF(SMALL(V1571:V1574,2)=V1574,3,IF(SMALL(V1571:V1574,3)=V1574,4))),"")),IF(COUNTIF(V1571:V1574,V1574)=1,IF(V1574&lt;V1571,IF(M1567=2,1,2),IF(M1567=2,3,4)),IF(COUNTIF(V1571:V1574,V1574)=2,IF(V1574=V1571,IF(V1574&lt;V1573,IF(M1567=2,IF(Q1582=3,1,2),IF(M1567=1,IF(Q1582=3,2,3))),IF(V1574&gt;V1573,IF(M1567=2,IF(Q1582=3,2,3),IF(M1567=1,IF(Q1582=3,3,4))))),IF(V1574=V1573,IF(V1574&lt;V1571,IF(M1567=2,IF(Q1591=3,1,2),IF(M1567=1,IF(Q1591=3,2,3))),IF(V1574&gt;V1571,IF(M1567=2,IF(Q1591=3,2,3),IF(M1567=1,IF(Q1591=3,3,4)))))))))))),"")</f>
        <v/>
      </c>
      <c r="AC1586" s="192"/>
      <c r="AD1586" s="192"/>
      <c r="AE1586" s="192"/>
      <c r="AF1586" s="192"/>
      <c r="AG1586" s="192"/>
      <c r="AH1586" s="192"/>
      <c r="AI1586" s="192"/>
      <c r="AJ1586" s="192"/>
      <c r="AK1586" s="192"/>
      <c r="AL1586" s="192"/>
      <c r="AM1586" s="192"/>
      <c r="AN1586" s="192"/>
      <c r="AO1586" s="192"/>
      <c r="AP1586" s="192"/>
      <c r="AQ1586" s="192"/>
      <c r="AR1586" s="192"/>
      <c r="AS1586" s="192"/>
      <c r="AT1586" s="192"/>
      <c r="AU1586" s="192"/>
      <c r="AV1586" s="192"/>
      <c r="AW1586" s="192"/>
      <c r="AX1586" s="192"/>
    </row>
    <row r="1587" spans="2:50" ht="15" customHeight="1" thickTop="1" x14ac:dyDescent="0.3">
      <c r="B1587" s="192"/>
      <c r="C1587" s="192"/>
      <c r="D1587" s="192"/>
      <c r="E1587" s="164" t="str">
        <f>IF(Q1587="","",IF(Q1587=3,1,0))</f>
        <v/>
      </c>
      <c r="F1587" s="164" t="str">
        <f>IF(Q1587="","",IF(Q1587&lt;3,1,0))</f>
        <v/>
      </c>
      <c r="G1587" s="192"/>
      <c r="H1587" s="192" t="str">
        <f>IF(I1567&lt;&gt;"",1,"")</f>
        <v/>
      </c>
      <c r="I1587" s="192" t="str">
        <f>IF(ISNUMBER(H1587),VLOOKUP(H1587,H1564:I1567,2,TRUE),"")</f>
        <v/>
      </c>
      <c r="J1587" s="192"/>
      <c r="K1587" s="192" t="str">
        <f>VLOOKUP(I1587,I1564:L1567,3,FALSE)</f>
        <v/>
      </c>
      <c r="L1587" s="253"/>
      <c r="M1587" s="254"/>
      <c r="N1587" s="254"/>
      <c r="O1587" s="152"/>
      <c r="P1587" s="153"/>
      <c r="Q1587" s="255" t="str">
        <f>IF(L1587="","",IF(AND(L1587-L1588&gt;1,L1587&gt;10),1,0)+IF(AND(M1587-M1588&gt;1,M1587&gt;10),1,0)+IF(AND(N1587-N1588&gt;1,N1587&gt;10),1,0)+IF(AND(O1587-O1588&gt;1,O1587&gt;10),1,0)+IF(AND(P1587-P1588&gt;1,P1587&gt;10),1,0))</f>
        <v/>
      </c>
      <c r="R1587" s="203" t="str">
        <f>IF(AND(I1587="",I1588=""),"",ABS(VLOOKUP(I1587,I1564:L1567,4,FALSE)-VLOOKUP(I1588,I1564:L1567,4,FALSE)))</f>
        <v/>
      </c>
      <c r="S1587" s="256" t="str">
        <f>IF(R1588="","",IF(Q1587=3,+R1588,-R1588))</f>
        <v/>
      </c>
      <c r="T1587" s="247"/>
      <c r="U1587" s="235"/>
      <c r="V1587" s="235"/>
      <c r="W1587" s="235"/>
      <c r="X1587" s="235"/>
      <c r="Y1587" s="235"/>
      <c r="Z1587" s="235"/>
      <c r="AA1587" s="243">
        <v>1</v>
      </c>
      <c r="AB1587" s="222" t="str">
        <f>IF(AND(COUNTBLANK(I1564:I1567)=0,Group_players=4,M1564=M1565,M1565=M1567),IF(W1571="","",IF(COUNTIF(W1571:W1574,W1571)=3,"Tied",IF(AND(COUNTIF(W1571:W1574,W1571)=1,W1572&lt;&gt;W1573),IF(M1564=2,IF(SMALL(W1571:W1574,1)=W1571,1,IF(SMALL(W1571:W1574,2)=W1571,2,IF(SMALL(W1571:W1574,3)=W1571,3))),IF(M1564=1,IF(SMALL(W1571:W1574,1)=W1571,2,IF(SMALL(W1571:W1574,2)=W1571,3,IF(SMALL(W1571:W1574,3)=W1571,4))),"")),IF(COUNTIF(W1571:W1574,W1571)=1,IF(W1571&lt;W1572,IF(M1564=2,1,2),IF(M1564=2,3,4)),IF(COUNTIF(W1571:W1574,W1571)=2,IF(W1571=W1572,IF(W1571&lt;W1574,IF(M1564=2,IF(Q1587=3,1,2),IF(M1564=1,IF(Q1587=3,2,3))),IF(W1571&gt;W1574,IF(M1564=2,IF(Q1587=3,2,3),IF(M1564=1,IF(Q1587=3,3,4))))),IF(W1571=W1574,IF(W1571&lt;W1572,IF(M1564=2,IF(Q1581=3,1,2),IF(M1564=1,IF(Q1581=3,2,3))),IF(W1571&gt;W1572,IF(M1564=2,IF(Q1581=3,2,3),IF(M1564=1,IF(Q1581=3,3,4)))))))))))),"")</f>
        <v/>
      </c>
      <c r="AC1587" s="192"/>
      <c r="AD1587" s="192"/>
      <c r="AE1587" s="192"/>
      <c r="AF1587" s="192"/>
      <c r="AG1587" s="192"/>
      <c r="AH1587" s="192"/>
      <c r="AI1587" s="192"/>
      <c r="AJ1587" s="192"/>
      <c r="AK1587" s="192"/>
      <c r="AL1587" s="192"/>
      <c r="AM1587" s="192"/>
      <c r="AN1587" s="192"/>
      <c r="AO1587" s="192"/>
      <c r="AP1587" s="192"/>
      <c r="AQ1587" s="192"/>
      <c r="AR1587" s="192"/>
      <c r="AS1587" s="192"/>
      <c r="AT1587" s="192"/>
      <c r="AU1587" s="192"/>
      <c r="AV1587" s="192"/>
      <c r="AW1587" s="192"/>
      <c r="AX1587" s="192"/>
    </row>
    <row r="1588" spans="2:50" ht="15" customHeight="1" thickBot="1" x14ac:dyDescent="0.35">
      <c r="B1588" s="192"/>
      <c r="C1588" s="192"/>
      <c r="D1588" s="192"/>
      <c r="E1588" s="164" t="str">
        <f>IF(Q1588="","",IF(Q1588=3,1,0))</f>
        <v/>
      </c>
      <c r="F1588" s="164" t="str">
        <f>IF(Q1588="","",IF(Q1588&lt;3,1,0))</f>
        <v/>
      </c>
      <c r="G1588" s="192"/>
      <c r="H1588" s="192" t="str">
        <f>IF(I1567&lt;&gt;"",2,"")</f>
        <v/>
      </c>
      <c r="I1588" s="192" t="str">
        <f>IF(ISNUMBER(H1588),VLOOKUP(H1588,H1564:I1567,2,TRUE),"")</f>
        <v/>
      </c>
      <c r="J1588" s="192"/>
      <c r="K1588" s="192" t="str">
        <f>VLOOKUP(I1588,I1564:L1567,3,FALSE)</f>
        <v/>
      </c>
      <c r="L1588" s="155"/>
      <c r="M1588" s="259"/>
      <c r="N1588" s="259"/>
      <c r="O1588" s="156"/>
      <c r="P1588" s="157"/>
      <c r="Q1588" s="260" t="str">
        <f>IF(L1588="","",IF(AND(L1588-L1587&gt;1,L1588&gt;10),1,0)+IF(AND(M1588-M1587&gt;1,M1588&gt;10),1,0)+IF(AND(N1588-N1587&gt;1,N1588&gt;10),1,0)+IF(AND(O1588-O1587&gt;1,O1588&gt;10),1,0)+IF(AND(P1588-P1587&gt;1,P1588&gt;10),1,0))</f>
        <v/>
      </c>
      <c r="R1588" s="203" t="str">
        <f>IF(AND(Q1587&lt;&gt;3,Q1588&lt;&gt;3),"",IF(Q1587=3,IF(VLOOKUP(I1587,I1564:L1567,4,FALSE)&gt;VLOOKUP(I1588,I1564:L1567,4,FALSE),VLOOKUP(R1587,Point_dif,2,FALSE),VLOOKUP(R1587,Point_dif,3,FALSE)),IF(Q1588=3,IF(VLOOKUP(I1588,I1564:L1567,4,FALSE)&gt;VLOOKUP(I1588,I1564:L1567,4,FALSE),VLOOKUP(R1587,Point_dif,2,FALSE),VLOOKUP(R1587,Point_dif,3,FALSE)))))</f>
        <v/>
      </c>
      <c r="S1588" s="256" t="str">
        <f>IF(R1588="","",IF(Q1588=3,+R1588,-R1588))</f>
        <v/>
      </c>
      <c r="T1588" s="247"/>
      <c r="U1588" s="235"/>
      <c r="V1588" s="235"/>
      <c r="W1588" s="235"/>
      <c r="X1588" s="235"/>
      <c r="Y1588" s="235"/>
      <c r="Z1588" s="235"/>
      <c r="AA1588" s="246">
        <v>2</v>
      </c>
      <c r="AB1588" s="222" t="str">
        <f>IF(AND(COUNTBLANK(I1564:I1567)=0,Group_players=4,M1564=M1565,M1565=M1567),IF(W1572="","",IF(COUNTIF(W1571:W1574,W1572)=3,"Tied",IF(AND(COUNTIF(W1571:W1574,W1572)=1,W1571&lt;&gt;W1573),IF(M1565=2,IF(SMALL(W1571:W1574,1)=W1572,1,IF(SMALL(W1571:W1574,2)=W1572,2,IF(SMALL(W1571:W1574,3)=W1572,3))),IF(M1565=1,IF(SMALL(W1571:W1574,1)=W1572,2,IF(SMALL(W1571:W1574,2)=W1572,3,IF(SMALL(W1571:W1574,3)=W1572,4))),"")),IF(COUNTIF(W1571:W1574,W1572)=1,IF(W1572&lt;W1571,IF(M1565=2,1,2),IF(M1565=2,3,4)),IF(COUNTIF(W1571:W1574,W1572)=2,IF(W1572=W1571,IF(W1572&lt;W1574,IF(M1565=2,IF(Q1588=3,1,2),IF(M1565=1,IF(Q1588=3,2,3))),IF(W1572&gt;W1574,IF(M1565=2,IF(Q1588=3,2,3),IF(M1565=1,IF(Q1588=3,3,4))))),IF(W1572=W1574,IF(W1572&lt;W1571,IF(M1565=2,IF(Q1578=3,1,2),IF(M1565=1,IF(Q1578=3,2,3))),IF(W1572&gt;W1571,IF(M1565=2,IF(Q1578=3,2,3),IF(M1565=1,IF(Q1578=3,3,4)))))))))))),"")</f>
        <v/>
      </c>
      <c r="AC1588" s="192"/>
      <c r="AD1588" s="192"/>
      <c r="AE1588" s="192"/>
      <c r="AF1588" s="192"/>
      <c r="AG1588" s="192"/>
      <c r="AH1588" s="192"/>
      <c r="AI1588" s="192"/>
      <c r="AJ1588" s="192"/>
      <c r="AK1588" s="192"/>
      <c r="AL1588" s="192"/>
      <c r="AM1588" s="192"/>
      <c r="AN1588" s="192"/>
      <c r="AO1588" s="192"/>
      <c r="AP1588" s="192"/>
      <c r="AQ1588" s="192"/>
      <c r="AR1588" s="192"/>
      <c r="AS1588" s="192"/>
      <c r="AT1588" s="192"/>
      <c r="AU1588" s="192"/>
      <c r="AV1588" s="192"/>
      <c r="AW1588" s="192"/>
      <c r="AX1588" s="192"/>
    </row>
    <row r="1589" spans="2:50" ht="15" customHeight="1" thickTop="1" thickBot="1" x14ac:dyDescent="0.35">
      <c r="B1589" s="192"/>
      <c r="C1589" s="192"/>
      <c r="D1589" s="192"/>
      <c r="E1589" s="164"/>
      <c r="F1589" s="164"/>
      <c r="G1589" s="192"/>
      <c r="H1589" s="192"/>
      <c r="I1589" s="249" t="s">
        <v>121</v>
      </c>
      <c r="J1589" s="249"/>
      <c r="K1589" s="249"/>
      <c r="L1589" s="250" t="s">
        <v>115</v>
      </c>
      <c r="M1589" s="250" t="s">
        <v>116</v>
      </c>
      <c r="N1589" s="250" t="s">
        <v>117</v>
      </c>
      <c r="O1589" s="250" t="s">
        <v>118</v>
      </c>
      <c r="P1589" s="250" t="s">
        <v>119</v>
      </c>
      <c r="Q1589" s="250" t="s">
        <v>120</v>
      </c>
      <c r="R1589" s="250"/>
      <c r="S1589" s="251"/>
      <c r="T1589" s="247"/>
      <c r="U1589" s="235"/>
      <c r="V1589" s="235"/>
      <c r="W1589" s="235"/>
      <c r="X1589" s="235"/>
      <c r="Y1589" s="235"/>
      <c r="Z1589" s="235"/>
      <c r="AA1589" s="240">
        <v>4</v>
      </c>
      <c r="AB1589" s="241" t="str">
        <f>IF(AND(COUNTBLANK(I1564:I1567)=0,Group_players=4,M1564=M1565,M1565=M1567),IF(W1574="","",IF(COUNTIF(W1571:W1574,W1574)=3,"Tied",IF(AND(COUNTIF(W1571:W1574,W1574)=1,W1571&lt;&gt;W1572),IF(M1567=2,IF(SMALL(W1571:W1574,1)=W1574,1,IF(SMALL(W1571:W1574,2)=W1574,2,IF(SMALL(W1571:W1574,3)=W1574,3))),IF(M1567=1,IF(SMALL(W1571:W1574,1)=W1574,2,IF(SMALL(W1571:W1574,2)=W1574,3,IF(SMALL(W1571:W1574,3)=W1574,4))),"")),IF(COUNTIF(W1571:W1574,W1574)=1,IF(W1574&lt;W1571,IF(M1567=2,1,2),IF(M1567=2,3,4)),IF(COUNTIF(W1571:W1574,W1574)=2,IF(W1574=W1571,IF(W1574&lt;W1572,IF(M1567=2,IF(Q1582=3,1,2),IF(M1567=1,IF(Q1582=3,2,3))),IF(W1574&gt;W1573,IF(M1567=2,IF(Q1582=3,2,3),IF(M1567=1,IF(Q1582=3,3,4))))),IF(W1574=W1572,IF(W1574&lt;W1571,IF(M1567=2,IF(Q1579=3,1,2),IF(M1567=1,IF(Q1579=3,2,3))),IF(W1574&gt;W1571,IF(M1567=2,IF(Q1579=3,2,3),IF(M1567=1,IF(Q1579=3,3,4)))))))))))),"")</f>
        <v/>
      </c>
      <c r="AC1589" s="192"/>
      <c r="AD1589" s="192"/>
      <c r="AE1589" s="192"/>
      <c r="AF1589" s="192"/>
      <c r="AG1589" s="192"/>
      <c r="AH1589" s="192"/>
      <c r="AI1589" s="192"/>
      <c r="AJ1589" s="192"/>
      <c r="AK1589" s="192"/>
      <c r="AL1589" s="192"/>
      <c r="AM1589" s="192"/>
      <c r="AN1589" s="192"/>
      <c r="AO1589" s="192"/>
      <c r="AP1589" s="192"/>
      <c r="AQ1589" s="192"/>
      <c r="AR1589" s="192"/>
      <c r="AS1589" s="192"/>
      <c r="AT1589" s="192"/>
      <c r="AU1589" s="192"/>
      <c r="AV1589" s="192"/>
      <c r="AW1589" s="192"/>
      <c r="AX1589" s="192"/>
    </row>
    <row r="1590" spans="2:50" ht="15" customHeight="1" thickTop="1" x14ac:dyDescent="0.3">
      <c r="B1590" s="192"/>
      <c r="C1590" s="192"/>
      <c r="D1590" s="192"/>
      <c r="E1590" s="164" t="str">
        <f>IF(Q1590="","",IF(Q1590=3,1,0))</f>
        <v/>
      </c>
      <c r="F1590" s="164" t="str">
        <f>IF(Q1590="","",IF(Q1590&lt;3,1,0))</f>
        <v/>
      </c>
      <c r="G1590" s="192"/>
      <c r="H1590" s="192" t="str">
        <f>IF(I1567&lt;&gt;"",3,"")</f>
        <v/>
      </c>
      <c r="I1590" s="192" t="str">
        <f>IF(ISNUMBER(H1590),VLOOKUP(H1590,H1564:I1567,2,TRUE),"")</f>
        <v/>
      </c>
      <c r="J1590" s="192"/>
      <c r="K1590" s="192" t="str">
        <f>VLOOKUP(I1590,I1564:L1567,3,FALSE)</f>
        <v/>
      </c>
      <c r="L1590" s="253"/>
      <c r="M1590" s="254"/>
      <c r="N1590" s="254"/>
      <c r="O1590" s="152"/>
      <c r="P1590" s="153"/>
      <c r="Q1590" s="255" t="str">
        <f>IF(L1590="","",IF(AND(L1590-L1591&gt;1,L1590&gt;10),1,0)+IF(AND(M1590-M1591&gt;1,M1590&gt;10),1,0)+IF(AND(N1590-N1591&gt;1,N1590&gt;10),1,0)+IF(AND(O1590-O1591&gt;1,O1590&gt;10),1,0)+IF(AND(P1590-P1591&gt;1,P1590&gt;10),1,0))</f>
        <v/>
      </c>
      <c r="R1590" s="203" t="str">
        <f>IF(AND(I1590="",I1591=""),"",ABS(VLOOKUP(I1590,I1564:L1567,4,FALSE)-VLOOKUP(I1591,I1564:L1567,4,FALSE)))</f>
        <v/>
      </c>
      <c r="S1590" s="256" t="str">
        <f>IF(R1591="","",IF(Q1590=3,+R1591,-R1591))</f>
        <v/>
      </c>
      <c r="T1590" s="247"/>
      <c r="U1590" s="264"/>
      <c r="V1590" s="242"/>
      <c r="W1590" s="192"/>
      <c r="X1590" s="264"/>
      <c r="Y1590" s="192"/>
      <c r="Z1590" s="192"/>
      <c r="AA1590" s="243">
        <v>2</v>
      </c>
      <c r="AB1590" s="222" t="str">
        <f>IF(AND(COUNTBLANK(I1564:I1567)=0,Group_players=4,M1565=M1566,M1566=M1567),IF(X1572="","",IF(COUNTIF(X1571:X1574,X1572)=3,"Tied",IF(AND(COUNTIF(X1571:X1574,X1572)=1,X1573&lt;&gt;X1574),IF(M1565=2,IF(SMALL(X1571:X1574,1)=X1572,1,IF(SMALL(X1571:X1574,2)=X1572,2,IF(SMALL(X1571:X1574,3)=X1572,3))),IF(M1565=1,IF(SMALL(X1571:X1574,1)=X1572,2,IF(SMALL(X1571:X1574,2)=X1572,3,IF(SMALL(X1571:X1574,3)=X1572,4))),"")),IF(COUNTIF(X1571:X1574,X1572)=1,IF(X1572&lt;X1574,IF(M1565=2,1,2),IF(M1565=1,4)),IF(COUNTIF(X1571:X1574,X1572)=2,IF(X1572=X1573,IF(X1572&lt;X1574,IF(M1565=2,IF(Q1584=3,1,2),IF(M1565=1,IF(Q1584=3,2,3))),IF(X1572&gt;X1574,IF(M1565=2,IF(Q1584=3,2,3),IF(M1565=1,IF(Q1584=3,3,4))))),IF(X1572=X1574,IF(X1572&lt;X1573,IF(M1565=2,IF(Q1578=3,1,2),IF(M1565=1,IF(Q1578=3,2,3))),IF(X1572&gt;X1573,IF(M1565=2,IF(Q1578=3,2,3),IF(M1565=1,IF(Q1578=3,3,4)))))))))))),"")</f>
        <v/>
      </c>
      <c r="AC1590" s="192"/>
      <c r="AD1590" s="192"/>
      <c r="AE1590" s="192"/>
      <c r="AF1590" s="192"/>
      <c r="AG1590" s="192"/>
      <c r="AH1590" s="192"/>
      <c r="AI1590" s="192"/>
      <c r="AJ1590" s="192"/>
      <c r="AK1590" s="192"/>
      <c r="AL1590" s="192"/>
      <c r="AM1590" s="192"/>
      <c r="AN1590" s="192"/>
      <c r="AO1590" s="192"/>
      <c r="AP1590" s="192"/>
      <c r="AQ1590" s="192"/>
      <c r="AR1590" s="192"/>
      <c r="AS1590" s="192"/>
      <c r="AT1590" s="192"/>
      <c r="AU1590" s="192"/>
      <c r="AV1590" s="192"/>
      <c r="AW1590" s="192"/>
      <c r="AX1590" s="192"/>
    </row>
    <row r="1591" spans="2:50" ht="15" customHeight="1" thickBot="1" x14ac:dyDescent="0.35">
      <c r="B1591" s="192"/>
      <c r="C1591" s="192"/>
      <c r="D1591" s="192"/>
      <c r="E1591" s="164" t="str">
        <f>IF(Q1591="","",IF(Q1591=3,1,0))</f>
        <v/>
      </c>
      <c r="F1591" s="164" t="str">
        <f>IF(Q1591="","",IF(Q1591&lt;3,1,0))</f>
        <v/>
      </c>
      <c r="G1591" s="192"/>
      <c r="H1591" s="192" t="str">
        <f>IF(I1567&lt;&gt;"",4,"")</f>
        <v/>
      </c>
      <c r="I1591" s="192" t="str">
        <f>IF(ISNUMBER(H1591),VLOOKUP(H1591,H1564:I1567,2,TRUE),"")</f>
        <v/>
      </c>
      <c r="J1591" s="192"/>
      <c r="K1591" s="192" t="str">
        <f>VLOOKUP(I1591,I1564:L1567,3,FALSE)</f>
        <v/>
      </c>
      <c r="L1591" s="155"/>
      <c r="M1591" s="259"/>
      <c r="N1591" s="259"/>
      <c r="O1591" s="156"/>
      <c r="P1591" s="157"/>
      <c r="Q1591" s="260" t="str">
        <f>IF(L1591="","",IF(AND(L1591-L1590&gt;1,L1591&gt;10),1,0)+IF(AND(M1591-M1590&gt;1,M1591&gt;10),1,0)+IF(AND(N1591-N1590&gt;1,N1591&gt;10),1,0)+IF(AND(O1591-O1590&gt;1,O1591&gt;10),1,0)+IF(AND(P1591-P1590&gt;1,P1591&gt;10),1,0))</f>
        <v/>
      </c>
      <c r="R1591" s="203" t="str">
        <f>IF(AND(Q1590&lt;&gt;3,Q1591&lt;&gt;3),"",IF(Q1590=3,IF(VLOOKUP(I1590,I1564:L1567,4,FALSE)&gt;VLOOKUP(I1591,I1564:L1567,4,FALSE),VLOOKUP(R1590,Point_dif,2,FALSE),VLOOKUP(R1590,Point_dif,3,FALSE)),IF(Q1591=3,IF(VLOOKUP(I1591,I1564:L1567,4,FALSE)&gt;VLOOKUP(I1590,I1564:L1567,4,FALSE),VLOOKUP(R1590,Point_dif,2,FALSE),VLOOKUP(R1590,Point_dif,3,FALSE)))))</f>
        <v/>
      </c>
      <c r="S1591" s="260" t="str">
        <f>IF(R1591="","",IF(Q1591=3,+R1591,-R1591))</f>
        <v/>
      </c>
      <c r="T1591" s="247"/>
      <c r="U1591" s="235"/>
      <c r="V1591" s="235"/>
      <c r="W1591" s="235"/>
      <c r="X1591" s="235"/>
      <c r="Y1591" s="235"/>
      <c r="Z1591" s="235"/>
      <c r="AA1591" s="246">
        <v>3</v>
      </c>
      <c r="AB1591" s="222" t="str">
        <f>IF(AND(COUNTBLANK(I1564:I1567)=0,Group_players=4,Group_players=4,M1565=M1566,M1566=M1567),IF(X1573="","",IF(COUNTIF(X1571:X1574,X1573)=3,"Tied",IF(AND(COUNTIF(X1571:X1574,X1573)=1,X1572&lt;&gt;X1574),IF(M1566=2,IF(SMALL(X1571:X1574,1)=X1573,1,IF(SMALL(X1571:X1574,2)=X1573,2,IF(SMALL(X1571:X1574,3)=X1573,3))),IF(M1566=1,IF(SMALL(X1571:X1574,1)=X1573,2,IF(SMALL(X1571:X1574,2)=X1573,3,IF(SMALL(X1571:X1574,3)=X1573,4))),"")),IF(COUNTIF(X1571:X1574,X1573)=1,IF(X1573&lt;X1572,IF(M1566=2,1,2),IF(M1566=2,3,4)),IF(COUNTIF(X1571:X1574,X1573)=2,IF(X1573=X1572,IF(X1573&lt;X1574,IF(M1566=2,IF(Q1585=3,1,2),IF(M1566=1,IF(Q1585=3,2,3))),IF(X1573&gt;X1574,IF(M1566=2,IF(Q1585=3,2,3),IF(M1566=1,IF(Q1585=3,3,4))))),IF(X1573=X1574,IF(X1573&lt;X1572,IF(M1566=2,IF(Q1590=3,1,2),IF(M1566=1,IF(Q1590=3,2,3))),IF(X1573&gt;X1572,IF(M1566=2,IF(Q1590=3,2,3),IF(M1566=1,IF(Q1590=3,3,4)))))))))))),"")</f>
        <v/>
      </c>
      <c r="AC1591" s="192"/>
      <c r="AD1591" s="192"/>
      <c r="AE1591" s="192"/>
      <c r="AF1591" s="192"/>
      <c r="AG1591" s="192"/>
      <c r="AH1591" s="192"/>
      <c r="AI1591" s="192"/>
      <c r="AJ1591" s="192"/>
      <c r="AK1591" s="192"/>
      <c r="AL1591" s="192"/>
      <c r="AM1591" s="192"/>
      <c r="AN1591" s="192"/>
      <c r="AO1591" s="192"/>
      <c r="AP1591" s="192"/>
      <c r="AQ1591" s="192"/>
      <c r="AR1591" s="192"/>
      <c r="AS1591" s="192"/>
      <c r="AT1591" s="192"/>
      <c r="AU1591" s="192"/>
      <c r="AV1591" s="192"/>
      <c r="AW1591" s="192"/>
      <c r="AX1591" s="192"/>
    </row>
    <row r="1592" spans="2:50" ht="16.8" thickTop="1" thickBot="1" x14ac:dyDescent="0.35">
      <c r="T1592" s="247"/>
      <c r="U1592" s="235"/>
      <c r="V1592" s="235"/>
      <c r="W1592" s="235"/>
      <c r="X1592" s="235"/>
      <c r="Y1592" s="235"/>
      <c r="Z1592" s="235"/>
      <c r="AA1592" s="261">
        <v>4</v>
      </c>
      <c r="AB1592" s="233" t="str">
        <f>IF(AND(COUNTBLANK(I1564:I1567)=0,Group_players=4,M1565=M1566,M1566=M1567),IF(X1574="","",IF(COUNTIF(X1571:X1574,X1574)=3,"Tied",IF(AND(COUNTIF(X1571:X1574,X1574)=1,X1573&lt;&gt;X1572),IF(M1567=2,IF(SMALL(X1571:X1574,1)=X1574,1,IF(SMALL(X1571:X1574,2)=X1574,2,IF(SMALL(X1571:X1574,3)=X1574,3))),IF(M1567=1,IF(SMALL(X1571:X1574,1)=X1574,2,IF(SMALL(X1571:X1574,2)=X1574,3,IF(SMALL(X1571:X1574,3)=X1574,4))),"")),IF(COUNTIF(X1571:X1574,X1574)=1,IF(X1574&lt;X1572,IF(M1567=2,1,2),IF(M1567=2,3,4)),IF(COUNTIF(X1571:X1574,X1574)=2,IF(X1574=X1572,IF(X1574&lt;X1573,IF(M1567=2,IF(Q1579=3,1,2),IF(M1567=1,IF(Q1579=3,2,3))),IF(X1574&gt;X1573,IF(M1567=2,IF(Q1579=3,2,3),IF(M1567=1,IF(Q1579=3,3,4))))),IF(X1574=X1573,IF(X1574&lt;X1572,IF(M1567=2,IF(Q1591=3,1,2),IF(M1567=1,IF(Q1591=3,2,3))),IF(X1574&gt;X1572,IF(M1567=2,IF(Q1591=3,2,3),IF(M1567=1,IF(Q1591=3,3,4)))))))))))),"")</f>
        <v/>
      </c>
      <c r="AC1592" s="192"/>
      <c r="AD1592" s="192"/>
      <c r="AE1592" s="192"/>
      <c r="AF1592" s="192"/>
      <c r="AG1592" s="192"/>
      <c r="AH1592" s="192"/>
      <c r="AI1592" s="192"/>
      <c r="AJ1592" s="192"/>
      <c r="AK1592" s="192"/>
      <c r="AL1592" s="192"/>
      <c r="AM1592" s="192"/>
      <c r="AN1592" s="192"/>
      <c r="AO1592" s="192"/>
      <c r="AP1592" s="192"/>
      <c r="AQ1592" s="192"/>
      <c r="AR1592" s="192"/>
      <c r="AS1592" s="192"/>
      <c r="AT1592" s="192"/>
      <c r="AU1592" s="192"/>
      <c r="AV1592" s="192"/>
      <c r="AW1592" s="192"/>
      <c r="AX1592" s="192"/>
    </row>
    <row r="1593" spans="2:50" ht="15" thickTop="1" x14ac:dyDescent="0.3">
      <c r="T1593" s="270"/>
      <c r="U1593" s="181"/>
      <c r="V1593" s="181"/>
      <c r="W1593" s="181"/>
      <c r="X1593" s="181"/>
      <c r="Y1593" s="181"/>
      <c r="Z1593" s="181"/>
      <c r="AA1593" s="181"/>
      <c r="AB1593" s="181"/>
      <c r="AC1593" s="181"/>
      <c r="AD1593" s="181"/>
      <c r="AE1593" s="181"/>
      <c r="AF1593" s="181"/>
      <c r="AG1593" s="181"/>
      <c r="AH1593" s="181"/>
      <c r="AI1593" s="181"/>
      <c r="AJ1593" s="181"/>
      <c r="AK1593" s="181"/>
      <c r="AL1593" s="181"/>
      <c r="AM1593" s="181"/>
      <c r="AN1593" s="181"/>
      <c r="AO1593" s="181"/>
      <c r="AP1593" s="181"/>
      <c r="AQ1593" s="181"/>
      <c r="AR1593" s="181"/>
      <c r="AS1593" s="181"/>
      <c r="AT1593" s="181"/>
      <c r="AU1593" s="181"/>
      <c r="AV1593" s="181"/>
      <c r="AW1593" s="181"/>
      <c r="AX1593" s="181"/>
    </row>
    <row r="1595" spans="2:50" x14ac:dyDescent="0.3">
      <c r="T1595" s="181"/>
      <c r="U1595" s="181"/>
      <c r="V1595" s="181"/>
      <c r="W1595" s="181"/>
      <c r="X1595" s="181"/>
      <c r="Y1595" s="181"/>
      <c r="Z1595" s="271"/>
      <c r="AA1595" s="181"/>
      <c r="AB1595" s="181"/>
      <c r="AC1595" s="181"/>
      <c r="AD1595" s="181"/>
      <c r="AE1595" s="181"/>
      <c r="AF1595" s="181"/>
      <c r="AG1595" s="181"/>
      <c r="AH1595" s="181"/>
      <c r="AI1595" s="181"/>
      <c r="AJ1595" s="181"/>
      <c r="AK1595" s="181"/>
      <c r="AL1595" s="181"/>
      <c r="AM1595" s="181"/>
      <c r="AN1595" s="181"/>
      <c r="AO1595" s="181"/>
      <c r="AP1595" s="181"/>
      <c r="AQ1595" s="181"/>
      <c r="AR1595" s="181"/>
      <c r="AS1595" s="181"/>
      <c r="AT1595" s="181"/>
      <c r="AU1595" s="181"/>
      <c r="AV1595" s="181"/>
      <c r="AW1595" s="181"/>
      <c r="AX1595" s="181"/>
    </row>
  </sheetData>
  <sheetProtection algorithmName="SHA-512" hashValue="wApYO0TQKu1B+xmw2Y5EhsSixqdPseY27RcjvBsQl1n3CVlD0aOKeKI0G9eUH8w7NXTGVju354gANI20xjbLgA==" saltValue="gatr0dUxrT6HIoLb6wDbsQ==" spinCount="100000" sheet="1" objects="1" scenarios="1"/>
  <protectedRanges>
    <protectedRange password="C724" sqref="CS11:CU11 AS51 AS53 AS55 AS57 AS59 AS43:AT43 AT19 AT21 AT25 AS47:AT47 AS45:AT45 AT27 AT17 AT23 CS19:CU19 CS21:CU21 CS23:CU23 CS25:CU25 CS27:CU27 CS29:CU29 CS35:CU35 CS37:CU37 CS39:CU39 CS75:CU75 CS77:CU77 CS79:CU79 CS81:CU81 CS83:CU83 CS85:CU85 CS87:CU87 CS89:CU89 CS93:CU93 CS95:CU95 CS97:CU97 CS99:CU99 CS101:CU101 CS103:CU103 AS49:AT49 CS91:CU91 CW11 CW13 CW15 CW17 CS13:CU13 CS15:CU15 CS17:CU17 CW19 CW25 CS31:CU31 CS33:CU33 CW27 CW41 CW21 CW23 CW29 CW31 CW33 CW35 CW37 CW39 CW43 CW45 CW47 CW49 CW51 CW57 CW59 CW73 CW53 CW55 CW61 CW63 CW65 CW67 CW69 CW71 CW75 CW77 CW79 CW81 CW83 CW89 CW91 CW105 CW85 CW87 CW93 CW95 CW97 CW99 CW101 CW103 CW107 CW109 CW111 CW113 CW115 CW121 CW123 CW137 CW117 CW119 CW125 CW127 CW129 CW131 CW133 CW135 AT13 AT15 AS41:AT41 AS39:AT39 AS37:AT37 AS35:AT35 AS33:AT33 AS31:AT31 AT29 AR77 AT77 AR85 AT85 AR81 AT81 AR103 AT103 AR101 AT101 AR99 AT99 AR97 AT97 AR95 AT95 AR93 AT93 AR91 AT91 AR89 AT89 AR87 AT87 AR83 AT83 AR79 AT79 AR75 AT75" name="Llav1"/>
    <protectedRange password="C724" sqref="AR111 AT111 AR109 AT109 AR107 AS29 CS43:CU43 CS45:CU45 CS47:CU47 CS49:CU49 CS51:CU51 CS53:CU53 CS55:CU55 CS57:CU57 CS59:CU59 CS61:CU61 CS63:CU63 CS65:CU65 CS67:CU67 CS69:CU69 CS71:CU71 CS73:CU73 CS41:CU41 AT107 AR73:AT73 AS75 AS79 AS81 AS83 AS87 AS89 AS91 AS93 AS77 CS107:CU107 CS109:CU109 CS111:CU111 CS113:CU113 CS115:CU115 CS117:CU117 CS119:CU119 CS121:CU121 CS123:CU123 CS125:CU125 CS127:CU127 CS129:CU129 CS131:CU131 CS133:CU133 CS135:CU135 CS105:CU105 AS98 AS100 AS118 AS120 AS122 AS124 AS126 AS128 AS130 AS132 AS104 AS106 AS108 AS110 AS85 CS137:CU137 AS136 AR182:AT182 AR67:AT67 AR57 AT57 AR71:AT71 AR69:AT69 AR65:AT65 AR63:AT63 AR61:AT61 AR59 AT59 AT51 AT53 AT55 AR180 AT180 AR129 AR154 AR152 AR150 AR148 AR159 AR157 AR176 AT176 AR174 AT174 AR172 AT172 AR170 AT170 AR168 AT168 AR166 AT166 AR164 AT164 AR162 AR144 AR142 AR121 AR105 AT105 AR137 AR135 AR133 AR131 AR127 AR125 AR123 AR119 AT119 AR117 AT117 AR115:AT115 AR113:AT113" name="Llav2"/>
  </protectedRanges>
  <sortState xmlns:xlrd2="http://schemas.microsoft.com/office/spreadsheetml/2017/richdata2" ref="AW11:AW138">
    <sortCondition ref="AW11"/>
  </sortState>
  <customSheetViews>
    <customSheetView guid="{38F6D2D9-C407-4ECC-89E8-8F1090CBE836}" scale="60" showPageBreaks="1" printArea="1" hiddenColumns="1" topLeftCell="A142">
      <selection activeCell="B20" sqref="B20:B161"/>
      <rowBreaks count="4" manualBreakCount="4">
        <brk id="39" max="16383" man="1"/>
        <brk id="71" min="43" max="66" man="1"/>
        <brk id="71" min="81" max="104" man="1"/>
        <brk id="103" max="16383" man="1"/>
      </rowBreaks>
      <pageMargins left="0" right="0" top="0" bottom="0" header="0" footer="0"/>
      <printOptions horizontalCentered="1" verticalCentered="1"/>
      <pageSetup scale="65" orientation="landscape" r:id="rId1"/>
      <headerFooter>
        <oddHeader>&amp;C&amp;"-,Bold"&amp;18&amp;G
Federación Puertorriqueña de Tenis de Mesa</oddHeader>
        <oddFooter>&amp;C&amp;P de &amp;N</oddFooter>
      </headerFooter>
    </customSheetView>
  </customSheetViews>
  <mergeCells count="645">
    <mergeCell ref="U6:X6"/>
    <mergeCell ref="U14:X14"/>
    <mergeCell ref="U43:X43"/>
    <mergeCell ref="U51:X51"/>
    <mergeCell ref="S424:S425"/>
    <mergeCell ref="S350:S351"/>
    <mergeCell ref="AA1192:AB1192"/>
    <mergeCell ref="Y1229:Z1229"/>
    <mergeCell ref="AA1229:AB1229"/>
    <mergeCell ref="Y192:Z192"/>
    <mergeCell ref="AA192:AB192"/>
    <mergeCell ref="Y229:Z229"/>
    <mergeCell ref="AA229:AB229"/>
    <mergeCell ref="Y266:Z266"/>
    <mergeCell ref="AA266:AB266"/>
    <mergeCell ref="Y303:Z303"/>
    <mergeCell ref="AA303:AB303"/>
    <mergeCell ref="S1054:S1055"/>
    <mergeCell ref="S1091:S1092"/>
    <mergeCell ref="Y155:Z155"/>
    <mergeCell ref="S610:S611"/>
    <mergeCell ref="S647:S648"/>
    <mergeCell ref="S535:S536"/>
    <mergeCell ref="S572:S573"/>
    <mergeCell ref="S1239:S1240"/>
    <mergeCell ref="S1202:S1203"/>
    <mergeCell ref="S1128:S1129"/>
    <mergeCell ref="S1165:S1166"/>
    <mergeCell ref="S832:S833"/>
    <mergeCell ref="S869:S870"/>
    <mergeCell ref="S758:S759"/>
    <mergeCell ref="S795:S796"/>
    <mergeCell ref="S684:S685"/>
    <mergeCell ref="S721:S722"/>
    <mergeCell ref="S461:S462"/>
    <mergeCell ref="S498:S499"/>
    <mergeCell ref="I1228:R1228"/>
    <mergeCell ref="I1229:I1230"/>
    <mergeCell ref="K1229:K1230"/>
    <mergeCell ref="L1229:L1230"/>
    <mergeCell ref="M1229:M1230"/>
    <mergeCell ref="N1229:N1230"/>
    <mergeCell ref="O1229:O1230"/>
    <mergeCell ref="P1229:P1230"/>
    <mergeCell ref="Q1229:Q1230"/>
    <mergeCell ref="R1229:R1230"/>
    <mergeCell ref="I1154:R1154"/>
    <mergeCell ref="I1155:I1156"/>
    <mergeCell ref="K1155:K1156"/>
    <mergeCell ref="L1155:L1156"/>
    <mergeCell ref="M1155:M1156"/>
    <mergeCell ref="N1155:N1156"/>
    <mergeCell ref="O1155:O1156"/>
    <mergeCell ref="P1155:P1156"/>
    <mergeCell ref="Q1155:Q1156"/>
    <mergeCell ref="R1155:R1156"/>
    <mergeCell ref="I1191:R1191"/>
    <mergeCell ref="I1192:I1193"/>
    <mergeCell ref="K1192:K1193"/>
    <mergeCell ref="S1572:S1573"/>
    <mergeCell ref="S1535:S1536"/>
    <mergeCell ref="S1498:S1499"/>
    <mergeCell ref="S1461:S1462"/>
    <mergeCell ref="S1424:S1425"/>
    <mergeCell ref="S1387:S1388"/>
    <mergeCell ref="S1350:S1351"/>
    <mergeCell ref="S1313:S1314"/>
    <mergeCell ref="S1276:S1277"/>
    <mergeCell ref="I1561:R1561"/>
    <mergeCell ref="I1562:I1563"/>
    <mergeCell ref="K1562:K1563"/>
    <mergeCell ref="L1562:L1563"/>
    <mergeCell ref="M1562:M1563"/>
    <mergeCell ref="N1562:N1563"/>
    <mergeCell ref="O1562:O1563"/>
    <mergeCell ref="P1562:P1563"/>
    <mergeCell ref="Q1562:Q1563"/>
    <mergeCell ref="R1562:R1563"/>
    <mergeCell ref="I1524:R1524"/>
    <mergeCell ref="I1525:I1526"/>
    <mergeCell ref="K1525:K1526"/>
    <mergeCell ref="L1525:L1526"/>
    <mergeCell ref="M1525:M1526"/>
    <mergeCell ref="N1525:N1526"/>
    <mergeCell ref="O1525:O1526"/>
    <mergeCell ref="P1525:P1526"/>
    <mergeCell ref="Q1525:Q1526"/>
    <mergeCell ref="R1525:R1526"/>
    <mergeCell ref="I1487:R1487"/>
    <mergeCell ref="I1488:I1489"/>
    <mergeCell ref="K1488:K1489"/>
    <mergeCell ref="L1488:L1489"/>
    <mergeCell ref="M1488:M1489"/>
    <mergeCell ref="N1488:N1489"/>
    <mergeCell ref="O1488:O1489"/>
    <mergeCell ref="P1488:P1489"/>
    <mergeCell ref="Q1488:Q1489"/>
    <mergeCell ref="R1488:R1489"/>
    <mergeCell ref="I1450:R1450"/>
    <mergeCell ref="I1451:I1452"/>
    <mergeCell ref="K1451:K1452"/>
    <mergeCell ref="L1451:L1452"/>
    <mergeCell ref="M1451:M1452"/>
    <mergeCell ref="N1451:N1452"/>
    <mergeCell ref="O1451:O1452"/>
    <mergeCell ref="P1451:P1452"/>
    <mergeCell ref="Q1451:Q1452"/>
    <mergeCell ref="R1451:R1452"/>
    <mergeCell ref="I1413:R1413"/>
    <mergeCell ref="I1414:I1415"/>
    <mergeCell ref="K1414:K1415"/>
    <mergeCell ref="L1414:L1415"/>
    <mergeCell ref="M1414:M1415"/>
    <mergeCell ref="N1414:N1415"/>
    <mergeCell ref="O1414:O1415"/>
    <mergeCell ref="P1414:P1415"/>
    <mergeCell ref="Q1414:Q1415"/>
    <mergeCell ref="R1414:R1415"/>
    <mergeCell ref="I1376:R1376"/>
    <mergeCell ref="I1377:I1378"/>
    <mergeCell ref="K1377:K1378"/>
    <mergeCell ref="L1377:L1378"/>
    <mergeCell ref="M1377:M1378"/>
    <mergeCell ref="N1377:N1378"/>
    <mergeCell ref="O1377:O1378"/>
    <mergeCell ref="P1377:P1378"/>
    <mergeCell ref="Q1377:Q1378"/>
    <mergeCell ref="R1377:R1378"/>
    <mergeCell ref="I1339:R1339"/>
    <mergeCell ref="I1340:I1341"/>
    <mergeCell ref="K1340:K1341"/>
    <mergeCell ref="L1340:L1341"/>
    <mergeCell ref="M1340:M1341"/>
    <mergeCell ref="N1340:N1341"/>
    <mergeCell ref="O1340:O1341"/>
    <mergeCell ref="P1340:P1341"/>
    <mergeCell ref="Q1340:Q1341"/>
    <mergeCell ref="R1340:R1341"/>
    <mergeCell ref="I1302:R1302"/>
    <mergeCell ref="I1303:I1304"/>
    <mergeCell ref="K1303:K1304"/>
    <mergeCell ref="L1303:L1304"/>
    <mergeCell ref="M1303:M1304"/>
    <mergeCell ref="N1303:N1304"/>
    <mergeCell ref="O1303:O1304"/>
    <mergeCell ref="P1303:P1304"/>
    <mergeCell ref="Q1303:Q1304"/>
    <mergeCell ref="R1303:R1304"/>
    <mergeCell ref="I1265:R1265"/>
    <mergeCell ref="I1266:I1267"/>
    <mergeCell ref="K1266:K1267"/>
    <mergeCell ref="L1266:L1267"/>
    <mergeCell ref="M1266:M1267"/>
    <mergeCell ref="N1266:N1267"/>
    <mergeCell ref="O1266:O1267"/>
    <mergeCell ref="P1266:P1267"/>
    <mergeCell ref="Q1266:Q1267"/>
    <mergeCell ref="R1266:R1267"/>
    <mergeCell ref="L1192:L1193"/>
    <mergeCell ref="M1192:M1193"/>
    <mergeCell ref="N1192:N1193"/>
    <mergeCell ref="O1192:O1193"/>
    <mergeCell ref="P1192:P1193"/>
    <mergeCell ref="Q1192:Q1193"/>
    <mergeCell ref="R1192:R1193"/>
    <mergeCell ref="I1080:R1080"/>
    <mergeCell ref="I1081:I1082"/>
    <mergeCell ref="K1081:K1082"/>
    <mergeCell ref="L1081:L1082"/>
    <mergeCell ref="M1081:M1082"/>
    <mergeCell ref="N1081:N1082"/>
    <mergeCell ref="O1081:O1082"/>
    <mergeCell ref="P1081:P1082"/>
    <mergeCell ref="Q1081:Q1082"/>
    <mergeCell ref="R1081:R1082"/>
    <mergeCell ref="I1117:R1117"/>
    <mergeCell ref="I1118:I1119"/>
    <mergeCell ref="K1118:K1119"/>
    <mergeCell ref="L1118:L1119"/>
    <mergeCell ref="M1118:M1119"/>
    <mergeCell ref="N1118:N1119"/>
    <mergeCell ref="O1118:O1119"/>
    <mergeCell ref="P1118:P1119"/>
    <mergeCell ref="Q1118:Q1119"/>
    <mergeCell ref="R1118:R1119"/>
    <mergeCell ref="S980:S981"/>
    <mergeCell ref="I1006:R1006"/>
    <mergeCell ref="I1007:I1008"/>
    <mergeCell ref="K1007:K1008"/>
    <mergeCell ref="L1007:L1008"/>
    <mergeCell ref="M1007:M1008"/>
    <mergeCell ref="N1007:N1008"/>
    <mergeCell ref="O1007:O1008"/>
    <mergeCell ref="P1007:P1008"/>
    <mergeCell ref="Q1007:Q1008"/>
    <mergeCell ref="R1007:R1008"/>
    <mergeCell ref="S1017:S1018"/>
    <mergeCell ref="I1043:R1043"/>
    <mergeCell ref="I1044:I1045"/>
    <mergeCell ref="K1044:K1045"/>
    <mergeCell ref="L1044:L1045"/>
    <mergeCell ref="M1044:M1045"/>
    <mergeCell ref="N1044:N1045"/>
    <mergeCell ref="O1044:O1045"/>
    <mergeCell ref="P1044:P1045"/>
    <mergeCell ref="Q1044:Q1045"/>
    <mergeCell ref="R1044:R1045"/>
    <mergeCell ref="S906:S907"/>
    <mergeCell ref="I932:R932"/>
    <mergeCell ref="I933:I934"/>
    <mergeCell ref="K933:K934"/>
    <mergeCell ref="L933:L934"/>
    <mergeCell ref="M933:M934"/>
    <mergeCell ref="N933:N934"/>
    <mergeCell ref="O933:O934"/>
    <mergeCell ref="P933:P934"/>
    <mergeCell ref="Q933:Q934"/>
    <mergeCell ref="R933:R934"/>
    <mergeCell ref="S943:S944"/>
    <mergeCell ref="I969:R969"/>
    <mergeCell ref="I970:I971"/>
    <mergeCell ref="K970:K971"/>
    <mergeCell ref="L970:L971"/>
    <mergeCell ref="M970:M971"/>
    <mergeCell ref="N970:N971"/>
    <mergeCell ref="O970:O971"/>
    <mergeCell ref="P970:P971"/>
    <mergeCell ref="Q970:Q971"/>
    <mergeCell ref="R970:R971"/>
    <mergeCell ref="I858:R858"/>
    <mergeCell ref="I859:I860"/>
    <mergeCell ref="K859:K860"/>
    <mergeCell ref="L859:L860"/>
    <mergeCell ref="M859:M860"/>
    <mergeCell ref="N859:N860"/>
    <mergeCell ref="O859:O860"/>
    <mergeCell ref="P859:P860"/>
    <mergeCell ref="Q859:Q860"/>
    <mergeCell ref="R859:R860"/>
    <mergeCell ref="I895:R895"/>
    <mergeCell ref="I896:I897"/>
    <mergeCell ref="K896:K897"/>
    <mergeCell ref="L896:L897"/>
    <mergeCell ref="M896:M897"/>
    <mergeCell ref="N896:N897"/>
    <mergeCell ref="O896:O897"/>
    <mergeCell ref="P896:P897"/>
    <mergeCell ref="Q896:Q897"/>
    <mergeCell ref="R896:R897"/>
    <mergeCell ref="I784:R784"/>
    <mergeCell ref="I785:I786"/>
    <mergeCell ref="K785:K786"/>
    <mergeCell ref="L785:L786"/>
    <mergeCell ref="M785:M786"/>
    <mergeCell ref="N785:N786"/>
    <mergeCell ref="O785:O786"/>
    <mergeCell ref="P785:P786"/>
    <mergeCell ref="Q785:Q786"/>
    <mergeCell ref="R785:R786"/>
    <mergeCell ref="I821:R821"/>
    <mergeCell ref="I822:I823"/>
    <mergeCell ref="K822:K823"/>
    <mergeCell ref="L822:L823"/>
    <mergeCell ref="M822:M823"/>
    <mergeCell ref="N822:N823"/>
    <mergeCell ref="O822:O823"/>
    <mergeCell ref="P822:P823"/>
    <mergeCell ref="Q822:Q823"/>
    <mergeCell ref="R822:R823"/>
    <mergeCell ref="I710:R710"/>
    <mergeCell ref="I711:I712"/>
    <mergeCell ref="K711:K712"/>
    <mergeCell ref="L711:L712"/>
    <mergeCell ref="M711:M712"/>
    <mergeCell ref="N711:N712"/>
    <mergeCell ref="O711:O712"/>
    <mergeCell ref="Q711:Q712"/>
    <mergeCell ref="R711:R712"/>
    <mergeCell ref="I747:R747"/>
    <mergeCell ref="I748:I749"/>
    <mergeCell ref="K748:K749"/>
    <mergeCell ref="L748:L749"/>
    <mergeCell ref="M748:M749"/>
    <mergeCell ref="N748:N749"/>
    <mergeCell ref="O748:O749"/>
    <mergeCell ref="P748:P749"/>
    <mergeCell ref="Q748:Q749"/>
    <mergeCell ref="R748:R749"/>
    <mergeCell ref="I636:R636"/>
    <mergeCell ref="I637:I638"/>
    <mergeCell ref="K637:K638"/>
    <mergeCell ref="L637:L638"/>
    <mergeCell ref="M637:M638"/>
    <mergeCell ref="N637:N638"/>
    <mergeCell ref="O637:O638"/>
    <mergeCell ref="P637:P638"/>
    <mergeCell ref="Q637:Q638"/>
    <mergeCell ref="R637:R638"/>
    <mergeCell ref="I673:R673"/>
    <mergeCell ref="I674:I675"/>
    <mergeCell ref="K674:K675"/>
    <mergeCell ref="L674:L675"/>
    <mergeCell ref="M674:M675"/>
    <mergeCell ref="N674:N675"/>
    <mergeCell ref="O674:O675"/>
    <mergeCell ref="P674:P675"/>
    <mergeCell ref="Q674:Q675"/>
    <mergeCell ref="R674:R675"/>
    <mergeCell ref="I561:R561"/>
    <mergeCell ref="I562:I563"/>
    <mergeCell ref="K562:K563"/>
    <mergeCell ref="L562:L563"/>
    <mergeCell ref="M562:M563"/>
    <mergeCell ref="N562:N563"/>
    <mergeCell ref="O562:O563"/>
    <mergeCell ref="P562:P563"/>
    <mergeCell ref="Q562:Q563"/>
    <mergeCell ref="R562:R563"/>
    <mergeCell ref="I599:R599"/>
    <mergeCell ref="I600:I601"/>
    <mergeCell ref="K600:K601"/>
    <mergeCell ref="L600:L601"/>
    <mergeCell ref="M600:M601"/>
    <mergeCell ref="N600:N601"/>
    <mergeCell ref="O600:O601"/>
    <mergeCell ref="P600:P601"/>
    <mergeCell ref="Q600:Q601"/>
    <mergeCell ref="R600:R601"/>
    <mergeCell ref="I487:R487"/>
    <mergeCell ref="I488:I489"/>
    <mergeCell ref="K488:K489"/>
    <mergeCell ref="L488:L489"/>
    <mergeCell ref="M488:M489"/>
    <mergeCell ref="N488:N489"/>
    <mergeCell ref="O488:O489"/>
    <mergeCell ref="P488:P489"/>
    <mergeCell ref="Q488:Q489"/>
    <mergeCell ref="R488:R489"/>
    <mergeCell ref="I524:R524"/>
    <mergeCell ref="I525:I526"/>
    <mergeCell ref="K525:K526"/>
    <mergeCell ref="L525:L526"/>
    <mergeCell ref="M525:M526"/>
    <mergeCell ref="N525:N526"/>
    <mergeCell ref="O525:O526"/>
    <mergeCell ref="P525:P526"/>
    <mergeCell ref="Q525:Q526"/>
    <mergeCell ref="R525:R526"/>
    <mergeCell ref="I413:R413"/>
    <mergeCell ref="I414:I415"/>
    <mergeCell ref="K414:K415"/>
    <mergeCell ref="L414:L415"/>
    <mergeCell ref="M414:M415"/>
    <mergeCell ref="N414:N415"/>
    <mergeCell ref="O414:O415"/>
    <mergeCell ref="P414:P415"/>
    <mergeCell ref="Q414:Q415"/>
    <mergeCell ref="R414:R415"/>
    <mergeCell ref="I450:R450"/>
    <mergeCell ref="I451:I452"/>
    <mergeCell ref="K451:K452"/>
    <mergeCell ref="L451:L452"/>
    <mergeCell ref="M451:M452"/>
    <mergeCell ref="N451:N452"/>
    <mergeCell ref="O451:O452"/>
    <mergeCell ref="P451:P452"/>
    <mergeCell ref="Q451:Q452"/>
    <mergeCell ref="R451:R452"/>
    <mergeCell ref="I339:R339"/>
    <mergeCell ref="I340:I341"/>
    <mergeCell ref="K340:K341"/>
    <mergeCell ref="L340:L341"/>
    <mergeCell ref="M340:M341"/>
    <mergeCell ref="N340:N341"/>
    <mergeCell ref="O340:O341"/>
    <mergeCell ref="P340:P341"/>
    <mergeCell ref="Q340:Q341"/>
    <mergeCell ref="R340:R341"/>
    <mergeCell ref="I376:R376"/>
    <mergeCell ref="I377:I378"/>
    <mergeCell ref="K377:K378"/>
    <mergeCell ref="L377:L378"/>
    <mergeCell ref="M377:M378"/>
    <mergeCell ref="N377:N378"/>
    <mergeCell ref="O377:O378"/>
    <mergeCell ref="P377:P378"/>
    <mergeCell ref="Q377:Q378"/>
    <mergeCell ref="R377:R378"/>
    <mergeCell ref="I265:R265"/>
    <mergeCell ref="I266:I267"/>
    <mergeCell ref="K266:K267"/>
    <mergeCell ref="L266:L267"/>
    <mergeCell ref="M266:M267"/>
    <mergeCell ref="N266:N267"/>
    <mergeCell ref="O266:O267"/>
    <mergeCell ref="P266:P267"/>
    <mergeCell ref="Q266:Q267"/>
    <mergeCell ref="R266:R267"/>
    <mergeCell ref="S276:S277"/>
    <mergeCell ref="I302:R302"/>
    <mergeCell ref="I303:I304"/>
    <mergeCell ref="K303:K304"/>
    <mergeCell ref="L303:L304"/>
    <mergeCell ref="M303:M304"/>
    <mergeCell ref="N303:N304"/>
    <mergeCell ref="O303:O304"/>
    <mergeCell ref="P303:P304"/>
    <mergeCell ref="Q303:Q304"/>
    <mergeCell ref="R303:R304"/>
    <mergeCell ref="R118:R119"/>
    <mergeCell ref="S202:S203"/>
    <mergeCell ref="I228:R228"/>
    <mergeCell ref="I229:I230"/>
    <mergeCell ref="K229:K230"/>
    <mergeCell ref="L229:L230"/>
    <mergeCell ref="M229:M230"/>
    <mergeCell ref="N229:N230"/>
    <mergeCell ref="O229:O230"/>
    <mergeCell ref="P229:P230"/>
    <mergeCell ref="Q229:Q230"/>
    <mergeCell ref="R229:R230"/>
    <mergeCell ref="I191:R191"/>
    <mergeCell ref="I192:I193"/>
    <mergeCell ref="K192:K193"/>
    <mergeCell ref="L192:L193"/>
    <mergeCell ref="M192:M193"/>
    <mergeCell ref="N192:N193"/>
    <mergeCell ref="O192:O193"/>
    <mergeCell ref="P192:P193"/>
    <mergeCell ref="Q192:Q193"/>
    <mergeCell ref="R192:R193"/>
    <mergeCell ref="N81:N82"/>
    <mergeCell ref="O81:O82"/>
    <mergeCell ref="P81:P82"/>
    <mergeCell ref="Q81:Q82"/>
    <mergeCell ref="R81:R82"/>
    <mergeCell ref="I154:R154"/>
    <mergeCell ref="I155:I156"/>
    <mergeCell ref="K155:K156"/>
    <mergeCell ref="L155:L156"/>
    <mergeCell ref="M155:M156"/>
    <mergeCell ref="N155:N156"/>
    <mergeCell ref="O155:O156"/>
    <mergeCell ref="P155:P156"/>
    <mergeCell ref="Q155:Q156"/>
    <mergeCell ref="R155:R156"/>
    <mergeCell ref="I117:R117"/>
    <mergeCell ref="I118:I119"/>
    <mergeCell ref="K118:K119"/>
    <mergeCell ref="L118:L119"/>
    <mergeCell ref="M118:M119"/>
    <mergeCell ref="N118:N119"/>
    <mergeCell ref="O118:O119"/>
    <mergeCell ref="P118:P119"/>
    <mergeCell ref="Q118:Q119"/>
    <mergeCell ref="I43:R43"/>
    <mergeCell ref="Q44:Q45"/>
    <mergeCell ref="R44:R45"/>
    <mergeCell ref="P7:P8"/>
    <mergeCell ref="S128:S129"/>
    <mergeCell ref="S387:S388"/>
    <mergeCell ref="S313:S314"/>
    <mergeCell ref="S239:S240"/>
    <mergeCell ref="S165:S166"/>
    <mergeCell ref="S91:S92"/>
    <mergeCell ref="S17:S18"/>
    <mergeCell ref="O44:O45"/>
    <mergeCell ref="P44:P45"/>
    <mergeCell ref="I80:R80"/>
    <mergeCell ref="S54:S55"/>
    <mergeCell ref="I44:I45"/>
    <mergeCell ref="K44:K45"/>
    <mergeCell ref="L44:L45"/>
    <mergeCell ref="M44:M45"/>
    <mergeCell ref="N44:N45"/>
    <mergeCell ref="I81:I82"/>
    <mergeCell ref="K81:K82"/>
    <mergeCell ref="L81:L82"/>
    <mergeCell ref="M81:M82"/>
    <mergeCell ref="Q7:Q8"/>
    <mergeCell ref="R7:R8"/>
    <mergeCell ref="I6:R6"/>
    <mergeCell ref="I7:I8"/>
    <mergeCell ref="K7:K8"/>
    <mergeCell ref="L7:L8"/>
    <mergeCell ref="M7:M8"/>
    <mergeCell ref="N7:N8"/>
    <mergeCell ref="O7:O8"/>
    <mergeCell ref="Y340:Z340"/>
    <mergeCell ref="AA340:AB340"/>
    <mergeCell ref="Y377:Z377"/>
    <mergeCell ref="AA377:AB377"/>
    <mergeCell ref="Y414:Z414"/>
    <mergeCell ref="AA414:AB414"/>
    <mergeCell ref="Y451:Z451"/>
    <mergeCell ref="AA451:AB451"/>
    <mergeCell ref="Y7:Z7"/>
    <mergeCell ref="AA7:AB7"/>
    <mergeCell ref="Y44:Z44"/>
    <mergeCell ref="AA44:AB44"/>
    <mergeCell ref="Y81:Z81"/>
    <mergeCell ref="AA81:AB81"/>
    <mergeCell ref="Y118:Z118"/>
    <mergeCell ref="AA118:AB118"/>
    <mergeCell ref="AA155:AB155"/>
    <mergeCell ref="Y488:Z488"/>
    <mergeCell ref="AA488:AB488"/>
    <mergeCell ref="Y525:Z525"/>
    <mergeCell ref="AA525:AB525"/>
    <mergeCell ref="Y562:Z562"/>
    <mergeCell ref="AA562:AB562"/>
    <mergeCell ref="Y600:Z600"/>
    <mergeCell ref="AA600:AB600"/>
    <mergeCell ref="U569:X569"/>
    <mergeCell ref="U599:X599"/>
    <mergeCell ref="AA822:AB822"/>
    <mergeCell ref="Y859:Z859"/>
    <mergeCell ref="AA859:AB859"/>
    <mergeCell ref="Y896:Z896"/>
    <mergeCell ref="AA896:AB896"/>
    <mergeCell ref="Y933:Z933"/>
    <mergeCell ref="AA933:AB933"/>
    <mergeCell ref="Y637:Z637"/>
    <mergeCell ref="AA637:AB637"/>
    <mergeCell ref="Y674:Z674"/>
    <mergeCell ref="AA674:AB674"/>
    <mergeCell ref="Y711:Z711"/>
    <mergeCell ref="AA711:AB711"/>
    <mergeCell ref="Y748:Z748"/>
    <mergeCell ref="AA748:AB748"/>
    <mergeCell ref="Y785:Z785"/>
    <mergeCell ref="AA785:AB785"/>
    <mergeCell ref="AA1525:AB1525"/>
    <mergeCell ref="Y1562:Z1562"/>
    <mergeCell ref="AA1562:AB1562"/>
    <mergeCell ref="Y970:Z970"/>
    <mergeCell ref="AA970:AB970"/>
    <mergeCell ref="Y1007:Z1007"/>
    <mergeCell ref="AA1007:AB1007"/>
    <mergeCell ref="Y1044:Z1044"/>
    <mergeCell ref="AA1044:AB1044"/>
    <mergeCell ref="Y1081:Z1081"/>
    <mergeCell ref="AA1081:AB1081"/>
    <mergeCell ref="Y1118:Z1118"/>
    <mergeCell ref="AA1118:AB1118"/>
    <mergeCell ref="Y1266:Z1266"/>
    <mergeCell ref="AA1266:AB1266"/>
    <mergeCell ref="Y1303:Z1303"/>
    <mergeCell ref="AA1303:AB1303"/>
    <mergeCell ref="AA1155:AB1155"/>
    <mergeCell ref="AA1340:AB1340"/>
    <mergeCell ref="Y1377:Z1377"/>
    <mergeCell ref="AA1377:AB1377"/>
    <mergeCell ref="Y1414:Z1414"/>
    <mergeCell ref="AA1414:AB1414"/>
    <mergeCell ref="Y1451:Z1451"/>
    <mergeCell ref="AA1451:AB1451"/>
    <mergeCell ref="Y1488:Z1488"/>
    <mergeCell ref="AA1488:AB1488"/>
    <mergeCell ref="Y1340:Z1340"/>
    <mergeCell ref="Y1525:Z1525"/>
    <mergeCell ref="Y822:Z822"/>
    <mergeCell ref="Y1155:Z1155"/>
    <mergeCell ref="Y1192:Z1192"/>
    <mergeCell ref="U784:X784"/>
    <mergeCell ref="U792:X792"/>
    <mergeCell ref="U821:X821"/>
    <mergeCell ref="U829:X829"/>
    <mergeCell ref="U858:X858"/>
    <mergeCell ref="U866:X866"/>
    <mergeCell ref="U895:X895"/>
    <mergeCell ref="U903:X903"/>
    <mergeCell ref="U932:X932"/>
    <mergeCell ref="U940:X940"/>
    <mergeCell ref="U1265:X1265"/>
    <mergeCell ref="U1273:X1273"/>
    <mergeCell ref="U969:X969"/>
    <mergeCell ref="U977:X977"/>
    <mergeCell ref="U1006:X1006"/>
    <mergeCell ref="U1014:X1014"/>
    <mergeCell ref="U80:X80"/>
    <mergeCell ref="U88:X88"/>
    <mergeCell ref="U117:X117"/>
    <mergeCell ref="U125:X125"/>
    <mergeCell ref="U154:X154"/>
    <mergeCell ref="U162:X162"/>
    <mergeCell ref="U191:X191"/>
    <mergeCell ref="U199:X199"/>
    <mergeCell ref="U228:X228"/>
    <mergeCell ref="U236:X236"/>
    <mergeCell ref="U265:X265"/>
    <mergeCell ref="U273:X273"/>
    <mergeCell ref="U302:X302"/>
    <mergeCell ref="U310:X310"/>
    <mergeCell ref="U339:X339"/>
    <mergeCell ref="U347:X347"/>
    <mergeCell ref="U376:X376"/>
    <mergeCell ref="U384:X384"/>
    <mergeCell ref="U413:X413"/>
    <mergeCell ref="U421:X421"/>
    <mergeCell ref="U450:X450"/>
    <mergeCell ref="U458:X458"/>
    <mergeCell ref="U487:X487"/>
    <mergeCell ref="U495:X495"/>
    <mergeCell ref="U524:X524"/>
    <mergeCell ref="U532:X532"/>
    <mergeCell ref="U561:X561"/>
    <mergeCell ref="U1117:X1117"/>
    <mergeCell ref="U1458:X1458"/>
    <mergeCell ref="U1487:X1487"/>
    <mergeCell ref="U1495:X1495"/>
    <mergeCell ref="U1524:X1524"/>
    <mergeCell ref="U607:X607"/>
    <mergeCell ref="U636:X636"/>
    <mergeCell ref="U644:X644"/>
    <mergeCell ref="U673:X673"/>
    <mergeCell ref="U681:X681"/>
    <mergeCell ref="U710:X710"/>
    <mergeCell ref="U718:X718"/>
    <mergeCell ref="U747:X747"/>
    <mergeCell ref="U755:X755"/>
    <mergeCell ref="U1532:X1532"/>
    <mergeCell ref="U1561:X1561"/>
    <mergeCell ref="U1569:X1569"/>
    <mergeCell ref="P711:P712"/>
    <mergeCell ref="U1302:X1302"/>
    <mergeCell ref="U1310:X1310"/>
    <mergeCell ref="U1339:X1339"/>
    <mergeCell ref="U1347:X1347"/>
    <mergeCell ref="U1376:X1376"/>
    <mergeCell ref="U1384:X1384"/>
    <mergeCell ref="U1413:X1413"/>
    <mergeCell ref="U1421:X1421"/>
    <mergeCell ref="U1450:X1450"/>
    <mergeCell ref="U1125:X1125"/>
    <mergeCell ref="U1154:X1154"/>
    <mergeCell ref="U1162:X1162"/>
    <mergeCell ref="U1191:X1191"/>
    <mergeCell ref="U1199:X1199"/>
    <mergeCell ref="U1228:X1228"/>
    <mergeCell ref="U1236:X1236"/>
    <mergeCell ref="U1043:X1043"/>
    <mergeCell ref="U1051:X1051"/>
    <mergeCell ref="U1080:X1080"/>
    <mergeCell ref="U1088:X1088"/>
  </mergeCells>
  <conditionalFormatting sqref="I12">
    <cfRule type="expression" priority="222">
      <formula>IF(ISNUMBER(K11),K12="")</formula>
    </cfRule>
  </conditionalFormatting>
  <conditionalFormatting sqref="I49">
    <cfRule type="expression" priority="134">
      <formula>IF(ISNUMBER(K48),K49="")</formula>
    </cfRule>
  </conditionalFormatting>
  <conditionalFormatting sqref="I86">
    <cfRule type="expression" priority="132">
      <formula>IF(ISNUMBER(K85),K86="")</formula>
    </cfRule>
  </conditionalFormatting>
  <conditionalFormatting sqref="I123">
    <cfRule type="expression" priority="130">
      <formula>IF(ISNUMBER(K122),K123="")</formula>
    </cfRule>
  </conditionalFormatting>
  <conditionalFormatting sqref="I160">
    <cfRule type="expression" priority="128">
      <formula>IF(ISNUMBER(K159),K160="")</formula>
    </cfRule>
  </conditionalFormatting>
  <conditionalFormatting sqref="I197">
    <cfRule type="expression" priority="126">
      <formula>IF(ISNUMBER(K196),K197="")</formula>
    </cfRule>
  </conditionalFormatting>
  <conditionalFormatting sqref="I234">
    <cfRule type="expression" priority="124">
      <formula>IF(ISNUMBER(K233),K234="")</formula>
    </cfRule>
  </conditionalFormatting>
  <conditionalFormatting sqref="I271">
    <cfRule type="expression" priority="122">
      <formula>IF(ISNUMBER(K270),K271="")</formula>
    </cfRule>
  </conditionalFormatting>
  <conditionalFormatting sqref="I308">
    <cfRule type="expression" priority="120">
      <formula>IF(ISNUMBER(K307),K308="")</formula>
    </cfRule>
  </conditionalFormatting>
  <conditionalFormatting sqref="I345">
    <cfRule type="expression" priority="118">
      <formula>IF(ISNUMBER(K344),K345="")</formula>
    </cfRule>
  </conditionalFormatting>
  <conditionalFormatting sqref="I382">
    <cfRule type="expression" priority="116">
      <formula>IF(ISNUMBER(K381),K382="")</formula>
    </cfRule>
  </conditionalFormatting>
  <conditionalFormatting sqref="I419">
    <cfRule type="expression" priority="114">
      <formula>IF(ISNUMBER(K418),K419="")</formula>
    </cfRule>
  </conditionalFormatting>
  <conditionalFormatting sqref="I456">
    <cfRule type="expression" priority="112">
      <formula>IF(ISNUMBER(K455),K456="")</formula>
    </cfRule>
  </conditionalFormatting>
  <conditionalFormatting sqref="I493">
    <cfRule type="expression" priority="110">
      <formula>IF(ISNUMBER(K492),K493="")</formula>
    </cfRule>
  </conditionalFormatting>
  <conditionalFormatting sqref="I530">
    <cfRule type="expression" priority="108">
      <formula>IF(ISNUMBER(K529),K530="")</formula>
    </cfRule>
  </conditionalFormatting>
  <conditionalFormatting sqref="I567">
    <cfRule type="expression" priority="106">
      <formula>IF(ISNUMBER(K566),K567="")</formula>
    </cfRule>
  </conditionalFormatting>
  <conditionalFormatting sqref="I605">
    <cfRule type="expression" priority="104">
      <formula>IF(ISNUMBER(K604),K605="")</formula>
    </cfRule>
  </conditionalFormatting>
  <conditionalFormatting sqref="I642">
    <cfRule type="expression" priority="102">
      <formula>IF(ISNUMBER(K641),K642="")</formula>
    </cfRule>
  </conditionalFormatting>
  <conditionalFormatting sqref="I679">
    <cfRule type="expression" priority="100">
      <formula>IF(ISNUMBER(K678),K679="")</formula>
    </cfRule>
  </conditionalFormatting>
  <conditionalFormatting sqref="I716">
    <cfRule type="expression" priority="98">
      <formula>IF(ISNUMBER(K715),K716="")</formula>
    </cfRule>
  </conditionalFormatting>
  <conditionalFormatting sqref="I753">
    <cfRule type="expression" priority="96">
      <formula>IF(ISNUMBER(K752),K753="")</formula>
    </cfRule>
  </conditionalFormatting>
  <conditionalFormatting sqref="I790">
    <cfRule type="expression" priority="94">
      <formula>IF(ISNUMBER(K789),K790="")</formula>
    </cfRule>
  </conditionalFormatting>
  <conditionalFormatting sqref="I827">
    <cfRule type="expression" priority="92">
      <formula>IF(ISNUMBER(K826),K827="")</formula>
    </cfRule>
  </conditionalFormatting>
  <conditionalFormatting sqref="I864">
    <cfRule type="expression" priority="90">
      <formula>IF(ISNUMBER(K863),K864="")</formula>
    </cfRule>
  </conditionalFormatting>
  <conditionalFormatting sqref="I901">
    <cfRule type="expression" priority="88">
      <formula>IF(ISNUMBER(K900),K901="")</formula>
    </cfRule>
  </conditionalFormatting>
  <conditionalFormatting sqref="I938">
    <cfRule type="expression" priority="86">
      <formula>IF(ISNUMBER(K937),K938="")</formula>
    </cfRule>
  </conditionalFormatting>
  <conditionalFormatting sqref="I975">
    <cfRule type="expression" priority="84">
      <formula>IF(ISNUMBER(K974),K975="")</formula>
    </cfRule>
  </conditionalFormatting>
  <conditionalFormatting sqref="I1012">
    <cfRule type="expression" priority="82">
      <formula>IF(ISNUMBER(K1011),K1012="")</formula>
    </cfRule>
  </conditionalFormatting>
  <conditionalFormatting sqref="I1049">
    <cfRule type="expression" priority="80">
      <formula>IF(ISNUMBER(K1048),K1049="")</formula>
    </cfRule>
  </conditionalFormatting>
  <conditionalFormatting sqref="I1086">
    <cfRule type="expression" priority="78">
      <formula>IF(ISNUMBER(K1085),K1086="")</formula>
    </cfRule>
  </conditionalFormatting>
  <conditionalFormatting sqref="I1123">
    <cfRule type="expression" priority="76">
      <formula>IF(ISNUMBER(K1122),K1123="")</formula>
    </cfRule>
  </conditionalFormatting>
  <conditionalFormatting sqref="I1160">
    <cfRule type="expression" priority="74">
      <formula>IF(ISNUMBER(K1159),K1160="")</formula>
    </cfRule>
  </conditionalFormatting>
  <conditionalFormatting sqref="I1197">
    <cfRule type="expression" priority="72">
      <formula>IF(ISNUMBER(K1196),K1197="")</formula>
    </cfRule>
  </conditionalFormatting>
  <conditionalFormatting sqref="I1234">
    <cfRule type="expression" priority="70">
      <formula>IF(ISNUMBER(K1233),K1234="")</formula>
    </cfRule>
  </conditionalFormatting>
  <conditionalFormatting sqref="I1271">
    <cfRule type="expression" priority="68">
      <formula>IF(ISNUMBER(K1270),K1271="")</formula>
    </cfRule>
  </conditionalFormatting>
  <conditionalFormatting sqref="I1308">
    <cfRule type="expression" priority="66">
      <formula>IF(ISNUMBER(K1307),K1308="")</formula>
    </cfRule>
  </conditionalFormatting>
  <conditionalFormatting sqref="I1345">
    <cfRule type="expression" priority="64">
      <formula>IF(ISNUMBER(K1344),K1345="")</formula>
    </cfRule>
  </conditionalFormatting>
  <conditionalFormatting sqref="I1382">
    <cfRule type="expression" priority="62">
      <formula>IF(ISNUMBER(K1381),K1382="")</formula>
    </cfRule>
  </conditionalFormatting>
  <conditionalFormatting sqref="I1419">
    <cfRule type="expression" priority="60">
      <formula>IF(ISNUMBER(K1418),K1419="")</formula>
    </cfRule>
  </conditionalFormatting>
  <conditionalFormatting sqref="I1456">
    <cfRule type="expression" priority="58">
      <formula>IF(ISNUMBER(K1455),K1456="")</formula>
    </cfRule>
  </conditionalFormatting>
  <conditionalFormatting sqref="I1493">
    <cfRule type="expression" priority="56">
      <formula>IF(ISNUMBER(K1492),K1493="")</formula>
    </cfRule>
  </conditionalFormatting>
  <conditionalFormatting sqref="I1530">
    <cfRule type="expression" priority="54">
      <formula>IF(ISNUMBER(K1529),K1530="")</formula>
    </cfRule>
  </conditionalFormatting>
  <conditionalFormatting sqref="I1567">
    <cfRule type="expression" priority="52">
      <formula>IF(ISNUMBER(K1566),K1567="")</formula>
    </cfRule>
  </conditionalFormatting>
  <conditionalFormatting sqref="F9:F12">
    <cfRule type="duplicateValues" dxfId="393" priority="33"/>
    <cfRule type="duplicateValues" dxfId="392" priority="50"/>
  </conditionalFormatting>
  <conditionalFormatting sqref="F46:F49">
    <cfRule type="duplicateValues" dxfId="391" priority="51"/>
  </conditionalFormatting>
  <conditionalFormatting sqref="F83:F86">
    <cfRule type="duplicateValues" dxfId="390" priority="34"/>
    <cfRule type="duplicateValues" dxfId="389" priority="49"/>
  </conditionalFormatting>
  <conditionalFormatting sqref="F231:F234">
    <cfRule type="duplicateValues" dxfId="388" priority="44"/>
  </conditionalFormatting>
  <conditionalFormatting sqref="F268:F271">
    <cfRule type="duplicateValues" dxfId="387" priority="38"/>
    <cfRule type="duplicateValues" dxfId="386" priority="42"/>
  </conditionalFormatting>
  <conditionalFormatting sqref="F379:F382">
    <cfRule type="duplicateValues" dxfId="385" priority="41"/>
  </conditionalFormatting>
  <conditionalFormatting sqref="F342:F345">
    <cfRule type="duplicateValues" dxfId="384" priority="40"/>
  </conditionalFormatting>
  <conditionalFormatting sqref="F305:F308">
    <cfRule type="duplicateValues" dxfId="383" priority="39"/>
  </conditionalFormatting>
  <conditionalFormatting sqref="F194:F197">
    <cfRule type="duplicateValues" dxfId="382" priority="37"/>
  </conditionalFormatting>
  <conditionalFormatting sqref="F157:F160">
    <cfRule type="duplicateValues" dxfId="381" priority="36"/>
  </conditionalFormatting>
  <conditionalFormatting sqref="F120:F123">
    <cfRule type="duplicateValues" dxfId="380" priority="35"/>
  </conditionalFormatting>
  <conditionalFormatting sqref="F416:F419">
    <cfRule type="duplicateValues" dxfId="379" priority="32"/>
  </conditionalFormatting>
  <conditionalFormatting sqref="F527:F530">
    <cfRule type="duplicateValues" dxfId="378" priority="31"/>
  </conditionalFormatting>
  <conditionalFormatting sqref="F453:F456">
    <cfRule type="duplicateValues" dxfId="377" priority="30"/>
  </conditionalFormatting>
  <conditionalFormatting sqref="F490:F493">
    <cfRule type="duplicateValues" dxfId="376" priority="29"/>
  </conditionalFormatting>
  <conditionalFormatting sqref="F564:F567">
    <cfRule type="duplicateValues" dxfId="375" priority="28"/>
  </conditionalFormatting>
  <conditionalFormatting sqref="F602:F605">
    <cfRule type="duplicateValues" dxfId="374" priority="27"/>
  </conditionalFormatting>
  <conditionalFormatting sqref="F639:F642">
    <cfRule type="duplicateValues" dxfId="373" priority="26"/>
  </conditionalFormatting>
  <conditionalFormatting sqref="F676:F679">
    <cfRule type="duplicateValues" dxfId="372" priority="25"/>
  </conditionalFormatting>
  <conditionalFormatting sqref="F713:F716">
    <cfRule type="duplicateValues" dxfId="371" priority="24"/>
  </conditionalFormatting>
  <conditionalFormatting sqref="F750:F753">
    <cfRule type="duplicateValues" dxfId="370" priority="23"/>
  </conditionalFormatting>
  <conditionalFormatting sqref="F787:F790">
    <cfRule type="duplicateValues" dxfId="369" priority="22"/>
  </conditionalFormatting>
  <conditionalFormatting sqref="F824:F827">
    <cfRule type="duplicateValues" dxfId="368" priority="21"/>
  </conditionalFormatting>
  <conditionalFormatting sqref="F861:F864">
    <cfRule type="duplicateValues" dxfId="367" priority="20"/>
  </conditionalFormatting>
  <conditionalFormatting sqref="F898:F901">
    <cfRule type="duplicateValues" dxfId="366" priority="19"/>
  </conditionalFormatting>
  <conditionalFormatting sqref="F935:F938">
    <cfRule type="duplicateValues" dxfId="365" priority="18"/>
  </conditionalFormatting>
  <conditionalFormatting sqref="F972:F975">
    <cfRule type="duplicateValues" dxfId="364" priority="17"/>
  </conditionalFormatting>
  <conditionalFormatting sqref="F1009:F1012">
    <cfRule type="duplicateValues" dxfId="363" priority="16"/>
  </conditionalFormatting>
  <conditionalFormatting sqref="F1046:F1049">
    <cfRule type="duplicateValues" dxfId="362" priority="15"/>
  </conditionalFormatting>
  <conditionalFormatting sqref="F1083:F1086">
    <cfRule type="duplicateValues" dxfId="361" priority="14"/>
  </conditionalFormatting>
  <conditionalFormatting sqref="F1120:F1123">
    <cfRule type="duplicateValues" dxfId="360" priority="13"/>
  </conditionalFormatting>
  <conditionalFormatting sqref="F1157:F1160">
    <cfRule type="duplicateValues" dxfId="359" priority="12"/>
  </conditionalFormatting>
  <conditionalFormatting sqref="F1194:F1197">
    <cfRule type="duplicateValues" dxfId="358" priority="11"/>
  </conditionalFormatting>
  <conditionalFormatting sqref="F1231:F1234">
    <cfRule type="duplicateValues" dxfId="357" priority="10"/>
  </conditionalFormatting>
  <conditionalFormatting sqref="F1268:F1271">
    <cfRule type="duplicateValues" dxfId="356" priority="9"/>
  </conditionalFormatting>
  <conditionalFormatting sqref="F1305:F1308">
    <cfRule type="duplicateValues" dxfId="355" priority="8"/>
  </conditionalFormatting>
  <conditionalFormatting sqref="F1342:F1345">
    <cfRule type="duplicateValues" dxfId="354" priority="7"/>
  </conditionalFormatting>
  <conditionalFormatting sqref="F1379:F1382">
    <cfRule type="duplicateValues" dxfId="353" priority="6"/>
  </conditionalFormatting>
  <conditionalFormatting sqref="F1416:F1419">
    <cfRule type="duplicateValues" dxfId="352" priority="5"/>
  </conditionalFormatting>
  <conditionalFormatting sqref="F1453:F1456">
    <cfRule type="duplicateValues" dxfId="351" priority="4"/>
  </conditionalFormatting>
  <conditionalFormatting sqref="F1490:F1493">
    <cfRule type="duplicateValues" dxfId="350" priority="3"/>
  </conditionalFormatting>
  <conditionalFormatting sqref="F1527:F1530">
    <cfRule type="duplicateValues" dxfId="349" priority="2"/>
  </conditionalFormatting>
  <conditionalFormatting sqref="F1564:F1567">
    <cfRule type="duplicateValues" dxfId="348" priority="1"/>
  </conditionalFormatting>
  <dataValidations xWindow="432" yWindow="254" count="1">
    <dataValidation type="whole" operator="greaterThanOrEqual" allowBlank="1" showInputMessage="1" showErrorMessage="1" sqref="L1547:P1548 L1575:P1576 L1612:P1613 L23:P24 L35:P36 L26:P27 L1618:P1619 L1624:P1625 L1621:P1622 L1627:P1628 L1615:P1616 L32:P33 L659:P660 L653:P654 L656:P657 L662:P663 L622:P623 L665:P666 L801:P802 L66:P67 L60:P61 L20:P21 L69:P70 L72:P73 L1282:P1283 L103:P104 L1285:P1286 L171:P172 L106:P107 L109:P110 L1541:P1542 L140:P141 L1544:P1545 L57:P58 L143:P144 L146:P147 L174:P175 L177:P178 L168:P169 L131:P132 L180:P181 L183:P184 L208:P209 L214:P215 L211:P212 L137:P138 L217:P218 L220:P221 L245:P246 L251:P252 L248:P249 L205:P206 L254:P255 L257:P258 L282:P283 L288:P289 L285:P286 L242:P243 L291:P292 L294:P295 L1066:P1067 L1060:P1061 L1063:P1064 L1069:P1070 L1072:P1073 L1057:P1058 L319:P320 L325:P326 L322:P323 L279:P280 L328:P329 L331:P332 L134:P135 L362:P363 L94:P95 L316:P317 L365:P366 L650:P651 L393:P394 L399:P400 L396:P397 L359:P360 L402:P403 L368:P369 L427:P428 L436:P437 L430:P431 L433:P434 L439:P440 L405:P406 L464:P465 L473:P474 L470:P471 L467:P468 L476:P477 L442:P443 L1550:P1551 L1553:P1554 L1538:P1539 L353:P354 L356:P357 L479:P480 L510:P511 L504:P505 L507:P508 L513:P514 L516:P517 L390:P391 L547:P548 L541:P542 L544:P545 L550:P551 L553:P554 L501:P502 L584:P585 L578:P579 L581:P582 L587:P588 L590:P591 L538:P539 L616:P617 L619:P620 L625:P626 L628:P629 L613:P614 L575:P576 L696:P697 L690:P691 L693:P694 L699:P700 L702:P703 L687:P688 L733:P734 L727:P728 L730:P731 L736:P737 L739:P740 L724:P725 L770:P771 L764:P765 L767:P768 L773:P774 L776:P777 L761:P762 L807:P808 L1279:P1280 L804:P805 L810:P811 L813:P814 L798:P799 L844:P845 L838:P839 L841:P842 L847:P848 L850:P851 L835:P836 L881:P882 L875:P876 L878:P879 L884:P885 L887:P888 L872:P873 L918:P919 L912:P913 L915:P916 L921:P922 L924:P925 L909:P910 L955:P956 L949:P950 L952:P953 L958:P959 L961:P962 L946:P947 L992:P993 L986:P987 L989:P990 L995:P996 L998:P999 L983:P984 L1029:P1030 L1023:P1024 L1026:P1027 L1032:P1033 L1035:P1036 L1020:P1021 L1103:P1104 L1097:P1098 L1100:P1101 L1106:P1107 L1109:P1110 L1094:P1095 L1140:P1141 L1134:P1135 L1137:P1138 L1143:P1144 L1146:P1147 L1131:P1132 L1177:P1178 L1171:P1172 L1174:P1175 L1180:P1181 L1183:P1184 L1168:P1169 L1214:P1215 L1208:P1209 L1211:P1212 L1217:P1218 L1220:P1221 L1205:P1206 L1251:P1252 L1245:P1246 L1248:P1249 L1254:P1255 L1257:P1258 L1242:P1243 L1288:P1289 L1587:P1588 L1590:P1591 L1291:P1292 L1294:P1295 L29:P30 L1325:P1326 L1319:P1320 L1322:P1323 L1328:P1329 L1331:P1332 L1316:P1317 L1362:P1363 L1356:P1357 L1359:P1360 L1365:P1366 L1368:P1369 L1353:P1354 L1399:P1400 L1393:P1394 L1396:P1397 L1402:P1403 L1405:P1406 L1390:P1391 L1436:P1437 L1430:P1431 L1433:P1434 L1439:P1440 L1442:P1443 L1427:P1428 L1473:P1474 L1467:P1468 L1470:P1471 L1476:P1477 L1479:P1480 L1464:P1465 L1510:P1511 L1504:P1505 L1507:P1508 L1513:P1514 L1516:P1517 L1501:P1502 L1584:P1585 L1578:P1579 L1581:P1582 L97:P98 L100:P101 L63:P64" xr:uid="{00000000-0002-0000-0100-000000000000}">
      <formula1>0</formula1>
    </dataValidation>
  </dataValidations>
  <printOptions horizontalCentered="1" verticalCentered="1"/>
  <pageMargins left="0.45" right="0.7" top="1" bottom="0.75" header="0.3" footer="0.3"/>
  <pageSetup scale="88" orientation="landscape" r:id="rId2"/>
  <headerFooter>
    <oddHeader>&amp;C&amp;"-,Bold"&amp;20Federación Puertorriqueña de Tenis de Mesa
&amp;18Nacionales&amp;16 2025 
sábado 15 de noviembre
Dobles Mixtos</oddHeader>
    <oddFooter>&amp;L&amp;D&amp;C&amp;P de &amp;N&amp;R&amp;T</oddFooter>
  </headerFooter>
  <rowBreaks count="1" manualBreakCount="1">
    <brk id="73" min="40" max="59" man="1"/>
  </rowBreaks>
  <cellWatches>
    <cellWatch r="I9"/>
    <cellWatch r="J9"/>
    <cellWatch r="K9"/>
    <cellWatch r="L9"/>
    <cellWatch r="M9"/>
    <cellWatch r="N9"/>
    <cellWatch r="O9"/>
    <cellWatch r="P9"/>
    <cellWatch r="Q9"/>
    <cellWatch r="R9"/>
    <cellWatch r="I10"/>
    <cellWatch r="J10"/>
    <cellWatch r="K10"/>
    <cellWatch r="L10"/>
    <cellWatch r="M10"/>
    <cellWatch r="N10"/>
    <cellWatch r="O10"/>
    <cellWatch r="P10"/>
    <cellWatch r="Q10"/>
    <cellWatch r="R10"/>
    <cellWatch r="I11"/>
    <cellWatch r="J11"/>
    <cellWatch r="K11"/>
    <cellWatch r="L11"/>
    <cellWatch r="M11"/>
    <cellWatch r="N11"/>
    <cellWatch r="O11"/>
    <cellWatch r="P11"/>
    <cellWatch r="Q11"/>
    <cellWatch r="R11"/>
    <cellWatch r="I12"/>
    <cellWatch r="J12"/>
    <cellWatch r="K12"/>
    <cellWatch r="L12"/>
    <cellWatch r="M12"/>
    <cellWatch r="N12"/>
    <cellWatch r="O12"/>
    <cellWatch r="P12"/>
    <cellWatch r="Q12"/>
    <cellWatch r="R12"/>
  </cellWatches>
  <ignoredErrors>
    <ignoredError sqref="L11"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Print_GPRanges">
                <anchor moveWithCells="1">
                  <from>
                    <xdr:col>9</xdr:col>
                    <xdr:colOff>251460</xdr:colOff>
                    <xdr:row>1</xdr:row>
                    <xdr:rowOff>274320</xdr:rowOff>
                  </from>
                  <to>
                    <xdr:col>13</xdr:col>
                    <xdr:colOff>76200</xdr:colOff>
                    <xdr:row>3</xdr:row>
                    <xdr:rowOff>251460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23" id="{E2860A77-C053-4449-8B4E-24C9303FD4F6}">
            <xm:f>Sorteo!$E$11=3</xm:f>
            <x14:dxf>
              <fill>
                <patternFill>
                  <bgColor theme="0" tint="-0.14996795556505021"/>
                </patternFill>
              </fill>
            </x14:dxf>
          </x14:cfRule>
          <xm:sqref>I12</xm:sqref>
        </x14:conditionalFormatting>
        <x14:conditionalFormatting xmlns:xm="http://schemas.microsoft.com/office/excel/2006/main">
          <x14:cfRule type="expression" priority="135" id="{A72C4F62-869C-4ED3-B471-6ED63F949AE5}">
            <xm:f>Sorteo!$E$11=3</xm:f>
            <x14:dxf>
              <fill>
                <patternFill>
                  <bgColor theme="0" tint="-0.14996795556505021"/>
                </patternFill>
              </fill>
            </x14:dxf>
          </x14:cfRule>
          <xm:sqref>I49</xm:sqref>
        </x14:conditionalFormatting>
        <x14:conditionalFormatting xmlns:xm="http://schemas.microsoft.com/office/excel/2006/main">
          <x14:cfRule type="expression" priority="133" id="{AEE9ABCA-228F-4744-9AF1-8D52BB9D402F}">
            <xm:f>Sorteo!$E$11=3</xm:f>
            <x14:dxf>
              <fill>
                <patternFill>
                  <bgColor theme="0" tint="-0.14996795556505021"/>
                </patternFill>
              </fill>
            </x14:dxf>
          </x14:cfRule>
          <xm:sqref>I86</xm:sqref>
        </x14:conditionalFormatting>
        <x14:conditionalFormatting xmlns:xm="http://schemas.microsoft.com/office/excel/2006/main">
          <x14:cfRule type="expression" priority="131" id="{26A94E4B-858E-4D4C-B976-F005020C75CD}">
            <xm:f>Sorteo!$E$11=3</xm:f>
            <x14:dxf>
              <fill>
                <patternFill>
                  <bgColor theme="0" tint="-0.14996795556505021"/>
                </patternFill>
              </fill>
            </x14:dxf>
          </x14:cfRule>
          <xm:sqref>I123</xm:sqref>
        </x14:conditionalFormatting>
        <x14:conditionalFormatting xmlns:xm="http://schemas.microsoft.com/office/excel/2006/main">
          <x14:cfRule type="expression" priority="129" id="{33B54DA4-DC0B-46D7-A704-5D72F0F40B6D}">
            <xm:f>Sorteo!$E$11=3</xm:f>
            <x14:dxf>
              <fill>
                <patternFill>
                  <bgColor theme="0" tint="-0.14996795556505021"/>
                </patternFill>
              </fill>
            </x14:dxf>
          </x14:cfRule>
          <xm:sqref>I160</xm:sqref>
        </x14:conditionalFormatting>
        <x14:conditionalFormatting xmlns:xm="http://schemas.microsoft.com/office/excel/2006/main">
          <x14:cfRule type="expression" priority="127" id="{6A9C8C91-FDE0-49E4-BC8B-D8D7EF3600B4}">
            <xm:f>Sorteo!$E$11=3</xm:f>
            <x14:dxf>
              <fill>
                <patternFill>
                  <bgColor theme="0" tint="-0.14996795556505021"/>
                </patternFill>
              </fill>
            </x14:dxf>
          </x14:cfRule>
          <xm:sqref>I197</xm:sqref>
        </x14:conditionalFormatting>
        <x14:conditionalFormatting xmlns:xm="http://schemas.microsoft.com/office/excel/2006/main">
          <x14:cfRule type="expression" priority="125" id="{524F1E36-C643-44E2-BD88-75BADBB24500}">
            <xm:f>Sorteo!$E$11=3</xm:f>
            <x14:dxf>
              <fill>
                <patternFill>
                  <bgColor theme="0" tint="-0.14996795556505021"/>
                </patternFill>
              </fill>
            </x14:dxf>
          </x14:cfRule>
          <xm:sqref>I234</xm:sqref>
        </x14:conditionalFormatting>
        <x14:conditionalFormatting xmlns:xm="http://schemas.microsoft.com/office/excel/2006/main">
          <x14:cfRule type="expression" priority="123" id="{70C56875-3314-46DB-B98E-48BA48BC4C18}">
            <xm:f>Sorteo!$E$11=3</xm:f>
            <x14:dxf>
              <fill>
                <patternFill>
                  <bgColor theme="0" tint="-0.14996795556505021"/>
                </patternFill>
              </fill>
            </x14:dxf>
          </x14:cfRule>
          <xm:sqref>I271</xm:sqref>
        </x14:conditionalFormatting>
        <x14:conditionalFormatting xmlns:xm="http://schemas.microsoft.com/office/excel/2006/main">
          <x14:cfRule type="expression" priority="121" id="{81380224-3221-4F8C-A73E-BD6A0002398E}">
            <xm:f>Sorteo!$E$11=3</xm:f>
            <x14:dxf>
              <fill>
                <patternFill>
                  <bgColor theme="0" tint="-0.14996795556505021"/>
                </patternFill>
              </fill>
            </x14:dxf>
          </x14:cfRule>
          <xm:sqref>I308</xm:sqref>
        </x14:conditionalFormatting>
        <x14:conditionalFormatting xmlns:xm="http://schemas.microsoft.com/office/excel/2006/main">
          <x14:cfRule type="expression" priority="119" id="{48B9690D-A97D-477C-81B1-CE281E56F1C3}">
            <xm:f>Sorteo!$E$11=3</xm:f>
            <x14:dxf>
              <fill>
                <patternFill>
                  <bgColor theme="0" tint="-0.14996795556505021"/>
                </patternFill>
              </fill>
            </x14:dxf>
          </x14:cfRule>
          <xm:sqref>I345</xm:sqref>
        </x14:conditionalFormatting>
        <x14:conditionalFormatting xmlns:xm="http://schemas.microsoft.com/office/excel/2006/main">
          <x14:cfRule type="expression" priority="117" id="{870D7890-F3C3-4946-AF3B-9082AF8E9447}">
            <xm:f>Sorteo!$E$11=3</xm:f>
            <x14:dxf>
              <fill>
                <patternFill>
                  <bgColor theme="0" tint="-0.14996795556505021"/>
                </patternFill>
              </fill>
            </x14:dxf>
          </x14:cfRule>
          <xm:sqref>I382</xm:sqref>
        </x14:conditionalFormatting>
        <x14:conditionalFormatting xmlns:xm="http://schemas.microsoft.com/office/excel/2006/main">
          <x14:cfRule type="expression" priority="115" id="{CD6CC1FC-059E-4C43-9F14-4C9CF3A209D5}">
            <xm:f>Sorteo!$E$11=3</xm:f>
            <x14:dxf>
              <fill>
                <patternFill>
                  <bgColor theme="0" tint="-0.14996795556505021"/>
                </patternFill>
              </fill>
            </x14:dxf>
          </x14:cfRule>
          <xm:sqref>I419</xm:sqref>
        </x14:conditionalFormatting>
        <x14:conditionalFormatting xmlns:xm="http://schemas.microsoft.com/office/excel/2006/main">
          <x14:cfRule type="expression" priority="113" id="{F2050351-123C-4A25-ABC5-BC1ACF85E618}">
            <xm:f>Sorteo!$E$11=3</xm:f>
            <x14:dxf>
              <fill>
                <patternFill>
                  <bgColor theme="0" tint="-0.14996795556505021"/>
                </patternFill>
              </fill>
            </x14:dxf>
          </x14:cfRule>
          <xm:sqref>I456</xm:sqref>
        </x14:conditionalFormatting>
        <x14:conditionalFormatting xmlns:xm="http://schemas.microsoft.com/office/excel/2006/main">
          <x14:cfRule type="expression" priority="111" id="{D9B6B104-F87E-4B98-A148-27FCFFE28C90}">
            <xm:f>Sorteo!$E$11=3</xm:f>
            <x14:dxf>
              <fill>
                <patternFill>
                  <bgColor theme="0" tint="-0.14996795556505021"/>
                </patternFill>
              </fill>
            </x14:dxf>
          </x14:cfRule>
          <xm:sqref>I493</xm:sqref>
        </x14:conditionalFormatting>
        <x14:conditionalFormatting xmlns:xm="http://schemas.microsoft.com/office/excel/2006/main">
          <x14:cfRule type="expression" priority="109" id="{5EDCB55C-1AA8-48D4-9CFA-BB62B51137E7}">
            <xm:f>Sorteo!$E$11=3</xm:f>
            <x14:dxf>
              <fill>
                <patternFill>
                  <bgColor theme="0" tint="-0.14996795556505021"/>
                </patternFill>
              </fill>
            </x14:dxf>
          </x14:cfRule>
          <xm:sqref>I530</xm:sqref>
        </x14:conditionalFormatting>
        <x14:conditionalFormatting xmlns:xm="http://schemas.microsoft.com/office/excel/2006/main">
          <x14:cfRule type="expression" priority="107" id="{7AB26B17-3539-46C0-AE53-23B73CB625E7}">
            <xm:f>Sorteo!$E$11=3</xm:f>
            <x14:dxf>
              <fill>
                <patternFill>
                  <bgColor theme="0" tint="-0.14996795556505021"/>
                </patternFill>
              </fill>
            </x14:dxf>
          </x14:cfRule>
          <xm:sqref>I567</xm:sqref>
        </x14:conditionalFormatting>
        <x14:conditionalFormatting xmlns:xm="http://schemas.microsoft.com/office/excel/2006/main">
          <x14:cfRule type="expression" priority="105" id="{EBEDC788-5041-437D-AFCD-A4C1C9C00F1E}">
            <xm:f>Sorteo!$E$11=3</xm:f>
            <x14:dxf>
              <fill>
                <patternFill>
                  <bgColor theme="0" tint="-0.14996795556505021"/>
                </patternFill>
              </fill>
            </x14:dxf>
          </x14:cfRule>
          <xm:sqref>I605</xm:sqref>
        </x14:conditionalFormatting>
        <x14:conditionalFormatting xmlns:xm="http://schemas.microsoft.com/office/excel/2006/main">
          <x14:cfRule type="expression" priority="103" id="{3B34F7EE-D552-4913-8609-7689BEE107D7}">
            <xm:f>Sorteo!$E$11=3</xm:f>
            <x14:dxf>
              <fill>
                <patternFill>
                  <bgColor theme="0" tint="-0.14996795556505021"/>
                </patternFill>
              </fill>
            </x14:dxf>
          </x14:cfRule>
          <xm:sqref>I642</xm:sqref>
        </x14:conditionalFormatting>
        <x14:conditionalFormatting xmlns:xm="http://schemas.microsoft.com/office/excel/2006/main">
          <x14:cfRule type="expression" priority="101" id="{76B7796B-EC45-4995-BFC1-64813D74CBC8}">
            <xm:f>Sorteo!$E$11=3</xm:f>
            <x14:dxf>
              <fill>
                <patternFill>
                  <bgColor theme="0" tint="-0.14996795556505021"/>
                </patternFill>
              </fill>
            </x14:dxf>
          </x14:cfRule>
          <xm:sqref>I679</xm:sqref>
        </x14:conditionalFormatting>
        <x14:conditionalFormatting xmlns:xm="http://schemas.microsoft.com/office/excel/2006/main">
          <x14:cfRule type="expression" priority="99" id="{709854AB-2996-4E99-B6CB-1345EAED5C13}">
            <xm:f>Sorteo!$E$11=3</xm:f>
            <x14:dxf>
              <fill>
                <patternFill>
                  <bgColor theme="0" tint="-0.14996795556505021"/>
                </patternFill>
              </fill>
            </x14:dxf>
          </x14:cfRule>
          <xm:sqref>I716</xm:sqref>
        </x14:conditionalFormatting>
        <x14:conditionalFormatting xmlns:xm="http://schemas.microsoft.com/office/excel/2006/main">
          <x14:cfRule type="expression" priority="97" id="{D130CDD0-0B47-4578-90FA-6E8B9A7730ED}">
            <xm:f>Sorteo!$E$11=3</xm:f>
            <x14:dxf>
              <fill>
                <patternFill>
                  <bgColor theme="0" tint="-0.14996795556505021"/>
                </patternFill>
              </fill>
            </x14:dxf>
          </x14:cfRule>
          <xm:sqref>I753</xm:sqref>
        </x14:conditionalFormatting>
        <x14:conditionalFormatting xmlns:xm="http://schemas.microsoft.com/office/excel/2006/main">
          <x14:cfRule type="expression" priority="95" id="{F532A3F2-ACB2-462E-9E12-EDF328F1FA35}">
            <xm:f>Sorteo!$E$11=3</xm:f>
            <x14:dxf>
              <fill>
                <patternFill>
                  <bgColor theme="0" tint="-0.14996795556505021"/>
                </patternFill>
              </fill>
            </x14:dxf>
          </x14:cfRule>
          <xm:sqref>I790</xm:sqref>
        </x14:conditionalFormatting>
        <x14:conditionalFormatting xmlns:xm="http://schemas.microsoft.com/office/excel/2006/main">
          <x14:cfRule type="expression" priority="93" id="{3D6ADAA0-0E5F-40AA-B050-328DA943B14D}">
            <xm:f>Sorteo!$E$11=3</xm:f>
            <x14:dxf>
              <fill>
                <patternFill>
                  <bgColor theme="0" tint="-0.14996795556505021"/>
                </patternFill>
              </fill>
            </x14:dxf>
          </x14:cfRule>
          <xm:sqref>I827</xm:sqref>
        </x14:conditionalFormatting>
        <x14:conditionalFormatting xmlns:xm="http://schemas.microsoft.com/office/excel/2006/main">
          <x14:cfRule type="expression" priority="91" id="{E76116D5-5006-42FF-9826-C0C02B02E2FE}">
            <xm:f>Sorteo!$E$11=3</xm:f>
            <x14:dxf>
              <fill>
                <patternFill>
                  <bgColor theme="0" tint="-0.14996795556505021"/>
                </patternFill>
              </fill>
            </x14:dxf>
          </x14:cfRule>
          <xm:sqref>I864</xm:sqref>
        </x14:conditionalFormatting>
        <x14:conditionalFormatting xmlns:xm="http://schemas.microsoft.com/office/excel/2006/main">
          <x14:cfRule type="expression" priority="89" id="{9A3FEBC7-7C3E-42EA-AB27-2FD64A38B9F6}">
            <xm:f>Sorteo!$E$11=3</xm:f>
            <x14:dxf>
              <fill>
                <patternFill>
                  <bgColor theme="0" tint="-0.14996795556505021"/>
                </patternFill>
              </fill>
            </x14:dxf>
          </x14:cfRule>
          <xm:sqref>I901</xm:sqref>
        </x14:conditionalFormatting>
        <x14:conditionalFormatting xmlns:xm="http://schemas.microsoft.com/office/excel/2006/main">
          <x14:cfRule type="expression" priority="87" id="{DDCA5CF5-A4E5-420E-A186-03E78FD790A1}">
            <xm:f>Sorteo!$E$11=3</xm:f>
            <x14:dxf>
              <fill>
                <patternFill>
                  <bgColor theme="0" tint="-0.14996795556505021"/>
                </patternFill>
              </fill>
            </x14:dxf>
          </x14:cfRule>
          <xm:sqref>I938</xm:sqref>
        </x14:conditionalFormatting>
        <x14:conditionalFormatting xmlns:xm="http://schemas.microsoft.com/office/excel/2006/main">
          <x14:cfRule type="expression" priority="85" id="{D113EE25-420E-447B-BBC3-F29518594DFE}">
            <xm:f>Sorteo!$E$11=3</xm:f>
            <x14:dxf>
              <fill>
                <patternFill>
                  <bgColor theme="0" tint="-0.14996795556505021"/>
                </patternFill>
              </fill>
            </x14:dxf>
          </x14:cfRule>
          <xm:sqref>I975</xm:sqref>
        </x14:conditionalFormatting>
        <x14:conditionalFormatting xmlns:xm="http://schemas.microsoft.com/office/excel/2006/main">
          <x14:cfRule type="expression" priority="83" id="{183DD36E-8101-48D5-83E1-758E462F4D86}">
            <xm:f>Sorteo!$E$11=3</xm:f>
            <x14:dxf>
              <fill>
                <patternFill>
                  <bgColor theme="0" tint="-0.14996795556505021"/>
                </patternFill>
              </fill>
            </x14:dxf>
          </x14:cfRule>
          <xm:sqref>I1012</xm:sqref>
        </x14:conditionalFormatting>
        <x14:conditionalFormatting xmlns:xm="http://schemas.microsoft.com/office/excel/2006/main">
          <x14:cfRule type="expression" priority="81" id="{42867007-7C0B-44BB-BD55-EDBBB680CCD9}">
            <xm:f>Sorteo!$E$11=3</xm:f>
            <x14:dxf>
              <fill>
                <patternFill>
                  <bgColor theme="0" tint="-0.14996795556505021"/>
                </patternFill>
              </fill>
            </x14:dxf>
          </x14:cfRule>
          <xm:sqref>I1049</xm:sqref>
        </x14:conditionalFormatting>
        <x14:conditionalFormatting xmlns:xm="http://schemas.microsoft.com/office/excel/2006/main">
          <x14:cfRule type="expression" priority="79" id="{67CA1AD0-DB81-4826-9444-E36271CA99EF}">
            <xm:f>Sorteo!$E$11=3</xm:f>
            <x14:dxf>
              <fill>
                <patternFill>
                  <bgColor theme="0" tint="-0.14996795556505021"/>
                </patternFill>
              </fill>
            </x14:dxf>
          </x14:cfRule>
          <xm:sqref>I1086</xm:sqref>
        </x14:conditionalFormatting>
        <x14:conditionalFormatting xmlns:xm="http://schemas.microsoft.com/office/excel/2006/main">
          <x14:cfRule type="expression" priority="77" id="{41A1A0A2-E1E5-4CFF-947D-FD339C3E5C68}">
            <xm:f>Sorteo!$E$11=3</xm:f>
            <x14:dxf>
              <fill>
                <patternFill>
                  <bgColor theme="0" tint="-0.14996795556505021"/>
                </patternFill>
              </fill>
            </x14:dxf>
          </x14:cfRule>
          <xm:sqref>I1123</xm:sqref>
        </x14:conditionalFormatting>
        <x14:conditionalFormatting xmlns:xm="http://schemas.microsoft.com/office/excel/2006/main">
          <x14:cfRule type="expression" priority="75" id="{5688BA42-28D8-47BC-9246-FBF0643C92F5}">
            <xm:f>Sorteo!$E$11=3</xm:f>
            <x14:dxf>
              <fill>
                <patternFill>
                  <bgColor theme="0" tint="-0.14996795556505021"/>
                </patternFill>
              </fill>
            </x14:dxf>
          </x14:cfRule>
          <xm:sqref>I1160</xm:sqref>
        </x14:conditionalFormatting>
        <x14:conditionalFormatting xmlns:xm="http://schemas.microsoft.com/office/excel/2006/main">
          <x14:cfRule type="expression" priority="73" id="{73B8C0BA-DCF9-46A8-829D-3744ED41AEEA}">
            <xm:f>Sorteo!$E$11=3</xm:f>
            <x14:dxf>
              <fill>
                <patternFill>
                  <bgColor theme="0" tint="-0.14996795556505021"/>
                </patternFill>
              </fill>
            </x14:dxf>
          </x14:cfRule>
          <xm:sqref>I1197</xm:sqref>
        </x14:conditionalFormatting>
        <x14:conditionalFormatting xmlns:xm="http://schemas.microsoft.com/office/excel/2006/main">
          <x14:cfRule type="expression" priority="71" id="{B10C1B2E-49B5-4446-B705-96A342DD0158}">
            <xm:f>Sorteo!$E$11=3</xm:f>
            <x14:dxf>
              <fill>
                <patternFill>
                  <bgColor theme="0" tint="-0.14996795556505021"/>
                </patternFill>
              </fill>
            </x14:dxf>
          </x14:cfRule>
          <xm:sqref>I1234</xm:sqref>
        </x14:conditionalFormatting>
        <x14:conditionalFormatting xmlns:xm="http://schemas.microsoft.com/office/excel/2006/main">
          <x14:cfRule type="expression" priority="69" id="{D41ED839-91E7-429B-834A-727030D742C5}">
            <xm:f>Sorteo!$E$11=3</xm:f>
            <x14:dxf>
              <fill>
                <patternFill>
                  <bgColor theme="0" tint="-0.14996795556505021"/>
                </patternFill>
              </fill>
            </x14:dxf>
          </x14:cfRule>
          <xm:sqref>I1271</xm:sqref>
        </x14:conditionalFormatting>
        <x14:conditionalFormatting xmlns:xm="http://schemas.microsoft.com/office/excel/2006/main">
          <x14:cfRule type="expression" priority="67" id="{8496E7FA-4C91-42C5-86E8-A70FFD375892}">
            <xm:f>Sorteo!$E$11=3</xm:f>
            <x14:dxf>
              <fill>
                <patternFill>
                  <bgColor theme="0" tint="-0.14996795556505021"/>
                </patternFill>
              </fill>
            </x14:dxf>
          </x14:cfRule>
          <xm:sqref>I1308</xm:sqref>
        </x14:conditionalFormatting>
        <x14:conditionalFormatting xmlns:xm="http://schemas.microsoft.com/office/excel/2006/main">
          <x14:cfRule type="expression" priority="65" id="{B0CFF60C-A9E9-47B9-9156-4F7D9942FDE7}">
            <xm:f>Sorteo!$E$11=3</xm:f>
            <x14:dxf>
              <fill>
                <patternFill>
                  <bgColor theme="0" tint="-0.14996795556505021"/>
                </patternFill>
              </fill>
            </x14:dxf>
          </x14:cfRule>
          <xm:sqref>I1345</xm:sqref>
        </x14:conditionalFormatting>
        <x14:conditionalFormatting xmlns:xm="http://schemas.microsoft.com/office/excel/2006/main">
          <x14:cfRule type="expression" priority="63" id="{5283CACA-6FDE-4B6D-B457-EBD94B4A738B}">
            <xm:f>Sorteo!$E$11=3</xm:f>
            <x14:dxf>
              <fill>
                <patternFill>
                  <bgColor theme="0" tint="-0.14996795556505021"/>
                </patternFill>
              </fill>
            </x14:dxf>
          </x14:cfRule>
          <xm:sqref>I1382</xm:sqref>
        </x14:conditionalFormatting>
        <x14:conditionalFormatting xmlns:xm="http://schemas.microsoft.com/office/excel/2006/main">
          <x14:cfRule type="expression" priority="61" id="{72C435CF-06AA-4510-A124-D895A647295C}">
            <xm:f>Sorteo!$E$11=3</xm:f>
            <x14:dxf>
              <fill>
                <patternFill>
                  <bgColor theme="0" tint="-0.14996795556505021"/>
                </patternFill>
              </fill>
            </x14:dxf>
          </x14:cfRule>
          <xm:sqref>I1419</xm:sqref>
        </x14:conditionalFormatting>
        <x14:conditionalFormatting xmlns:xm="http://schemas.microsoft.com/office/excel/2006/main">
          <x14:cfRule type="expression" priority="59" id="{FB49ECD0-002A-4EC3-96F1-D0B083F07B69}">
            <xm:f>Sorteo!$E$11=3</xm:f>
            <x14:dxf>
              <fill>
                <patternFill>
                  <bgColor theme="0" tint="-0.14996795556505021"/>
                </patternFill>
              </fill>
            </x14:dxf>
          </x14:cfRule>
          <xm:sqref>I1456</xm:sqref>
        </x14:conditionalFormatting>
        <x14:conditionalFormatting xmlns:xm="http://schemas.microsoft.com/office/excel/2006/main">
          <x14:cfRule type="expression" priority="57" id="{5482DABC-B2C3-4055-9C83-F74F0282569A}">
            <xm:f>Sorteo!$E$11=3</xm:f>
            <x14:dxf>
              <fill>
                <patternFill>
                  <bgColor theme="0" tint="-0.14996795556505021"/>
                </patternFill>
              </fill>
            </x14:dxf>
          </x14:cfRule>
          <xm:sqref>I1493</xm:sqref>
        </x14:conditionalFormatting>
        <x14:conditionalFormatting xmlns:xm="http://schemas.microsoft.com/office/excel/2006/main">
          <x14:cfRule type="expression" priority="55" id="{4CA02056-2985-4626-A969-EB74892DE8C1}">
            <xm:f>Sorteo!$E$11=3</xm:f>
            <x14:dxf>
              <fill>
                <patternFill>
                  <bgColor theme="0" tint="-0.14996795556505021"/>
                </patternFill>
              </fill>
            </x14:dxf>
          </x14:cfRule>
          <xm:sqref>I1530</xm:sqref>
        </x14:conditionalFormatting>
        <x14:conditionalFormatting xmlns:xm="http://schemas.microsoft.com/office/excel/2006/main">
          <x14:cfRule type="expression" priority="53" id="{286DE9DD-1308-42E9-B4AA-DB04F4E4B034}">
            <xm:f>Sorteo!$E$11=3</xm:f>
            <x14:dxf>
              <fill>
                <patternFill>
                  <bgColor theme="0" tint="-0.14996795556505021"/>
                </patternFill>
              </fill>
            </x14:dxf>
          </x14:cfRule>
          <xm:sqref>I1567</xm:sqref>
        </x14:conditionalFormatting>
      </x14:conditionalFormattings>
    </ext>
    <ext xmlns:x14="http://schemas.microsoft.com/office/spreadsheetml/2009/9/main" uri="{CCE6A557-97BC-4b89-ADB6-D9C93CAAB3DF}">
      <x14:dataValidations xmlns:xm="http://schemas.microsoft.com/office/excel/2006/main" xWindow="432" yWindow="254" count="3">
        <x14:dataValidation type="list" allowBlank="1" showInputMessage="1" showErrorMessage="1" error="G    g     P     p" xr:uid="{00000000-0002-0000-0100-000002000000}">
          <x14:formula1>
            <xm:f>Tablas!$G$1:$G$4</xm:f>
          </x14:formula1>
          <xm:sqref>AZ141:AZ175 AZ137</xm:sqref>
        </x14:dataValidation>
        <x14:dataValidation type="list" allowBlank="1" showInputMessage="1" showErrorMessage="1" error="G   g    P    p" xr:uid="{00000000-0002-0000-0100-000003000000}">
          <x14:formula1>
            <xm:f>Tablas!$G$1:$G$4</xm:f>
          </x14:formula1>
          <xm:sqref>BH18:BH48</xm:sqref>
        </x14:dataValidation>
        <x14:dataValidation type="list" allowBlank="1" showInputMessage="1" showErrorMessage="1" error="G   g    P    g" xr:uid="{00000000-0002-0000-0100-000004000000}">
          <x14:formula1>
            <xm:f>Tablas!$G$1:$G$4</xm:f>
          </x14:formula1>
          <xm:sqref>BS76:BT76 BP42:BP106 CR11:CR137 CM12:CM136 CI14:CI134 CE18:CE130 CA26:CA122 BW42:BW106 BL26:BL88 BL90:BL122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V191"/>
  <sheetViews>
    <sheetView workbookViewId="0">
      <selection activeCell="B1" sqref="B1:X94"/>
    </sheetView>
  </sheetViews>
  <sheetFormatPr defaultColWidth="8.88671875" defaultRowHeight="14.4" x14ac:dyDescent="0.3"/>
  <cols>
    <col min="1" max="1" width="8.88671875" style="165"/>
    <col min="2" max="2" width="3.109375" style="165" customWidth="1"/>
    <col min="3" max="3" width="5.109375" style="165" hidden="1" customWidth="1"/>
    <col min="4" max="6" width="15.5546875" style="165" customWidth="1"/>
    <col min="7" max="7" width="5.44140625" style="165" customWidth="1"/>
    <col min="8" max="8" width="2.109375" style="165" customWidth="1"/>
    <col min="9" max="12" width="15.5546875" style="165" customWidth="1"/>
    <col min="13" max="13" width="5.109375" style="165" customWidth="1"/>
    <col min="14" max="16" width="15.5546875" style="165" customWidth="1"/>
    <col min="17" max="17" width="5.109375" style="165" customWidth="1"/>
    <col min="18" max="19" width="8.88671875" style="165" customWidth="1"/>
    <col min="20" max="21" width="5.109375" style="165" customWidth="1"/>
    <col min="22" max="23" width="8.88671875" style="165" customWidth="1"/>
    <col min="24" max="24" width="5.109375" style="165" customWidth="1"/>
    <col min="25" max="25" width="5.44140625" style="165" customWidth="1"/>
    <col min="26" max="28" width="8.88671875" style="165" customWidth="1"/>
    <col min="29" max="29" width="5.109375" style="165" customWidth="1"/>
    <col min="30" max="31" width="8.88671875" style="165" customWidth="1"/>
    <col min="32" max="32" width="5.109375" style="165" customWidth="1"/>
    <col min="33" max="36" width="6.5546875" style="165" customWidth="1"/>
    <col min="37" max="37" width="5.109375" style="165" customWidth="1"/>
    <col min="38" max="39" width="8.88671875" style="165" customWidth="1"/>
    <col min="40" max="40" width="5.109375" style="165" customWidth="1"/>
    <col min="41" max="43" width="8.88671875" style="165" customWidth="1"/>
    <col min="44" max="44" width="5.44140625" style="165" customWidth="1"/>
    <col min="45" max="47" width="8.88671875" style="165" customWidth="1"/>
    <col min="48" max="48" width="5.44140625" style="165" customWidth="1"/>
    <col min="49" max="51" width="8.88671875" style="165" customWidth="1"/>
    <col min="52" max="52" width="5.44140625" style="165" customWidth="1"/>
    <col min="53" max="55" width="8.88671875" style="165" customWidth="1"/>
    <col min="56" max="56" width="5.44140625" style="165" customWidth="1"/>
    <col min="57" max="60" width="8.88671875" style="165" customWidth="1"/>
    <col min="61" max="61" width="2.109375" style="165" customWidth="1"/>
    <col min="62" max="62" width="5.88671875" style="165" customWidth="1"/>
    <col min="63" max="65" width="8.88671875" style="165" customWidth="1"/>
    <col min="66" max="66" width="5.44140625" style="165" customWidth="1"/>
    <col min="67" max="67" width="4.44140625" style="165" customWidth="1"/>
    <col min="68" max="68" width="8.88671875" style="165" customWidth="1"/>
    <col min="69" max="70" width="8.88671875" style="165" hidden="1" customWidth="1"/>
    <col min="71" max="71" width="20.88671875" style="165" hidden="1" customWidth="1"/>
    <col min="72" max="72" width="5.5546875" style="165" hidden="1" customWidth="1"/>
    <col min="73" max="73" width="8.88671875" style="165" hidden="1" customWidth="1"/>
    <col min="74" max="16384" width="8.88671875" style="165"/>
  </cols>
  <sheetData>
    <row r="1" spans="2:72" x14ac:dyDescent="0.3">
      <c r="B1" s="181"/>
      <c r="C1" s="192"/>
      <c r="D1" s="192"/>
      <c r="E1" s="192"/>
      <c r="F1" s="192"/>
      <c r="G1" s="272" t="s">
        <v>166</v>
      </c>
      <c r="H1" s="192"/>
      <c r="I1" s="192"/>
      <c r="J1" s="192"/>
      <c r="K1" s="192"/>
      <c r="L1" s="192"/>
      <c r="M1" s="192"/>
      <c r="N1" s="192"/>
      <c r="O1" s="192"/>
      <c r="P1" s="192"/>
      <c r="Q1" s="164"/>
      <c r="R1" s="164"/>
      <c r="S1" s="325"/>
      <c r="T1" s="164"/>
      <c r="U1" s="164"/>
      <c r="V1" s="192"/>
      <c r="W1" s="192"/>
      <c r="X1" s="192"/>
      <c r="Y1" s="192"/>
      <c r="Z1" s="192"/>
      <c r="AA1" s="192"/>
      <c r="AB1" s="192"/>
      <c r="AC1" s="192"/>
      <c r="AD1" s="192"/>
      <c r="AE1" s="192"/>
      <c r="AF1" s="192"/>
      <c r="AG1" s="192"/>
      <c r="AH1" s="192"/>
      <c r="AI1" s="192"/>
      <c r="AJ1" s="192"/>
      <c r="AK1" s="192"/>
      <c r="AL1" s="192"/>
      <c r="AM1" s="192"/>
      <c r="AN1" s="192"/>
      <c r="AO1" s="192"/>
      <c r="AP1" s="192"/>
      <c r="AQ1" s="192"/>
      <c r="AR1" s="192"/>
      <c r="AS1" s="192"/>
      <c r="AT1" s="192"/>
      <c r="AU1" s="192"/>
      <c r="AV1" s="192"/>
      <c r="AW1" s="192"/>
      <c r="AX1" s="192"/>
      <c r="AY1" s="192"/>
      <c r="AZ1" s="192"/>
      <c r="BA1" s="192"/>
      <c r="BB1" s="192"/>
      <c r="BC1" s="192"/>
      <c r="BD1" s="192"/>
      <c r="BE1" s="192"/>
      <c r="BF1" s="192"/>
      <c r="BG1" s="192"/>
      <c r="BH1" s="192"/>
      <c r="BI1" s="273"/>
      <c r="BJ1" s="274" t="s">
        <v>167</v>
      </c>
      <c r="BK1" s="192"/>
      <c r="BL1" s="192"/>
      <c r="BM1" s="192"/>
      <c r="BN1" s="192"/>
      <c r="BO1" s="192"/>
      <c r="BP1" s="181"/>
      <c r="BQ1" s="181"/>
      <c r="BR1" s="181"/>
      <c r="BS1" s="181"/>
      <c r="BT1" s="181"/>
    </row>
    <row r="2" spans="2:72" x14ac:dyDescent="0.3">
      <c r="B2" s="192">
        <v>1</v>
      </c>
      <c r="C2" s="192" t="str">
        <f>IF(Llave="","",IF(Llave&gt;1,IF(OR(Plyrs_val=Tot_Jug,Groups*2=Plyrs_val),HLOOKUP(Plyrs_val,Knockout,B2+1,FALSE)),""))</f>
        <v/>
      </c>
      <c r="D2" s="411" t="str">
        <f>IF(Llave="","",IF(Llave&gt;1,IF(C2="Bye","Bye",IF(OR(Plyrs_val=Tot_Jug,Groups*2=Plyrs_val),VLOOKUP(C2,Dist_Llav,4,FALSE),"")),""))</f>
        <v/>
      </c>
      <c r="E2" s="411"/>
      <c r="F2" s="411"/>
      <c r="G2" s="192" t="str">
        <f>IF(D2="","",IF(D2="Bye",0,IF(D5="Bye",E3,IF(H2="G",E3+G3,IF(H2="P",E3-G3,"")))))</f>
        <v/>
      </c>
      <c r="H2" s="166"/>
      <c r="I2" s="192"/>
      <c r="J2" s="276"/>
      <c r="K2" s="192"/>
      <c r="L2" s="277" t="s">
        <v>168</v>
      </c>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2"/>
      <c r="AS2" s="192"/>
      <c r="AT2" s="192"/>
      <c r="AU2" s="192"/>
      <c r="AV2" s="192"/>
      <c r="AW2" s="192"/>
      <c r="AX2" s="192"/>
      <c r="AY2" s="192"/>
      <c r="AZ2" s="192"/>
      <c r="BA2" s="192"/>
      <c r="BB2" s="192"/>
      <c r="BC2" s="192"/>
      <c r="BD2" s="192"/>
      <c r="BE2" s="274" t="s">
        <v>169</v>
      </c>
      <c r="BF2" s="192"/>
      <c r="BG2" s="192"/>
      <c r="BH2" s="192"/>
      <c r="BI2" s="166"/>
      <c r="BJ2" s="192" t="str">
        <f>IF(BK2="","",IF(BK2="Bye",0,IF(BK5="Bye",BL3,IF(BI2="G",BL3+BJ3,IF(BI2="P",BL3-BJ3,"")))))</f>
        <v/>
      </c>
      <c r="BK2" s="411" t="str">
        <f>IF(Llave="","",IF(Llave&gt;1,IF(BN2="Bye","Bye",IF(OR(Plyrs_val=Tot_Jug,Groups*2=Plyrs_val),VLOOKUP(BN2,Dist_Llav,4,FALSE),"")),""))</f>
        <v/>
      </c>
      <c r="BL2" s="411"/>
      <c r="BM2" s="411"/>
      <c r="BN2" s="229" t="str">
        <f>IF(Llave=128,IF(OR(Plyrs_val=Tot_Jug,Groups*2=Plyrs_val),HLOOKUP(Plyrs_val,Knockout,BO2+1,FALSE)),"")</f>
        <v/>
      </c>
      <c r="BO2" s="229">
        <v>65</v>
      </c>
      <c r="BP2" s="181"/>
      <c r="BQ2" s="181"/>
      <c r="BR2" s="181"/>
      <c r="BS2" s="181"/>
      <c r="BT2" s="181"/>
    </row>
    <row r="3" spans="2:72" x14ac:dyDescent="0.3">
      <c r="B3" s="413" t="str">
        <f>IF(Llave=4,3,IF(Llave=8,5,IF(Llave=16,9,IF(Llave=32,17,IF(Llave=64,33,IF(Llave=128,65,""))))))</f>
        <v/>
      </c>
      <c r="C3" s="192"/>
      <c r="D3" s="229" t="str">
        <f>IF(D2="","",IF(ISTEXT(D2),IF(D2="","",IF(D2="Bye",0,VLOOKUP(D2,Rank_Points,3,FALSE)))))</f>
        <v/>
      </c>
      <c r="E3" s="192" t="str">
        <f>IF(D2&lt;&gt;"",IF(D2="","",IF(D2="BYE",0,IF(ISTEXT(D2),VLOOKUP(C2,Dist_Llav,6,FALSE),""))),"")</f>
        <v/>
      </c>
      <c r="F3" s="414" t="s">
        <v>170</v>
      </c>
      <c r="G3" s="418" t="str">
        <f>IF(OR(D2="",D5=""),"",IF(OR(D2="Bye",D5="Bye"),0,IF(AND(H2="",H5=""),"",IF(AND(H2="G",H5="P"),IF(D3&gt;=D4,VLOOKUP(ABS(D3-D4),Point_dif,2,TRUE),VLOOKUP(ABS(D3-D4),Point_dif,3,TRUE)),IF(AND(H2="P",H5="G"),IF(D4&gt;=D3,VLOOKUP(ABS(D3-D4),Point_dif,2,TRUE),VLOOKUP(ABS(D3-D4),Point_dif,3,TRUE)))))))</f>
        <v/>
      </c>
      <c r="H3" s="278"/>
      <c r="I3" s="416" t="str">
        <f>IF(D2="Bye",D5,IF(D5="Bye",D2,IF(AND(H2="",H5=""),"",IF(AND(H2="G",H5="P"),D2,IF(AND(H5="G",H2="P"),D5,"Corregir ganador y perdedor")))))</f>
        <v/>
      </c>
      <c r="J3" s="417"/>
      <c r="K3" s="417"/>
      <c r="L3" s="417"/>
      <c r="M3" s="167"/>
      <c r="N3" s="192"/>
      <c r="O3" s="192"/>
      <c r="P3" s="192"/>
      <c r="Q3" s="192"/>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66"/>
      <c r="BE3" s="416" t="str">
        <f>IF(BK5="Bye",BK2,IF(BK2="Bye",BK5,IF(AND(BI2="",BI5=""),"",IF(AND(BI2="G",BI5="P"),BK2,IF(AND(BI5="G",BI2="P"),BK5,"Corregir ganador y perdedor")))))</f>
        <v/>
      </c>
      <c r="BF3" s="417"/>
      <c r="BG3" s="417"/>
      <c r="BH3" s="417"/>
      <c r="BI3" s="279"/>
      <c r="BJ3" s="418" t="str">
        <f>IF(OR(BK2="",BK5=""),"",IF(OR(BK2="Bye",BK5="Bye"),0,IF(AND(BI2="",BI5=""),"",IF(AND(BI2="G",BI5="P"),IF(BM3&gt;=BM4,VLOOKUP(ABS(BM3-BM4),Point_dif,2,TRUE),VLOOKUP(ABS(BM3-BM4),Point_dif,3,TRUE)),IF(AND(BI2="P",BI5="G"),IF(BM4&gt;=BM3,VLOOKUP(ABS(BM3-BM4),Point_dif,2,TRUE),VLOOKUP(ABS(BM3-BM4),Point_dif,3,TRUE)))))))</f>
        <v/>
      </c>
      <c r="BK3" s="420" t="s">
        <v>170</v>
      </c>
      <c r="BL3" s="229" t="str">
        <f>IF(BK2&lt;&gt;"",IF(BK2="","",IF(BK2="BYE",0,IF(ISTEXT(BK2),VLOOKUP(BN2,Dist_Llav,6,FALSE),""))),"")</f>
        <v/>
      </c>
      <c r="BM3" s="280" t="str">
        <f>IF(BK2="","",IF(ISTEXT(BK2),IF(BK2="","",IF(BK2="Bye",0,VLOOKUP(BK2,Rank_Points,3,FALSE)))))</f>
        <v/>
      </c>
      <c r="BN3" s="192"/>
      <c r="BO3" s="422" t="str">
        <f>IF(Llave=128,97,"")</f>
        <v/>
      </c>
      <c r="BP3" s="181"/>
      <c r="BQ3" s="181"/>
      <c r="BR3" s="181"/>
      <c r="BS3" s="181"/>
      <c r="BT3" s="181"/>
    </row>
    <row r="4" spans="2:72" x14ac:dyDescent="0.3">
      <c r="B4" s="413"/>
      <c r="C4" s="192"/>
      <c r="D4" s="229" t="str">
        <f>IF(D5="","",IF(ISTEXT(D5),IF(D5="","",IF(D5="Bye",0,VLOOKUP(D5,Rank_Points,3,FALSE)))))</f>
        <v/>
      </c>
      <c r="E4" s="192" t="str">
        <f>IF(D5&lt;&gt;"",IF(D5="","",IF(D5="BYE",0,IF(ISTEXT(D5),VLOOKUP(C5,Dist_Llav,6,FALSE),""))),"")</f>
        <v/>
      </c>
      <c r="F4" s="414"/>
      <c r="G4" s="419"/>
      <c r="H4" s="282"/>
      <c r="I4" s="283" t="str">
        <f>IF(I3=D2,D3,IF(I3=D5,D4,""))</f>
        <v/>
      </c>
      <c r="J4" s="423" t="str">
        <f>IF(ISNUMBER(I4),VLOOKUP(I3,Siembra,2,FALSE),"")</f>
        <v/>
      </c>
      <c r="K4" s="423"/>
      <c r="L4" s="278" t="str">
        <f>IF(I3="","",IF(M3="G",IF(I3=D2,G2+L6,G5+L6),IF(M3="P",IF(I3=D2,G2-L6,G5-L6),"")))</f>
        <v/>
      </c>
      <c r="M4" s="192"/>
      <c r="N4" s="192"/>
      <c r="O4" s="192" t="str">
        <f>IF(Llave=4,IF(M3="G",L4,L9),"")</f>
        <v/>
      </c>
      <c r="P4" s="192"/>
      <c r="Q4" s="192"/>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279" t="str">
        <f>IF(BE3="","",IF(BD3="G",IF(BE3=BK2,BJ2+BE6,BJ5+BE6),IF(BD3="P",IF(BE3=BK2,BJ2-BE6,BJ5-BE6),"")))</f>
        <v/>
      </c>
      <c r="BF4" s="423" t="str">
        <f>IF(ISNUMBER(BE4),VLOOKUP(BE3,Siembra,2,FALSE),"")</f>
        <v/>
      </c>
      <c r="BG4" s="423"/>
      <c r="BH4" s="285" t="str">
        <f>IF(BE3=BK2,BM3,IF(BE3=BK5,BM4,""))</f>
        <v/>
      </c>
      <c r="BI4" s="286"/>
      <c r="BJ4" s="419"/>
      <c r="BK4" s="421"/>
      <c r="BL4" s="229" t="str">
        <f>IF(BK5&lt;&gt;"",IF(BK5="","",IF(BK5="BYE",0,IF(ISTEXT(BK5),VLOOKUP(BN5,Dist_Llav,6,FALSE),""))),"")</f>
        <v/>
      </c>
      <c r="BM4" s="280" t="str">
        <f>IF(BK5="","",IF(ISTEXT(BK5),IF(BK5="","",IF(BK5="Bye",0,VLOOKUP(BK5,Rank_Points,3,FALSE)))))</f>
        <v/>
      </c>
      <c r="BN4" s="192"/>
      <c r="BO4" s="422"/>
      <c r="BP4" s="181"/>
      <c r="BQ4" s="181"/>
      <c r="BR4" s="181"/>
      <c r="BS4" s="181"/>
      <c r="BT4" s="181"/>
    </row>
    <row r="5" spans="2:72" x14ac:dyDescent="0.3">
      <c r="B5" s="192">
        <f>B2+1</f>
        <v>2</v>
      </c>
      <c r="C5" s="192" t="str">
        <f>IF(Llave="","",IF(Llave&gt;1,IF(OR(Plyrs_val=Tot_Jug,Groups*2=Plyrs_val),HLOOKUP(Plyrs_val,Knockout,B5+1,FALSE)),""))</f>
        <v/>
      </c>
      <c r="D5" s="412" t="str">
        <f>IF(Llave="","",IF(Llave&gt;1,IF(C5="Bye","Bye",IF(OR(Plyrs_val=Tot_Jug,Groups*2=Plyrs_val),VLOOKUP(C5,Dist_Llav,4,FALSE),"")),""))</f>
        <v/>
      </c>
      <c r="E5" s="412"/>
      <c r="F5" s="412"/>
      <c r="G5" s="192" t="str">
        <f>IF(D5="","",IF(D5="Bye",0,IF(D2="Bye",E4,IF(H5="G",E4+G3,IF(H5="P",E4-G3,"")))))</f>
        <v/>
      </c>
      <c r="H5" s="166"/>
      <c r="I5" s="192"/>
      <c r="J5" s="192"/>
      <c r="K5" s="192"/>
      <c r="L5" s="287"/>
      <c r="M5" s="192"/>
      <c r="N5" s="192"/>
      <c r="O5" s="192"/>
      <c r="P5" s="288" t="s">
        <v>172</v>
      </c>
      <c r="Q5" s="192"/>
      <c r="R5" s="192"/>
      <c r="S5" s="192"/>
      <c r="T5" s="192"/>
      <c r="U5" s="192"/>
      <c r="V5" s="192"/>
      <c r="W5" s="192"/>
      <c r="X5" s="192"/>
      <c r="Y5" s="192"/>
      <c r="Z5" s="192"/>
      <c r="AA5" s="192"/>
      <c r="AB5" s="192"/>
      <c r="AC5" s="192"/>
      <c r="AD5" s="192"/>
      <c r="AE5" s="192"/>
      <c r="AF5" s="192"/>
      <c r="AG5" s="192"/>
      <c r="AH5" s="192"/>
      <c r="AI5" s="192"/>
      <c r="AJ5" s="192"/>
      <c r="AK5" s="192"/>
      <c r="AL5" s="192"/>
      <c r="AM5" s="192"/>
      <c r="AN5" s="192"/>
      <c r="AO5" s="192"/>
      <c r="AP5" s="192"/>
      <c r="AQ5" s="192"/>
      <c r="AR5" s="192"/>
      <c r="AS5" s="192"/>
      <c r="AT5" s="192"/>
      <c r="AU5" s="192"/>
      <c r="AV5" s="192"/>
      <c r="AW5" s="192"/>
      <c r="AX5" s="192"/>
      <c r="AY5" s="192"/>
      <c r="AZ5" s="192"/>
      <c r="BA5" s="274" t="s">
        <v>173</v>
      </c>
      <c r="BB5" s="192"/>
      <c r="BC5" s="192"/>
      <c r="BD5" s="192"/>
      <c r="BE5" s="289"/>
      <c r="BF5" s="192"/>
      <c r="BG5" s="192"/>
      <c r="BH5" s="192"/>
      <c r="BI5" s="166"/>
      <c r="BJ5" s="284" t="str">
        <f>IF(BK5="","",IF(BK5="Bye",0,IF(BK2="Bye",BL4,IF(BI5="G",BL4+BJ3,IF(BI5="P",BL4-BJ3,"")))))</f>
        <v/>
      </c>
      <c r="BK5" s="412" t="str">
        <f>IF(Llave="","",IF(Llave&gt;1,IF(BN5="Bye","Bye",IF(OR(Plyrs_val=Tot_Jug,Groups*2=Plyrs_val),VLOOKUP(BN5,Dist_Llav,4,FALSE),"")),""))</f>
        <v/>
      </c>
      <c r="BL5" s="412"/>
      <c r="BM5" s="412"/>
      <c r="BN5" s="229" t="str">
        <f>IF(Llave=128,IF(OR(Plyrs_val=Tot_Jug,Groups*2=Plyrs_val),HLOOKUP(Plyrs_val,Knockout,BO5+1,FALSE)),"")</f>
        <v/>
      </c>
      <c r="BO5" s="229">
        <f>BO2+1</f>
        <v>66</v>
      </c>
      <c r="BP5" s="181"/>
      <c r="BQ5" s="181"/>
      <c r="BR5" s="181"/>
      <c r="BS5" s="181"/>
      <c r="BT5" s="181"/>
    </row>
    <row r="6" spans="2:72" x14ac:dyDescent="0.3">
      <c r="B6" s="192"/>
      <c r="C6" s="192"/>
      <c r="D6" s="192"/>
      <c r="E6" s="192"/>
      <c r="F6" s="192"/>
      <c r="G6" s="192"/>
      <c r="H6" s="192"/>
      <c r="I6" s="413" t="str">
        <f>IF(Llave=4,2,IF(Llave=8,3,IF(Llave=16,5,IF(Llave=32,9,IF(Llave=64,17,IF(Llave=128,33,""))))))</f>
        <v/>
      </c>
      <c r="J6" s="192"/>
      <c r="K6" s="414" t="s">
        <v>170</v>
      </c>
      <c r="L6" s="415" t="str">
        <f>IF(OR(I3="",I10=""),"",IF(OR(I3="Bye",I10="Bye"),0,IF(AND(M3="",M10=""),"",IF(AND(M3="G",M10="P"),IF(I4&gt;=I9,VLOOKUP(ABS(I4-I9),Point_dif,2,TRUE),VLOOKUP(ABS(I4-I9),Point_dif,3,TRUE)),IF(AND(M3="P",M10="G"),IF(I9&gt;=I4,VLOOKUP(ABS(I4-I9),Point_dif,2,TRUE),VLOOKUP(ABS(I4-I9),Point_dif,3,TRUE)))))))</f>
        <v/>
      </c>
      <c r="M6" s="416" t="str">
        <f>IF(AND(M3="",M10=""),"",IF(AND(M3="G",M10="P"),I3,IF(AND(M10="G",M3="P"),I10,"Corregir ganador y perdedor")))</f>
        <v/>
      </c>
      <c r="N6" s="417"/>
      <c r="O6" s="417"/>
      <c r="P6" s="417"/>
      <c r="Q6" s="167"/>
      <c r="R6" s="290"/>
      <c r="S6" s="192"/>
      <c r="T6" s="192"/>
      <c r="U6" s="192"/>
      <c r="V6" s="192"/>
      <c r="W6" s="192"/>
      <c r="X6" s="192"/>
      <c r="Y6" s="192"/>
      <c r="Z6" s="192"/>
      <c r="AA6" s="192"/>
      <c r="AB6" s="192"/>
      <c r="AC6" s="192"/>
      <c r="AD6" s="192"/>
      <c r="AE6" s="192"/>
      <c r="AF6" s="192"/>
      <c r="AG6" s="192"/>
      <c r="AH6" s="192"/>
      <c r="AI6" s="192"/>
      <c r="AJ6" s="192"/>
      <c r="AK6" s="192"/>
      <c r="AL6" s="192"/>
      <c r="AM6" s="192"/>
      <c r="AN6" s="192"/>
      <c r="AO6" s="192"/>
      <c r="AP6" s="192"/>
      <c r="AQ6" s="192"/>
      <c r="AR6" s="192"/>
      <c r="AS6" s="192"/>
      <c r="AT6" s="192"/>
      <c r="AU6" s="192"/>
      <c r="AV6" s="192"/>
      <c r="AW6" s="192"/>
      <c r="AX6" s="192"/>
      <c r="AY6" s="192"/>
      <c r="AZ6" s="166"/>
      <c r="BA6" s="416" t="str">
        <f>IF(AND(BD3="",BD10=""),"",IF(AND(BD3="G",BD10="P"),BE3,IF(AND(BD10="G",BD3="P"),BE10,"Corregir ganador y perdedor")))</f>
        <v/>
      </c>
      <c r="BB6" s="417"/>
      <c r="BC6" s="417"/>
      <c r="BD6" s="417"/>
      <c r="BE6" s="424" t="str">
        <f>IF(OR(BE3="",BE10=""),"",IF(OR(BE3="Bye",BE10="Bye"),0,IF(AND(BD3="",BD10=""),"",IF(AND(BD3="G",BD10="P"),IF(BH4&gt;=BH9,VLOOKUP(ABS(BH4-BH9),Point_dif,2,TRUE),VLOOKUP(ABS(BH4-BH9),Point_dif,3,TRUE)),IF(AND(BD3="P",BD10="G"),IF(BH9&gt;=BH4,VLOOKUP(ABS(BH4-BH9),Point_dif,2,TRUE),VLOOKUP(ABS(BH4-BH9),Point_dif,3,TRUE)))))))</f>
        <v/>
      </c>
      <c r="BF6" s="421" t="s">
        <v>170</v>
      </c>
      <c r="BG6" s="281"/>
      <c r="BH6" s="413" t="str">
        <f>IF(Llave=128,49,"")</f>
        <v/>
      </c>
      <c r="BI6" s="192"/>
      <c r="BJ6" s="192"/>
      <c r="BK6" s="192"/>
      <c r="BL6" s="192"/>
      <c r="BM6" s="192"/>
      <c r="BN6" s="192"/>
      <c r="BO6" s="192"/>
      <c r="BP6" s="181"/>
      <c r="BQ6" s="181"/>
      <c r="BR6" s="181"/>
      <c r="BS6" s="181"/>
      <c r="BT6" s="181"/>
    </row>
    <row r="7" spans="2:72" x14ac:dyDescent="0.3">
      <c r="B7" s="192"/>
      <c r="C7" s="192"/>
      <c r="D7" s="192"/>
      <c r="E7" s="192"/>
      <c r="F7" s="192"/>
      <c r="G7" s="272" t="s">
        <v>174</v>
      </c>
      <c r="H7" s="192"/>
      <c r="I7" s="413"/>
      <c r="J7" s="192"/>
      <c r="K7" s="414"/>
      <c r="L7" s="415"/>
      <c r="M7" s="283" t="str">
        <f>IF(M6=I3,I4,IF(M6=I10,I9,""))</f>
        <v/>
      </c>
      <c r="N7" s="423" t="str">
        <f>IF(ISNUMBER(M7),VLOOKUP(M6,Siembra,2,FALSE),"")</f>
        <v/>
      </c>
      <c r="O7" s="423"/>
      <c r="P7" s="278" t="str">
        <f>IF(Llave=4,IF(M3="G",L4,L9),IF(M6="","",IF(Q6="G",IF(M6=I3,L4+P12,L9+P12),IF(Q6="P",IF(M6=I3,L4-P12,L9-P12),""))))</f>
        <v/>
      </c>
      <c r="Q7" s="192"/>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279" t="str">
        <f>IF(BA6="","",IF(AZ6="G",IF(BA6=BE3,BE4+BA12,BE9+BA12),IF(AZ6="P",IF(BA6=BE3,BE4-BA12,BE9-BA12),"")))</f>
        <v/>
      </c>
      <c r="BB7" s="423" t="str">
        <f>IF(ISNUMBER(BA7),VLOOKUP(BA6,Siembra,2,FALSE),"")</f>
        <v/>
      </c>
      <c r="BC7" s="423"/>
      <c r="BD7" s="285" t="str">
        <f>IF(BA6=BE3,BH4,IF(BA6=BE10,BH9,""))</f>
        <v/>
      </c>
      <c r="BE7" s="424"/>
      <c r="BF7" s="421"/>
      <c r="BG7" s="281"/>
      <c r="BH7" s="413"/>
      <c r="BI7" s="273"/>
      <c r="BJ7" s="274" t="s">
        <v>175</v>
      </c>
      <c r="BK7" s="192"/>
      <c r="BL7" s="192"/>
      <c r="BM7" s="192"/>
      <c r="BN7" s="192"/>
      <c r="BO7" s="192"/>
      <c r="BP7" s="181"/>
      <c r="BQ7" s="181"/>
      <c r="BR7" s="181"/>
      <c r="BS7" s="181"/>
      <c r="BT7" s="181">
        <f>COUNT(BT8:BT135)</f>
        <v>0</v>
      </c>
    </row>
    <row r="8" spans="2:72" x14ac:dyDescent="0.3">
      <c r="B8" s="192">
        <f>B5+1</f>
        <v>3</v>
      </c>
      <c r="C8" s="192" t="str">
        <f>IF(Llave="","",IF(Llave&gt;1,IF(OR(Plyrs_val=Tot_Jug,Groups*2=Plyrs_val),HLOOKUP(Plyrs_val,Knockout,B8+1,FALSE)),""))</f>
        <v/>
      </c>
      <c r="D8" s="411" t="str">
        <f>IF(Llave="","",IF(Llave&gt;1,IF(C8="Bye","Bye",IF(OR(Plyrs_val=Tot_Jug,Groups*2=Plyrs_val),VLOOKUP(C8,Dist_Llav,4,FALSE),"")),""))</f>
        <v/>
      </c>
      <c r="E8" s="411"/>
      <c r="F8" s="411"/>
      <c r="G8" s="192" t="str">
        <f>IF(D8="","",IF(D8="Bye",0,IF(D11="Bye",E9,IF(H8="G",E9+G9,IF(H8="P",E9-G9,"")))))</f>
        <v/>
      </c>
      <c r="H8" s="166"/>
      <c r="I8" s="192"/>
      <c r="J8" s="192"/>
      <c r="K8" s="192"/>
      <c r="L8" s="287"/>
      <c r="M8" s="192"/>
      <c r="N8" s="192"/>
      <c r="O8" s="192"/>
      <c r="P8" s="287"/>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c r="AS8" s="192"/>
      <c r="AT8" s="192"/>
      <c r="AU8" s="192"/>
      <c r="AV8" s="192"/>
      <c r="AW8" s="192"/>
      <c r="AX8" s="192"/>
      <c r="AY8" s="192"/>
      <c r="AZ8" s="192"/>
      <c r="BA8" s="289"/>
      <c r="BB8" s="192"/>
      <c r="BC8" s="192"/>
      <c r="BD8" s="192"/>
      <c r="BE8" s="289"/>
      <c r="BF8" s="192"/>
      <c r="BG8" s="192"/>
      <c r="BH8" s="192"/>
      <c r="BI8" s="166"/>
      <c r="BJ8" s="192" t="str">
        <f>IF(BK8="","",IF(BK8="Bye",0,IF(BK11="Bye",BL9,IF(BI8="G",BL9+BJ9,IF(BI8="P",BL9-BJ9,"")))))</f>
        <v/>
      </c>
      <c r="BK8" s="411" t="str">
        <f>IF(Llave="","",IF(Llave&gt;1,IF(BN8="Bye","Bye",IF(OR(Plyrs_val=Tot_Jug,Groups*2=Plyrs_val),VLOOKUP(BN8,Dist_Llav,4,FALSE),"")),""))</f>
        <v/>
      </c>
      <c r="BL8" s="411"/>
      <c r="BM8" s="411"/>
      <c r="BN8" s="229" t="str">
        <f>IF(Llave=128,IF(OR(Plyrs_val=Tot_Jug,Groups*2=Plyrs_val),HLOOKUP(Plyrs_val,Knockout,BO8+1,FALSE)),"")</f>
        <v/>
      </c>
      <c r="BO8" s="229">
        <f>BO5+1</f>
        <v>67</v>
      </c>
      <c r="BP8" s="181"/>
      <c r="BQ8" s="181">
        <v>1</v>
      </c>
      <c r="BR8" s="181" t="str">
        <f>IF(ISNUMBER(Llave),1,"")</f>
        <v/>
      </c>
      <c r="BS8" s="181" t="str">
        <f>IF(Llave="","",IF(Llave=4,M6,IF(Llave=8,Q12,IF(Llave=16,U24,IF(Llave=32,Y48,IF(Llave=64,AC96,IF(Llave=128,AG96)))))))</f>
        <v/>
      </c>
      <c r="BT8" s="181" t="str">
        <f>IF(Llave="","",IF(Llave=4,P7,IF(Llave=8,T13,IF(Llave=16,X25,IF(Llave=32,AB49,IF(Llave=64,AF97,IF(Llave=128,AJ99)))))))</f>
        <v/>
      </c>
    </row>
    <row r="9" spans="2:72" x14ac:dyDescent="0.3">
      <c r="B9" s="413" t="str">
        <f>IF(Llave="","",B3+1)</f>
        <v/>
      </c>
      <c r="C9" s="192"/>
      <c r="D9" s="229" t="str">
        <f>IF(D8="","",IF(ISTEXT(D8),IF(D8="","",IF(D8="Bye",0,VLOOKUP(D8,Rank_Points,3,FALSE)))))</f>
        <v/>
      </c>
      <c r="E9" s="192" t="str">
        <f>IF(D8&lt;&gt;"",IF(D8="","",IF(D8="BYE",0,IF(ISTEXT(D8),VLOOKUP(C8,Dist_Llav,6,FALSE),""))),"")</f>
        <v/>
      </c>
      <c r="F9" s="414" t="s">
        <v>170</v>
      </c>
      <c r="G9" s="418" t="str">
        <f>IF(OR(D8="",D11=""),"",IF(OR(D8="Bye",D11="Bye"),0,IF(AND(H8="",H11=""),"",IF(AND(H8="G",H11="P"),IF(D9&gt;=D10,VLOOKUP(ABS(D9-D10),Point_dif,2,TRUE),VLOOKUP(ABS(D9-D10),Point_dif,3,TRUE)),IF(AND(H8="P",H11="G"),IF(D10&gt;=D9,VLOOKUP(ABS(D9-D10),Point_dif,2,TRUE),VLOOKUP(ABS(D9-D10),Point_dif,3,TRUE)))))))</f>
        <v/>
      </c>
      <c r="H9" s="278"/>
      <c r="I9" s="275" t="str">
        <f>IF(I10=D8,D9,IF(I10=D11,D10,""))</f>
        <v/>
      </c>
      <c r="J9" s="417" t="str">
        <f>IF(ISNUMBER(I9),VLOOKUP(I10,Siembra,2,FALSE),"")</f>
        <v/>
      </c>
      <c r="K9" s="417"/>
      <c r="L9" s="282" t="str">
        <f>IF(I10="","",IF(M10="G",IF(I10=D8,G8+L6,G11+L6),IF(M10="P",IF(I10=D8,G8-L6,G11-L6),"")))</f>
        <v/>
      </c>
      <c r="M9" s="192"/>
      <c r="N9" s="192"/>
      <c r="O9" s="192"/>
      <c r="P9" s="287"/>
      <c r="Q9" s="192"/>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289"/>
      <c r="BB9" s="192"/>
      <c r="BC9" s="192"/>
      <c r="BD9" s="192"/>
      <c r="BE9" s="286" t="str">
        <f>IF(BE10="","",IF(BD10="G",IF(BE10=BK8,BJ8+BE6,BJ11+BE6),IF(BD10="P",IF(BE10=BK8,BJ8-BE6,BJ11-BE6),"")))</f>
        <v/>
      </c>
      <c r="BF9" s="417" t="str">
        <f>IF(ISNUMBER(BE9),VLOOKUP(BE10,Siembra,2,FALSE),"")</f>
        <v/>
      </c>
      <c r="BG9" s="417"/>
      <c r="BH9" s="282" t="str">
        <f>IF(BE10=BK8,BM9,IF(BE10=BK11,BM10,""))</f>
        <v/>
      </c>
      <c r="BI9" s="279"/>
      <c r="BJ9" s="418" t="str">
        <f>IF(OR(BK8="",BK11=""),"",IF(OR(BK8="Bye",BK11="Bye"),0,IF(AND(BI8="",BI11=""),"",IF(AND(BI8="G",BI11="P"),IF(BM9&gt;=BM10,VLOOKUP(ABS(BM9-BM10),Point_dif,2,TRUE),VLOOKUP(ABS(BM9-BM10),Point_dif,3,TRUE)),IF(AND(BI8="P",BI11="G"),IF(BM10&gt;=BM9,VLOOKUP(ABS(BM9-BM10),Point_dif,2,TRUE),VLOOKUP(ABS(BM9-BM10),Point_dif,3,TRUE)))))))</f>
        <v/>
      </c>
      <c r="BK9" s="420" t="s">
        <v>170</v>
      </c>
      <c r="BL9" s="229" t="str">
        <f>IF(BK8&lt;&gt;"",IF(BK8="","",IF(BK8="BYE",0,IF(ISTEXT(BK8),VLOOKUP(BN8,Dist_Llav,6,FALSE),""))),"")</f>
        <v/>
      </c>
      <c r="BM9" s="280" t="str">
        <f>IF(BK8="","",IF(ISTEXT(BK8),IF(BK8="","",IF(BK8="Bye",0,VLOOKUP(BK8,Rank_Points,3,FALSE)))))</f>
        <v/>
      </c>
      <c r="BN9" s="192"/>
      <c r="BO9" s="422" t="str">
        <f>IF(Llave=128,BO3+1,"")</f>
        <v/>
      </c>
      <c r="BP9" s="181"/>
      <c r="BQ9" s="181">
        <f>IF(BS9="Bye",1,MAX(BQ$8:BQ8)+1)</f>
        <v>2</v>
      </c>
      <c r="BR9" s="181" t="str">
        <f>IF(ISNUMBER(Llave),BR8+1,"")</f>
        <v/>
      </c>
      <c r="BS9" s="181" t="str">
        <f>IF(Llave="","",IF(Llave=4,IF(M3="P",I3,I10),IF(Llave=8,IF(Q6="P",M6,M19),IF(Llave=16,IF(U12="P",Q12,Q37),IF(Llave=32,IF(Y24="P",U24,U73),IF(Llave=64,IF(AC48="P",Y48,Y145),IF(Llave=128,IF(AF95="P",AC96,AK96),"")))))))</f>
        <v/>
      </c>
      <c r="BT9" s="181" t="str">
        <f>IF(Llave="","",IF(Llave=4,IF(M3="P",L4,L9),IF(Llave=8,IF(Q6="P",P7,P18),IF(Llave=16,IF(U12="P",T13,T36),IF(Llave=32,IF(Y24="P",X25,X72),IF(Llave=64,IF(AC48="P",AB49,AB144),IF(Llave=128,IF(AF95="P",AF97,AK97),"")))))))</f>
        <v/>
      </c>
    </row>
    <row r="10" spans="2:72" x14ac:dyDescent="0.3">
      <c r="B10" s="413"/>
      <c r="C10" s="192"/>
      <c r="D10" s="229" t="str">
        <f>IF(D11="","",IF(ISTEXT(D11),IF(D11="","",IF(D11="Bye",0,VLOOKUP(D11,Rank_Points,3,FALSE)))))</f>
        <v/>
      </c>
      <c r="E10" s="192" t="str">
        <f>IF(D11&lt;&gt;"",IF(D11="","",IF(D11="BYE",0,IF(ISTEXT(D11),VLOOKUP(C11,Dist_Llav,6,FALSE),""))),"")</f>
        <v/>
      </c>
      <c r="F10" s="414"/>
      <c r="G10" s="419"/>
      <c r="H10" s="282"/>
      <c r="I10" s="425" t="str">
        <f>IF(D8="Bye",D11,IF(D11="Bye",D8,IF(AND(H8="",H11=""),"",IF(AND(H8="G",H11="P"),D8,IF(AND(H11="G",H8="P"),D11,"Corregir ganador y perdedor")))))</f>
        <v/>
      </c>
      <c r="J10" s="423"/>
      <c r="K10" s="423"/>
      <c r="L10" s="423"/>
      <c r="M10" s="167"/>
      <c r="N10" s="192"/>
      <c r="O10" s="192"/>
      <c r="P10" s="287"/>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289"/>
      <c r="BB10" s="192"/>
      <c r="BC10" s="192"/>
      <c r="BD10" s="166"/>
      <c r="BE10" s="423" t="str">
        <f>IF(BK11="Bye",BK8,IF(BK8="Bye",BK11,IF(AND(BI8="",BI11=""),"",IF(AND(BI8="G",BI11="P"),BK8,IF(AND(BI11="G",BI8="P"),BK11,"Corregir ganador y perdedor")))))</f>
        <v/>
      </c>
      <c r="BF10" s="423"/>
      <c r="BG10" s="423"/>
      <c r="BH10" s="426"/>
      <c r="BI10" s="286"/>
      <c r="BJ10" s="419"/>
      <c r="BK10" s="421"/>
      <c r="BL10" s="229" t="str">
        <f>IF(BK11&lt;&gt;"",IF(BK11="","",IF(BK11="BYE",0,IF(ISTEXT(BK11),VLOOKUP(BN11,Dist_Llav,6,FALSE),""))),"")</f>
        <v/>
      </c>
      <c r="BM10" s="280" t="str">
        <f>IF(BK11="","",IF(ISTEXT(BK11),IF(BK11="","",IF(BK11="Bye",0,VLOOKUP(BK11,Rank_Points,3,FALSE)))))</f>
        <v/>
      </c>
      <c r="BN10" s="192"/>
      <c r="BO10" s="422"/>
      <c r="BP10" s="181"/>
      <c r="BQ10" s="181">
        <f>IF(BS10="Bye",1,MAX(BQ$8:BQ9)+1)</f>
        <v>3</v>
      </c>
      <c r="BR10" s="181" t="str">
        <f>IF(ISNUMBER(Llave),BR9+1,"")</f>
        <v/>
      </c>
      <c r="BS10" s="181" t="str">
        <f>IF(Llave="","",IF(Llave=4,IF(D5="Bye","Bye",IF(H2="P",D2,D5)),IF(Llave=8,IF(M3="P",I3,I10),IF(Llave=16,IF(Q6="P",M6,M19),IF(Llave=32,IF(U12="P",Q12,Q37),IF(Llave=64,IF(Y24="P",U24,U73),IF(Llave=128,(IF(AC48="P",Y48,Y145)))))))))</f>
        <v/>
      </c>
      <c r="BT10" s="181" t="str">
        <f>IF(Llave="","",IF(Llave=4,IF(D5="Bye","",IF(H2="P",G2,G5)),IF(Llave=8,IF(M3="P",L4,L9),IF(Llave=16,IF(Q6="P",P7,P18),IF(Llave=32,IF(U12="P",T13,T36),IF(Llave=64,IF(Y24="P",X25,X72),IF(Llave=128,(IF(AC48="P",AB49,AB144)))))))))</f>
        <v/>
      </c>
    </row>
    <row r="11" spans="2:72" x14ac:dyDescent="0.3">
      <c r="B11" s="192">
        <f>B8+1</f>
        <v>4</v>
      </c>
      <c r="C11" s="192" t="str">
        <f>IF(Llave="","",IF(Llave&gt;1,IF(OR(Plyrs_val=Tot_Jug,Groups*2=Plyrs_val),HLOOKUP(Plyrs_val,Knockout,B11+1,FALSE)),""))</f>
        <v/>
      </c>
      <c r="D11" s="412" t="str">
        <f>IF(Llave="","",IF(Llave&gt;1,IF(C11="Bye","Bye",IF(OR(Plyrs_val=Tot_Jug,Groups*2=Plyrs_val),VLOOKUP(C11,Dist_Llav,4,FALSE),"")),""))</f>
        <v/>
      </c>
      <c r="E11" s="412"/>
      <c r="F11" s="412"/>
      <c r="G11" s="278" t="str">
        <f>IF(D11="","",IF(D11="Bye",0,IF(D8="Bye",E10,IF(H11="G",E10+G9,IF(H11="P",E10-G9,"")))))</f>
        <v/>
      </c>
      <c r="H11" s="166"/>
      <c r="I11" s="192"/>
      <c r="J11" s="192"/>
      <c r="K11" s="192"/>
      <c r="L11" s="192"/>
      <c r="M11" s="192"/>
      <c r="N11" s="192"/>
      <c r="O11" s="192"/>
      <c r="P11" s="287"/>
      <c r="Q11" s="192"/>
      <c r="R11" s="192"/>
      <c r="S11" s="192"/>
      <c r="T11" s="288" t="s">
        <v>177</v>
      </c>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274" t="s">
        <v>178</v>
      </c>
      <c r="AX11" s="192"/>
      <c r="AY11" s="192"/>
      <c r="AZ11" s="192"/>
      <c r="BA11" s="289"/>
      <c r="BB11" s="192"/>
      <c r="BC11" s="192"/>
      <c r="BD11" s="192"/>
      <c r="BE11" s="192"/>
      <c r="BF11" s="192"/>
      <c r="BG11" s="192"/>
      <c r="BH11" s="192"/>
      <c r="BI11" s="166"/>
      <c r="BJ11" s="284" t="str">
        <f>IF(BK11="","",IF(BK11="Bye",0,IF(BK8="Bye",BL10,IF(BI11="G",BL10+BJ9,IF(BI11="P",BL10-BJ9,"")))))</f>
        <v/>
      </c>
      <c r="BK11" s="412" t="str">
        <f>IF(Llave="","",IF(Llave&gt;1,IF(BN11="Bye","Bye",IF(OR(Plyrs_val=Tot_Jug,Groups*2=Plyrs_val),VLOOKUP(BN11,Dist_Llav,4,FALSE),"")),""))</f>
        <v/>
      </c>
      <c r="BL11" s="412"/>
      <c r="BM11" s="412"/>
      <c r="BN11" s="229" t="str">
        <f>IF(Llave=128,IF(OR(Plyrs_val=Tot_Jug,Groups*2=Plyrs_val),HLOOKUP(Plyrs_val,Knockout,BO11+1,FALSE)),"")</f>
        <v/>
      </c>
      <c r="BO11" s="229">
        <f>BO8+1</f>
        <v>68</v>
      </c>
      <c r="BP11" s="181"/>
      <c r="BQ11" s="181">
        <f>IF(BS11="Bye",1,MAX(BQ$8:BQ10)+1)</f>
        <v>4</v>
      </c>
      <c r="BR11" s="181" t="str">
        <f>IF(ISNUMBER(Llave),BR10+1,"")</f>
        <v/>
      </c>
      <c r="BS11" s="181" t="str">
        <f>IF(Llave="","",IF(Llave=4,IF(OR(D8="Bye",D11="Bye"),"Bye",IF(H8="P",D8,D11)),IF(Llave=8,IF(M15="P",I15,I22),IF(Llave=16,IF(Q30="P",M30,M43),IF(Llave=32,IF(U60="P",Q60,Q85),IF(Llave=64,IF(Y120="P",U120,U169),IF(Llave=128,(IF(AN48="P",AO48,AO145)))))))))</f>
        <v/>
      </c>
      <c r="BT11" s="181" t="str">
        <f>IF(Llave="","",IF(Llave=4,IF(OR(D8="Bye",D11="Bye"),"",IF(H8="P",G8,G11)),IF(Llave=8,IF(M15="P",L16,L21),IF(Llave=16,IF(Q30="P",P31,P42),IF(Llave=32,IF(U60="P",T61,T84),IF(Llave=64,IF(Y120="P",X121,X168),IF(Llave=128,(IF(AN48="P",AO49,AO144)))))))))</f>
        <v/>
      </c>
    </row>
    <row r="12" spans="2:72" x14ac:dyDescent="0.3">
      <c r="B12" s="192"/>
      <c r="C12" s="192"/>
      <c r="D12" s="192"/>
      <c r="E12" s="192"/>
      <c r="F12" s="192"/>
      <c r="G12" s="192"/>
      <c r="H12" s="192"/>
      <c r="I12" s="192"/>
      <c r="J12" s="192"/>
      <c r="K12" s="192"/>
      <c r="L12" s="192"/>
      <c r="M12" s="413" t="str">
        <f>IF(Llave=4,"",IF(Llave=8,2,IF(Llave=16,3,IF(Llave=32,5,IF(Llave=64,9,IF(Llave=128,17,""))))))</f>
        <v/>
      </c>
      <c r="N12" s="413" t="str">
        <f>IF(Llave=4,"",IF(Llave=8,2,IF(Llave=16,3,IF(Llave=32,5,IF(Llave=64,9,IF(Llave=128,17,""))))))</f>
        <v/>
      </c>
      <c r="O12" s="414" t="s">
        <v>170</v>
      </c>
      <c r="P12" s="415" t="str">
        <f>IF(OR(M6="",M19=""),"",IF(OR(M6="Bye",M19="Bye"),0,IF(AND(Q6="",Q19=""),"",IF(AND(Q6="G",Q19="P"),IF(M7&gt;=M18,VLOOKUP(ABS(M7-M18),Point_dif,2,TRUE),VLOOKUP(ABS(M7-M18),Point_dif,3,TRUE)),IF(AND(Q6="P",Q19="G"),IF(M18&gt;=M7,VLOOKUP(ABS(M7-M18),Point_dif,2,TRUE),VLOOKUP(ABS(M7-M18),Point_dif,3,TRUE)))))))</f>
        <v/>
      </c>
      <c r="Q12" s="416" t="str">
        <f>IF(AND(Q6="",Q19=""),"",IF(AND(Q6="G",Q19="P"),M6,IF(AND(Q19="G",Q6="P"),M19,"Corregir ganador y perdedor")))</f>
        <v/>
      </c>
      <c r="R12" s="417"/>
      <c r="S12" s="417"/>
      <c r="T12" s="417"/>
      <c r="U12" s="167"/>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66"/>
      <c r="AW12" s="416" t="str">
        <f>IF(AND(AZ6="",AZ19=""),"",IF(AND(AZ6="G",AZ19="P"),BA6,IF(AND(AZ19="G",AZ6="P"),BA19,"Corregir ganador y perdedor")))</f>
        <v/>
      </c>
      <c r="AX12" s="417"/>
      <c r="AY12" s="417"/>
      <c r="AZ12" s="417"/>
      <c r="BA12" s="424" t="str">
        <f>IF(OR(BA6="",BA19=""),"",IF(OR(BA6="Bye",BA19="Bye"),0,IF(AND(AZ6="",AZ19=""),"",IF(AND(AZ6="G",AZ19="P"),IF(BD7&gt;=BD18,VLOOKUP(ABS(BD7-BD18),Point_dif,2,TRUE),VLOOKUP(ABS(BD7-BD18),Point_dif,3,TRUE)),IF(AND(AZ6="P",AZ19="G"),IF(BD18&gt;=BD7,VLOOKUP(ABS(BD7-BD18),Point_dif,2,TRUE),VLOOKUP(ABS(BD7-BD18),Point_dif,3,TRUE)))))))</f>
        <v/>
      </c>
      <c r="BB12" s="421" t="s">
        <v>170</v>
      </c>
      <c r="BC12" s="413" t="str">
        <f>IF(Llave=128,25,"")</f>
        <v/>
      </c>
      <c r="BD12" s="181"/>
      <c r="BE12" s="192"/>
      <c r="BF12" s="192"/>
      <c r="BG12" s="192"/>
      <c r="BH12" s="192"/>
      <c r="BI12" s="192"/>
      <c r="BJ12" s="192"/>
      <c r="BK12" s="192"/>
      <c r="BL12" s="192"/>
      <c r="BM12" s="192"/>
      <c r="BN12" s="192"/>
      <c r="BO12" s="192"/>
      <c r="BP12" s="181"/>
      <c r="BQ12" s="181">
        <f>IF(BS12="Bye",1,MAX(BQ$8:BQ11)+1)</f>
        <v>5</v>
      </c>
      <c r="BR12" s="314" t="str">
        <f>IF(BR11="","",IF(AND(Llave&gt;=8,ISNUMBER(BR11)),BR11+1,""))</f>
        <v/>
      </c>
      <c r="BS12" s="181" t="str">
        <f>IF(Llave="","",IF(Llave=8,IF(OR(D2="Bye",D5="Bye"),"Bye",IF(H2="P",D2,D5)),IF(Llave=16,IF(M3="P",I3,I10),IF(Llave=32,IF(Q6="P",M6,M19),IF(Llave=64,IF(U12="P",Q12,Q37),IF(Llave=128,IF(Y24="P",U24,U73)))))))</f>
        <v/>
      </c>
      <c r="BT12" s="181" t="str">
        <f>IF(Llave="","",IF(Llave=8,IF(OR(D2="Bye",D5="Bye"),"",IF(H2="P",G2,G5)),IF(Llave=16,IF(M3="P",L4,L9),IF(Llave=32,IF(Q6="P",P7,P18),IF(Llave=64,IF(U12="P",T13,T36),IF(Llave=128,IF(Y24="P",X25,X72)))))))</f>
        <v/>
      </c>
    </row>
    <row r="13" spans="2:72" x14ac:dyDescent="0.3">
      <c r="B13" s="192"/>
      <c r="C13" s="192"/>
      <c r="D13" s="192"/>
      <c r="E13" s="192"/>
      <c r="F13" s="192"/>
      <c r="G13" s="272" t="s">
        <v>179</v>
      </c>
      <c r="H13" s="192"/>
      <c r="I13" s="192"/>
      <c r="J13" s="192"/>
      <c r="K13" s="192"/>
      <c r="L13" s="192"/>
      <c r="M13" s="413"/>
      <c r="N13" s="413"/>
      <c r="O13" s="414"/>
      <c r="P13" s="415"/>
      <c r="Q13" s="283" t="str">
        <f>IF(Q12=M6,M7,IF(Q12=M19,M18,""))</f>
        <v/>
      </c>
      <c r="R13" s="423" t="str">
        <f>IF(ISNUMBER(Q13),VLOOKUP(Q12,Siembra,2,FALSE),"")</f>
        <v/>
      </c>
      <c r="S13" s="423"/>
      <c r="T13" s="278" t="str">
        <f>IF(Llave=8,IF(Q6="G",P7,P18),IF(Q12="","",IF(U12="G",IF(Q12=M6,P7+T24,P18+T24),IF(U12="P",IF(Q12=M6,P7-T24,P18-T24),""))))</f>
        <v/>
      </c>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279" t="str">
        <f>IF(AW12="","",IF(AV12="G",IF(AW12=BA6,BA7+AW23,BA18+AW23),IF(AV12="P",IF(AW12=BA6,BA7-AW23,BA18-AW23),"")))</f>
        <v/>
      </c>
      <c r="AX13" s="423" t="str">
        <f>IF(ISNUMBER(AW13),VLOOKUP(AW12,Siembra,2,FALSE),"")</f>
        <v/>
      </c>
      <c r="AY13" s="423"/>
      <c r="AZ13" s="285" t="str">
        <f>IF(AW12=BA6,BD7,IF(AW12=BA19,BD18,""))</f>
        <v/>
      </c>
      <c r="BA13" s="424"/>
      <c r="BB13" s="421"/>
      <c r="BC13" s="413"/>
      <c r="BD13" s="181"/>
      <c r="BE13" s="192"/>
      <c r="BF13" s="192"/>
      <c r="BG13" s="192"/>
      <c r="BH13" s="192"/>
      <c r="BI13" s="273"/>
      <c r="BJ13" s="274" t="s">
        <v>180</v>
      </c>
      <c r="BK13" s="192"/>
      <c r="BL13" s="192"/>
      <c r="BM13" s="192"/>
      <c r="BN13" s="192"/>
      <c r="BO13" s="192"/>
      <c r="BP13" s="181"/>
      <c r="BQ13" s="181">
        <f>IF(BS13="Bye",1,MAX(BQ$8:BQ12)+1)</f>
        <v>6</v>
      </c>
      <c r="BR13" s="314" t="str">
        <f>IF(BR12="","",IF(AND(Llave&gt;=8,ISNUMBER(BR12)),BR12+1,""))</f>
        <v/>
      </c>
      <c r="BS13" s="181" t="str">
        <f>IF(Llave="","",IF(Llave=8,IF(OR(D8="Bye",D11="Bye"),"Bye",IF(H8="P",D8,D11)),IF(Llave=16,IF(M15="P",I15,I22),IF(Llave=32,IF(Q30="P",M30,M43),IF(Llave=64,IF(U60="P",Q60,Q85),IF(Llave=128,IF(Y120="P",U120,U169)))))))</f>
        <v/>
      </c>
      <c r="BT13" s="181" t="str">
        <f>IF(Llave="","",IF(Llave=8,IF(OR(D8="Bye",D11="Bye"),"",IF(H8="P",G8,G11)),IF(Llave=16,IF(M15="P",L16,L21),IF(Llave=32,IF(Q30="P",P31,P42),IF(Llave=64,IF(U60="P",T61,T84),IF(Llave=128,IF(Y120="P",X121,X168)))))))</f>
        <v/>
      </c>
    </row>
    <row r="14" spans="2:72" x14ac:dyDescent="0.3">
      <c r="B14" s="192">
        <v>5</v>
      </c>
      <c r="C14" s="192" t="str">
        <f>IF(Llave="","",IF(Llave&gt;1,IF(OR(Plyrs_val=Tot_Jug,Groups*2=Plyrs_val),HLOOKUP(Plyrs_val,Knockout,B14+1,FALSE)),""))</f>
        <v/>
      </c>
      <c r="D14" s="411" t="str">
        <f>IF(Llave="","",IF(Llave&gt;1,IF(C14="Bye","Bye",IF(OR(Plyrs_val=Tot_Jug,Groups*2=Plyrs_val),VLOOKUP(C14,Dist_Llav,4,FALSE),"")),""))</f>
        <v/>
      </c>
      <c r="E14" s="411"/>
      <c r="F14" s="411"/>
      <c r="G14" s="192" t="str">
        <f>IF(D14="","",IF(D14="Bye",0,IF(D17="Bye",E15,IF(H14="G",E15+G15,IF(H14="P",E15-G15,"")))))</f>
        <v/>
      </c>
      <c r="H14" s="166"/>
      <c r="I14" s="192"/>
      <c r="J14" s="192"/>
      <c r="K14" s="192"/>
      <c r="L14" s="277" t="s">
        <v>181</v>
      </c>
      <c r="M14" s="192"/>
      <c r="N14" s="192"/>
      <c r="O14" s="192"/>
      <c r="P14" s="287"/>
      <c r="Q14" s="192"/>
      <c r="R14" s="192"/>
      <c r="S14" s="192"/>
      <c r="T14" s="287"/>
      <c r="U14" s="192"/>
      <c r="V14" s="192"/>
      <c r="W14" s="192"/>
      <c r="X14" s="192"/>
      <c r="Y14" s="192"/>
      <c r="Z14" s="192"/>
      <c r="AA14" s="192"/>
      <c r="AB14" s="192"/>
      <c r="AC14" s="192"/>
      <c r="AD14" s="192"/>
      <c r="AE14" s="192"/>
      <c r="AF14" s="192"/>
      <c r="AG14" s="192"/>
      <c r="AH14" s="192"/>
      <c r="AI14" s="192"/>
      <c r="AJ14" s="192"/>
      <c r="AK14" s="192"/>
      <c r="AL14" s="192"/>
      <c r="AM14" s="192"/>
      <c r="AN14" s="192"/>
      <c r="AO14" s="192"/>
      <c r="AP14" s="192"/>
      <c r="AQ14" s="192"/>
      <c r="AR14" s="192"/>
      <c r="AS14" s="192"/>
      <c r="AT14" s="192"/>
      <c r="AU14" s="192"/>
      <c r="AV14" s="192"/>
      <c r="AW14" s="289"/>
      <c r="AX14" s="192"/>
      <c r="AY14" s="192"/>
      <c r="AZ14" s="192"/>
      <c r="BA14" s="289"/>
      <c r="BB14" s="192"/>
      <c r="BC14" s="192"/>
      <c r="BD14" s="192"/>
      <c r="BE14" s="274" t="s">
        <v>182</v>
      </c>
      <c r="BF14" s="192"/>
      <c r="BG14" s="192"/>
      <c r="BH14" s="192"/>
      <c r="BI14" s="166"/>
      <c r="BJ14" s="192" t="str">
        <f>IF(BK14="","",IF(BK14="Bye",0,IF(BK17="Bye",BL15,IF(BI14="G",BL15+BJ15,IF(BI14="P",BL15-BJ15,"")))))</f>
        <v/>
      </c>
      <c r="BK14" s="411" t="str">
        <f>IF(Llave="","",IF(Llave&gt;1,IF(BN14="Bye","Bye",IF(OR(Plyrs_val=Tot_Jug,Groups*2=Plyrs_val),VLOOKUP(BN14,Dist_Llav,4,FALSE),"")),""))</f>
        <v/>
      </c>
      <c r="BL14" s="411"/>
      <c r="BM14" s="411"/>
      <c r="BN14" s="229" t="str">
        <f>IF(Llave=128,IF(OR(Plyrs_val=Tot_Jug,Groups*2=Plyrs_val),HLOOKUP(Plyrs_val,Knockout,BO14+1,FALSE)),"")</f>
        <v/>
      </c>
      <c r="BO14" s="229">
        <f>BO11+1</f>
        <v>69</v>
      </c>
      <c r="BP14" s="181"/>
      <c r="BQ14" s="181">
        <f>IF(BS14="Bye",1,MAX(BQ$8:BQ13)+1)</f>
        <v>7</v>
      </c>
      <c r="BR14" s="314" t="str">
        <f>IF(BR13="","",IF(AND(Llave&gt;=8,ISNUMBER(BR13)),BR13+1,""))</f>
        <v/>
      </c>
      <c r="BS14" s="181" t="str">
        <f>IF(Llave="","",IF(Llave=8,IF(OR(D14="Bye",D17="Bye"),"Bye",IF(H14="P",D14,D17)),IF(Llave=16,IF(M27="P",I27,I34),IF(Llave=32,IF(Q54="P",M54,M67),IF(Llave=64,IF(U108="P",Q108,Q133),IF(Llave=128,IF(AR24="P",AS24,AS73)))))))</f>
        <v/>
      </c>
      <c r="BT14" s="181" t="str">
        <f>IF(Llave="","",IF(Llave=8,IF(OR(D14="Bye",D17="Bye"),"",IF(H14="P",G14,G17)),IF(Llave=16,IF(M27="P",L28,L33),IF(Llave=32,IF(Q54="P",P55,P66),IF(Llave=64,IF(U108="P",T109,T132),IF(Llave=128,IF(AR24="P",AS25,AS72)))))))</f>
        <v/>
      </c>
    </row>
    <row r="15" spans="2:72" x14ac:dyDescent="0.3">
      <c r="B15" s="413" t="str">
        <f>IF(Llave="","",B9+1)</f>
        <v/>
      </c>
      <c r="C15" s="192"/>
      <c r="D15" s="229" t="str">
        <f>IF(D14="","",IF(ISTEXT(D14),IF(D14="","",IF(D14="Bye",0,VLOOKUP(D14,Rank_Points,3,FALSE)))))</f>
        <v/>
      </c>
      <c r="E15" s="192" t="str">
        <f>IF(D14&lt;&gt;"",IF(D14="","",IF(D14="BYE",0,IF(ISTEXT(D14),VLOOKUP(C14,Dist_Llav,6,FALSE),""))),"")</f>
        <v/>
      </c>
      <c r="F15" s="414" t="s">
        <v>170</v>
      </c>
      <c r="G15" s="418" t="str">
        <f>IF(OR(D14="",D17=""),"",IF(OR(D14="Bye",D17="Bye"),0,IF(AND(H14="",H17=""),"",IF(AND(H14="G",H17="P"),IF(D15&gt;=D16,VLOOKUP(ABS(D15-D16),Point_dif,2,TRUE),VLOOKUP(ABS(D15-D16),Point_dif,3,TRUE)),IF(AND(H14="P",H17="G"),IF(D16&gt;=D15,VLOOKUP(ABS(D15-D16),Point_dif,2,TRUE),VLOOKUP(ABS(D15-D16),Point_dif,3,TRUE)))))))</f>
        <v/>
      </c>
      <c r="H15" s="278"/>
      <c r="I15" s="416" t="str">
        <f>IF(D14="Bye",D17,IF(D17="Bye",D14,IF(AND(H14="",H17=""),"",IF(AND(H14="G",H17="P"),D14,IF(AND(H17="G",H14="P"),D17,"Corregir ganador y perdedor")))))</f>
        <v/>
      </c>
      <c r="J15" s="417"/>
      <c r="K15" s="417"/>
      <c r="L15" s="417"/>
      <c r="M15" s="167"/>
      <c r="N15" s="192"/>
      <c r="O15" s="192"/>
      <c r="P15" s="287"/>
      <c r="Q15" s="192"/>
      <c r="R15" s="192"/>
      <c r="S15" s="192"/>
      <c r="T15" s="287"/>
      <c r="U15" s="192"/>
      <c r="V15" s="192"/>
      <c r="W15" s="192"/>
      <c r="X15" s="192"/>
      <c r="Y15" s="192"/>
      <c r="Z15" s="192"/>
      <c r="AA15" s="192"/>
      <c r="AB15" s="192"/>
      <c r="AC15" s="192"/>
      <c r="AD15" s="192"/>
      <c r="AE15" s="192"/>
      <c r="AF15" s="192"/>
      <c r="AG15" s="192"/>
      <c r="AH15" s="192"/>
      <c r="AI15" s="192"/>
      <c r="AJ15" s="192"/>
      <c r="AK15" s="192"/>
      <c r="AL15" s="192"/>
      <c r="AM15" s="192"/>
      <c r="AN15" s="192"/>
      <c r="AO15" s="192"/>
      <c r="AP15" s="192"/>
      <c r="AQ15" s="192"/>
      <c r="AR15" s="192"/>
      <c r="AS15" s="192"/>
      <c r="AT15" s="192"/>
      <c r="AU15" s="192"/>
      <c r="AV15" s="192"/>
      <c r="AW15" s="289"/>
      <c r="AX15" s="192"/>
      <c r="AY15" s="192"/>
      <c r="AZ15" s="192"/>
      <c r="BA15" s="289"/>
      <c r="BB15" s="192"/>
      <c r="BC15" s="192"/>
      <c r="BD15" s="166"/>
      <c r="BE15" s="416" t="str">
        <f>IF(BK17="Bye",BK14,IF(BK14="Bye",BK17,IF(AND(BI14="",BI17=""),"",IF(AND(BI14="G",BI17="P"),BK14,IF(AND(BI17="G",BI14="P"),BK17,"Corregir ganador y perdedor")))))</f>
        <v/>
      </c>
      <c r="BF15" s="417"/>
      <c r="BG15" s="417"/>
      <c r="BH15" s="417"/>
      <c r="BI15" s="279"/>
      <c r="BJ15" s="418" t="str">
        <f>IF(OR(BK14="",BK17=""),"",IF(OR(BK14="Bye",BK17="Bye"),0,IF(AND(BI14="",BI17=""),"",IF(AND(BI14="G",BI17="P"),IF(BM15&gt;=BM16,VLOOKUP(ABS(BM15-BM16),Point_dif,2,TRUE),VLOOKUP(ABS(BM15-BM16),Point_dif,3,TRUE)),IF(AND(BI14="P",BI17="G"),IF(BM16&gt;=BM15,VLOOKUP(ABS(BM15-BM16),Point_dif,2,TRUE),VLOOKUP(ABS(BM15-BM16),Point_dif,3,TRUE)))))))</f>
        <v/>
      </c>
      <c r="BK15" s="420" t="s">
        <v>170</v>
      </c>
      <c r="BL15" s="229" t="str">
        <f>IF(BK14&lt;&gt;"",IF(BK14="","",IF(BK14="BYE",0,IF(ISTEXT(BK14),VLOOKUP(BN14,Dist_Llav,6,FALSE),""))),"")</f>
        <v/>
      </c>
      <c r="BM15" s="280" t="str">
        <f>IF(BK14="","",IF(ISTEXT(BK14),IF(BK14="","",IF(BK14="Bye",0,VLOOKUP(BK14,Rank_Points,3,FALSE)))))</f>
        <v/>
      </c>
      <c r="BN15" s="192"/>
      <c r="BO15" s="422" t="str">
        <f>IF(Llave=128,BO9+1,"")</f>
        <v/>
      </c>
      <c r="BP15" s="181"/>
      <c r="BQ15" s="181">
        <f>IF(BS15="Bye",1,MAX(BQ$8:BQ14)+1)</f>
        <v>8</v>
      </c>
      <c r="BR15" s="314" t="str">
        <f>IF(BR14="","",IF(AND(Llave&gt;=8,ISNUMBER(BR14)),BR14+1,""))</f>
        <v/>
      </c>
      <c r="BS15" s="181" t="str">
        <f>IF(Llave="","",IF(Llave=8,IF(OR(D20="Bye",D23="Bye"),"Bye",IF(H20="P",D20,D23)),IF(Llave=16,IF(M39="P",I39,I46),IF(Llave=32,IF(Q78="P",M78,M91),IF(Llave=64,IF(U156="P",Q156,Q181),IF(Llave=128,IF(AR120="P",AS120,AS169)))))))</f>
        <v/>
      </c>
      <c r="BT15" s="181" t="str">
        <f>IF(Llave="","",IF(Llave=8,IF(OR(D20="Bye",D23="Bye"),"",IF(H20="P",G20,G23)),IF(Llave=16,IF(M39="P",L40,L45),IF(Llave=32,IF(Q78="P",P79,P90),IF(Llave=64,IF(U156="P",T157,T180),IF(Llave=128,IF(AR120="P",AS121,AS168)))))))</f>
        <v/>
      </c>
    </row>
    <row r="16" spans="2:72" x14ac:dyDescent="0.3">
      <c r="B16" s="413"/>
      <c r="C16" s="192"/>
      <c r="D16" s="229" t="str">
        <f>IF(D17="","",IF(ISTEXT(D17),IF(D17="","",IF(D17="Bye",0,VLOOKUP(D17,Rank_Points,3,FALSE)))))</f>
        <v/>
      </c>
      <c r="E16" s="192" t="str">
        <f>IF(D17&lt;&gt;"",IF(D17="","",IF(D17="BYE",0,IF(ISTEXT(D17),VLOOKUP(C17,Dist_Llav,6,FALSE),""))),"")</f>
        <v/>
      </c>
      <c r="F16" s="414"/>
      <c r="G16" s="419"/>
      <c r="H16" s="282"/>
      <c r="I16" s="283" t="str">
        <f>IF(I15=D14,D15,IF(I15=D17,D16,""))</f>
        <v/>
      </c>
      <c r="J16" s="423" t="str">
        <f>IF(ISNUMBER(I16),VLOOKUP(I15,Siembra,2,FALSE),"")</f>
        <v/>
      </c>
      <c r="K16" s="423"/>
      <c r="L16" s="278" t="str">
        <f>IF(I15="","",IF(M15="G",IF(I15=D14,G14+L18,G17+L18),IF(M15="P",IF(I15=D14,G14-L18,G17-L18),"")))</f>
        <v/>
      </c>
      <c r="M16" s="192"/>
      <c r="N16" s="192"/>
      <c r="O16" s="192"/>
      <c r="P16" s="287"/>
      <c r="Q16" s="192"/>
      <c r="R16" s="192"/>
      <c r="S16" s="192"/>
      <c r="T16" s="287"/>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c r="AS16" s="192"/>
      <c r="AT16" s="192"/>
      <c r="AU16" s="192"/>
      <c r="AV16" s="192"/>
      <c r="AW16" s="289"/>
      <c r="AX16" s="192"/>
      <c r="AY16" s="192"/>
      <c r="AZ16" s="192"/>
      <c r="BA16" s="289"/>
      <c r="BB16" s="192"/>
      <c r="BC16" s="192"/>
      <c r="BD16" s="192"/>
      <c r="BE16" s="279" t="str">
        <f>IF(BE15="","",IF(BD15="G",IF(BE15=BK14,BJ14+BE18,BJ17+BE18),IF(BD15="P",IF(BE15=BK14,BJ14-BE18,BJ17-BE18),"")))</f>
        <v/>
      </c>
      <c r="BF16" s="423" t="str">
        <f>IF(ISNUMBER(BE16),VLOOKUP(BE15,Siembra,2,FALSE),"")</f>
        <v/>
      </c>
      <c r="BG16" s="423"/>
      <c r="BH16" s="285" t="str">
        <f>IF(BE15=BK14,BM15,IF(BE15=BK17,BM16,""))</f>
        <v/>
      </c>
      <c r="BI16" s="286"/>
      <c r="BJ16" s="419"/>
      <c r="BK16" s="421"/>
      <c r="BL16" s="229" t="str">
        <f>IF(BK17&lt;&gt;"",IF(BK17="","",IF(BK17="BYE",0,IF(ISTEXT(BK17),VLOOKUP(BN17,Dist_Llav,6,FALSE),""))),"")</f>
        <v/>
      </c>
      <c r="BM16" s="280" t="str">
        <f>IF(BK17="","",IF(ISTEXT(BK17),IF(BK17="","",IF(BK17="Bye",0,VLOOKUP(BK17,Rank_Points,3,FALSE)))))</f>
        <v/>
      </c>
      <c r="BN16" s="192"/>
      <c r="BO16" s="422"/>
      <c r="BP16" s="181"/>
      <c r="BQ16" s="181">
        <f>IF(BS16="Bye",1,MAX(BQ$8:BQ15)+1)</f>
        <v>9</v>
      </c>
      <c r="BR16" s="314" t="str">
        <f t="shared" ref="BR16:BR23" si="0">IF(BR15="","",IF(AND(Llave&gt;=16,ISNUMBER(BR15)),BR15+1,""))</f>
        <v/>
      </c>
      <c r="BS16" s="181" t="str">
        <f>IF(Llave="","",IF(Llave=16,IF(D5="Bye","Bye",IF(H2="P",D2,D5)),IF(Llave=32,IF(M3="P",I3,I10),IF(Llave=64,IF(Q6="P",M6,M19),IF(Llave=128,IF(U12="P",Q12,Q37))))))</f>
        <v/>
      </c>
      <c r="BT16" s="181" t="str">
        <f>IF(Llave="","",IF(Llave=16,IF(D5="Bye","Bye",IF(H2="P",G2,G5)),IF(Llave=32,IF(M3="P",L4,L9),IF(Llave=64,IF(Q6="P",P7,P18),IF(Llave=128,IF(U12="P",T13,T36))))))</f>
        <v/>
      </c>
    </row>
    <row r="17" spans="2:72" x14ac:dyDescent="0.3">
      <c r="B17" s="192">
        <f>B14+1</f>
        <v>6</v>
      </c>
      <c r="C17" s="192" t="str">
        <f>IF(Llave="","",IF(Llave&gt;1,IF(OR(Plyrs_val=Tot_Jug,Groups*2=Plyrs_val),HLOOKUP(Plyrs_val,Knockout,B17+1,FALSE)),""))</f>
        <v/>
      </c>
      <c r="D17" s="412" t="str">
        <f>IF(Llave="","",IF(Llave&gt;1,IF(C17="Bye","Bye",IF(OR(Plyrs_val=Tot_Jug,Groups*2=Plyrs_val),VLOOKUP(C17,Dist_Llav,4,FALSE),"")),""))</f>
        <v/>
      </c>
      <c r="E17" s="412"/>
      <c r="F17" s="412"/>
      <c r="G17" s="192" t="str">
        <f>IF(D17="","",IF(D17="Bye",0,IF(D14="Bye",E16,IF(H17="G",E16+G15,IF(H17="P",E16-G15,"")))))</f>
        <v/>
      </c>
      <c r="H17" s="166"/>
      <c r="I17" s="192"/>
      <c r="J17" s="192"/>
      <c r="K17" s="192"/>
      <c r="L17" s="287"/>
      <c r="M17" s="192"/>
      <c r="N17" s="192"/>
      <c r="O17" s="192"/>
      <c r="P17" s="287"/>
      <c r="Q17" s="192"/>
      <c r="R17" s="192"/>
      <c r="S17" s="192"/>
      <c r="T17" s="287"/>
      <c r="U17" s="192"/>
      <c r="V17" s="192"/>
      <c r="W17" s="192"/>
      <c r="X17" s="192"/>
      <c r="Y17" s="192"/>
      <c r="Z17" s="192"/>
      <c r="AA17" s="192"/>
      <c r="AB17" s="192"/>
      <c r="AC17" s="192"/>
      <c r="AD17" s="192"/>
      <c r="AE17" s="192"/>
      <c r="AF17" s="192"/>
      <c r="AG17" s="192"/>
      <c r="AH17" s="192"/>
      <c r="AI17" s="192"/>
      <c r="AJ17" s="192"/>
      <c r="AK17" s="192"/>
      <c r="AL17" s="192"/>
      <c r="AM17" s="192"/>
      <c r="AN17" s="192"/>
      <c r="AO17" s="192"/>
      <c r="AP17" s="192"/>
      <c r="AQ17" s="192"/>
      <c r="AR17" s="192"/>
      <c r="AS17" s="192"/>
      <c r="AT17" s="192"/>
      <c r="AU17" s="192"/>
      <c r="AV17" s="192"/>
      <c r="AW17" s="289"/>
      <c r="AX17" s="192"/>
      <c r="AY17" s="192"/>
      <c r="AZ17" s="192"/>
      <c r="BA17" s="289"/>
      <c r="BB17" s="192"/>
      <c r="BC17" s="192"/>
      <c r="BD17" s="192"/>
      <c r="BE17" s="289"/>
      <c r="BF17" s="192"/>
      <c r="BG17" s="192"/>
      <c r="BH17" s="192"/>
      <c r="BI17" s="166"/>
      <c r="BJ17" s="284" t="str">
        <f>IF(BK17="","",IF(BK17="Bye",0,IF(BK14="Bye",BL16,IF(BI17="G",BL16+BJ15,IF(BI17="P",BL16-BJ15,"")))))</f>
        <v/>
      </c>
      <c r="BK17" s="412" t="str">
        <f>IF(Llave="","",IF(Llave&gt;1,IF(BN17="Bye","Bye",IF(OR(Plyrs_val=Tot_Jug,Groups*2=Plyrs_val),VLOOKUP(BN17,Dist_Llav,4,FALSE),"")),""))</f>
        <v/>
      </c>
      <c r="BL17" s="412"/>
      <c r="BM17" s="412"/>
      <c r="BN17" s="229" t="str">
        <f>IF(Llave=128,IF(OR(Plyrs_val=Tot_Jug,Groups*2=Plyrs_val),HLOOKUP(Plyrs_val,Knockout,BO17+1,FALSE)),"")</f>
        <v/>
      </c>
      <c r="BO17" s="229">
        <f>BO14+1</f>
        <v>70</v>
      </c>
      <c r="BP17" s="181"/>
      <c r="BQ17" s="181">
        <f>IF(BS17="Bye",1,MAX(BQ$8:BQ16)+1)</f>
        <v>10</v>
      </c>
      <c r="BR17" s="314" t="str">
        <f t="shared" si="0"/>
        <v/>
      </c>
      <c r="BS17" s="181" t="str">
        <f>IF(Llave="","",IF(Llave=16,IF(OR(D8="Bye",D11="Bye"),"Bye",IF(H8="P",D8,D11)),IF(Llave=32,IF(M15="P",I15,I22),IF(Llave=64,IF(Q30="P",M30,M43),IF(Llave=128,IF(U60="P",Q60,Q85))))))</f>
        <v/>
      </c>
      <c r="BT17" s="181" t="str">
        <f>IF(Llave="","",IF(Llave=16,IF(OR(D8="Bye",D11="Bye"),"",IF(H8="P",G8,G11)),IF(Llave=32,IF(M15="P",L16,L21),IF(Llave=64,IF(Q30="P",P31,P42),IF(Llave=128,IF(U60="P",T61,T84))))))</f>
        <v/>
      </c>
    </row>
    <row r="18" spans="2:72" x14ac:dyDescent="0.3">
      <c r="B18" s="192"/>
      <c r="C18" s="192"/>
      <c r="D18" s="192"/>
      <c r="E18" s="192"/>
      <c r="F18" s="192"/>
      <c r="G18" s="192"/>
      <c r="H18" s="192"/>
      <c r="I18" s="413" t="str">
        <f>IF(Llave="","",I6+1)</f>
        <v/>
      </c>
      <c r="J18" s="192"/>
      <c r="K18" s="414" t="s">
        <v>170</v>
      </c>
      <c r="L18" s="415" t="str">
        <f>IF(OR(I15="",I22=""),"",IF(OR(I15="Bye",I22="Bye"),0,IF(AND(M15="",M22=""),"",IF(AND(M15="G",M22="P"),IF(I16&gt;=I21,VLOOKUP(ABS(I16-I21),Point_dif,2,TRUE),VLOOKUP(ABS(I16-I21),Point_dif,3,TRUE)),IF(AND(M15="P",M22="G"),IF(I21&gt;=I16,VLOOKUP(ABS(I16-I21),Point_dif,2,TRUE),VLOOKUP(ABS(I16-I21),Point_dif,3,TRUE)))))))</f>
        <v/>
      </c>
      <c r="M18" s="275" t="str">
        <f>IF(M19=I15,I16,IF(M19=I22,I21,""))</f>
        <v/>
      </c>
      <c r="N18" s="417" t="str">
        <f>IF(ISNUMBER(M18),VLOOKUP(M19,Siembra,2,FALSE),"")</f>
        <v/>
      </c>
      <c r="O18" s="417"/>
      <c r="P18" s="282" t="str">
        <f>IF(M19="","",IF(Q19="G",IF(M19=I15,L16+P12,L21+P12),IF(Q19="P",IF(M19=I15,L16-P12,L21-P12),"")))</f>
        <v/>
      </c>
      <c r="Q18" s="192"/>
      <c r="R18" s="192"/>
      <c r="S18" s="192"/>
      <c r="T18" s="287"/>
      <c r="U18" s="192"/>
      <c r="V18" s="192"/>
      <c r="W18" s="192"/>
      <c r="X18" s="192"/>
      <c r="Y18" s="192"/>
      <c r="Z18" s="192"/>
      <c r="AA18" s="192"/>
      <c r="AB18" s="192"/>
      <c r="AC18" s="192"/>
      <c r="AD18" s="192"/>
      <c r="AE18" s="192"/>
      <c r="AF18" s="192"/>
      <c r="AG18" s="192"/>
      <c r="AH18" s="192"/>
      <c r="AI18" s="192"/>
      <c r="AJ18" s="192"/>
      <c r="AK18" s="192"/>
      <c r="AL18" s="192"/>
      <c r="AM18" s="192"/>
      <c r="AN18" s="192"/>
      <c r="AO18" s="192"/>
      <c r="AP18" s="192"/>
      <c r="AQ18" s="192"/>
      <c r="AR18" s="192"/>
      <c r="AS18" s="192"/>
      <c r="AT18" s="192"/>
      <c r="AU18" s="192"/>
      <c r="AV18" s="192"/>
      <c r="AW18" s="289"/>
      <c r="AX18" s="192"/>
      <c r="AY18" s="192"/>
      <c r="AZ18" s="192"/>
      <c r="BA18" s="286" t="str">
        <f>IF(BA19="","",IF(AZ19="G",IF(BA19=BE15,BE16+BA12,BE21+BA12),IF(AZ19="P",IF(BA19=BE15,BE16-BA12,BE21-BA12),"")))</f>
        <v/>
      </c>
      <c r="BB18" s="417" t="str">
        <f>IF(ISNUMBER(BA18),VLOOKUP(BA19,Siembra,2,FALSE),"")</f>
        <v/>
      </c>
      <c r="BC18" s="417"/>
      <c r="BD18" s="282" t="str">
        <f>IF(BA19=BE15,BH16,IF(BA19=BE22,BH21,""))</f>
        <v/>
      </c>
      <c r="BE18" s="424" t="str">
        <f>IF(OR(BE15="",BE22=""),"",IF(OR(BE15="Bye",BE22="Bye"),0,IF(AND(BD15="",BD22=""),"",IF(AND(BD15="G",BD22="P"),IF(BH16&gt;=BH21,VLOOKUP(ABS(BH16-BH21),Point_dif,2,TRUE),VLOOKUP(ABS(BH16-BH21),Point_dif,3,TRUE)),IF(AND(BD15="P",BD22="G"),IF(BH21&gt;=BH16,VLOOKUP(ABS(BH16-BH21),Point_dif,2,TRUE),VLOOKUP(ABS(BH16-BH21),Point_dif,3,TRUE)))))))</f>
        <v/>
      </c>
      <c r="BF18" s="421" t="s">
        <v>170</v>
      </c>
      <c r="BG18" s="281"/>
      <c r="BH18" s="413" t="str">
        <f>IF(Llave=128,BH6+1,"")</f>
        <v/>
      </c>
      <c r="BI18" s="192"/>
      <c r="BJ18" s="192"/>
      <c r="BK18" s="192"/>
      <c r="BL18" s="192"/>
      <c r="BM18" s="192"/>
      <c r="BN18" s="192"/>
      <c r="BO18" s="192"/>
      <c r="BP18" s="181"/>
      <c r="BQ18" s="181">
        <f>IF(BS18="Bye",1,MAX(BQ$8:BQ17)+1)</f>
        <v>11</v>
      </c>
      <c r="BR18" s="314" t="str">
        <f t="shared" si="0"/>
        <v/>
      </c>
      <c r="BS18" s="181" t="str">
        <f>IF(Llave="","",IF(Llave=16,IF(OR(D14="Bye",D17="Bye"),"Bye",IF(H14="P",D14,D17)),IF(Llave=32,IF(M27="P",I27,I34),IF(Llave=64,IF(Q54="P",M54,M67),IF(Llave=128,IF(U108="P",Q108,Q133))))))</f>
        <v/>
      </c>
      <c r="BT18" s="181" t="str">
        <f>IF(Llave="","",IF(Llave=16,IF(OR(D14="Bye",D17="Bye"),"",IF(H14="P",G14,G17)),IF(Llave=32,IF(M27="P",L28,L33),IF(Llave=64,IF(Q54="P",P55,P66),IF(Llave=128,IF(U108="P",T109,T132))))))</f>
        <v/>
      </c>
    </row>
    <row r="19" spans="2:72" x14ac:dyDescent="0.3">
      <c r="B19" s="192"/>
      <c r="C19" s="192"/>
      <c r="D19" s="192"/>
      <c r="E19" s="192"/>
      <c r="F19" s="192"/>
      <c r="G19" s="272" t="s">
        <v>184</v>
      </c>
      <c r="H19" s="192"/>
      <c r="I19" s="413"/>
      <c r="J19" s="192"/>
      <c r="K19" s="414"/>
      <c r="L19" s="415"/>
      <c r="M19" s="425" t="str">
        <f>IF(AND(M15="",M22=""),"",IF(AND(M15="G",M22="P"),I15,IF(AND(M22="G",M15="P"),I22,"Corregir ganador y perdedor")))</f>
        <v/>
      </c>
      <c r="N19" s="423"/>
      <c r="O19" s="423"/>
      <c r="P19" s="423"/>
      <c r="Q19" s="167"/>
      <c r="R19" s="192"/>
      <c r="S19" s="192"/>
      <c r="T19" s="287"/>
      <c r="U19" s="192"/>
      <c r="V19" s="192"/>
      <c r="W19" s="192"/>
      <c r="X19" s="192"/>
      <c r="Y19" s="192"/>
      <c r="Z19" s="192"/>
      <c r="AA19" s="192"/>
      <c r="AB19" s="192"/>
      <c r="AC19" s="192"/>
      <c r="AD19" s="192"/>
      <c r="AE19" s="192"/>
      <c r="AF19" s="192"/>
      <c r="AG19" s="192"/>
      <c r="AH19" s="192"/>
      <c r="AI19" s="192"/>
      <c r="AJ19" s="192"/>
      <c r="AK19" s="192"/>
      <c r="AL19" s="192"/>
      <c r="AM19" s="192"/>
      <c r="AN19" s="192"/>
      <c r="AO19" s="192"/>
      <c r="AP19" s="192"/>
      <c r="AQ19" s="192"/>
      <c r="AR19" s="192"/>
      <c r="AS19" s="192"/>
      <c r="AT19" s="192"/>
      <c r="AU19" s="192"/>
      <c r="AV19" s="192"/>
      <c r="AW19" s="289"/>
      <c r="AX19" s="192"/>
      <c r="AY19" s="192"/>
      <c r="AZ19" s="166"/>
      <c r="BA19" s="423" t="str">
        <f>IF(AND(BD15="",BD22=""),"",IF(AND(BD15="G",BD22="P"),BE15,IF(AND(BD22="G",BD15="P"),BE22,"Corregir ganador y perdedor")))</f>
        <v/>
      </c>
      <c r="BB19" s="423"/>
      <c r="BC19" s="423"/>
      <c r="BD19" s="426"/>
      <c r="BE19" s="424"/>
      <c r="BF19" s="421"/>
      <c r="BG19" s="281"/>
      <c r="BH19" s="413"/>
      <c r="BI19" s="273"/>
      <c r="BJ19" s="274" t="s">
        <v>185</v>
      </c>
      <c r="BK19" s="192"/>
      <c r="BL19" s="192"/>
      <c r="BM19" s="192"/>
      <c r="BN19" s="192"/>
      <c r="BO19" s="192"/>
      <c r="BP19" s="181"/>
      <c r="BQ19" s="181">
        <f>IF(BS19="Bye",1,MAX(BQ$8:BQ18)+1)</f>
        <v>12</v>
      </c>
      <c r="BR19" s="314" t="str">
        <f t="shared" si="0"/>
        <v/>
      </c>
      <c r="BS19" s="181" t="str">
        <f>IF(Llave="","",IF(Llave=16,IF(OR(D20="Bye",D23="Bye"),"Bye",IF(H20="P",D20,D23)),IF(Llave=32,IF(M39="P",I39,I46),IF(Llave=64,IF(Q78="P",M78,M91),IF(Llave=128,IF(U156="P",Q156,Q181))))))</f>
        <v/>
      </c>
      <c r="BT19" s="181" t="str">
        <f>IF(Llave="","",IF(Llave=16,IF(OR(D20="Bye",D23="Bye"),"",IF(H20="P",G20,G23)),IF(Llave=32,IF(M39="P",L40,L45),IF(Llave=64,IF(Q78="P",P79,P90),IF(Llave=128,IF(U156="P",T157,T180))))))</f>
        <v/>
      </c>
    </row>
    <row r="20" spans="2:72" x14ac:dyDescent="0.3">
      <c r="B20" s="192">
        <f>B17+1</f>
        <v>7</v>
      </c>
      <c r="C20" s="192" t="str">
        <f>IF(Llave="","",IF(Llave&gt;1,IF(OR(Plyrs_val=Tot_Jug,Groups*2=Plyrs_val),HLOOKUP(Plyrs_val,Knockout,B20+1,FALSE)),""))</f>
        <v/>
      </c>
      <c r="D20" s="411" t="str">
        <f>IF(Llave="","",IF(Llave&gt;1,IF(C20="Bye","Bye",IF(OR(Plyrs_val=Tot_Jug,Groups*2=Plyrs_val),VLOOKUP(C20,Dist_Llav,4,FALSE),"")),""))</f>
        <v/>
      </c>
      <c r="E20" s="411"/>
      <c r="F20" s="411"/>
      <c r="G20" s="192" t="str">
        <f>IF(D20="","",IF(D20="Bye",0,IF(D23="Bye",E21,IF(H20="G",E21+G21,IF(H20="P",E21-G21,"")))))</f>
        <v/>
      </c>
      <c r="H20" s="166"/>
      <c r="I20" s="192"/>
      <c r="J20" s="192"/>
      <c r="K20" s="192"/>
      <c r="L20" s="287"/>
      <c r="M20" s="192"/>
      <c r="N20" s="192"/>
      <c r="O20" s="192"/>
      <c r="P20" s="192"/>
      <c r="Q20" s="192"/>
      <c r="R20" s="192"/>
      <c r="S20" s="192"/>
      <c r="T20" s="287"/>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289"/>
      <c r="AX20" s="192"/>
      <c r="AY20" s="192"/>
      <c r="AZ20" s="192"/>
      <c r="BA20" s="192"/>
      <c r="BB20" s="192"/>
      <c r="BC20" s="192"/>
      <c r="BD20" s="192"/>
      <c r="BE20" s="289"/>
      <c r="BF20" s="192"/>
      <c r="BG20" s="192"/>
      <c r="BH20" s="192"/>
      <c r="BI20" s="166"/>
      <c r="BJ20" s="192" t="str">
        <f>IF(BK20="","",IF(BK20="Bye",0,IF(BK23="Bye",BL21,IF(BI20="G",BL21+BJ21,IF(BI20="P",BL21-BJ21,"")))))</f>
        <v/>
      </c>
      <c r="BK20" s="411" t="str">
        <f>IF(Llave="","",IF(Llave&gt;1,IF(BN20="Bye","Bye",IF(OR(Plyrs_val=Tot_Jug,Groups*2=Plyrs_val),VLOOKUP(BN20,Dist_Llav,4,FALSE),"")),""))</f>
        <v/>
      </c>
      <c r="BL20" s="411"/>
      <c r="BM20" s="411"/>
      <c r="BN20" s="229" t="str">
        <f>IF(Llave=128,IF(OR(Plyrs_val=Tot_Jug,Groups*2=Plyrs_val),HLOOKUP(Plyrs_val,Knockout,BO20+1,FALSE)),"")</f>
        <v/>
      </c>
      <c r="BO20" s="229">
        <f>BO17+1</f>
        <v>71</v>
      </c>
      <c r="BP20" s="181"/>
      <c r="BQ20" s="181">
        <f>IF(BS20="Bye",1,MAX(BQ$8:BQ19)+1)</f>
        <v>13</v>
      </c>
      <c r="BR20" s="314" t="str">
        <f t="shared" si="0"/>
        <v/>
      </c>
      <c r="BS20" s="181" t="str">
        <f>IF(Llave="","",IF(Llave=16,IF(OR(D26="Bye",D29="Bye"),"Bye",IF(H26="P",D26,D29)),IF(Llave=32,IF(M51="P",I51,I58),IF(Llave=64,IF(Q102="P",M102,M115),IF(Llave=128,IF(AV12="P",AW12,AW37))))))</f>
        <v/>
      </c>
      <c r="BT20" s="181" t="str">
        <f>IF(Llave="","",IF(Llave=16,IF(OR(D26="Bye",D29="Bye"),"",IF(H26="P",G26,G29)),IF(Llave=32,IF(M51="P",L52,L57),IF(Llave=64,IF(Q102="P",P103,P114),IF(Llave=128,IF(AV12="P",AW13,AW36))))))</f>
        <v/>
      </c>
    </row>
    <row r="21" spans="2:72" x14ac:dyDescent="0.3">
      <c r="B21" s="413" t="str">
        <f>IF(Llave="","",B15+1)</f>
        <v/>
      </c>
      <c r="C21" s="192"/>
      <c r="D21" s="229" t="str">
        <f>IF(D20="","",IF(ISTEXT(D20),IF(D20="","",IF(D20="Bye",0,VLOOKUP(D20,Rank_Points,3,FALSE)))))</f>
        <v/>
      </c>
      <c r="E21" s="192" t="str">
        <f>IF(D20&lt;&gt;"",IF(D20="","",IF(D20="BYE",0,IF(ISTEXT(D20),VLOOKUP(C20,Dist_Llav,6,FALSE),""))),"")</f>
        <v/>
      </c>
      <c r="F21" s="414" t="s">
        <v>170</v>
      </c>
      <c r="G21" s="418" t="str">
        <f>IF(OR(D20="",D23=""),"",IF(OR(D20="Bye",D23="Bye"),0,IF(AND(H20="",H23=""),"",IF(AND(H20="G",H23="P"),IF(D21&gt;=D22,VLOOKUP(ABS(D21-D22),Point_dif,2,TRUE),VLOOKUP(ABS(D21-D22),Point_dif,3,TRUE)),IF(AND(H20="P",H23="G"),IF(D22&gt;=D21,VLOOKUP(ABS(D21-D22),Point_dif,2,TRUE),VLOOKUP(ABS(D21-D22),Point_dif,3,TRUE)))))))</f>
        <v/>
      </c>
      <c r="H21" s="278"/>
      <c r="I21" s="275" t="str">
        <f>IF(I22=D20,D21,IF(I22=D23,D22,""))</f>
        <v/>
      </c>
      <c r="J21" s="417" t="str">
        <f>IF(ISNUMBER(I21),VLOOKUP(I22,Siembra,2,FALSE),"")</f>
        <v/>
      </c>
      <c r="K21" s="417"/>
      <c r="L21" s="282" t="str">
        <f>IF(I22="","",IF(M22="G",IF(I22=D20,G20+L18,G23+L18),IF(M22="P",IF(I22=D20,G20-L18,G23-L18),"")))</f>
        <v/>
      </c>
      <c r="M21" s="192"/>
      <c r="N21" s="192"/>
      <c r="O21" s="192"/>
      <c r="P21" s="192"/>
      <c r="Q21" s="192"/>
      <c r="R21" s="192"/>
      <c r="S21" s="192"/>
      <c r="T21" s="287"/>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c r="AR21" s="192"/>
      <c r="AS21" s="192"/>
      <c r="AT21" s="192"/>
      <c r="AU21" s="192"/>
      <c r="AV21" s="192"/>
      <c r="AW21" s="289"/>
      <c r="AX21" s="192"/>
      <c r="AY21" s="192"/>
      <c r="AZ21" s="192"/>
      <c r="BA21" s="192"/>
      <c r="BB21" s="192"/>
      <c r="BC21" s="192"/>
      <c r="BD21" s="192"/>
      <c r="BE21" s="286" t="str">
        <f>IF(BE22="","",IF(BD22="G",IF(BE22=BK20,BJ20+BE18,BJ23+BE18),IF(BD22="P",IF(BE22=BK20,BJ20-BE18,BJ23-BE18),"")))</f>
        <v/>
      </c>
      <c r="BF21" s="417" t="str">
        <f>IF(ISNUMBER(BE21),VLOOKUP(BE22,Siembra,2,FALSE),"")</f>
        <v/>
      </c>
      <c r="BG21" s="417"/>
      <c r="BH21" s="282" t="str">
        <f>IF(BE22=BK20,BM21,IF(BE22=BK23,BM22,""))</f>
        <v/>
      </c>
      <c r="BI21" s="279"/>
      <c r="BJ21" s="418" t="str">
        <f>IF(OR(BK20="",BK23=""),"",IF(OR(BK20="Bye",BK23="Bye"),0,IF(AND(BI20="",BI23=""),"",IF(AND(BI20="G",BI23="P"),IF(BM21&gt;=BM22,VLOOKUP(ABS(BM21-BM22),Point_dif,2,TRUE),VLOOKUP(ABS(BM21-BM22),Point_dif,3,TRUE)),IF(AND(BI20="P",BI23="G"),IF(BM22&gt;=BM21,VLOOKUP(ABS(BM21-BM22),Point_dif,2,TRUE),VLOOKUP(ABS(BM21-BM22),Point_dif,3,TRUE)))))))</f>
        <v/>
      </c>
      <c r="BK21" s="420" t="s">
        <v>170</v>
      </c>
      <c r="BL21" s="229" t="str">
        <f>IF(BK20&lt;&gt;"",IF(BK20="","",IF(BK20="BYE",0,IF(ISTEXT(BK20),VLOOKUP(BN20,Dist_Llav,6,FALSE),""))),"")</f>
        <v/>
      </c>
      <c r="BM21" s="280" t="str">
        <f>IF(BK20="","",IF(ISTEXT(BK20),IF(BK20="","",IF(BK20="Bye",0,VLOOKUP(BK20,Rank_Points,3,FALSE)))))</f>
        <v/>
      </c>
      <c r="BN21" s="192"/>
      <c r="BO21" s="422" t="str">
        <f>IF(Llave=128,BO15+1,"")</f>
        <v/>
      </c>
      <c r="BP21" s="181"/>
      <c r="BQ21" s="181">
        <f>IF(BS21="Bye",1,MAX(BQ$8:BQ20)+1)</f>
        <v>14</v>
      </c>
      <c r="BR21" s="314" t="str">
        <f t="shared" si="0"/>
        <v/>
      </c>
      <c r="BS21" s="181" t="str">
        <f>IF(Llave="","",IF(Llave=16,IF(OR(D32="Bye",D35="Bye"),"Bye",IF(H32="P",D32,D35)),IF(Llave=32,IF(M63="P",I63,I70),IF(Llave=64,IF(Q126="P",M126,M139),IF(Llave=128,IF(AV60="P",AW60,AW85))))))</f>
        <v/>
      </c>
      <c r="BT21" s="181" t="str">
        <f>IF(Llave="","",IF(Llave=16,IF(OR(D32="Bye",D35="Bye"),"",IF(H32="P",G32,G35)),IF(Llave=32,IF(M63="P",L64,L69),IF(Llave=64,IF(Q126="P",P127,P138),IF(Llave=128,IF(AV60="P",AW61,AW84))))))</f>
        <v/>
      </c>
    </row>
    <row r="22" spans="2:72" x14ac:dyDescent="0.3">
      <c r="B22" s="413"/>
      <c r="C22" s="192"/>
      <c r="D22" s="229" t="str">
        <f>IF(D23="","",IF(ISTEXT(D23),IF(D23="","",IF(D23="Bye",0,VLOOKUP(D23,Rank_Points,3,FALSE)))))</f>
        <v/>
      </c>
      <c r="E22" s="192" t="str">
        <f>IF(D23&lt;&gt;"",IF(D23="","",IF(D23="BYE",0,IF(ISTEXT(D23),VLOOKUP(C23,Dist_Llav,6,FALSE),""))),"")</f>
        <v/>
      </c>
      <c r="F22" s="414"/>
      <c r="G22" s="419"/>
      <c r="H22" s="282"/>
      <c r="I22" s="425" t="str">
        <f>IF(D20="Bye",D23,IF(D23="Bye",D20,IF(AND(H20="",H23=""),"",IF(AND(H20="G",H23="P"),D20,IF(AND(H23="G",H20="P"),D23,"Corregir ganador y perdedor")))))</f>
        <v/>
      </c>
      <c r="J22" s="423"/>
      <c r="K22" s="423"/>
      <c r="L22" s="423"/>
      <c r="M22" s="167"/>
      <c r="N22" s="192"/>
      <c r="O22" s="192"/>
      <c r="P22" s="192"/>
      <c r="Q22" s="192"/>
      <c r="R22" s="192"/>
      <c r="S22" s="192"/>
      <c r="T22" s="287"/>
      <c r="U22" s="192"/>
      <c r="V22" s="192"/>
      <c r="W22" s="192"/>
      <c r="X22" s="192"/>
      <c r="Y22" s="192"/>
      <c r="Z22" s="192"/>
      <c r="AA22" s="192"/>
      <c r="AB22" s="192"/>
      <c r="AC22" s="192"/>
      <c r="AD22" s="192"/>
      <c r="AE22" s="192"/>
      <c r="AF22" s="192"/>
      <c r="AG22" s="192"/>
      <c r="AH22" s="192"/>
      <c r="AI22" s="192"/>
      <c r="AJ22" s="192"/>
      <c r="AK22" s="192"/>
      <c r="AL22" s="192"/>
      <c r="AM22" s="192"/>
      <c r="AN22" s="192"/>
      <c r="AO22" s="192"/>
      <c r="AP22" s="192"/>
      <c r="AQ22" s="192"/>
      <c r="AR22" s="192"/>
      <c r="AS22" s="192"/>
      <c r="AT22" s="192"/>
      <c r="AU22" s="192"/>
      <c r="AV22" s="192"/>
      <c r="AW22" s="289"/>
      <c r="AX22" s="192"/>
      <c r="AY22" s="192"/>
      <c r="AZ22" s="192"/>
      <c r="BA22" s="192"/>
      <c r="BB22" s="192"/>
      <c r="BC22" s="192"/>
      <c r="BD22" s="166"/>
      <c r="BE22" s="423" t="str">
        <f>IF(BK23="Bye",BK20,IF(BK20="Bye",BK23,IF(AND(BI20="",BI23=""),"",IF(AND(BI20="G",BI23="P"),BK20,IF(AND(BI23="G",BI20="P"),BK23,"Corregir ganador y perdedor")))))</f>
        <v/>
      </c>
      <c r="BF22" s="423"/>
      <c r="BG22" s="423"/>
      <c r="BH22" s="426"/>
      <c r="BI22" s="286"/>
      <c r="BJ22" s="419"/>
      <c r="BK22" s="421"/>
      <c r="BL22" s="229" t="str">
        <f>IF(BK23&lt;&gt;"",IF(BK23="","",IF(BK23="BYE",0,IF(ISTEXT(BK23),VLOOKUP(BN23,Dist_Llav,6,FALSE),""))),"")</f>
        <v/>
      </c>
      <c r="BM22" s="280" t="str">
        <f>IF(BK23="","",IF(ISTEXT(BK23),IF(BK23="","",IF(BK23="Bye",0,VLOOKUP(BK23,Rank_Points,3,FALSE)))))</f>
        <v/>
      </c>
      <c r="BN22" s="192"/>
      <c r="BO22" s="422"/>
      <c r="BP22" s="181"/>
      <c r="BQ22" s="181">
        <f>IF(BS22="Bye",1,MAX(BQ$8:BQ21)+1)</f>
        <v>15</v>
      </c>
      <c r="BR22" s="314" t="str">
        <f t="shared" si="0"/>
        <v/>
      </c>
      <c r="BS22" s="181" t="str">
        <f>IF(Llave="","",IF(Llave=16,IF(OR(D38="Bye",D41="Bye"),"Bye",IF(H38="P",D38,D41)),IF(Llave=32,IF(M75="P",I75,I82),IF(Llave=64,IF(Q150="P",M150,M163),IF(Llave=128,IF(AV108="P",AW108,AW133))))))</f>
        <v/>
      </c>
      <c r="BT22" s="181" t="str">
        <f>IF(Llave="","",IF(Llave=16,IF(OR(D38="Bye",D41="Bye"),"",IF(H38="P",G38,G41)),IF(Llave=32,IF(M75="P",L76,L81),IF(Llave=64,IF(Q150="P",P151,P162),IF(Llave=128,IF(AV108="P",AW109,AW132))))))</f>
        <v/>
      </c>
    </row>
    <row r="23" spans="2:72" x14ac:dyDescent="0.3">
      <c r="B23" s="192">
        <f>B20+1</f>
        <v>8</v>
      </c>
      <c r="C23" s="192" t="str">
        <f>IF(Llave="","",IF(Llave&gt;1,IF(OR(Plyrs_val=Tot_Jug,Groups*2=Plyrs_val),HLOOKUP(Plyrs_val,Knockout,B23+1,FALSE)),""))</f>
        <v/>
      </c>
      <c r="D23" s="412" t="str">
        <f>IF(Llave="","",IF(Llave&gt;1,IF(C23="Bye","Bye",IF(OR(Plyrs_val=Tot_Jug,Groups*2=Plyrs_val),VLOOKUP(C23,Dist_Llav,4,FALSE),"")),""))</f>
        <v/>
      </c>
      <c r="E23" s="412"/>
      <c r="F23" s="412"/>
      <c r="G23" s="192" t="str">
        <f>IF(D23="","",IF(D23="Bye",0,IF(D20="Bye",E22,IF(H23="G",E22+G21,IF(H23="P",E22-G21,"")))))</f>
        <v/>
      </c>
      <c r="H23" s="166"/>
      <c r="I23" s="192"/>
      <c r="J23" s="192"/>
      <c r="K23" s="192"/>
      <c r="L23" s="192"/>
      <c r="M23" s="192"/>
      <c r="N23" s="192"/>
      <c r="O23" s="192"/>
      <c r="P23" s="192"/>
      <c r="Q23" s="192"/>
      <c r="R23" s="192"/>
      <c r="S23" s="192"/>
      <c r="T23" s="287"/>
      <c r="U23" s="192"/>
      <c r="V23" s="192"/>
      <c r="W23" s="192"/>
      <c r="X23" s="288" t="s">
        <v>186</v>
      </c>
      <c r="Y23" s="192"/>
      <c r="Z23" s="192"/>
      <c r="AA23" s="192"/>
      <c r="AB23" s="192"/>
      <c r="AC23" s="192"/>
      <c r="AD23" s="192"/>
      <c r="AE23" s="192"/>
      <c r="AF23" s="192"/>
      <c r="AG23" s="192"/>
      <c r="AH23" s="192"/>
      <c r="AI23" s="192"/>
      <c r="AJ23" s="192"/>
      <c r="AK23" s="192"/>
      <c r="AL23" s="192"/>
      <c r="AM23" s="192"/>
      <c r="AN23" s="192"/>
      <c r="AO23" s="192"/>
      <c r="AP23" s="192"/>
      <c r="AQ23" s="192"/>
      <c r="AR23" s="192"/>
      <c r="AS23" s="274" t="s">
        <v>187</v>
      </c>
      <c r="AT23" s="192"/>
      <c r="AU23" s="192"/>
      <c r="AV23" s="192"/>
      <c r="AW23" s="424" t="str">
        <f>IF(OR(AW12="",AW37=""),"",IF(AND(AV12="",AV37=""),"",IF(AND(AV12="G",AV37="P"),IF(AZ13&gt;=AZ36,VLOOKUP(ABS(AZ13-AZ36),Point_dif,2,TRUE),VLOOKUP(ABS(AZ13-AZ36),Point_dif,3,TRUE)),IF(AND(AV12="P",AV37="G"),IF(AZ36&gt;=AZ13,VLOOKUP(ABS(AZ13-AZ36),Point_dif,2,TRUE),VLOOKUP(ABS(AZ13-AZ36),Point_dif,3,TRUE))))))</f>
        <v/>
      </c>
      <c r="AX23" s="421" t="s">
        <v>170</v>
      </c>
      <c r="AY23" s="413" t="str">
        <f>IF(Llave=128,13,"")</f>
        <v/>
      </c>
      <c r="AZ23" s="181"/>
      <c r="BA23" s="192"/>
      <c r="BB23" s="192"/>
      <c r="BC23" s="192"/>
      <c r="BD23" s="192"/>
      <c r="BE23" s="192"/>
      <c r="BF23" s="192"/>
      <c r="BG23" s="192"/>
      <c r="BH23" s="192"/>
      <c r="BI23" s="166"/>
      <c r="BJ23" s="284" t="str">
        <f>IF(BK23="","",IF(BK23="Bye",0,IF(BK20="Bye",BL22,IF(BI23="G",BL22+BJ21,IF(BI23="P",BL22-BJ21,"")))))</f>
        <v/>
      </c>
      <c r="BK23" s="412" t="str">
        <f>IF(Llave="","",IF(Llave&gt;1,IF(BN23="Bye","Bye",IF(OR(Plyrs_val=Tot_Jug,Groups*2=Plyrs_val),VLOOKUP(BN23,Dist_Llav,4,FALSE),"")),""))</f>
        <v/>
      </c>
      <c r="BL23" s="412"/>
      <c r="BM23" s="412"/>
      <c r="BN23" s="229" t="str">
        <f>IF(Llave=128,IF(OR(Plyrs_val=Tot_Jug,Groups*2=Plyrs_val),HLOOKUP(Plyrs_val,Knockout,BO23+1,FALSE)),"")</f>
        <v/>
      </c>
      <c r="BO23" s="229">
        <f>BO20+1</f>
        <v>72</v>
      </c>
      <c r="BP23" s="181"/>
      <c r="BQ23" s="181">
        <f>IF(BS23="Bye",1,MAX(BQ$8:BQ22)+1)</f>
        <v>16</v>
      </c>
      <c r="BR23" s="314" t="str">
        <f t="shared" si="0"/>
        <v/>
      </c>
      <c r="BS23" s="181" t="str">
        <f>IF(Llave="","",IF(Llave=16,IF(OR(D44="Bye",D47="Bye"),"Bye",IF(H44="P",D44,D47)),IF(Llave=32,IF(M87="P",I87,I94),IF(Llave=64,IF(Q174="P",M174,M187),IF(Llave=128,IF(AV156="P",AW156,AW181))))))</f>
        <v/>
      </c>
      <c r="BT23" s="181" t="str">
        <f>IF(Llave="","",IF(Llave=16,IF(OR(D44="Bye",D47="Bye"),"",IF(H44="P",G44,G47)),IF(Llave=32,IF(M87="P",L88,L93),IF(Llave=64,IF(Q174="P",P175,P186),IF(Llave=128,IF(AV156="P",AW157,AW180))))))</f>
        <v/>
      </c>
    </row>
    <row r="24" spans="2:72" x14ac:dyDescent="0.3">
      <c r="B24" s="192"/>
      <c r="C24" s="192"/>
      <c r="D24" s="192"/>
      <c r="E24" s="192"/>
      <c r="F24" s="192"/>
      <c r="G24" s="192"/>
      <c r="H24" s="192"/>
      <c r="I24" s="192"/>
      <c r="J24" s="192"/>
      <c r="K24" s="192"/>
      <c r="L24" s="192"/>
      <c r="M24" s="192"/>
      <c r="N24" s="192"/>
      <c r="O24" s="192"/>
      <c r="P24" s="192"/>
      <c r="Q24" s="181"/>
      <c r="R24" s="413">
        <f>IF(Llave=4,"",IF(Llave="",2,IF(Llave=16,2,IF(Llave=32,3,IF(Llave=64,5,IF(Llave=128,9,""))))))</f>
        <v>2</v>
      </c>
      <c r="S24" s="414" t="s">
        <v>170</v>
      </c>
      <c r="T24" s="415" t="str">
        <f>IF(OR(Q12="",Q37=""),"",IF(OR(Q12="Bye",Q37="Bye"),0,IF(AND(U12="",U37=""),"",IF(AND(U12="G",U37="P"),IF(Q13&gt;=Q36,VLOOKUP(ABS(Q13-Q36),Point_dif,2,TRUE),VLOOKUP(ABS(Q13-Q36),Point_dif,3,TRUE)),IF(AND(U12="P",U37="G"),IF(Q36&gt;=Q13,VLOOKUP(ABS(Q13-Q36),Point_dif,2,TRUE),VLOOKUP(ABS(Q13-Q36),Point_dif,3,TRUE)))))))</f>
        <v/>
      </c>
      <c r="U24" s="416" t="str">
        <f>IF(AND(U12="",U37=""),"",IF(AND(U12="G",U37="P"),Q12,IF(AND(U37="G",U12="P"),Q37,"Corregir ganador y perdedor")))</f>
        <v/>
      </c>
      <c r="V24" s="417"/>
      <c r="W24" s="417"/>
      <c r="X24" s="417"/>
      <c r="Y24" s="167"/>
      <c r="Z24" s="192"/>
      <c r="AA24" s="192"/>
      <c r="AB24" s="192"/>
      <c r="AC24" s="192"/>
      <c r="AD24" s="192"/>
      <c r="AE24" s="192"/>
      <c r="AF24" s="192"/>
      <c r="AG24" s="192"/>
      <c r="AH24" s="192"/>
      <c r="AI24" s="192"/>
      <c r="AJ24" s="192"/>
      <c r="AK24" s="192"/>
      <c r="AL24" s="192"/>
      <c r="AM24" s="192"/>
      <c r="AN24" s="192"/>
      <c r="AO24" s="192"/>
      <c r="AP24" s="192"/>
      <c r="AQ24" s="192"/>
      <c r="AR24" s="166"/>
      <c r="AS24" s="416" t="str">
        <f>IF(AND(AV12="",AV37=""),"",IF(AND(AV12="G",AV37="P"),AW12,IF(AND(AV37="G",AV12="P"),AW37,"Corregir ganador y perdedor")))</f>
        <v/>
      </c>
      <c r="AT24" s="417"/>
      <c r="AU24" s="417"/>
      <c r="AV24" s="417"/>
      <c r="AW24" s="424"/>
      <c r="AX24" s="421"/>
      <c r="AY24" s="413"/>
      <c r="AZ24" s="181"/>
      <c r="BA24" s="192"/>
      <c r="BB24" s="192"/>
      <c r="BC24" s="192"/>
      <c r="BD24" s="192"/>
      <c r="BE24" s="192"/>
      <c r="BF24" s="192"/>
      <c r="BG24" s="192"/>
      <c r="BH24" s="192"/>
      <c r="BI24" s="192"/>
      <c r="BJ24" s="192"/>
      <c r="BK24" s="192"/>
      <c r="BL24" s="192"/>
      <c r="BM24" s="192"/>
      <c r="BN24" s="192"/>
      <c r="BO24" s="192"/>
      <c r="BP24" s="181"/>
      <c r="BQ24" s="181">
        <f>IF(BS24="Bye",1,MAX(BQ$8:BQ23)+1)</f>
        <v>17</v>
      </c>
      <c r="BR24" s="314" t="str">
        <f t="shared" ref="BR24:BR39" si="1">IF(BR23="","",IF(AND(Llave&gt;=32,ISNUMBER(BR23)),BR23+1,""))</f>
        <v/>
      </c>
      <c r="BS24" s="181" t="str">
        <f>IF(Llave="","",IF(Llave=32,IF(D5="Bye","Bye",IF(H2="P",D2,D5)),IF(Llave=64,IF(M3="P",I3,I10),IF(Llave=128,IF(Q6="P",M6,M19)))))</f>
        <v/>
      </c>
      <c r="BT24" s="181" t="str">
        <f>IF(Llave="","",IF(Llave=32,IF(D5="Bye","Bye",IF(H2="P",G2,G5)),IF(Llave=64,IF(M3="P",L4,L9),IF(Llave=128,IF(Q6="P",P7,P18)))))</f>
        <v/>
      </c>
    </row>
    <row r="25" spans="2:72" x14ac:dyDescent="0.3">
      <c r="B25" s="192"/>
      <c r="C25" s="192"/>
      <c r="D25" s="192"/>
      <c r="E25" s="192"/>
      <c r="F25" s="192"/>
      <c r="G25" s="272" t="s">
        <v>188</v>
      </c>
      <c r="H25" s="192"/>
      <c r="I25" s="192"/>
      <c r="J25" s="192"/>
      <c r="K25" s="192"/>
      <c r="L25" s="192"/>
      <c r="M25" s="192"/>
      <c r="N25" s="192"/>
      <c r="O25" s="192"/>
      <c r="P25" s="192"/>
      <c r="Q25" s="181"/>
      <c r="R25" s="413"/>
      <c r="S25" s="414"/>
      <c r="T25" s="415"/>
      <c r="U25" s="283" t="str">
        <f>IF(U24=Q12,Q13,IF(U24=Q37,Q36,""))</f>
        <v/>
      </c>
      <c r="V25" s="423" t="str">
        <f>IF(ISNUMBER(U25),VLOOKUP(U24,Siembra,2,FALSE),"")</f>
        <v/>
      </c>
      <c r="W25" s="423"/>
      <c r="X25" s="278" t="str">
        <f>IF(Llave=16,IF(U12="G",T13,T36),IF(U24="","",IF(Y24="G",IF(U24=Q12,T13+X48,T36+X48),IF(Y24="P",IF(U24=Q12,T13-X48,T36-X48),""))))</f>
        <v/>
      </c>
      <c r="Y25" s="192"/>
      <c r="Z25" s="192"/>
      <c r="AA25" s="192"/>
      <c r="AB25" s="192"/>
      <c r="AC25" s="192"/>
      <c r="AD25" s="192"/>
      <c r="AE25" s="192"/>
      <c r="AF25" s="192"/>
      <c r="AG25" s="192"/>
      <c r="AH25" s="192"/>
      <c r="AI25" s="192"/>
      <c r="AJ25" s="192"/>
      <c r="AK25" s="192"/>
      <c r="AL25" s="192"/>
      <c r="AM25" s="192"/>
      <c r="AN25" s="192"/>
      <c r="AO25" s="192"/>
      <c r="AP25" s="192"/>
      <c r="AQ25" s="192"/>
      <c r="AR25" s="192"/>
      <c r="AS25" s="279" t="str">
        <f>IF(AS24="","",IF(AR24="G",IF(AS24=AW12,AW13+AS48,AW36+AS48),IF(AR24="P",IF(AS24=AW12,AW13-AS48,AW36-AS48),"")))</f>
        <v/>
      </c>
      <c r="AT25" s="423" t="str">
        <f>IF(ISNUMBER(AS25),VLOOKUP(AS24,Siembra,2,FALSE),"")</f>
        <v/>
      </c>
      <c r="AU25" s="423"/>
      <c r="AV25" s="285" t="str">
        <f>IF(AS24=AW12,AZ13,IF(AS24=AW37,AZ36,""))</f>
        <v/>
      </c>
      <c r="AW25" s="289"/>
      <c r="AX25" s="192"/>
      <c r="AY25" s="192"/>
      <c r="AZ25" s="192"/>
      <c r="BA25" s="192"/>
      <c r="BB25" s="192"/>
      <c r="BC25" s="192"/>
      <c r="BD25" s="192"/>
      <c r="BE25" s="192"/>
      <c r="BF25" s="192"/>
      <c r="BG25" s="192"/>
      <c r="BH25" s="192"/>
      <c r="BI25" s="273"/>
      <c r="BJ25" s="274" t="s">
        <v>189</v>
      </c>
      <c r="BK25" s="192"/>
      <c r="BL25" s="192"/>
      <c r="BM25" s="192"/>
      <c r="BN25" s="192"/>
      <c r="BO25" s="192"/>
      <c r="BP25" s="181"/>
      <c r="BQ25" s="181">
        <f>IF(BS25="Bye",1,MAX(BQ$8:BQ24)+1)</f>
        <v>18</v>
      </c>
      <c r="BR25" s="314" t="str">
        <f t="shared" si="1"/>
        <v/>
      </c>
      <c r="BS25" s="181" t="str">
        <f>IF(Llave="","",IF(Llave=32,IF(OR(D8="Bye",D11="Bye"),"Bye",IF(H8="P",D8,D11)),IF(Llave=64,IF(M15="P",I15,I22),IF(Llave=128,IF(Q30="P",M30,M43)))))</f>
        <v/>
      </c>
      <c r="BT25" s="181" t="str">
        <f>IF(Llave="","",IF(Llave=32,IF(OR(D8="Bye",D11="Bye"),"",IF(H8="P",G8,G11)),IF(Llave=64,IF(M15="P",L16,L21),IF(Llave=128,IF(Q30="P",P31,P42)))))</f>
        <v/>
      </c>
    </row>
    <row r="26" spans="2:72" x14ac:dyDescent="0.3">
      <c r="B26" s="192">
        <f>B23+1</f>
        <v>9</v>
      </c>
      <c r="C26" s="192" t="str">
        <f>IF(Llave="","",IF(Llave&gt;1,IF(OR(Plyrs_val=Tot_Jug,Groups*2=Plyrs_val),HLOOKUP(Plyrs_val,Knockout,B26+1,FALSE)),""))</f>
        <v/>
      </c>
      <c r="D26" s="411" t="str">
        <f>IF(Llave="","",IF(Llave&gt;1,IF(C26="Bye","Bye",IF(OR(Plyrs_val=Tot_Jug,Groups*2=Plyrs_val),VLOOKUP(C26,Dist_Llav,4,FALSE),"")),""))</f>
        <v/>
      </c>
      <c r="E26" s="411"/>
      <c r="F26" s="411"/>
      <c r="G26" s="192" t="str">
        <f>IF(D26="","",IF(D26="Bye",0,IF(D29="Bye",E27,IF(H26="G",E27+G27,IF(H26="P",E27-G27,"")))))</f>
        <v/>
      </c>
      <c r="H26" s="166"/>
      <c r="I26" s="192"/>
      <c r="J26" s="192"/>
      <c r="K26" s="192"/>
      <c r="L26" s="277" t="s">
        <v>190</v>
      </c>
      <c r="M26" s="192"/>
      <c r="N26" s="192"/>
      <c r="O26" s="192"/>
      <c r="P26" s="192"/>
      <c r="Q26" s="192"/>
      <c r="R26" s="192"/>
      <c r="S26" s="192"/>
      <c r="T26" s="287"/>
      <c r="U26" s="192"/>
      <c r="V26" s="192"/>
      <c r="W26" s="192"/>
      <c r="X26" s="287"/>
      <c r="Y26" s="192"/>
      <c r="Z26" s="192"/>
      <c r="AA26" s="192"/>
      <c r="AB26" s="192"/>
      <c r="AC26" s="192"/>
      <c r="AD26" s="192"/>
      <c r="AE26" s="192"/>
      <c r="AF26" s="192"/>
      <c r="AG26" s="192"/>
      <c r="AH26" s="192"/>
      <c r="AI26" s="192"/>
      <c r="AJ26" s="192"/>
      <c r="AK26" s="192"/>
      <c r="AL26" s="192"/>
      <c r="AM26" s="192"/>
      <c r="AN26" s="192"/>
      <c r="AO26" s="192"/>
      <c r="AP26" s="192"/>
      <c r="AQ26" s="192"/>
      <c r="AR26" s="192"/>
      <c r="AS26" s="289"/>
      <c r="AT26" s="192"/>
      <c r="AU26" s="192"/>
      <c r="AV26" s="192"/>
      <c r="AW26" s="289"/>
      <c r="AX26" s="192"/>
      <c r="AY26" s="192"/>
      <c r="AZ26" s="192"/>
      <c r="BA26" s="192"/>
      <c r="BB26" s="192"/>
      <c r="BC26" s="192"/>
      <c r="BD26" s="192"/>
      <c r="BE26" s="274" t="s">
        <v>191</v>
      </c>
      <c r="BF26" s="192"/>
      <c r="BG26" s="192"/>
      <c r="BH26" s="192"/>
      <c r="BI26" s="166"/>
      <c r="BJ26" s="192" t="str">
        <f>IF(BK26="","",IF(BK26="Bye",0,IF(BK29="Bye",BL27,IF(BI26="G",BL27+BJ27,IF(BI26="P",BL27-BJ27,"")))))</f>
        <v/>
      </c>
      <c r="BK26" s="411" t="str">
        <f>IF(Llave="","",IF(Llave&gt;1,IF(BN26="Bye","Bye",IF(OR(Plyrs_val=Tot_Jug,Groups*2=Plyrs_val),VLOOKUP(BN26,Dist_Llav,4,FALSE),"")),""))</f>
        <v/>
      </c>
      <c r="BL26" s="411"/>
      <c r="BM26" s="411"/>
      <c r="BN26" s="229" t="str">
        <f>IF(Llave=128,IF(OR(Plyrs_val=Tot_Jug,Groups*2=Plyrs_val),HLOOKUP(Plyrs_val,Knockout,BO26+1,FALSE)),"")</f>
        <v/>
      </c>
      <c r="BO26" s="229">
        <f>BO23+1</f>
        <v>73</v>
      </c>
      <c r="BP26" s="181"/>
      <c r="BQ26" s="181">
        <f>IF(BS26="Bye",1,MAX(BQ$8:BQ25)+1)</f>
        <v>19</v>
      </c>
      <c r="BR26" s="314" t="str">
        <f t="shared" si="1"/>
        <v/>
      </c>
      <c r="BS26" s="181" t="str">
        <f>IF(Llave="","",IF(Llave=32,IF(OR(D14="Bye",D17="Bye"),"Bye",IF(H14="P",D14,D17)),IF(Llave=64,IF(M27="P",I27,I34),IF(Llave=128,IF(Q54="P",M54,M67)))))</f>
        <v/>
      </c>
      <c r="BT26" s="181" t="str">
        <f>IF(Llave="","",IF(Llave=32,IF(OR(D14="Bye",D17="Bye"),"",IF(H14="P",G14,G17)),IF(Llave=64,IF(M27="P",L28,L33),IF(Llave=128,IF(Q54="P",P55,P66)))))</f>
        <v/>
      </c>
    </row>
    <row r="27" spans="2:72" x14ac:dyDescent="0.3">
      <c r="B27" s="413" t="str">
        <f>IF(Llave="","",B21+1)</f>
        <v/>
      </c>
      <c r="C27" s="192"/>
      <c r="D27" s="229" t="str">
        <f>IF(D26="","",IF(ISTEXT(D26),IF(D26="","",IF(D26="Bye",0,VLOOKUP(D26,Rank_Points,3,FALSE)))))</f>
        <v/>
      </c>
      <c r="E27" s="192" t="str">
        <f>IF(D26&lt;&gt;"",IF(D26="","",IF(D26="BYE",0,IF(ISTEXT(D26),VLOOKUP(C26,Dist_Llav,6,FALSE),""))),"")</f>
        <v/>
      </c>
      <c r="F27" s="414" t="s">
        <v>170</v>
      </c>
      <c r="G27" s="418" t="str">
        <f>IF(OR(D26="",D29=""),"",IF(OR(D26="Bye",D29="Bye"),0,IF(AND(H26="",H29=""),"",IF(AND(H26="G",H29="P"),IF(D27&gt;=D28,VLOOKUP(ABS(D27-D28),Point_dif,2,TRUE),VLOOKUP(ABS(D27-D28),Point_dif,3,TRUE)),IF(AND(H26="P",H29="G"),IF(D28&gt;=D27,VLOOKUP(ABS(D27-D28),Point_dif,2,TRUE),VLOOKUP(ABS(D27-D28),Point_dif,3,TRUE)))))))</f>
        <v/>
      </c>
      <c r="H27" s="278"/>
      <c r="I27" s="416" t="str">
        <f>IF(D26="Bye",D29,IF(D29="Bye",D26,IF(AND(H26="",H29=""),"",IF(AND(H26="G",H29="P"),D26,IF(AND(H29="G",H26="P"),D29,"Corregir ganador y perdedor")))))</f>
        <v/>
      </c>
      <c r="J27" s="417"/>
      <c r="K27" s="417"/>
      <c r="L27" s="417"/>
      <c r="M27" s="167"/>
      <c r="N27" s="192"/>
      <c r="O27" s="192"/>
      <c r="P27" s="192"/>
      <c r="Q27" s="192"/>
      <c r="R27" s="192"/>
      <c r="S27" s="192"/>
      <c r="T27" s="287"/>
      <c r="U27" s="192"/>
      <c r="V27" s="192"/>
      <c r="W27" s="192"/>
      <c r="X27" s="287"/>
      <c r="Y27" s="192"/>
      <c r="Z27" s="192"/>
      <c r="AA27" s="192"/>
      <c r="AB27" s="192"/>
      <c r="AC27" s="192"/>
      <c r="AD27" s="192"/>
      <c r="AE27" s="192"/>
      <c r="AF27" s="192"/>
      <c r="AG27" s="192"/>
      <c r="AH27" s="192"/>
      <c r="AI27" s="192"/>
      <c r="AJ27" s="192"/>
      <c r="AK27" s="192"/>
      <c r="AL27" s="192"/>
      <c r="AM27" s="192"/>
      <c r="AN27" s="192"/>
      <c r="AO27" s="192"/>
      <c r="AP27" s="192"/>
      <c r="AQ27" s="192"/>
      <c r="AR27" s="192"/>
      <c r="AS27" s="289"/>
      <c r="AT27" s="192"/>
      <c r="AU27" s="192"/>
      <c r="AV27" s="192"/>
      <c r="AW27" s="289"/>
      <c r="AX27" s="192"/>
      <c r="AY27" s="192"/>
      <c r="AZ27" s="192"/>
      <c r="BA27" s="192"/>
      <c r="BB27" s="192"/>
      <c r="BC27" s="192"/>
      <c r="BD27" s="166"/>
      <c r="BE27" s="416" t="str">
        <f>IF(BK29="Bye",BK26,IF(BK26="Bye",BK29,IF(AND(BI26="",BI29=""),"",IF(AND(BI26="G",BI29="P"),BK26,IF(AND(BI29="G",BI26="P"),BK29,"Corregir ganador y perdedor")))))</f>
        <v/>
      </c>
      <c r="BF27" s="417"/>
      <c r="BG27" s="417"/>
      <c r="BH27" s="417"/>
      <c r="BI27" s="279"/>
      <c r="BJ27" s="418" t="str">
        <f>IF(OR(BK26="",BK29=""),"",IF(OR(BK26="Bye",BK29="Bye"),0,IF(AND(BI26="",BI29=""),"",IF(AND(BI26="G",BI29="P"),IF(BM27&gt;=BM28,VLOOKUP(ABS(BM27-BM28),Point_dif,2,TRUE),VLOOKUP(ABS(BM27-BM28),Point_dif,3,TRUE)),IF(AND(BI26="P",BI29="G"),IF(BM28&gt;=BM27,VLOOKUP(ABS(BM27-BM28),Point_dif,2,TRUE),VLOOKUP(ABS(BM27-BM28),Point_dif,3,TRUE)))))))</f>
        <v/>
      </c>
      <c r="BK27" s="420" t="s">
        <v>170</v>
      </c>
      <c r="BL27" s="229" t="str">
        <f>IF(BK26&lt;&gt;"",IF(BK26="","",IF(BK26="BYE",0,IF(ISTEXT(BK26),VLOOKUP(BN26,Dist_Llav,6,FALSE),""))),"")</f>
        <v/>
      </c>
      <c r="BM27" s="280" t="str">
        <f>IF(BK26="","",IF(ISTEXT(BK26),IF(BK26="","",IF(BK26="Bye",0,VLOOKUP(BK26,Rank_Points,3,FALSE)))))</f>
        <v/>
      </c>
      <c r="BN27" s="192"/>
      <c r="BO27" s="422" t="str">
        <f>IF(Llave=128,BO21+1,"")</f>
        <v/>
      </c>
      <c r="BP27" s="181"/>
      <c r="BQ27" s="181">
        <f>IF(BS27="Bye",1,MAX(BQ$8:BQ26)+1)</f>
        <v>20</v>
      </c>
      <c r="BR27" s="314" t="str">
        <f t="shared" si="1"/>
        <v/>
      </c>
      <c r="BS27" s="181" t="str">
        <f>IF(Llave="","",IF(Llave=32,IF(OR(D20="Bye",D23="Bye"),"Bye",IF(H20="P",D20,D23)),IF(Llave=64,IF(M39="P",I39,I46),IF(Llave=128,IF(Q78="P",M78,M91)))))</f>
        <v/>
      </c>
      <c r="BT27" s="181" t="str">
        <f>IF(Llave="","",IF(Llave=32,IF(OR(D20="Bye",D23="Bye"),"",IF(H20="P",G20,G23)),IF(Llave=64,IF(M39="P",L40,L45),IF(Llave=128,IF(Q78="P",P79,P90)))))</f>
        <v/>
      </c>
    </row>
    <row r="28" spans="2:72" x14ac:dyDescent="0.3">
      <c r="B28" s="413"/>
      <c r="C28" s="192"/>
      <c r="D28" s="229" t="str">
        <f>IF(D29="","",IF(ISTEXT(D29),IF(D29="","",IF(D29="Bye",0,VLOOKUP(D29,Rank_Points,3,FALSE)))))</f>
        <v/>
      </c>
      <c r="E28" s="192" t="str">
        <f>IF(D29&lt;&gt;"",IF(D29="","",IF(D29="BYE",0,IF(ISTEXT(D29),VLOOKUP(C29,Dist_Llav,6,FALSE),""))),"")</f>
        <v/>
      </c>
      <c r="F28" s="414"/>
      <c r="G28" s="419"/>
      <c r="H28" s="282"/>
      <c r="I28" s="283" t="str">
        <f>IF(I27=D26,D27,IF(I27=D29,D28,""))</f>
        <v/>
      </c>
      <c r="J28" s="423" t="str">
        <f>IF(ISNUMBER(I28),VLOOKUP(I27,Siembra,2,FALSE),"")</f>
        <v/>
      </c>
      <c r="K28" s="423"/>
      <c r="L28" s="278" t="str">
        <f>IF(I27="","",IF(M27="G",IF(I27=D26,G26+L30,G29+L30),IF(M27="P",IF(I27=D26,G26-L30,G29-L30),"")))</f>
        <v/>
      </c>
      <c r="M28" s="192"/>
      <c r="N28" s="192"/>
      <c r="O28" s="192"/>
      <c r="P28" s="192"/>
      <c r="Q28" s="192"/>
      <c r="R28" s="192"/>
      <c r="S28" s="192"/>
      <c r="T28" s="287"/>
      <c r="U28" s="192"/>
      <c r="V28" s="192"/>
      <c r="W28" s="192"/>
      <c r="X28" s="287"/>
      <c r="Y28" s="192"/>
      <c r="Z28" s="192"/>
      <c r="AA28" s="192"/>
      <c r="AB28" s="192"/>
      <c r="AC28" s="192"/>
      <c r="AD28" s="192"/>
      <c r="AE28" s="192"/>
      <c r="AF28" s="192"/>
      <c r="AG28" s="192"/>
      <c r="AH28" s="192"/>
      <c r="AI28" s="192"/>
      <c r="AJ28" s="192"/>
      <c r="AK28" s="192"/>
      <c r="AL28" s="192"/>
      <c r="AM28" s="192"/>
      <c r="AN28" s="192"/>
      <c r="AO28" s="192"/>
      <c r="AP28" s="192"/>
      <c r="AQ28" s="192"/>
      <c r="AR28" s="192"/>
      <c r="AS28" s="289"/>
      <c r="AT28" s="192"/>
      <c r="AU28" s="192"/>
      <c r="AV28" s="192"/>
      <c r="AW28" s="289"/>
      <c r="AX28" s="192"/>
      <c r="AY28" s="192"/>
      <c r="AZ28" s="192"/>
      <c r="BA28" s="192"/>
      <c r="BB28" s="192"/>
      <c r="BC28" s="192"/>
      <c r="BD28" s="192"/>
      <c r="BE28" s="279" t="str">
        <f>IF(BE27="","",IF(BD27="G",IF(BE27=BK26,BJ26+BE30,BJ29+BE30),IF(BD27="P",IF(BE27=BK26,BJ26-BE30,BJ29-BE30),"")))</f>
        <v/>
      </c>
      <c r="BF28" s="423" t="str">
        <f>IF(ISNUMBER(BE28),VLOOKUP(BE27,Siembra,2,FALSE),"")</f>
        <v/>
      </c>
      <c r="BG28" s="423"/>
      <c r="BH28" s="285" t="str">
        <f>IF(BE27=BK26,BM27,IF(BE27=BK29,BM28,""))</f>
        <v/>
      </c>
      <c r="BI28" s="286"/>
      <c r="BJ28" s="419"/>
      <c r="BK28" s="421"/>
      <c r="BL28" s="229" t="str">
        <f>IF(BK29&lt;&gt;"",IF(BK29="","",IF(BK29="BYE",0,IF(ISTEXT(BK29),VLOOKUP(BN29,Dist_Llav,6,FALSE),""))),"")</f>
        <v/>
      </c>
      <c r="BM28" s="280" t="str">
        <f>IF(BK29="","",IF(ISTEXT(BK29),IF(BK29="","",IF(BK29="Bye",0,VLOOKUP(BK29,Rank_Points,3,FALSE)))))</f>
        <v/>
      </c>
      <c r="BN28" s="192"/>
      <c r="BO28" s="422"/>
      <c r="BP28" s="181"/>
      <c r="BQ28" s="181">
        <f>IF(BS28="Bye",1,MAX(BQ$8:BQ27)+1)</f>
        <v>21</v>
      </c>
      <c r="BR28" s="314" t="str">
        <f t="shared" si="1"/>
        <v/>
      </c>
      <c r="BS28" s="181" t="str">
        <f>IF(Llave="","",IF(Llave=32,IF(OR(D26="Bye",D29="Bye"),"Bye",IF(H26="P",D26,D29)),IF(Llave=64,IF(M51="P",I51,I58),IF(Llave=128,IF(Q102="P",M102,M115)))))</f>
        <v/>
      </c>
      <c r="BT28" s="181" t="str">
        <f>IF(Llave="","",IF(Llave=32,IF(OR(D26="Bye",D29="Bye"),"",IF(H26="P",G26,G29)),IF(Llave=64,IF(M51="P",L52,L57),IF(Llave=128,IF(Q102="P",P103,P114)))))</f>
        <v/>
      </c>
    </row>
    <row r="29" spans="2:72" x14ac:dyDescent="0.3">
      <c r="B29" s="192">
        <f>B26+1</f>
        <v>10</v>
      </c>
      <c r="C29" s="192" t="str">
        <f>IF(Llave="","",IF(Llave&gt;1,IF(OR(Plyrs_val=Tot_Jug,Groups*2=Plyrs_val),HLOOKUP(Plyrs_val,Knockout,B29+1,FALSE)),""))</f>
        <v/>
      </c>
      <c r="D29" s="412" t="str">
        <f>IF(Llave="","",IF(Llave&gt;1,IF(C29="Bye","Bye",IF(OR(Plyrs_val=Tot_Jug,Groups*2=Plyrs_val),VLOOKUP(C29,Dist_Llav,4,FALSE),"")),""))</f>
        <v/>
      </c>
      <c r="E29" s="412"/>
      <c r="F29" s="412"/>
      <c r="G29" s="192" t="str">
        <f>IF(D29="","",IF(D29="Bye",0,IF(D26="Bye",E28,IF(H29="G",E28+G27,IF(H29="P",E28-G27,"")))))</f>
        <v/>
      </c>
      <c r="H29" s="166"/>
      <c r="I29" s="192"/>
      <c r="J29" s="192"/>
      <c r="K29" s="192"/>
      <c r="L29" s="287"/>
      <c r="M29" s="192"/>
      <c r="N29" s="192"/>
      <c r="O29" s="192"/>
      <c r="P29" s="288" t="s">
        <v>192</v>
      </c>
      <c r="Q29" s="192"/>
      <c r="R29" s="192"/>
      <c r="S29" s="192"/>
      <c r="T29" s="287"/>
      <c r="U29" s="192"/>
      <c r="V29" s="192"/>
      <c r="W29" s="192"/>
      <c r="X29" s="287"/>
      <c r="Y29" s="192"/>
      <c r="Z29" s="192"/>
      <c r="AA29" s="192"/>
      <c r="AB29" s="192"/>
      <c r="AC29" s="192"/>
      <c r="AD29" s="192"/>
      <c r="AE29" s="192"/>
      <c r="AF29" s="192"/>
      <c r="AG29" s="192"/>
      <c r="AH29" s="192"/>
      <c r="AI29" s="192"/>
      <c r="AJ29" s="192"/>
      <c r="AK29" s="192"/>
      <c r="AL29" s="192"/>
      <c r="AM29" s="192"/>
      <c r="AN29" s="192"/>
      <c r="AO29" s="192"/>
      <c r="AP29" s="192"/>
      <c r="AQ29" s="192"/>
      <c r="AR29" s="192"/>
      <c r="AS29" s="289"/>
      <c r="AT29" s="192"/>
      <c r="AU29" s="192"/>
      <c r="AV29" s="192"/>
      <c r="AW29" s="289"/>
      <c r="AX29" s="192"/>
      <c r="AY29" s="192"/>
      <c r="AZ29" s="192"/>
      <c r="BA29" s="274" t="s">
        <v>193</v>
      </c>
      <c r="BB29" s="192"/>
      <c r="BC29" s="192"/>
      <c r="BD29" s="192"/>
      <c r="BE29" s="289"/>
      <c r="BF29" s="192"/>
      <c r="BG29" s="192"/>
      <c r="BH29" s="192"/>
      <c r="BI29" s="166"/>
      <c r="BJ29" s="284" t="str">
        <f>IF(BK29="","",IF(BK29="Bye",0,IF(BK26="Bye",BL28,IF(BI29="G",BL28+BJ27,IF(BI29="P",BL28-BJ27,"")))))</f>
        <v/>
      </c>
      <c r="BK29" s="423" t="str">
        <f>IF(Llave="","",IF(Llave&gt;1,IF(BN29="Bye","Bye",IF(OR(Plyrs_val=Tot_Jug,Groups*2=Plyrs_val),VLOOKUP(BN29,Dist_Llav,4,FALSE),"")),""))</f>
        <v/>
      </c>
      <c r="BL29" s="423"/>
      <c r="BM29" s="423"/>
      <c r="BN29" s="229" t="str">
        <f>IF(Llave=128,IF(OR(Plyrs_val=Tot_Jug,Groups*2=Plyrs_val),HLOOKUP(Plyrs_val,Knockout,BO29+1,FALSE)),"")</f>
        <v/>
      </c>
      <c r="BO29" s="229">
        <f>BO26+1</f>
        <v>74</v>
      </c>
      <c r="BP29" s="181"/>
      <c r="BQ29" s="181">
        <f>IF(BS29="Bye",1,MAX(BQ$8:BQ28)+1)</f>
        <v>22</v>
      </c>
      <c r="BR29" s="314" t="str">
        <f t="shared" si="1"/>
        <v/>
      </c>
      <c r="BS29" s="181" t="str">
        <f>IF(Llave="","",IF(Llave=32,IF(OR(D32="Bye",D35="Bye"),"Bye",IF(H32="P",D32,D35)),IF(Llave=64,IF(M63="P",I63,I70),IF(Llave=128,IF(Q126="P",M126,M139)))))</f>
        <v/>
      </c>
      <c r="BT29" s="181" t="str">
        <f>IF(Llave="","",IF(Llave=32,IF(OR(D32="Bye",D35="Bye"),"",IF(H32="P",G32,G35)),IF(Llave=64,IF(M63="P",L64,L69),IF(Llave=128,IF(Q126="P",P127,P138)))))</f>
        <v/>
      </c>
    </row>
    <row r="30" spans="2:72" x14ac:dyDescent="0.3">
      <c r="B30" s="192"/>
      <c r="C30" s="192"/>
      <c r="D30" s="192"/>
      <c r="E30" s="192"/>
      <c r="F30" s="192"/>
      <c r="G30" s="192"/>
      <c r="H30" s="192"/>
      <c r="I30" s="413" t="str">
        <f>IF(Llave="","",I18+1)</f>
        <v/>
      </c>
      <c r="J30" s="192"/>
      <c r="K30" s="414" t="s">
        <v>170</v>
      </c>
      <c r="L30" s="415" t="str">
        <f>IF(OR(I27="",I34=""),"",IF(OR(I27="Bye",I34="Bye"),0,IF(AND(M27="",M34=""),"",IF(AND(M27="G",M34="P"),IF(I28&gt;=I33,VLOOKUP(ABS(I28-I33),Point_dif,2,TRUE),VLOOKUP(ABS(I28-I33),Point_dif,3,TRUE)),IF(AND(M27="P",M34="G"),IF(I33&gt;=I28,VLOOKUP(ABS(I28-I33),Point_dif,2,TRUE),VLOOKUP(ABS(I28-I33),Point_dif,3,TRUE)))))))</f>
        <v/>
      </c>
      <c r="M30" s="416" t="str">
        <f>IF(AND(M27="",M34=""),"",IF(AND(M27="G",M34="P"),I27,IF(AND(M34="G",M27="P"),I34,"Corregir ganador y perdedor")))</f>
        <v/>
      </c>
      <c r="N30" s="417"/>
      <c r="O30" s="417"/>
      <c r="P30" s="417"/>
      <c r="Q30" s="167"/>
      <c r="R30" s="192"/>
      <c r="S30" s="192"/>
      <c r="T30" s="287"/>
      <c r="U30" s="192"/>
      <c r="V30" s="192"/>
      <c r="W30" s="192"/>
      <c r="X30" s="287"/>
      <c r="Y30" s="192"/>
      <c r="Z30" s="192"/>
      <c r="AA30" s="192"/>
      <c r="AB30" s="192"/>
      <c r="AC30" s="192"/>
      <c r="AD30" s="192"/>
      <c r="AE30" s="192"/>
      <c r="AF30" s="192"/>
      <c r="AG30" s="192"/>
      <c r="AH30" s="192"/>
      <c r="AI30" s="192"/>
      <c r="AJ30" s="192"/>
      <c r="AK30" s="192"/>
      <c r="AL30" s="192"/>
      <c r="AM30" s="192"/>
      <c r="AN30" s="192"/>
      <c r="AO30" s="192"/>
      <c r="AP30" s="192"/>
      <c r="AQ30" s="192"/>
      <c r="AR30" s="192"/>
      <c r="AS30" s="289"/>
      <c r="AT30" s="192"/>
      <c r="AU30" s="192"/>
      <c r="AV30" s="192"/>
      <c r="AW30" s="289"/>
      <c r="AX30" s="192"/>
      <c r="AY30" s="192"/>
      <c r="AZ30" s="166"/>
      <c r="BA30" s="416" t="str">
        <f>IF(AND(BD27="",BD34=""),"",IF(AND(BD27="G",BD34="P"),BE27,IF(AND(BD34="G",BD27="P"),BE34,"Corregir ganador y perdedor")))</f>
        <v/>
      </c>
      <c r="BB30" s="417"/>
      <c r="BC30" s="417"/>
      <c r="BD30" s="417"/>
      <c r="BE30" s="424" t="str">
        <f>IF(OR(BE27="",BE34=""),"",IF(OR(BE27="Bye",BE34="Bye"),0,IF(AND(BD27="",BD34=""),"",IF(AND(BD27="G",BD34="P"),IF(BH28&gt;=BH33,VLOOKUP(ABS(BH28-BH33),Point_dif,2,TRUE),VLOOKUP(ABS(BH28-BH33),Point_dif,3,TRUE)),IF(AND(BD27="P",BD34="G"),IF(BH33&gt;=BH28,VLOOKUP(ABS(BH28-BH33),Point_dif,2,TRUE),VLOOKUP(ABS(BH28-BH33),Point_dif,3,TRUE)))))))</f>
        <v/>
      </c>
      <c r="BF30" s="421" t="s">
        <v>170</v>
      </c>
      <c r="BG30" s="281"/>
      <c r="BH30" s="413" t="str">
        <f>IF(Llave=128,BH18+1,"")</f>
        <v/>
      </c>
      <c r="BI30" s="192"/>
      <c r="BJ30" s="192"/>
      <c r="BK30" s="192"/>
      <c r="BL30" s="192"/>
      <c r="BM30" s="192"/>
      <c r="BN30" s="192"/>
      <c r="BO30" s="192"/>
      <c r="BP30" s="181"/>
      <c r="BQ30" s="181">
        <f>IF(BS30="Bye",1,MAX(BQ$8:BQ29)+1)</f>
        <v>23</v>
      </c>
      <c r="BR30" s="314" t="str">
        <f t="shared" si="1"/>
        <v/>
      </c>
      <c r="BS30" s="181" t="str">
        <f>IF(Llave="","",IF(Llave=32,IF(OR(D38="Bye",D41="Bye"),"Bye",IF(H38="P",D38,D41)),IF(Llave=64,IF(M75="P",I75,I82),IF(Llave=128,IF(Q150="P",M150,M163)))))</f>
        <v/>
      </c>
      <c r="BT30" s="181" t="str">
        <f>IF(Llave="","",IF(Llave=32,IF(OR(D38="Bye",D41="Bye"),"",IF(H38="P",G38,G41)),IF(Llave=64,IF(M75="P",L76,L81),IF(Llave=128,IF(Q150="P",P151,P162)))))</f>
        <v/>
      </c>
    </row>
    <row r="31" spans="2:72" x14ac:dyDescent="0.3">
      <c r="B31" s="192"/>
      <c r="C31" s="192"/>
      <c r="D31" s="192"/>
      <c r="E31" s="192"/>
      <c r="F31" s="192"/>
      <c r="G31" s="272" t="s">
        <v>194</v>
      </c>
      <c r="H31" s="192"/>
      <c r="I31" s="413"/>
      <c r="J31" s="192"/>
      <c r="K31" s="414"/>
      <c r="L31" s="415"/>
      <c r="M31" s="283" t="str">
        <f>IF(M30=I27,I28,IF(M30=I34,I33,""))</f>
        <v/>
      </c>
      <c r="N31" s="423" t="str">
        <f>IF(ISNUMBER(M31),VLOOKUP(M30,Siembra,2,FALSE),"")</f>
        <v/>
      </c>
      <c r="O31" s="423"/>
      <c r="P31" s="278" t="str">
        <f>IF(Llave=4,IF(M27="G",L28,L33),IF(M30="","",IF(Q30="G",IF(M30=I27,L28+P36,L33+P36),IF(Q30="P",IF(M30=I27,L28-P36,L33-P36),""))))</f>
        <v/>
      </c>
      <c r="Q31" s="192"/>
      <c r="R31" s="192"/>
      <c r="S31" s="192"/>
      <c r="T31" s="287"/>
      <c r="U31" s="192"/>
      <c r="V31" s="192"/>
      <c r="W31" s="192"/>
      <c r="X31" s="287"/>
      <c r="Y31" s="192"/>
      <c r="Z31" s="192"/>
      <c r="AA31" s="192"/>
      <c r="AB31" s="192"/>
      <c r="AC31" s="192"/>
      <c r="AD31" s="192"/>
      <c r="AE31" s="192"/>
      <c r="AF31" s="192"/>
      <c r="AG31" s="192"/>
      <c r="AH31" s="192"/>
      <c r="AI31" s="192"/>
      <c r="AJ31" s="192"/>
      <c r="AK31" s="192"/>
      <c r="AL31" s="192"/>
      <c r="AM31" s="192"/>
      <c r="AN31" s="192"/>
      <c r="AO31" s="192"/>
      <c r="AP31" s="192"/>
      <c r="AQ31" s="192"/>
      <c r="AR31" s="192"/>
      <c r="AS31" s="289"/>
      <c r="AT31" s="192"/>
      <c r="AU31" s="192"/>
      <c r="AV31" s="192"/>
      <c r="AW31" s="289"/>
      <c r="AX31" s="192"/>
      <c r="AY31" s="192"/>
      <c r="AZ31" s="192"/>
      <c r="BA31" s="279" t="str">
        <f>IF(BA30="","",IF(AZ30="G",IF(BA30=BE27,BE28+BA36,BE33+BA36),IF(AZ30="P",IF(BA30=BE27,BE28-BA36,BE33-BA36),"")))</f>
        <v/>
      </c>
      <c r="BB31" s="423" t="str">
        <f>IF(ISNUMBER(BA31),VLOOKUP(BA30,Siembra,2,FALSE),"")</f>
        <v/>
      </c>
      <c r="BC31" s="423"/>
      <c r="BD31" s="285" t="str">
        <f>IF(BA30=BE27,BH28,IF(BA30=BE34,BH33,""))</f>
        <v/>
      </c>
      <c r="BE31" s="424"/>
      <c r="BF31" s="421"/>
      <c r="BG31" s="281"/>
      <c r="BH31" s="413"/>
      <c r="BI31" s="273"/>
      <c r="BJ31" s="274" t="s">
        <v>195</v>
      </c>
      <c r="BK31" s="229"/>
      <c r="BL31" s="192"/>
      <c r="BM31" s="192"/>
      <c r="BN31" s="192"/>
      <c r="BO31" s="192"/>
      <c r="BP31" s="181"/>
      <c r="BQ31" s="181">
        <f>IF(BS31="Bye",1,MAX(BQ$8:BQ30)+1)</f>
        <v>24</v>
      </c>
      <c r="BR31" s="314" t="str">
        <f t="shared" si="1"/>
        <v/>
      </c>
      <c r="BS31" s="181" t="str">
        <f>IF(Llave="","",IF(Llave=32,IF(OR(D44="Bye",D47="Bye"),"Bye",IF(H44="P",D44,D47)),IF(Llave=64,IF(M87="P",I87,I94),IF(Llave=128,IF(Q174="P",M174,M187)))))</f>
        <v/>
      </c>
      <c r="BT31" s="181" t="str">
        <f>IF(Llave="","",IF(Llave=32,IF(OR(D44="Bye",D47="Bye"),"",IF(H44="P",G44,G47)),IF(Llave=64,IF(M87="P",L88,L93),IF(Llave=128,IF(Q174="P",P175,P186)))))</f>
        <v/>
      </c>
    </row>
    <row r="32" spans="2:72" x14ac:dyDescent="0.3">
      <c r="B32" s="192">
        <f>B29+1</f>
        <v>11</v>
      </c>
      <c r="C32" s="192" t="str">
        <f>IF(Llave="","",IF(Llave&gt;1,IF(OR(Plyrs_val=Tot_Jug,Groups*2=Plyrs_val),HLOOKUP(Plyrs_val,Knockout,B32+1,FALSE)),""))</f>
        <v/>
      </c>
      <c r="D32" s="411" t="str">
        <f>IF(Llave="","",IF(Llave&gt;1,IF(C32="Bye","Bye",IF(OR(Plyrs_val=Tot_Jug,Groups*2=Plyrs_val),VLOOKUP(C32,Dist_Llav,4,FALSE),"")),""))</f>
        <v/>
      </c>
      <c r="E32" s="411"/>
      <c r="F32" s="411"/>
      <c r="G32" s="192" t="str">
        <f>IF(D32="","",IF(D32="Bye",0,IF(D35="Bye",E33,IF(H32="G",E33+G33,IF(H32="P",E33-G33,"")))))</f>
        <v/>
      </c>
      <c r="H32" s="166"/>
      <c r="I32" s="192"/>
      <c r="J32" s="192"/>
      <c r="K32" s="192"/>
      <c r="L32" s="287"/>
      <c r="M32" s="192"/>
      <c r="N32" s="192"/>
      <c r="O32" s="192"/>
      <c r="P32" s="287"/>
      <c r="Q32" s="192"/>
      <c r="R32" s="192"/>
      <c r="S32" s="192"/>
      <c r="T32" s="287"/>
      <c r="U32" s="192"/>
      <c r="V32" s="192"/>
      <c r="W32" s="192"/>
      <c r="X32" s="287"/>
      <c r="Y32" s="192"/>
      <c r="Z32" s="192"/>
      <c r="AA32" s="192"/>
      <c r="AB32" s="192"/>
      <c r="AC32" s="192"/>
      <c r="AD32" s="192"/>
      <c r="AE32" s="192"/>
      <c r="AF32" s="192"/>
      <c r="AG32" s="192"/>
      <c r="AH32" s="192"/>
      <c r="AI32" s="192"/>
      <c r="AJ32" s="192"/>
      <c r="AK32" s="192"/>
      <c r="AL32" s="192"/>
      <c r="AM32" s="192"/>
      <c r="AN32" s="192"/>
      <c r="AO32" s="192"/>
      <c r="AP32" s="192"/>
      <c r="AQ32" s="192"/>
      <c r="AR32" s="192"/>
      <c r="AS32" s="289"/>
      <c r="AT32" s="192"/>
      <c r="AU32" s="192"/>
      <c r="AV32" s="192"/>
      <c r="AW32" s="289"/>
      <c r="AX32" s="192"/>
      <c r="AY32" s="192"/>
      <c r="AZ32" s="192"/>
      <c r="BA32" s="289"/>
      <c r="BB32" s="192"/>
      <c r="BC32" s="192"/>
      <c r="BD32" s="192"/>
      <c r="BE32" s="289"/>
      <c r="BF32" s="192"/>
      <c r="BG32" s="192"/>
      <c r="BH32" s="192"/>
      <c r="BI32" s="166"/>
      <c r="BJ32" s="192" t="str">
        <f>IF(BK32="","",IF(BK32="Bye",0,IF(BK35="Bye",BL33,IF(BI32="G",BL33+BJ33,IF(BI32="P",BL33-BJ33,"")))))</f>
        <v/>
      </c>
      <c r="BK32" s="411" t="str">
        <f>IF(Llave="","",IF(Llave&gt;1,IF(BN32="Bye","Bye",IF(OR(Plyrs_val=Tot_Jug,Groups*2=Plyrs_val),VLOOKUP(BN32,Dist_Llav,4,FALSE),"")),""))</f>
        <v/>
      </c>
      <c r="BL32" s="411"/>
      <c r="BM32" s="411"/>
      <c r="BN32" s="229" t="str">
        <f>IF(Llave=128,IF(OR(Plyrs_val=Tot_Jug,Groups*2=Plyrs_val),HLOOKUP(Plyrs_val,Knockout,BO32+1,FALSE)),"")</f>
        <v/>
      </c>
      <c r="BO32" s="229">
        <f>BO29+1</f>
        <v>75</v>
      </c>
      <c r="BP32" s="181"/>
      <c r="BQ32" s="181">
        <f>IF(BS32="Bye",1,MAX(BQ$8:BQ31)+1)</f>
        <v>25</v>
      </c>
      <c r="BR32" s="314" t="str">
        <f t="shared" si="1"/>
        <v/>
      </c>
      <c r="BS32" s="181" t="str">
        <f>IF(Llave="","",IF(Llave=32,IF(OR(D50="Bye",D53="Bye"),"Bye",IF(H50="P",D50,D53)),IF(Llave=64,IF(M99="P",I99,I106),IF(Llave=128,IF(AZ6="P",BA6,BA19)))))</f>
        <v/>
      </c>
      <c r="BT32" s="181" t="str">
        <f>IF(Llave="","",IF(Llave=32,IF(OR(D50="Bye",D53="Bye"),"",IF(H50="P",G50,G53)),IF(Llave=64,IF(M99="P",L100,L105),IF(Llave=128,IF(AZ6="P",BA7,BA18)))))</f>
        <v/>
      </c>
    </row>
    <row r="33" spans="2:72" x14ac:dyDescent="0.3">
      <c r="B33" s="413" t="str">
        <f>IF(Llave="","",B27+1)</f>
        <v/>
      </c>
      <c r="C33" s="192"/>
      <c r="D33" s="229" t="str">
        <f>IF(D32="","",IF(ISTEXT(D32),IF(D32="","",IF(D32="Bye",0,VLOOKUP(D32,Rank_Points,3,FALSE)))))</f>
        <v/>
      </c>
      <c r="E33" s="192" t="str">
        <f>IF(D32&lt;&gt;"",IF(D32="","",IF(D32="BYE",0,IF(ISTEXT(D32),VLOOKUP(C32,Dist_Llav,6,FALSE),""))),"")</f>
        <v/>
      </c>
      <c r="F33" s="414" t="s">
        <v>170</v>
      </c>
      <c r="G33" s="418" t="str">
        <f>IF(OR(D32="",D35=""),"",IF(OR(D32="Bye",D35="Bye"),0,IF(AND(H32="",H35=""),"",IF(AND(H32="G",H35="P"),IF(D33&gt;=D34,VLOOKUP(ABS(D33-D34),Point_dif,2,TRUE),VLOOKUP(ABS(D33-D34),Point_dif,3,TRUE)),IF(AND(H32="P",H35="G"),IF(D34&gt;=D33,VLOOKUP(ABS(D33-D34),Point_dif,2,TRUE),VLOOKUP(ABS(D33-D34),Point_dif,3,TRUE)))))))</f>
        <v/>
      </c>
      <c r="H33" s="278"/>
      <c r="I33" s="275" t="str">
        <f>IF(I34=D32,D33,IF(I34=D35,D34,""))</f>
        <v/>
      </c>
      <c r="J33" s="417" t="str">
        <f>IF(ISNUMBER(I33),VLOOKUP(I34,Siembra,2,FALSE),"")</f>
        <v/>
      </c>
      <c r="K33" s="417"/>
      <c r="L33" s="282" t="str">
        <f>IF(I34="","",IF(M34="G",IF(I34=D32,G32+L30,G35+L30),IF(M34="P",IF(I34=D32,G32-L30,G35-L30),"")))</f>
        <v/>
      </c>
      <c r="M33" s="192"/>
      <c r="N33" s="192"/>
      <c r="O33" s="192"/>
      <c r="P33" s="287"/>
      <c r="Q33" s="192"/>
      <c r="R33" s="192"/>
      <c r="S33" s="192"/>
      <c r="T33" s="287"/>
      <c r="U33" s="192"/>
      <c r="V33" s="192"/>
      <c r="W33" s="192"/>
      <c r="X33" s="287"/>
      <c r="Y33" s="192"/>
      <c r="Z33" s="192"/>
      <c r="AA33" s="192"/>
      <c r="AB33" s="192"/>
      <c r="AC33" s="192"/>
      <c r="AD33" s="192"/>
      <c r="AE33" s="192"/>
      <c r="AF33" s="192"/>
      <c r="AG33" s="192"/>
      <c r="AH33" s="192"/>
      <c r="AI33" s="192"/>
      <c r="AJ33" s="192"/>
      <c r="AK33" s="192"/>
      <c r="AL33" s="192"/>
      <c r="AM33" s="192"/>
      <c r="AN33" s="192"/>
      <c r="AO33" s="192"/>
      <c r="AP33" s="192"/>
      <c r="AQ33" s="192"/>
      <c r="AR33" s="192"/>
      <c r="AS33" s="289"/>
      <c r="AT33" s="192"/>
      <c r="AU33" s="192"/>
      <c r="AV33" s="192"/>
      <c r="AW33" s="289"/>
      <c r="AX33" s="192"/>
      <c r="AY33" s="192"/>
      <c r="AZ33" s="192"/>
      <c r="BA33" s="289"/>
      <c r="BB33" s="192"/>
      <c r="BC33" s="192"/>
      <c r="BD33" s="192"/>
      <c r="BE33" s="286" t="str">
        <f>IF(BE34="","",IF(BD34="G",IF(BE34=BK32,BJ32+BE30,BJ35+BE30),IF(BD34="P",IF(BE34=BK32,BJ32-BE30,BJ35-BE30),"")))</f>
        <v/>
      </c>
      <c r="BF33" s="417" t="str">
        <f>IF(ISNUMBER(BE33),VLOOKUP(BE34,Siembra,2,FALSE),"")</f>
        <v/>
      </c>
      <c r="BG33" s="417"/>
      <c r="BH33" s="282" t="str">
        <f>IF(BE34=BK32,BM33,IF(BE34=BK35,BM34,""))</f>
        <v/>
      </c>
      <c r="BI33" s="279"/>
      <c r="BJ33" s="418" t="str">
        <f>IF(OR(BK32="",BK35=""),"",IF(OR(BK32="Bye",BK35="Bye"),0,IF(AND(BI32="",BI35=""),"",IF(AND(BI32="G",BI35="P"),IF(BM33&gt;=BM34,VLOOKUP(ABS(BM33-BM34),Point_dif,2,TRUE),VLOOKUP(ABS(BM33-BM34),Point_dif,3,TRUE)),IF(AND(BI32="P",BI35="G"),IF(BM34&gt;=BM33,VLOOKUP(ABS(BM33-BM34),Point_dif,2,TRUE),VLOOKUP(ABS(BM33-BM34),Point_dif,3,TRUE)))))))</f>
        <v/>
      </c>
      <c r="BK33" s="420" t="s">
        <v>170</v>
      </c>
      <c r="BL33" s="229" t="str">
        <f>IF(BK32&lt;&gt;"",IF(BK32="","",IF(BK32="BYE",0,IF(ISTEXT(BK32),VLOOKUP(BN32,Dist_Llav,6,FALSE),""))),"")</f>
        <v/>
      </c>
      <c r="BM33" s="280" t="str">
        <f>IF(BK32="","",IF(ISTEXT(BK32),IF(BK32="","",IF(BK32="Bye",0,VLOOKUP(BK32,Rank_Points,3,FALSE)))))</f>
        <v/>
      </c>
      <c r="BN33" s="192"/>
      <c r="BO33" s="422" t="str">
        <f>IF(Llave=128,BO27+1,"")</f>
        <v/>
      </c>
      <c r="BP33" s="181"/>
      <c r="BQ33" s="181">
        <f>IF(BS33="Bye",1,MAX(BQ$8:BQ32)+1)</f>
        <v>26</v>
      </c>
      <c r="BR33" s="314" t="str">
        <f t="shared" si="1"/>
        <v/>
      </c>
      <c r="BS33" s="181" t="str">
        <f>IF(Llave="","",IF(Llave=32,IF(OR(D56="Bye",D59="Bye"),"Bye",IF(H56="P",D56,D59)),IF(Llave=64,IF(M111="P",I111,I118),IF(Llave=128,IF(AZ30="P",BA30,BA43)))))</f>
        <v/>
      </c>
      <c r="BT33" s="181" t="str">
        <f>IF(Llave="","",IF(Llave=32,IF(OR(D56="Bye",D59="Bye"),"",IF(H56="P",G56,G59)),IF(Llave=64,IF(M111="P",L112,L117),IF(Llave=128,IF(AZ30="P",BA31,BA42)))))</f>
        <v/>
      </c>
    </row>
    <row r="34" spans="2:72" x14ac:dyDescent="0.3">
      <c r="B34" s="413"/>
      <c r="C34" s="192"/>
      <c r="D34" s="229" t="str">
        <f>IF(D35="","",IF(ISTEXT(D35),IF(D35="","",IF(D35="Bye",0,VLOOKUP(D35,Rank_Points,3,FALSE)))))</f>
        <v/>
      </c>
      <c r="E34" s="192" t="str">
        <f>IF(D35&lt;&gt;"",IF(D35="","",IF(D35="BYE",0,IF(ISTEXT(D35),VLOOKUP(C35,Dist_Llav,6,FALSE),""))),"")</f>
        <v/>
      </c>
      <c r="F34" s="414"/>
      <c r="G34" s="419"/>
      <c r="H34" s="282"/>
      <c r="I34" s="425" t="str">
        <f>IF(D32="Bye",D35,IF(D35="Bye",D32,IF(AND(H32="",H35=""),"",IF(AND(H32="G",H35="P"),D32,IF(AND(H35="G",H32="P"),D35,"Corregir ganador y perdedor")))))</f>
        <v/>
      </c>
      <c r="J34" s="423"/>
      <c r="K34" s="423"/>
      <c r="L34" s="423"/>
      <c r="M34" s="167"/>
      <c r="N34" s="192"/>
      <c r="O34" s="192"/>
      <c r="P34" s="287"/>
      <c r="Q34" s="192"/>
      <c r="R34" s="192"/>
      <c r="S34" s="192"/>
      <c r="T34" s="287"/>
      <c r="U34" s="192"/>
      <c r="V34" s="192"/>
      <c r="W34" s="192"/>
      <c r="X34" s="287"/>
      <c r="Y34" s="192"/>
      <c r="Z34" s="192"/>
      <c r="AA34" s="192"/>
      <c r="AB34" s="192"/>
      <c r="AC34" s="192"/>
      <c r="AD34" s="192"/>
      <c r="AE34" s="192"/>
      <c r="AF34" s="192"/>
      <c r="AG34" s="192"/>
      <c r="AH34" s="192"/>
      <c r="AI34" s="192"/>
      <c r="AJ34" s="192"/>
      <c r="AK34" s="192"/>
      <c r="AL34" s="192"/>
      <c r="AM34" s="192"/>
      <c r="AN34" s="192"/>
      <c r="AO34" s="192"/>
      <c r="AP34" s="192"/>
      <c r="AQ34" s="192"/>
      <c r="AR34" s="192"/>
      <c r="AS34" s="289"/>
      <c r="AT34" s="192"/>
      <c r="AU34" s="192"/>
      <c r="AV34" s="192"/>
      <c r="AW34" s="289"/>
      <c r="AX34" s="192"/>
      <c r="AY34" s="192"/>
      <c r="AZ34" s="192"/>
      <c r="BA34" s="289"/>
      <c r="BB34" s="192"/>
      <c r="BC34" s="192"/>
      <c r="BD34" s="166"/>
      <c r="BE34" s="423" t="str">
        <f>IF(BK35="Bye",BK32,IF(BK32="Bye",BK35,IF(AND(BI32="",BI35=""),"",IF(AND(BI32="G",BI35="P"),BK32,IF(AND(BI35="G",BI32="P"),BK35,"Corregir ganador y perdedor")))))</f>
        <v/>
      </c>
      <c r="BF34" s="423"/>
      <c r="BG34" s="423"/>
      <c r="BH34" s="426"/>
      <c r="BI34" s="286"/>
      <c r="BJ34" s="419"/>
      <c r="BK34" s="421"/>
      <c r="BL34" s="229" t="str">
        <f>IF(BK35&lt;&gt;"",IF(BK35="","",IF(BK35="BYE",0,IF(ISTEXT(BK35),VLOOKUP(BN35,Dist_Llav,6,FALSE),""))),"")</f>
        <v/>
      </c>
      <c r="BM34" s="280" t="str">
        <f>IF(BK35="","",IF(ISTEXT(BK35),IF(BK35="","",IF(BK35="Bye",0,VLOOKUP(BK35,Rank_Points,3,FALSE)))))</f>
        <v/>
      </c>
      <c r="BN34" s="192"/>
      <c r="BO34" s="422"/>
      <c r="BP34" s="181"/>
      <c r="BQ34" s="181">
        <f>IF(BS34="Bye",1,MAX(BQ$8:BQ33)+1)</f>
        <v>27</v>
      </c>
      <c r="BR34" s="314" t="str">
        <f t="shared" si="1"/>
        <v/>
      </c>
      <c r="BS34" s="181" t="str">
        <f>IF(OR(Llave&lt;32,Llave=""),"",IF(Llave=32,IF(OR(D62="Bye",D65="Bye"),"Bye",IF(H62="P",D62,D65)),IF(Llave=64,IF(M123="P",I123,I130),IF(Llave=128,IF(AZ54="P",BA54,BA67)))))</f>
        <v/>
      </c>
      <c r="BT34" s="181" t="str">
        <f>IF(OR(Llave&lt;32,Llave=""),"",IF(Llave=32,IF(OR(D62="Bye",D65="Bye"),"",IF(H62="P",G62,G65)),IF(Llave=64,IF(M123="P",L124,L129),IF(Llave=128,IF(AZ54="P",BA55,BA66)))))</f>
        <v/>
      </c>
    </row>
    <row r="35" spans="2:72" x14ac:dyDescent="0.3">
      <c r="B35" s="192">
        <f>B32+1</f>
        <v>12</v>
      </c>
      <c r="C35" s="192" t="str">
        <f>IF(Llave="","",IF(Llave&gt;1,IF(OR(Plyrs_val=Tot_Jug,Groups*2=Plyrs_val),HLOOKUP(Plyrs_val,Knockout,B35+1,FALSE)),""))</f>
        <v/>
      </c>
      <c r="D35" s="412" t="str">
        <f>IF(Llave="","",IF(Llave&gt;1,IF(C35="Bye","Bye",IF(OR(Plyrs_val=Tot_Jug,Groups*2=Plyrs_val),VLOOKUP(C35,Dist_Llav,4,FALSE),"")),""))</f>
        <v/>
      </c>
      <c r="E35" s="412"/>
      <c r="F35" s="412"/>
      <c r="G35" s="192" t="str">
        <f>IF(D35="","",IF(D35="Bye",0,IF(D32="Bye",E34,IF(H35="G",E34+G33,IF(H35="P",E34-G33,"")))))</f>
        <v/>
      </c>
      <c r="H35" s="166"/>
      <c r="I35" s="192"/>
      <c r="J35" s="192"/>
      <c r="K35" s="192"/>
      <c r="L35" s="192"/>
      <c r="M35" s="192"/>
      <c r="N35" s="192"/>
      <c r="O35" s="192"/>
      <c r="P35" s="287"/>
      <c r="Q35" s="192"/>
      <c r="R35" s="192"/>
      <c r="S35" s="192"/>
      <c r="T35" s="287"/>
      <c r="U35" s="192"/>
      <c r="V35" s="192"/>
      <c r="W35" s="192"/>
      <c r="X35" s="287"/>
      <c r="Y35" s="192"/>
      <c r="Z35" s="192"/>
      <c r="AA35" s="192"/>
      <c r="AB35" s="192"/>
      <c r="AC35" s="192"/>
      <c r="AD35" s="192"/>
      <c r="AE35" s="192"/>
      <c r="AF35" s="192"/>
      <c r="AG35" s="192"/>
      <c r="AH35" s="192"/>
      <c r="AI35" s="192"/>
      <c r="AJ35" s="192"/>
      <c r="AK35" s="192"/>
      <c r="AL35" s="192"/>
      <c r="AM35" s="192"/>
      <c r="AN35" s="192"/>
      <c r="AO35" s="192"/>
      <c r="AP35" s="192"/>
      <c r="AQ35" s="192"/>
      <c r="AR35" s="192"/>
      <c r="AS35" s="289"/>
      <c r="AT35" s="192"/>
      <c r="AU35" s="192"/>
      <c r="AV35" s="192"/>
      <c r="AW35" s="289"/>
      <c r="AX35" s="192"/>
      <c r="AY35" s="192"/>
      <c r="AZ35" s="192"/>
      <c r="BA35" s="289"/>
      <c r="BB35" s="192"/>
      <c r="BC35" s="192"/>
      <c r="BD35" s="192"/>
      <c r="BE35" s="192"/>
      <c r="BF35" s="192"/>
      <c r="BG35" s="192"/>
      <c r="BH35" s="192"/>
      <c r="BI35" s="166"/>
      <c r="BJ35" s="284" t="str">
        <f>IF(BK35="","",IF(BK35="Bye",0,IF(BK32="Bye",BL34,IF(BI35="G",BL34+BJ33,IF(BI35="P",BL34-BJ33,"")))))</f>
        <v/>
      </c>
      <c r="BK35" s="412" t="str">
        <f>IF(Llave="","",IF(Llave&gt;1,IF(BN35="Bye","Bye",IF(OR(Plyrs_val=Tot_Jug,Groups*2=Plyrs_val),VLOOKUP(BN35,Dist_Llav,4,FALSE),"")),""))</f>
        <v/>
      </c>
      <c r="BL35" s="412"/>
      <c r="BM35" s="412"/>
      <c r="BN35" s="229" t="str">
        <f>IF(Llave=128,IF(OR(Plyrs_val=Tot_Jug,Groups*2=Plyrs_val),HLOOKUP(Plyrs_val,Knockout,BO35+1,FALSE)),"")</f>
        <v/>
      </c>
      <c r="BO35" s="229">
        <f>BO32+1</f>
        <v>76</v>
      </c>
      <c r="BP35" s="181"/>
      <c r="BQ35" s="181">
        <f>IF(BS35="Bye",1,MAX(BQ$8:BQ34)+1)</f>
        <v>28</v>
      </c>
      <c r="BR35" s="314" t="str">
        <f t="shared" si="1"/>
        <v/>
      </c>
      <c r="BS35" s="181" t="str">
        <f>IF(OR(Llave&lt;32,Llave=""),"",IF(Llave=32,IF(OR(D68="Bye",D71="Bye"),"Bye",IF(H68="P",D68,D71)),IF(Llave=64,IF(M135="P",I135,I142),IF(Llave=128,IF(AZ78="P",BA78,BA91)))))</f>
        <v/>
      </c>
      <c r="BT35" s="181" t="str">
        <f>IF(OR(Llave&lt;32,Llave=""),"",IF(Llave=32,IF(OR(D68="Bye",D71="Bye"),"",IF(H68="P",G68,G71)),IF(Llave=64,IF(M135="P",L136,L141),IF(Llave=128,IF(AZ78="P",BA79,BA90)))))</f>
        <v/>
      </c>
    </row>
    <row r="36" spans="2:72" x14ac:dyDescent="0.3">
      <c r="B36" s="192"/>
      <c r="C36" s="192"/>
      <c r="D36" s="192"/>
      <c r="E36" s="192"/>
      <c r="F36" s="192"/>
      <c r="G36" s="192"/>
      <c r="H36" s="192"/>
      <c r="I36" s="192"/>
      <c r="J36" s="192"/>
      <c r="K36" s="192"/>
      <c r="L36" s="192"/>
      <c r="M36" s="181"/>
      <c r="N36" s="413" t="str">
        <f>IF(Llave="","",M12+1)</f>
        <v/>
      </c>
      <c r="O36" s="414" t="s">
        <v>170</v>
      </c>
      <c r="P36" s="415" t="str">
        <f>IF(OR(M30="",M43=""),"",IF(OR(M30="Bye",M43="Bye"),0,IF(AND(Q30="",Q43=""),"",IF(AND(Q30="G",Q43="P"),IF(M31&gt;=M42,VLOOKUP(ABS(M31-M42),Point_dif,2,TRUE),VLOOKUP(ABS(M31-M42),Point_dif,3,TRUE)),IF(AND(Q30="P",Q43="G"),IF(M42&gt;=M31,VLOOKUP(ABS(M31-M42),Point_dif,2,TRUE),VLOOKUP(ABS(M31-M42),Point_dif,3,TRUE)))))))</f>
        <v/>
      </c>
      <c r="Q36" s="275" t="str">
        <f>IF(Q37=M30,M31,IF(Q37=M43,M42,""))</f>
        <v/>
      </c>
      <c r="R36" s="417" t="str">
        <f>IF(ISNUMBER(Q36),VLOOKUP(Q37,Siembra,2,FALSE),"")</f>
        <v/>
      </c>
      <c r="S36" s="417"/>
      <c r="T36" s="282" t="str">
        <f>IF(Q37="","",IF(U37="G",IF(Q37=M30,P31+T24,P42+T24),IF(U37="P",IF(Q37=M30,P31-T24,P42-T24),"")))</f>
        <v/>
      </c>
      <c r="U36" s="192"/>
      <c r="V36" s="192"/>
      <c r="W36" s="192"/>
      <c r="X36" s="287"/>
      <c r="Y36" s="192"/>
      <c r="Z36" s="192"/>
      <c r="AA36" s="192"/>
      <c r="AB36" s="192"/>
      <c r="AC36" s="192"/>
      <c r="AD36" s="192"/>
      <c r="AE36" s="192"/>
      <c r="AF36" s="192"/>
      <c r="AG36" s="192"/>
      <c r="AH36" s="192"/>
      <c r="AI36" s="192"/>
      <c r="AJ36" s="192"/>
      <c r="AK36" s="192"/>
      <c r="AL36" s="192"/>
      <c r="AM36" s="192"/>
      <c r="AN36" s="192"/>
      <c r="AO36" s="192"/>
      <c r="AP36" s="192"/>
      <c r="AQ36" s="192"/>
      <c r="AR36" s="192"/>
      <c r="AS36" s="289"/>
      <c r="AT36" s="192"/>
      <c r="AU36" s="192"/>
      <c r="AV36" s="192"/>
      <c r="AW36" s="286" t="str">
        <f>IF(AW37="","",IF(AV37="G",IF(AW37=BA30,BA31+AW23,BA42+AW23),IF(AV37="P",IF(AW37=BA30,BA31-AW23,BA42-AW23),"")))</f>
        <v/>
      </c>
      <c r="AX36" s="417" t="str">
        <f>IF(ISNUMBER(AW36),VLOOKUP(AW37,Siembra,2,FALSE),"")</f>
        <v/>
      </c>
      <c r="AY36" s="417"/>
      <c r="AZ36" s="282" t="str">
        <f>IF(AW37=BA30,BD31,IF(AW37=BA43,BD42,""))</f>
        <v/>
      </c>
      <c r="BA36" s="424" t="str">
        <f>IF(OR(BA30="",BA43=""),"",IF(OR(BA30="Bye",BA43="Bye"),0,IF(AND(AZ30="",AZ43=""),"",IF(AND(AZ30="G",AZ43="P"),IF(BD31&gt;=BD42,VLOOKUP(ABS(BD31-BD42),Point_dif,2,TRUE),VLOOKUP(ABS(BD31-BD42),Point_dif,3,TRUE)),IF(AND(AZ30="P",AZ43="G"),IF(BD42&gt;=BD31,VLOOKUP(ABS(BD31-BD42),Point_dif,2,TRUE),VLOOKUP(ABS(BD31-BD42),Point_dif,3,TRUE)))))))</f>
        <v/>
      </c>
      <c r="BB36" s="421" t="s">
        <v>170</v>
      </c>
      <c r="BC36" s="413" t="str">
        <f>IF(Llave=128,BC12+1,"")</f>
        <v/>
      </c>
      <c r="BD36" s="181"/>
      <c r="BE36" s="192"/>
      <c r="BF36" s="192"/>
      <c r="BG36" s="192"/>
      <c r="BH36" s="192"/>
      <c r="BI36" s="192"/>
      <c r="BJ36" s="192"/>
      <c r="BK36" s="192"/>
      <c r="BL36" s="192"/>
      <c r="BM36" s="192"/>
      <c r="BN36" s="192"/>
      <c r="BO36" s="192"/>
      <c r="BP36" s="181"/>
      <c r="BQ36" s="181">
        <f>IF(BS36="Bye",1,MAX(BQ$8:BQ35)+1)</f>
        <v>29</v>
      </c>
      <c r="BR36" s="314" t="str">
        <f t="shared" si="1"/>
        <v/>
      </c>
      <c r="BS36" s="181" t="str">
        <f>IF(OR(Llave&lt;32,Llave=""),"",IF(Llave=32,IF(OR(D74="Bye",D77="Bye"),"Bye",IF(H74="P",D74,D77)),IF(Llave=64,IF(M147="P",I147,I154),IF(Llave=128,IF(AZ102="P",BA102,BA115)))))</f>
        <v/>
      </c>
      <c r="BT36" s="181" t="str">
        <f>IF(OR(Llave&lt;32,Llave=""),"",IF(Llave=32,IF(OR(D74="Bye",D77="Bye"),"",IF(H74="P",G74,G77)),IF(Llave=64,IF(M147="P",L148,L153),IF(Llave=128,IF(AZ102="P",BA103,BA114)))))</f>
        <v/>
      </c>
    </row>
    <row r="37" spans="2:72" x14ac:dyDescent="0.3">
      <c r="B37" s="192"/>
      <c r="C37" s="192"/>
      <c r="D37" s="192"/>
      <c r="E37" s="192"/>
      <c r="F37" s="192"/>
      <c r="G37" s="272" t="s">
        <v>196</v>
      </c>
      <c r="H37" s="192"/>
      <c r="I37" s="192"/>
      <c r="J37" s="192"/>
      <c r="K37" s="192"/>
      <c r="L37" s="192"/>
      <c r="M37" s="181"/>
      <c r="N37" s="413"/>
      <c r="O37" s="414"/>
      <c r="P37" s="415"/>
      <c r="Q37" s="425" t="str">
        <f>IF(AND(Q30="",Q43=""),"",IF(AND(Q30="G",Q43="P"),M30,IF(AND(Q43="G",Q30="P"),M43,"Corregir ganador y perdedor")))</f>
        <v/>
      </c>
      <c r="R37" s="423"/>
      <c r="S37" s="423"/>
      <c r="T37" s="423"/>
      <c r="U37" s="167"/>
      <c r="V37" s="192"/>
      <c r="W37" s="192"/>
      <c r="X37" s="287"/>
      <c r="Y37" s="192"/>
      <c r="Z37" s="192"/>
      <c r="AA37" s="192"/>
      <c r="AB37" s="192"/>
      <c r="AC37" s="192"/>
      <c r="AD37" s="192"/>
      <c r="AE37" s="192"/>
      <c r="AF37" s="192"/>
      <c r="AG37" s="192"/>
      <c r="AH37" s="192"/>
      <c r="AI37" s="192"/>
      <c r="AJ37" s="192"/>
      <c r="AK37" s="192"/>
      <c r="AL37" s="192"/>
      <c r="AM37" s="192"/>
      <c r="AN37" s="192"/>
      <c r="AO37" s="192"/>
      <c r="AP37" s="192"/>
      <c r="AQ37" s="192"/>
      <c r="AR37" s="192"/>
      <c r="AS37" s="289"/>
      <c r="AT37" s="192"/>
      <c r="AU37" s="192"/>
      <c r="AV37" s="166"/>
      <c r="AW37" s="423" t="str">
        <f>IF(AND(AZ30="",AZ43=""),"",IF(AND(AZ30="G",AZ43="P"),BA30,IF(AND(AZ43="G",AZ30="P"),BA43,"Corregir ganador y perdedor")))</f>
        <v/>
      </c>
      <c r="AX37" s="423"/>
      <c r="AY37" s="423"/>
      <c r="AZ37" s="426"/>
      <c r="BA37" s="424"/>
      <c r="BB37" s="421"/>
      <c r="BC37" s="413"/>
      <c r="BD37" s="181"/>
      <c r="BE37" s="192"/>
      <c r="BF37" s="192"/>
      <c r="BG37" s="192"/>
      <c r="BH37" s="192"/>
      <c r="BI37" s="273"/>
      <c r="BJ37" s="274" t="s">
        <v>197</v>
      </c>
      <c r="BK37" s="192"/>
      <c r="BL37" s="192"/>
      <c r="BM37" s="192"/>
      <c r="BN37" s="192"/>
      <c r="BO37" s="192"/>
      <c r="BP37" s="181"/>
      <c r="BQ37" s="181">
        <f>IF(BS37="Bye",1,MAX(BQ$8:BQ36)+1)</f>
        <v>30</v>
      </c>
      <c r="BR37" s="314" t="str">
        <f t="shared" si="1"/>
        <v/>
      </c>
      <c r="BS37" s="181" t="str">
        <f>IF(OR(Llave&lt;32,Llave=""),"",IF(Llave=32,IF(OR(D80="Bye",D83="Bye"),"Bye",IF(H80="P",D80,D83)),IF(Llave=64,IF(M159="P",I159,I166),IF(Llave=128,IF(AZ126="P",BA126,BA139)))))</f>
        <v/>
      </c>
      <c r="BT37" s="181" t="str">
        <f>IF(OR(Llave&lt;32,Llave=""),"",IF(Llave=32,IF(OR(D80="Bye",D83="Bye"),"",IF(H80="P",G80,G83)),IF(Llave=64,IF(M159="P",L160,L165),IF(Llave=128,IF(AZ126="P",BA127,BA138)))))</f>
        <v/>
      </c>
    </row>
    <row r="38" spans="2:72" x14ac:dyDescent="0.3">
      <c r="B38" s="192">
        <f>B35+1</f>
        <v>13</v>
      </c>
      <c r="C38" s="192" t="str">
        <f>IF(Llave="","",IF(Llave&gt;1,IF(OR(Plyrs_val=Tot_Jug,Groups*2=Plyrs_val),HLOOKUP(Plyrs_val,Knockout,B38+1,FALSE)),""))</f>
        <v/>
      </c>
      <c r="D38" s="411" t="str">
        <f>IF(Llave="","",IF(Llave&gt;1,IF(C38="Bye","Bye",IF(OR(Plyrs_val=Tot_Jug,Groups*2=Plyrs_val),VLOOKUP(C38,Dist_Llav,4,FALSE),"")),""))</f>
        <v/>
      </c>
      <c r="E38" s="411"/>
      <c r="F38" s="411"/>
      <c r="G38" s="192" t="str">
        <f>IF(D38="","",IF(D38="Bye",0,IF(D41="Bye",E39,IF(H38="G",E39+G39,IF(H38="P",E39-G39,"")))))</f>
        <v/>
      </c>
      <c r="H38" s="166"/>
      <c r="I38" s="192"/>
      <c r="J38" s="192"/>
      <c r="K38" s="192"/>
      <c r="L38" s="277" t="s">
        <v>198</v>
      </c>
      <c r="M38" s="192"/>
      <c r="N38" s="192"/>
      <c r="O38" s="192"/>
      <c r="P38" s="287"/>
      <c r="Q38" s="192"/>
      <c r="R38" s="192"/>
      <c r="S38" s="192"/>
      <c r="T38" s="192"/>
      <c r="U38" s="192"/>
      <c r="V38" s="192"/>
      <c r="W38" s="192"/>
      <c r="X38" s="287"/>
      <c r="Y38" s="192"/>
      <c r="Z38" s="192"/>
      <c r="AA38" s="192"/>
      <c r="AB38" s="192"/>
      <c r="AC38" s="192"/>
      <c r="AD38" s="192"/>
      <c r="AE38" s="192"/>
      <c r="AF38" s="192"/>
      <c r="AG38" s="192"/>
      <c r="AH38" s="192"/>
      <c r="AI38" s="192"/>
      <c r="AJ38" s="192"/>
      <c r="AK38" s="192"/>
      <c r="AL38" s="192"/>
      <c r="AM38" s="192"/>
      <c r="AN38" s="192"/>
      <c r="AO38" s="192"/>
      <c r="AP38" s="192"/>
      <c r="AQ38" s="192"/>
      <c r="AR38" s="192"/>
      <c r="AS38" s="289"/>
      <c r="AT38" s="192"/>
      <c r="AU38" s="192"/>
      <c r="AV38" s="192"/>
      <c r="AW38" s="192"/>
      <c r="AX38" s="192"/>
      <c r="AY38" s="192"/>
      <c r="AZ38" s="192"/>
      <c r="BA38" s="289"/>
      <c r="BB38" s="192"/>
      <c r="BC38" s="192"/>
      <c r="BD38" s="192"/>
      <c r="BE38" s="274" t="s">
        <v>199</v>
      </c>
      <c r="BF38" s="192"/>
      <c r="BG38" s="192"/>
      <c r="BH38" s="192"/>
      <c r="BI38" s="166"/>
      <c r="BJ38" s="192" t="str">
        <f>IF(BK38="","",IF(BK38="Bye",0,IF(BK41="Bye",BL39,IF(BI38="G",BL39+BJ39,IF(BI38="P",BL39-BJ39,"")))))</f>
        <v/>
      </c>
      <c r="BK38" s="411" t="str">
        <f>IF(Llave="","",IF(Llave&gt;1,IF(BN38="Bye","Bye",IF(OR(Plyrs_val=Tot_Jug,Groups*2=Plyrs_val),VLOOKUP(BN38,Dist_Llav,4,FALSE),"")),""))</f>
        <v/>
      </c>
      <c r="BL38" s="411"/>
      <c r="BM38" s="411"/>
      <c r="BN38" s="229" t="str">
        <f>IF(Llave=128,IF(OR(Plyrs_val=Tot_Jug,Groups*2=Plyrs_val),HLOOKUP(Plyrs_val,Knockout,BO38+1,FALSE)),"")</f>
        <v/>
      </c>
      <c r="BO38" s="229">
        <f>BO35+1</f>
        <v>77</v>
      </c>
      <c r="BP38" s="181"/>
      <c r="BQ38" s="181">
        <f>IF(BS38="Bye",1,MAX(BQ$8:BQ37)+1)</f>
        <v>31</v>
      </c>
      <c r="BR38" s="314" t="str">
        <f t="shared" si="1"/>
        <v/>
      </c>
      <c r="BS38" s="181" t="str">
        <f>IF(OR(Llave&lt;32,Llave=""),"",IF(Llave=32,IF(OR(D86="Bye",D89="Bye"),"Bye",IF(H86="P",D86,D89)),IF(Llave=64,IF(M171="P",I171,I178),IF(Llave=128,IF(AZ150="P",BA150,BA163)))))</f>
        <v/>
      </c>
      <c r="BT38" s="181" t="str">
        <f>IF(OR(Llave&lt;32,Llave=""),"",IF(Llave=32,IF(OR(D86="Bye",D89="Bye"),"",IF(H86="P",G86,G89)),IF(Llave=64,IF(M171="P",L172,L177),IF(Llave=128,IF(AZ150="P",BA151,BA162)))))</f>
        <v/>
      </c>
    </row>
    <row r="39" spans="2:72" x14ac:dyDescent="0.3">
      <c r="B39" s="413" t="str">
        <f>IF(Llave="","",B33+1)</f>
        <v/>
      </c>
      <c r="C39" s="192"/>
      <c r="D39" s="229" t="str">
        <f>IF(D38="","",IF(ISTEXT(D38),IF(D38="","",IF(D38="Bye",0,VLOOKUP(D38,Rank_Points,3,FALSE)))))</f>
        <v/>
      </c>
      <c r="E39" s="192" t="str">
        <f>IF(D38&lt;&gt;"",IF(D38="","",IF(D38="BYE",0,IF(ISTEXT(D38),VLOOKUP(C38,Dist_Llav,6,FALSE),""))),"")</f>
        <v/>
      </c>
      <c r="F39" s="414" t="s">
        <v>170</v>
      </c>
      <c r="G39" s="418" t="str">
        <f>IF(OR(D38="",D41=""),"",IF(OR(D38="Bye",D41="Bye"),0,IF(AND(H38="",H41=""),"",IF(AND(H38="G",H41="P"),IF(D39&gt;=D40,VLOOKUP(ABS(D39-D40),Point_dif,2,TRUE),VLOOKUP(ABS(D39-D40),Point_dif,3,TRUE)),IF(AND(H38="P",H41="G"),IF(D40&gt;=D39,VLOOKUP(ABS(D39-D40),Point_dif,2,TRUE),VLOOKUP(ABS(D39-D40),Point_dif,3,TRUE)))))))</f>
        <v/>
      </c>
      <c r="H39" s="278"/>
      <c r="I39" s="416" t="str">
        <f>IF(D38="Bye",D41,IF(D41="Bye",D38,IF(AND(H38="",H41=""),"",IF(AND(H38="G",H41="P"),D38,IF(AND(H41="G",H38="P"),D41,"Corregir ganador y perdedor")))))</f>
        <v/>
      </c>
      <c r="J39" s="417"/>
      <c r="K39" s="417"/>
      <c r="L39" s="417"/>
      <c r="M39" s="167"/>
      <c r="N39" s="192"/>
      <c r="O39" s="192"/>
      <c r="P39" s="287"/>
      <c r="Q39" s="192"/>
      <c r="R39" s="192"/>
      <c r="S39" s="192"/>
      <c r="T39" s="192"/>
      <c r="U39" s="192"/>
      <c r="V39" s="192"/>
      <c r="W39" s="192"/>
      <c r="X39" s="287"/>
      <c r="Y39" s="192"/>
      <c r="Z39" s="192"/>
      <c r="AA39" s="192"/>
      <c r="AB39" s="192"/>
      <c r="AC39" s="192"/>
      <c r="AD39" s="192"/>
      <c r="AE39" s="192"/>
      <c r="AF39" s="192"/>
      <c r="AG39" s="192"/>
      <c r="AH39" s="192"/>
      <c r="AI39" s="192"/>
      <c r="AJ39" s="192"/>
      <c r="AK39" s="192"/>
      <c r="AL39" s="192"/>
      <c r="AM39" s="192"/>
      <c r="AN39" s="192"/>
      <c r="AO39" s="192"/>
      <c r="AP39" s="192"/>
      <c r="AQ39" s="192"/>
      <c r="AR39" s="192"/>
      <c r="AS39" s="289"/>
      <c r="AT39" s="192"/>
      <c r="AU39" s="192"/>
      <c r="AV39" s="192"/>
      <c r="AW39" s="192"/>
      <c r="AX39" s="192"/>
      <c r="AY39" s="192"/>
      <c r="AZ39" s="192"/>
      <c r="BA39" s="289"/>
      <c r="BB39" s="192"/>
      <c r="BC39" s="192"/>
      <c r="BD39" s="166"/>
      <c r="BE39" s="416" t="str">
        <f>IF(BK41="Bye",BK38,IF(BK38="Bye",BK41,IF(AND(BI38="",BI41=""),"",IF(AND(BI38="G",BI41="P"),BK38,IF(AND(BI41="G",BI38="P"),BK41,"Corregir ganador y perdedor")))))</f>
        <v/>
      </c>
      <c r="BF39" s="417"/>
      <c r="BG39" s="417"/>
      <c r="BH39" s="417"/>
      <c r="BI39" s="279"/>
      <c r="BJ39" s="418" t="str">
        <f>IF(OR(BK38="",BK41=""),"",IF(OR(BK38="Bye",BK41="Bye"),0,IF(AND(BI38="",BI41=""),"",IF(AND(BI38="G",BI41="P"),IF(BM39&gt;=BM40,VLOOKUP(ABS(BM39-BM40),Point_dif,2,TRUE),VLOOKUP(ABS(BM39-BM40),Point_dif,3,TRUE)),IF(AND(BI38="P",BI41="G"),IF(BM40&gt;=BM39,VLOOKUP(ABS(BM39-BM40),Point_dif,2,TRUE),VLOOKUP(ABS(BM39-BM40),Point_dif,3,TRUE)))))))</f>
        <v/>
      </c>
      <c r="BK39" s="420" t="s">
        <v>170</v>
      </c>
      <c r="BL39" s="229" t="str">
        <f>IF(BK38&lt;&gt;"",IF(BK38="","",IF(BK38="BYE",0,IF(ISTEXT(BK38),VLOOKUP(BN38,Dist_Llav,6,FALSE),""))),"")</f>
        <v/>
      </c>
      <c r="BM39" s="280" t="str">
        <f>IF(BK38="","",IF(ISTEXT(BK38),IF(BK38="","",IF(BK38="Bye",0,VLOOKUP(BK38,Rank_Points,3,FALSE)))))</f>
        <v/>
      </c>
      <c r="BN39" s="422"/>
      <c r="BO39" s="422" t="str">
        <f>IF(Llave=128,BO33+1,"")</f>
        <v/>
      </c>
      <c r="BP39" s="181"/>
      <c r="BQ39" s="181">
        <f>IF(BS39="Bye",1,MAX(BQ$8:BQ38)+1)</f>
        <v>32</v>
      </c>
      <c r="BR39" s="314" t="str">
        <f t="shared" si="1"/>
        <v/>
      </c>
      <c r="BS39" s="181" t="str">
        <f>IF(OR(Llave&lt;32,Llave=""),"",IF(Llave=32,IF(OR(D92="Bye",D95="Bye"),"Bye",IF(H92="P",D92,D95)),IF(Llave=64,IF(M183="P",I183,I190),IF(Llave=128,IF(AZ174="P",BA174,BA187)))))</f>
        <v/>
      </c>
      <c r="BT39" s="181" t="str">
        <f>IF(OR(Llave&lt;32,Llave=""),"",IF(Llave=32,IF(OR(D92="Bye",D95="Bye"),"Bye",IF(H92="P",G92,G95)),IF(Llave=64,IF(M183="P",L184,L189),IF(Llave=128,IF(AZ174="P",BA175,BA186)))))</f>
        <v/>
      </c>
    </row>
    <row r="40" spans="2:72" x14ac:dyDescent="0.3">
      <c r="B40" s="413"/>
      <c r="C40" s="192"/>
      <c r="D40" s="229" t="str">
        <f>IF(D41="","",IF(ISTEXT(D41),IF(D41="","",IF(D41="Bye",0,VLOOKUP(D41,Rank_Points,3,FALSE)))))</f>
        <v/>
      </c>
      <c r="E40" s="192" t="str">
        <f>IF(D41&lt;&gt;"",IF(D41="","",IF(D41="BYE",0,IF(ISTEXT(D41),VLOOKUP(C41,Dist_Llav,6,FALSE),""))),"")</f>
        <v/>
      </c>
      <c r="F40" s="414"/>
      <c r="G40" s="419"/>
      <c r="H40" s="282"/>
      <c r="I40" s="283" t="str">
        <f>IF(I39=D38,D39,IF(I39=D41,D40,""))</f>
        <v/>
      </c>
      <c r="J40" s="423" t="str">
        <f>IF(ISNUMBER(I40),VLOOKUP(I39,Siembra,2,FALSE),"")</f>
        <v/>
      </c>
      <c r="K40" s="423"/>
      <c r="L40" s="278" t="str">
        <f>IF(I39="","",IF(M39="G",IF(I39=D38,G38+L42,G41+L42),IF(M39="P",IF(I39=D38,G38-L42,G41-L42),"")))</f>
        <v/>
      </c>
      <c r="M40" s="192"/>
      <c r="N40" s="192"/>
      <c r="O40" s="192"/>
      <c r="P40" s="287"/>
      <c r="Q40" s="192"/>
      <c r="R40" s="192"/>
      <c r="S40" s="192"/>
      <c r="T40" s="192"/>
      <c r="U40" s="192"/>
      <c r="V40" s="192"/>
      <c r="W40" s="192"/>
      <c r="X40" s="287"/>
      <c r="Y40" s="192"/>
      <c r="Z40" s="192"/>
      <c r="AA40" s="192"/>
      <c r="AB40" s="192"/>
      <c r="AC40" s="192"/>
      <c r="AD40" s="192"/>
      <c r="AE40" s="192"/>
      <c r="AF40" s="192"/>
      <c r="AG40" s="192"/>
      <c r="AH40" s="192"/>
      <c r="AI40" s="192"/>
      <c r="AJ40" s="192"/>
      <c r="AK40" s="192"/>
      <c r="AL40" s="192"/>
      <c r="AM40" s="192"/>
      <c r="AN40" s="192"/>
      <c r="AO40" s="192"/>
      <c r="AP40" s="192"/>
      <c r="AQ40" s="192"/>
      <c r="AR40" s="192"/>
      <c r="AS40" s="289"/>
      <c r="AT40" s="192"/>
      <c r="AU40" s="192"/>
      <c r="AV40" s="192"/>
      <c r="AW40" s="192"/>
      <c r="AX40" s="192"/>
      <c r="AY40" s="192"/>
      <c r="AZ40" s="192"/>
      <c r="BA40" s="289"/>
      <c r="BB40" s="192"/>
      <c r="BC40" s="192"/>
      <c r="BD40" s="192"/>
      <c r="BE40" s="279" t="str">
        <f>IF(BE39="","",IF(BD39="G",IF(BE39=BK38,BJ38+BE42,BJ41+BE42),IF(BD39="P",IF(BE39=BK38,BJ38-BE42,BJ41-BE42),"")))</f>
        <v/>
      </c>
      <c r="BF40" s="423" t="str">
        <f>IF(ISNUMBER(BE40),VLOOKUP(BE39,Siembra,2,FALSE),"")</f>
        <v/>
      </c>
      <c r="BG40" s="423"/>
      <c r="BH40" s="285" t="str">
        <f>IF(BE39=BK38,BM39,IF(BE39=BK41,BM40,""))</f>
        <v/>
      </c>
      <c r="BI40" s="286"/>
      <c r="BJ40" s="419"/>
      <c r="BK40" s="421"/>
      <c r="BL40" s="229" t="str">
        <f>IF(BK41&lt;&gt;"",IF(BK41="","",IF(BK41="BYE",0,IF(ISTEXT(BK41),VLOOKUP(BN41,Dist_Llav,6,FALSE),""))),"")</f>
        <v/>
      </c>
      <c r="BM40" s="280" t="str">
        <f>IF(BK41="","",IF(ISTEXT(BK41),IF(BK41="","",IF(BK41="Bye",0,VLOOKUP(BK41,Rank_Points,3,FALSE)))))</f>
        <v/>
      </c>
      <c r="BN40" s="422"/>
      <c r="BO40" s="422"/>
      <c r="BP40" s="181"/>
      <c r="BQ40" s="181">
        <f>IF(BS40="Bye",1,MAX(BQ$8:BQ39)+1)</f>
        <v>33</v>
      </c>
      <c r="BR40" s="314" t="str">
        <f t="shared" ref="BR40:BR71" si="2">IF(BR39="","",IF(AND(Llave&gt;=64,ISNUMBER(BR39)),BR39+1,""))</f>
        <v/>
      </c>
      <c r="BS40" s="181" t="str">
        <f>IF(OR(Llave&lt;64,Llave=""),"",IF(Llave=64,IF(OR(D2="Bye",D5="Bye"),"Bye",IF(H2="P",D2,IF(H5="P",D5))),IF(Llave=128,IF(M3="P",I3,I10))))</f>
        <v/>
      </c>
      <c r="BT40" s="181" t="str">
        <f>IF(OR(Llave&lt;64,Llave=""),"",IF(Llave=64,IF(OR(D2="Bye",D5="Bye"),"",IF(H2="P",G2,IF(H5="P",G5))),IF(Llave=128,IF(M3="P",L4,L9))))</f>
        <v/>
      </c>
    </row>
    <row r="41" spans="2:72" x14ac:dyDescent="0.3">
      <c r="B41" s="192">
        <f>B38+1</f>
        <v>14</v>
      </c>
      <c r="C41" s="192" t="str">
        <f>IF(Llave="","",IF(Llave&gt;1,IF(OR(Plyrs_val=Tot_Jug,Groups*2=Plyrs_val),HLOOKUP(Plyrs_val,Knockout,B41+1,FALSE)),""))</f>
        <v/>
      </c>
      <c r="D41" s="412" t="str">
        <f>IF(Llave="","",IF(Llave&gt;1,IF(C41="Bye","Bye",IF(OR(Plyrs_val=Tot_Jug,Groups*2=Plyrs_val),VLOOKUP(C41,Dist_Llav,4,FALSE),"")),""))</f>
        <v/>
      </c>
      <c r="E41" s="412"/>
      <c r="F41" s="412"/>
      <c r="G41" s="192" t="str">
        <f>IF(D41="","",IF(D41="Bye",0,IF(D38="Bye",E40,IF(H41="G",E40+G39,IF(H41="P",E40-G39,"")))))</f>
        <v/>
      </c>
      <c r="H41" s="166"/>
      <c r="I41" s="192"/>
      <c r="J41" s="192"/>
      <c r="K41" s="192"/>
      <c r="L41" s="287"/>
      <c r="M41" s="192"/>
      <c r="N41" s="192"/>
      <c r="O41" s="192"/>
      <c r="P41" s="287"/>
      <c r="Q41" s="192"/>
      <c r="R41" s="192"/>
      <c r="S41" s="192"/>
      <c r="T41" s="192"/>
      <c r="U41" s="192"/>
      <c r="V41" s="192"/>
      <c r="W41" s="192"/>
      <c r="X41" s="287"/>
      <c r="Y41" s="192"/>
      <c r="Z41" s="192"/>
      <c r="AA41" s="192"/>
      <c r="AB41" s="192"/>
      <c r="AC41" s="192"/>
      <c r="AD41" s="192"/>
      <c r="AE41" s="192"/>
      <c r="AF41" s="192"/>
      <c r="AG41" s="192"/>
      <c r="AH41" s="192"/>
      <c r="AI41" s="192"/>
      <c r="AJ41" s="192"/>
      <c r="AK41" s="192"/>
      <c r="AL41" s="192"/>
      <c r="AM41" s="192"/>
      <c r="AN41" s="192"/>
      <c r="AO41" s="192"/>
      <c r="AP41" s="192"/>
      <c r="AQ41" s="192"/>
      <c r="AR41" s="192"/>
      <c r="AS41" s="289"/>
      <c r="AT41" s="192"/>
      <c r="AU41" s="192"/>
      <c r="AV41" s="192"/>
      <c r="AW41" s="192"/>
      <c r="AX41" s="192"/>
      <c r="AY41" s="192"/>
      <c r="AZ41" s="192"/>
      <c r="BA41" s="289"/>
      <c r="BB41" s="192"/>
      <c r="BC41" s="192"/>
      <c r="BD41" s="192"/>
      <c r="BE41" s="289"/>
      <c r="BF41" s="192"/>
      <c r="BG41" s="192"/>
      <c r="BH41" s="192"/>
      <c r="BI41" s="166"/>
      <c r="BJ41" s="284" t="str">
        <f>IF(BK41="","",IF(BK41="Bye",0,IF(BK38="Bye",BL40,IF(BI41="G",BL40+BJ39,IF(BI41="P",BL40-BJ39,"")))))</f>
        <v/>
      </c>
      <c r="BK41" s="412" t="str">
        <f>IF(Llave="","",IF(Llave&gt;1,IF(BN41="Bye","Bye",IF(OR(Plyrs_val=Tot_Jug,Groups*2=Plyrs_val),VLOOKUP(BN41,Dist_Llav,4,FALSE),"")),""))</f>
        <v/>
      </c>
      <c r="BL41" s="412"/>
      <c r="BM41" s="412"/>
      <c r="BN41" s="229" t="str">
        <f>IF(Llave=128,IF(OR(Plyrs_val=Tot_Jug,Groups*2=Plyrs_val),HLOOKUP(Plyrs_val,Knockout,BO41+1,FALSE)),"")</f>
        <v/>
      </c>
      <c r="BO41" s="229">
        <f>BO38+1</f>
        <v>78</v>
      </c>
      <c r="BP41" s="181"/>
      <c r="BQ41" s="181">
        <f>IF(BS41="Bye",1,MAX(BQ$8:BQ40)+1)</f>
        <v>34</v>
      </c>
      <c r="BR41" s="314" t="str">
        <f t="shared" si="2"/>
        <v/>
      </c>
      <c r="BS41" s="181" t="str">
        <f>IF(OR(Llave&lt;64,Llave=""),"",IF(Llave=64,IF(OR(D8="Bye",D11="Bye"),"Bye",IF(H8="P",D8,IF(H11="P",D11))),IF(Llave=128,IF(M15="P",I15,IF(M22="P",I22,"")))))</f>
        <v/>
      </c>
      <c r="BT41" s="181" t="str">
        <f>IF(OR(Llave&lt;64,Llave=""),"",IF(Llave=64,IF(OR(D8="Bye",D11=""),"",IF(H8="P",G8,IF(H11="P",G11))),IF(Llave=128,IF(M15="P",L16,IF(M22="P",L21,"")))))</f>
        <v/>
      </c>
    </row>
    <row r="42" spans="2:72" x14ac:dyDescent="0.3">
      <c r="B42" s="192"/>
      <c r="C42" s="192"/>
      <c r="D42" s="192"/>
      <c r="E42" s="192"/>
      <c r="F42" s="192"/>
      <c r="G42" s="192"/>
      <c r="H42" s="192"/>
      <c r="I42" s="413" t="str">
        <f>IF(Llave="","",I30+1)</f>
        <v/>
      </c>
      <c r="J42" s="192"/>
      <c r="K42" s="414" t="s">
        <v>170</v>
      </c>
      <c r="L42" s="415" t="str">
        <f>IF(OR(I39="",I46=""),"",IF(OR(I39="Bye",I46="Bye"),0,IF(AND(M39="",M46=""),"",IF(AND(M39="G",M46="P"),IF(I40&gt;=I45,VLOOKUP(ABS(I40-I45),Point_dif,2,TRUE),VLOOKUP(ABS(I40-I45),Point_dif,3,TRUE)),IF(AND(M39="P",M46="G"),IF(I45&gt;=I40,VLOOKUP(ABS(I40-I45),Point_dif,2,TRUE),VLOOKUP(ABS(I40-I45),Point_dif,3,TRUE)))))))</f>
        <v/>
      </c>
      <c r="M42" s="275" t="str">
        <f>IF(M43=I39,I40,IF(M43=I46,I45,""))</f>
        <v/>
      </c>
      <c r="N42" s="417" t="str">
        <f>IF(ISNUMBER(M42),VLOOKUP(M43,Siembra,2,FALSE),"")</f>
        <v/>
      </c>
      <c r="O42" s="417"/>
      <c r="P42" s="282" t="str">
        <f>IF(M43="","",IF(Q43="G",IF(M43=I39,L40+P36,L45+P36),IF(Q43="P",IF(M43=I39,L40-P36,L45-P36),"")))</f>
        <v/>
      </c>
      <c r="Q42" s="192"/>
      <c r="R42" s="192"/>
      <c r="S42" s="192"/>
      <c r="T42" s="192"/>
      <c r="U42" s="192"/>
      <c r="V42" s="192"/>
      <c r="W42" s="192"/>
      <c r="X42" s="287"/>
      <c r="Y42" s="192"/>
      <c r="Z42" s="192"/>
      <c r="AA42" s="192"/>
      <c r="AB42" s="192"/>
      <c r="AC42" s="192"/>
      <c r="AD42" s="192"/>
      <c r="AE42" s="192"/>
      <c r="AF42" s="192"/>
      <c r="AG42" s="192"/>
      <c r="AH42" s="192"/>
      <c r="AI42" s="192"/>
      <c r="AJ42" s="192"/>
      <c r="AK42" s="192"/>
      <c r="AL42" s="192"/>
      <c r="AM42" s="192"/>
      <c r="AN42" s="192"/>
      <c r="AO42" s="192"/>
      <c r="AP42" s="192"/>
      <c r="AQ42" s="192"/>
      <c r="AR42" s="192"/>
      <c r="AS42" s="289"/>
      <c r="AT42" s="192"/>
      <c r="AU42" s="192"/>
      <c r="AV42" s="192"/>
      <c r="AW42" s="192"/>
      <c r="AX42" s="192"/>
      <c r="AY42" s="192"/>
      <c r="AZ42" s="192"/>
      <c r="BA42" s="286" t="str">
        <f>IF(BA43="","",IF(AZ43="G",IF(BA43=BE39,BE40+BA36,BE45+BA36),IF(AZ43="P",IF(BA43=BE39,BE40-BA36,BE45-BA36),"")))</f>
        <v/>
      </c>
      <c r="BB42" s="417" t="str">
        <f>IF(ISNUMBER(BA42),VLOOKUP(BA43,Siembra,2,FALSE),"")</f>
        <v/>
      </c>
      <c r="BC42" s="417"/>
      <c r="BD42" s="282" t="str">
        <f>IF(BA43=BE39,BH40,IF(BA43=BE46,BH45,""))</f>
        <v/>
      </c>
      <c r="BE42" s="424" t="str">
        <f>IF(OR(BE39="",BE46=""),"",IF(OR(BE39="Bye",BE46="Bye"),0,IF(AND(BD39="",BD46=""),"",IF(AND(BD39="G",BD46="P"),IF(BH40&gt;=BH45,VLOOKUP(ABS(BH40-BH45),Point_dif,2,TRUE),VLOOKUP(ABS(BH40-BH45),Point_dif,3,TRUE)),IF(AND(BD39="P",BD46="G"),IF(BH45&gt;=BH40,VLOOKUP(ABS(BH40-BH45),Point_dif,2,TRUE),VLOOKUP(ABS(BH40-BH45),Point_dif,3,TRUE)))))))</f>
        <v/>
      </c>
      <c r="BF42" s="421" t="s">
        <v>170</v>
      </c>
      <c r="BG42" s="281"/>
      <c r="BH42" s="413" t="str">
        <f>IF(Llave=128,BH30+1,"")</f>
        <v/>
      </c>
      <c r="BI42" s="192"/>
      <c r="BJ42" s="192"/>
      <c r="BK42" s="192"/>
      <c r="BL42" s="192"/>
      <c r="BM42" s="192"/>
      <c r="BN42" s="192"/>
      <c r="BO42" s="192"/>
      <c r="BP42" s="181"/>
      <c r="BQ42" s="181">
        <f>IF(BS42="Bye",1,MAX(BQ$8:BQ41)+1)</f>
        <v>35</v>
      </c>
      <c r="BR42" s="314" t="str">
        <f t="shared" si="2"/>
        <v/>
      </c>
      <c r="BS42" s="181" t="str">
        <f>IF(OR(Llave&lt;64,Llave=""),"",IF(Llave=64,IF(OR(D14="Bye",D17="Bye"),"Bye",IF(H14="P",D14,IF(H17="P",D17))),IF(Llave=128,IF(M27="P",I27,IF(M34="P",I34,"")))))</f>
        <v/>
      </c>
      <c r="BT42" s="181" t="str">
        <f>IF(OR(Llave&lt;64,Llave=""),"",IF(Llave=64,IF(OR(D14="Bye",D17="Bye"),"",IF(H14="P",G14,IF(H17="P",G17))),IF(Llave=128,IF(M27="P",L28,IF(M34="P",L33,"")))))</f>
        <v/>
      </c>
    </row>
    <row r="43" spans="2:72" ht="14.25" customHeight="1" x14ac:dyDescent="0.3">
      <c r="B43" s="192"/>
      <c r="C43" s="192"/>
      <c r="D43" s="192"/>
      <c r="E43" s="192"/>
      <c r="F43" s="192"/>
      <c r="G43" s="272" t="s">
        <v>200</v>
      </c>
      <c r="H43" s="192"/>
      <c r="I43" s="413"/>
      <c r="J43" s="192"/>
      <c r="K43" s="414"/>
      <c r="L43" s="415"/>
      <c r="M43" s="425" t="str">
        <f>IF(AND(M39="",M46=""),"",IF(AND(M39="G",M46="P"),I39,IF(AND(M46="G",M39="P"),I46,"Corregir ganador y perdedor")))</f>
        <v/>
      </c>
      <c r="N43" s="423"/>
      <c r="O43" s="423"/>
      <c r="P43" s="423"/>
      <c r="Q43" s="167"/>
      <c r="R43" s="192"/>
      <c r="S43" s="427">
        <f>IF(Llave&gt;32,1,"")</f>
        <v>1</v>
      </c>
      <c r="T43" s="429"/>
      <c r="U43" s="310"/>
      <c r="V43" s="192"/>
      <c r="W43" s="192"/>
      <c r="X43" s="287"/>
      <c r="Y43" s="192"/>
      <c r="Z43" s="192"/>
      <c r="AA43" s="192"/>
      <c r="AB43" s="192"/>
      <c r="AC43" s="192"/>
      <c r="AD43" s="192"/>
      <c r="AE43" s="192"/>
      <c r="AF43" s="192"/>
      <c r="AG43" s="192"/>
      <c r="AH43" s="192"/>
      <c r="AI43" s="192"/>
      <c r="AJ43" s="192"/>
      <c r="AK43" s="192"/>
      <c r="AL43" s="192"/>
      <c r="AM43" s="192"/>
      <c r="AN43" s="192"/>
      <c r="AO43" s="192"/>
      <c r="AP43" s="192"/>
      <c r="AQ43" s="192"/>
      <c r="AR43" s="192"/>
      <c r="AS43" s="289"/>
      <c r="AT43" s="192"/>
      <c r="AU43" s="192"/>
      <c r="AV43" s="427">
        <f>IF(Llave&gt;64,3,"")</f>
        <v>3</v>
      </c>
      <c r="AW43" s="428"/>
      <c r="AX43" s="428"/>
      <c r="AY43" s="192"/>
      <c r="AZ43" s="166"/>
      <c r="BA43" s="423" t="str">
        <f>IF(AND(BD39="",BD46=""),"",IF(AND(BD39="G",BD46="P"),BE39,IF(AND(BD46="G",BD39="P"),BE46,"Corregir ganador y perdedor")))</f>
        <v/>
      </c>
      <c r="BB43" s="423"/>
      <c r="BC43" s="423"/>
      <c r="BD43" s="426"/>
      <c r="BE43" s="424"/>
      <c r="BF43" s="421"/>
      <c r="BG43" s="281"/>
      <c r="BH43" s="413"/>
      <c r="BI43" s="273"/>
      <c r="BJ43" s="274" t="s">
        <v>201</v>
      </c>
      <c r="BK43" s="192"/>
      <c r="BL43" s="192"/>
      <c r="BM43" s="192"/>
      <c r="BN43" s="192"/>
      <c r="BO43" s="192"/>
      <c r="BP43" s="181"/>
      <c r="BQ43" s="181">
        <f>IF(BS43="Bye",1,MAX(BQ$8:BQ42)+1)</f>
        <v>36</v>
      </c>
      <c r="BR43" s="314" t="str">
        <f t="shared" si="2"/>
        <v/>
      </c>
      <c r="BS43" s="181" t="str">
        <f>IF(OR(Llave&lt;64,Llave=""),"",IF(Llave=64,IF(OR(D20="Bye",D23="Bye"),"Bye",IF(H20="P",D20,IF(H23="P",D23))),IF(Llave=128,IF(M39="P",I39,IF(M46="P",I46,"")))))</f>
        <v/>
      </c>
      <c r="BT43" s="181" t="str">
        <f>IF(OR(Llave&lt;64,Llave=""),"",IF(Llave=64,IF(OR(D20="Bye",D23=""),"",IF(H20="P",G20,IF(H23="P",G23))),IF(Llave=128,IF(M39="P",L40,IF(M46="P",L45,"")))))</f>
        <v/>
      </c>
    </row>
    <row r="44" spans="2:72" ht="14.25" customHeight="1" x14ac:dyDescent="0.3">
      <c r="B44" s="192">
        <f>B41+1</f>
        <v>15</v>
      </c>
      <c r="C44" s="192" t="str">
        <f>IF(Llave="","",IF(Llave&gt;1,IF(OR(Plyrs_val=Tot_Jug,Groups*2=Plyrs_val),HLOOKUP(Plyrs_val,Knockout,B44+1,FALSE)),""))</f>
        <v/>
      </c>
      <c r="D44" s="411" t="str">
        <f>IF(Llave="","",IF(Llave&gt;1,IF(C44="Bye","Bye",IF(OR(Plyrs_val=Tot_Jug,Groups*2=Plyrs_val),VLOOKUP(C44,Dist_Llav,4,FALSE),"")),""))</f>
        <v/>
      </c>
      <c r="E44" s="411"/>
      <c r="F44" s="411"/>
      <c r="G44" s="192" t="str">
        <f>IF(D44="","",IF(D44="Bye",0,IF(D47="Bye",E45,IF(H44="G",E45+G45,IF(H44="P",E45-G45,"")))))</f>
        <v/>
      </c>
      <c r="H44" s="166"/>
      <c r="I44" s="192"/>
      <c r="J44" s="192"/>
      <c r="K44" s="192"/>
      <c r="L44" s="287"/>
      <c r="M44" s="192"/>
      <c r="N44" s="192"/>
      <c r="O44" s="192"/>
      <c r="P44" s="192"/>
      <c r="Q44" s="192"/>
      <c r="R44" s="192"/>
      <c r="S44" s="429"/>
      <c r="T44" s="429"/>
      <c r="U44" s="310"/>
      <c r="V44" s="192"/>
      <c r="W44" s="192"/>
      <c r="X44" s="287"/>
      <c r="Y44" s="192"/>
      <c r="Z44" s="192"/>
      <c r="AA44" s="192"/>
      <c r="AB44" s="192"/>
      <c r="AC44" s="192"/>
      <c r="AD44" s="192"/>
      <c r="AE44" s="192"/>
      <c r="AF44" s="192"/>
      <c r="AG44" s="192"/>
      <c r="AH44" s="192"/>
      <c r="AI44" s="192"/>
      <c r="AJ44" s="192"/>
      <c r="AK44" s="192"/>
      <c r="AL44" s="192"/>
      <c r="AM44" s="192"/>
      <c r="AN44" s="192"/>
      <c r="AO44" s="192"/>
      <c r="AP44" s="192"/>
      <c r="AQ44" s="192"/>
      <c r="AR44" s="192"/>
      <c r="AS44" s="289"/>
      <c r="AT44" s="192"/>
      <c r="AU44" s="192"/>
      <c r="AV44" s="428"/>
      <c r="AW44" s="428"/>
      <c r="AX44" s="428"/>
      <c r="AY44" s="192"/>
      <c r="AZ44" s="192"/>
      <c r="BA44" s="192"/>
      <c r="BB44" s="192"/>
      <c r="BC44" s="192"/>
      <c r="BD44" s="192"/>
      <c r="BE44" s="289"/>
      <c r="BF44" s="192"/>
      <c r="BG44" s="192"/>
      <c r="BH44" s="192"/>
      <c r="BI44" s="166"/>
      <c r="BJ44" s="192" t="str">
        <f>IF(BK44="","",IF(BK44="Bye",0,IF(BK47="Bye",BL45,IF(BI44="G",BL45+BJ45,IF(BI44="P",BL45-BJ45,"")))))</f>
        <v/>
      </c>
      <c r="BK44" s="411" t="str">
        <f>IF(Llave="","",IF(Llave&gt;1,IF(BN44="Bye","Bye",IF(OR(Plyrs_val=Tot_Jug,Groups*2=Plyrs_val),VLOOKUP(BN44,Dist_Llav,4,FALSE),"")),""))</f>
        <v/>
      </c>
      <c r="BL44" s="411"/>
      <c r="BM44" s="411"/>
      <c r="BN44" s="229" t="str">
        <f>IF(Llave=128,IF(OR(Plyrs_val=Tot_Jug,Groups*2=Plyrs_val),HLOOKUP(Plyrs_val,Knockout,BO44+1,FALSE)),"")</f>
        <v/>
      </c>
      <c r="BO44" s="229">
        <f>BO41+1</f>
        <v>79</v>
      </c>
      <c r="BP44" s="181"/>
      <c r="BQ44" s="181">
        <f>IF(BS44="Bye",1,MAX(BQ$8:BQ43)+1)</f>
        <v>37</v>
      </c>
      <c r="BR44" s="314" t="str">
        <f t="shared" si="2"/>
        <v/>
      </c>
      <c r="BS44" s="181" t="str">
        <f>IF(OR(Llave&lt;64,Llave=""),"",IF(Llave=64,IF(OR(D26="Bye",D29="Bye"),"Bye",IF(H26="P",D26,IF(H29="P",D29))),IF(Llave=128,IF(M51="P",I51,IF(M58="P",I58,"")))))</f>
        <v/>
      </c>
      <c r="BT44" s="181" t="str">
        <f>IF(OR(Llave&lt;64,Llave=""),"",IF(Llave=64,IF(OR(D26="Bye",D29="Bye"),"",IF(H26="P",G26,IF(H29="P",G29))),IF(Llave=128,IF(M51="P",L52,IF(M58="P",L57,"")))))</f>
        <v/>
      </c>
    </row>
    <row r="45" spans="2:72" ht="14.25" customHeight="1" x14ac:dyDescent="0.3">
      <c r="B45" s="413" t="str">
        <f>IF(Llave="","",B39+1)</f>
        <v/>
      </c>
      <c r="C45" s="192"/>
      <c r="D45" s="229" t="str">
        <f>IF(D44="","",IF(ISTEXT(D44),IF(D44="","",IF(D44="Bye",0,VLOOKUP(D44,Rank_Points,3,FALSE)))))</f>
        <v/>
      </c>
      <c r="E45" s="192" t="str">
        <f>IF(D44&lt;&gt;"",IF(D44="","",IF(D44="BYE",0,IF(ISTEXT(D44),VLOOKUP(C44,Dist_Llav,6,FALSE),""))),"")</f>
        <v/>
      </c>
      <c r="F45" s="414" t="s">
        <v>170</v>
      </c>
      <c r="G45" s="418" t="str">
        <f>IF(OR(D44="",D47=""),"",IF(OR(D44="Bye",D47="Bye"),0,IF(AND(H44="",H47=""),"",IF(AND(H44="G",H47="P"),IF(D45&gt;=D46,VLOOKUP(ABS(D45-D46),Point_dif,2,TRUE),VLOOKUP(ABS(D45-D46),Point_dif,3,TRUE)),IF(AND(H44="P",H47="G"),IF(D46&gt;=D45,VLOOKUP(ABS(D45-D46),Point_dif,2,TRUE),VLOOKUP(ABS(D45-D46),Point_dif,3,TRUE)))))))</f>
        <v/>
      </c>
      <c r="H45" s="278"/>
      <c r="I45" s="275" t="str">
        <f>IF(I46=D44,D45,IF(I46=D47,D46,""))</f>
        <v/>
      </c>
      <c r="J45" s="417" t="str">
        <f>IF(ISNUMBER(I45),VLOOKUP(I46,Siembra,2,FALSE),"")</f>
        <v/>
      </c>
      <c r="K45" s="417"/>
      <c r="L45" s="282" t="str">
        <f>IF(I46="","",IF(M46="G",IF(I46=D44,G44+L42,G47+L42),IF(M46="P",IF(I46=D44,G44-L42,G47-L42),"")))</f>
        <v/>
      </c>
      <c r="M45" s="192"/>
      <c r="N45" s="192"/>
      <c r="O45" s="192"/>
      <c r="P45" s="192"/>
      <c r="Q45" s="192"/>
      <c r="R45" s="192"/>
      <c r="S45" s="429"/>
      <c r="T45" s="429"/>
      <c r="U45" s="310"/>
      <c r="V45" s="192"/>
      <c r="W45" s="192"/>
      <c r="X45" s="287"/>
      <c r="Y45" s="192"/>
      <c r="Z45" s="192"/>
      <c r="AA45" s="192"/>
      <c r="AB45" s="192"/>
      <c r="AC45" s="192"/>
      <c r="AD45" s="192"/>
      <c r="AE45" s="192"/>
      <c r="AF45" s="192"/>
      <c r="AG45" s="192"/>
      <c r="AH45" s="192"/>
      <c r="AI45" s="192"/>
      <c r="AJ45" s="192"/>
      <c r="AK45" s="192"/>
      <c r="AL45" s="192"/>
      <c r="AM45" s="192"/>
      <c r="AN45" s="192"/>
      <c r="AO45" s="192"/>
      <c r="AP45" s="192"/>
      <c r="AQ45" s="192"/>
      <c r="AR45" s="192"/>
      <c r="AS45" s="289"/>
      <c r="AT45" s="192"/>
      <c r="AU45" s="192"/>
      <c r="AV45" s="428"/>
      <c r="AW45" s="428"/>
      <c r="AX45" s="428"/>
      <c r="AY45" s="192"/>
      <c r="AZ45" s="192"/>
      <c r="BA45" s="192"/>
      <c r="BB45" s="192"/>
      <c r="BC45" s="192"/>
      <c r="BD45" s="192"/>
      <c r="BE45" s="286" t="str">
        <f>IF(BE46="","",IF(BD46="G",IF(BE46=BK44,BJ44+BE42,BJ47+BE42),IF(BD46="P",IF(BE46=BK44,BJ44-BE42,BJ47-BE42),"")))</f>
        <v/>
      </c>
      <c r="BF45" s="417" t="str">
        <f>IF(ISNUMBER(BE45),VLOOKUP(BE46,Siembra,2,FALSE),"")</f>
        <v/>
      </c>
      <c r="BG45" s="417"/>
      <c r="BH45" s="282" t="str">
        <f>IF(BE46=BK44,BM45,IF(BE46=BK47,BM46,""))</f>
        <v/>
      </c>
      <c r="BI45" s="279"/>
      <c r="BJ45" s="418" t="str">
        <f>IF(OR(BK44="",BK47=""),"",IF(OR(BK44="Bye",BK47="Bye"),0,IF(AND(BI44="",BI47=""),"",IF(AND(BI44="G",BI47="P"),IF(BM45&gt;=BM46,VLOOKUP(ABS(BM45-BM46),Point_dif,2,TRUE),VLOOKUP(ABS(BM45-BM46),Point_dif,3,TRUE)),IF(AND(BI44="P",BI47="G"),IF(BM46&gt;=BM45,VLOOKUP(ABS(BM45-BM46),Point_dif,2,TRUE),VLOOKUP(ABS(BM45-BM46),Point_dif,3,TRUE)))))))</f>
        <v/>
      </c>
      <c r="BK45" s="420" t="s">
        <v>170</v>
      </c>
      <c r="BL45" s="229" t="str">
        <f>IF(BK44&lt;&gt;"",IF(BK44="","",IF(BK44="BYE",0,IF(ISTEXT(BK44),VLOOKUP(BN44,Dist_Llav,6,FALSE),""))),"")</f>
        <v/>
      </c>
      <c r="BM45" s="280" t="str">
        <f>IF(BK44="","",IF(ISTEXT(BK44),IF(BK44="","",IF(BK44="Bye",0,VLOOKUP(BK44,Rank_Points,3,FALSE)))))</f>
        <v/>
      </c>
      <c r="BN45" s="422"/>
      <c r="BO45" s="422" t="str">
        <f>IF(Llave=128,BO39+1,"")</f>
        <v/>
      </c>
      <c r="BP45" s="181"/>
      <c r="BQ45" s="181">
        <f>IF(BS45="Bye",1,MAX(BQ$8:BQ44)+1)</f>
        <v>38</v>
      </c>
      <c r="BR45" s="314" t="str">
        <f t="shared" si="2"/>
        <v/>
      </c>
      <c r="BS45" s="181" t="str">
        <f>IF(OR(Llave&lt;64,Llave=""),"",IF(Llave=64,IF(OR(D32="Bye",D35="Bye"),"Bye",IF(H32="P",D32,IF(H35="P",D35))),IF(Llave=128,IF(M63="P",I63,IF(M70="P",I70,"")))))</f>
        <v/>
      </c>
      <c r="BT45" s="181" t="str">
        <f>IF(OR(Llave&lt;64,Llave=""),"",IF(Llave=64,IF(OR(D32="Bye",D35="Bye"),"",IF(H32="P",G32,IF(H35="P",G35))),IF(Llave=128,IF(M63="P",L64,IF(M70="P",L69,"")))))</f>
        <v/>
      </c>
    </row>
    <row r="46" spans="2:72" ht="14.25" customHeight="1" x14ac:dyDescent="0.3">
      <c r="B46" s="413"/>
      <c r="C46" s="192"/>
      <c r="D46" s="229" t="str">
        <f>IF(D47="","",IF(ISTEXT(D47),IF(D47="","",IF(D47="Bye",0,VLOOKUP(D47,Rank_Points,3,FALSE)))))</f>
        <v/>
      </c>
      <c r="E46" s="192" t="str">
        <f>IF(D47&lt;&gt;"",IF(D47="","",IF(D47="BYE",0,IF(ISTEXT(D47),VLOOKUP(C47,Dist_Llav,6,FALSE),""))),"")</f>
        <v/>
      </c>
      <c r="F46" s="414"/>
      <c r="G46" s="419"/>
      <c r="H46" s="282"/>
      <c r="I46" s="425" t="str">
        <f>IF(D44="Bye",D47,IF(D47="Bye",D44,IF(AND(H44="",H47=""),"",IF(AND(H44="G",H47="P"),D44,IF(AND(H47="G",H44="P"),D47,"Corregir ganador y perdedor")))))</f>
        <v/>
      </c>
      <c r="J46" s="423"/>
      <c r="K46" s="423"/>
      <c r="L46" s="423"/>
      <c r="M46" s="167"/>
      <c r="N46" s="192"/>
      <c r="O46" s="192"/>
      <c r="P46" s="192"/>
      <c r="Q46" s="192"/>
      <c r="R46" s="192"/>
      <c r="S46" s="429"/>
      <c r="T46" s="429"/>
      <c r="U46" s="310"/>
      <c r="V46" s="192"/>
      <c r="W46" s="192"/>
      <c r="X46" s="287"/>
      <c r="Y46" s="192"/>
      <c r="Z46" s="192"/>
      <c r="AA46" s="192"/>
      <c r="AB46" s="192"/>
      <c r="AC46" s="192"/>
      <c r="AD46" s="192"/>
      <c r="AE46" s="192"/>
      <c r="AF46" s="192"/>
      <c r="AG46" s="192"/>
      <c r="AH46" s="192"/>
      <c r="AI46" s="192"/>
      <c r="AJ46" s="192"/>
      <c r="AK46" s="192"/>
      <c r="AL46" s="192"/>
      <c r="AM46" s="192"/>
      <c r="AN46" s="192"/>
      <c r="AO46" s="192"/>
      <c r="AP46" s="192"/>
      <c r="AQ46" s="192"/>
      <c r="AR46" s="192"/>
      <c r="AS46" s="289"/>
      <c r="AT46" s="192"/>
      <c r="AU46" s="192"/>
      <c r="AV46" s="428"/>
      <c r="AW46" s="428"/>
      <c r="AX46" s="428"/>
      <c r="AY46" s="192"/>
      <c r="AZ46" s="192"/>
      <c r="BA46" s="192"/>
      <c r="BB46" s="192"/>
      <c r="BC46" s="192"/>
      <c r="BD46" s="166"/>
      <c r="BE46" s="423" t="str">
        <f>IF(BK47="Bye",BK44,IF(BK44="Bye",BK47,IF(AND(BI44="",BI47=""),"",IF(AND(BI44="G",BI47="P"),BK44,IF(AND(BI47="G",BI44="P"),BK47,"Corregir ganador y perdedor")))))</f>
        <v/>
      </c>
      <c r="BF46" s="423"/>
      <c r="BG46" s="423"/>
      <c r="BH46" s="426"/>
      <c r="BI46" s="286"/>
      <c r="BJ46" s="419"/>
      <c r="BK46" s="421"/>
      <c r="BL46" s="229" t="str">
        <f>IF(BK47&lt;&gt;"",IF(BK47="","",IF(BK47="BYE",0,IF(ISTEXT(BK47),VLOOKUP(BN47,Dist_Llav,6,FALSE),""))),"")</f>
        <v/>
      </c>
      <c r="BM46" s="280" t="str">
        <f>IF(BK47="","",IF(ISTEXT(BK47),IF(BK47="","",IF(BK47="Bye",0,VLOOKUP(BK47,Rank_Points,3,FALSE)))))</f>
        <v/>
      </c>
      <c r="BN46" s="422"/>
      <c r="BO46" s="422"/>
      <c r="BP46" s="181"/>
      <c r="BQ46" s="181">
        <f>IF(BS46="Bye",1,MAX(BQ$8:BQ45)+1)</f>
        <v>39</v>
      </c>
      <c r="BR46" s="314" t="str">
        <f t="shared" si="2"/>
        <v/>
      </c>
      <c r="BS46" s="181" t="str">
        <f>IF(OR(Llave&lt;64,Llave=""),"",IF(Llave=64,IF(OR(D38="Bye",D41="Bye"),"Bye",IF(H38="P",D38,IF(H41="P",D41,""))),IF(Llave=128,IF(M75="P",I75,IF(M82="P",I82,"")))))</f>
        <v/>
      </c>
      <c r="BT46" s="181" t="str">
        <f>IF(OR(Llave&lt;64,Llave=""),"",IF(Llave=64,IF(OR(D38="Bye",D41="Bye"),"",IF(H38="P",G38,IF(H41="P",G41,""))),IF(Llave=128,IF(M75="P",L76,IF(M82="P",L81,"")))))</f>
        <v/>
      </c>
    </row>
    <row r="47" spans="2:72" ht="14.25" customHeight="1" x14ac:dyDescent="0.3">
      <c r="B47" s="192">
        <f>B44+1</f>
        <v>16</v>
      </c>
      <c r="C47" s="192" t="str">
        <f>IF(Llave="","",IF(Llave&gt;1,IF(OR(Plyrs_val=Tot_Jug,Groups*2=Plyrs_val),HLOOKUP(Plyrs_val,Knockout,B47+1,FALSE)),""))</f>
        <v/>
      </c>
      <c r="D47" s="412" t="str">
        <f>IF(Llave="","",IF(Llave&gt;1,IF(C47="Bye","Bye",IF(OR(Plyrs_val=Tot_Jug,Groups*2=Plyrs_val),VLOOKUP(C47,Dist_Llav,4,FALSE),"")),""))</f>
        <v/>
      </c>
      <c r="E47" s="412"/>
      <c r="F47" s="412"/>
      <c r="G47" s="192" t="str">
        <f>IF(D47="","",IF(D47="Bye",0,IF(D44="Bye",E46,IF(H47="G",E46+G45,IF(H47="P",E46-G45,"")))))</f>
        <v/>
      </c>
      <c r="H47" s="166"/>
      <c r="I47" s="192"/>
      <c r="J47" s="192"/>
      <c r="K47" s="192"/>
      <c r="L47" s="192"/>
      <c r="M47" s="192"/>
      <c r="N47" s="192"/>
      <c r="O47" s="192"/>
      <c r="P47" s="192"/>
      <c r="Q47" s="192"/>
      <c r="R47" s="192"/>
      <c r="S47" s="310"/>
      <c r="T47" s="310"/>
      <c r="U47" s="310"/>
      <c r="V47" s="192"/>
      <c r="W47" s="192"/>
      <c r="X47" s="287"/>
      <c r="Y47" s="192"/>
      <c r="Z47" s="192"/>
      <c r="AA47" s="192"/>
      <c r="AB47" s="288" t="s">
        <v>202</v>
      </c>
      <c r="AC47" s="192"/>
      <c r="AD47" s="192"/>
      <c r="AE47" s="192"/>
      <c r="AF47" s="192"/>
      <c r="AG47" s="192"/>
      <c r="AH47" s="192"/>
      <c r="AI47" s="192"/>
      <c r="AJ47" s="192"/>
      <c r="AK47" s="192"/>
      <c r="AL47" s="192"/>
      <c r="AM47" s="192"/>
      <c r="AN47" s="192"/>
      <c r="AO47" s="274" t="s">
        <v>203</v>
      </c>
      <c r="AP47" s="192"/>
      <c r="AQ47" s="192"/>
      <c r="AR47" s="192"/>
      <c r="AS47" s="289"/>
      <c r="AT47" s="192"/>
      <c r="AU47" s="192"/>
      <c r="AV47" s="428"/>
      <c r="AW47" s="428"/>
      <c r="AX47" s="428"/>
      <c r="AY47" s="192"/>
      <c r="AZ47" s="192"/>
      <c r="BA47" s="192"/>
      <c r="BB47" s="192"/>
      <c r="BC47" s="192"/>
      <c r="BD47" s="192"/>
      <c r="BE47" s="192"/>
      <c r="BF47" s="192"/>
      <c r="BG47" s="192"/>
      <c r="BH47" s="192"/>
      <c r="BI47" s="166"/>
      <c r="BJ47" s="284" t="str">
        <f>IF(BK47="","",IF(BK47="Bye",0,IF(BK44="Bye",BL46,IF(BI47="G",BL46+BJ45,IF(BI47="P",BL46-BJ45,"")))))</f>
        <v/>
      </c>
      <c r="BK47" s="412" t="str">
        <f>IF(Llave="","",IF(Llave&gt;1,IF(BN47="Bye","Bye",IF(OR(Plyrs_val=Tot_Jug,Groups*2=Plyrs_val),VLOOKUP(BN47,Dist_Llav,4,FALSE),"")),""))</f>
        <v/>
      </c>
      <c r="BL47" s="412"/>
      <c r="BM47" s="412"/>
      <c r="BN47" s="229" t="str">
        <f>IF(Llave=128,IF(OR(Plyrs_val=Tot_Jug,Groups*2=Plyrs_val),HLOOKUP(Plyrs_val,Knockout,BO47+1,FALSE)),"")</f>
        <v/>
      </c>
      <c r="BO47" s="229">
        <f>BO44+1</f>
        <v>80</v>
      </c>
      <c r="BP47" s="181"/>
      <c r="BQ47" s="181">
        <f>IF(BS47="Bye",1,MAX(BQ$8:BQ46)+1)</f>
        <v>40</v>
      </c>
      <c r="BR47" s="314" t="str">
        <f t="shared" si="2"/>
        <v/>
      </c>
      <c r="BS47" s="181" t="str">
        <f>IF(OR(Llave&lt;64,Llave=""),"",IF(Llave=64,IF(OR(D44="Bye",D47="Bye"),"Bye",IF(H44="P",D44,IF(H47="P",D47,""))),IF(Llave=128,IF(M87="P",I87,IF(M94="P",I94,"")))))</f>
        <v/>
      </c>
      <c r="BT47" s="181" t="str">
        <f>IF(OR(Llave&lt;64,Llave=""),"",IF(Llave=64,IF(OR(D44="Bye",D47="Bye"),"",IF(H44="P",G44,IF(H47="P",G47,""))),IF(Llave=128,IF(M87="P",L88,IF(M94="P",L93,"")))))</f>
        <v/>
      </c>
    </row>
    <row r="48" spans="2:72" ht="14.25" customHeight="1" x14ac:dyDescent="0.3">
      <c r="B48" s="192"/>
      <c r="C48" s="192"/>
      <c r="D48" s="192"/>
      <c r="E48" s="192"/>
      <c r="F48" s="192"/>
      <c r="G48" s="192"/>
      <c r="H48" s="192"/>
      <c r="I48" s="192"/>
      <c r="J48" s="192"/>
      <c r="K48" s="192"/>
      <c r="L48" s="192"/>
      <c r="M48" s="192"/>
      <c r="N48" s="192"/>
      <c r="O48" s="192"/>
      <c r="P48" s="192"/>
      <c r="Q48" s="192"/>
      <c r="R48" s="192"/>
      <c r="S48" s="310"/>
      <c r="T48" s="310"/>
      <c r="U48" s="310"/>
      <c r="V48" s="413">
        <f>IF(Llave=4,"",IF(Llave="",2,IF(Llave=16,"",IF(Llave=32,2,IF(Llave=64,3,IF(Llave=128,5,""))))))</f>
        <v>2</v>
      </c>
      <c r="W48" s="413" t="s">
        <v>170</v>
      </c>
      <c r="X48" s="415" t="str">
        <f>IF(OR(U24="",U73=""),"",IF(OR(U24="Bye",U73="Bye"),0,IF(AND(Y24="",Y73=""),"",IF(AND(Y24="G",Y73="P"),IF(U25&gt;=U72,VLOOKUP(ABS(U25-U72),Point_dif,2,TRUE),VLOOKUP(ABS(U25-U72),Point_dif,3,TRUE)),IF(AND(Y24="P",Y73="G"),IF(U72&gt;=U25,VLOOKUP(ABS(U25-U72),Point_dif,2,TRUE),VLOOKUP(ABS(U25-U72),Point_dif,3,TRUE)))))))</f>
        <v/>
      </c>
      <c r="Y48" s="416" t="str">
        <f>IF(AND(Y24="",Y73=""),"",IF(AND(Y24="G",Y73="P"),U24,IF(AND(Y73="G",Y24="P"),U73,"Corregir ganador y perdedor")))</f>
        <v/>
      </c>
      <c r="Z48" s="417"/>
      <c r="AA48" s="417"/>
      <c r="AB48" s="417"/>
      <c r="AC48" s="167" t="s">
        <v>208</v>
      </c>
      <c r="AD48" s="192"/>
      <c r="AE48" s="192"/>
      <c r="AF48" s="192"/>
      <c r="AG48" s="192"/>
      <c r="AH48" s="192"/>
      <c r="AI48" s="192"/>
      <c r="AJ48" s="192"/>
      <c r="AK48" s="192"/>
      <c r="AL48" s="192"/>
      <c r="AM48" s="192"/>
      <c r="AN48" s="166"/>
      <c r="AO48" s="416" t="str">
        <f>IF(AND(AR24="",AR73=""),"",IF(AND(AR24="G",AR73="P"),AS24,IF(AND(AR73="G",AR24="P"),AS73,"Corregir ganador y perdedor")))</f>
        <v/>
      </c>
      <c r="AP48" s="417"/>
      <c r="AQ48" s="417"/>
      <c r="AR48" s="417"/>
      <c r="AS48" s="424" t="str">
        <f>IF(OR(AS24="",AS73=""),"",IF(AND(AR24="",AR73=""),"",IF(AND(AR24="G",AR73="P"),IF(AV25&gt;=AV72,VLOOKUP(ABS(AV25-AV72),Point_dif,2,TRUE),VLOOKUP(ABS(AV25-AV72),Point_dif,3,TRUE)),IF(AND(AR24="P",AR73="G"),IF(AV72&gt;=AV25,VLOOKUP(ABS(AV25-AV72),Point_dif,2,TRUE),VLOOKUP(ABS(AV25-AV72),Point_dif,3,TRUE))))))</f>
        <v/>
      </c>
      <c r="AT48" s="421" t="s">
        <v>170</v>
      </c>
      <c r="AU48" s="413" t="str">
        <f>IF(Llave=128,7,"")</f>
        <v/>
      </c>
      <c r="AV48" s="428"/>
      <c r="AW48" s="428"/>
      <c r="AX48" s="428"/>
      <c r="AY48" s="192"/>
      <c r="AZ48" s="192"/>
      <c r="BA48" s="192"/>
      <c r="BB48" s="192"/>
      <c r="BC48" s="192"/>
      <c r="BD48" s="192"/>
      <c r="BE48" s="192"/>
      <c r="BF48" s="192"/>
      <c r="BG48" s="192"/>
      <c r="BH48" s="192"/>
      <c r="BI48" s="192"/>
      <c r="BJ48" s="192"/>
      <c r="BK48" s="192"/>
      <c r="BL48" s="192"/>
      <c r="BM48" s="192"/>
      <c r="BN48" s="192"/>
      <c r="BO48" s="192"/>
      <c r="BP48" s="181"/>
      <c r="BQ48" s="181">
        <f>IF(BS48="Bye",1,MAX(BQ$8:BQ47)+1)</f>
        <v>41</v>
      </c>
      <c r="BR48" s="314" t="str">
        <f t="shared" si="2"/>
        <v/>
      </c>
      <c r="BS48" s="181" t="str">
        <f>IF(OR(Llave&lt;64,Llave=""),"",IF(Llave=64,IF(OR(D50="Bye",D53="Bye"),"Bye",IF(H50="P",D50,IF(H53="P",D53,""))),IF(Llave=128,IF(M99="P",I99,IF(M106="P",I106,"")))))</f>
        <v/>
      </c>
      <c r="BT48" s="181" t="str">
        <f>IF(OR(Llave&lt;64,Llave=""),"",IF(Llave=64,IF(OR(D50="Bye",D53="Bye"),"",IF(H50="P",G50,IF(H53="P",G53,""))),IF(Llave=128,IF(M99="P",L100,IF(M106="P",L105,"")))))</f>
        <v/>
      </c>
    </row>
    <row r="49" spans="2:72" ht="14.25" customHeight="1" x14ac:dyDescent="0.3">
      <c r="B49" s="192"/>
      <c r="C49" s="192"/>
      <c r="D49" s="192"/>
      <c r="E49" s="192"/>
      <c r="F49" s="192"/>
      <c r="G49" s="272" t="s">
        <v>204</v>
      </c>
      <c r="H49" s="192"/>
      <c r="I49" s="192"/>
      <c r="J49" s="192"/>
      <c r="K49" s="192"/>
      <c r="L49" s="192"/>
      <c r="M49" s="192"/>
      <c r="N49" s="192"/>
      <c r="O49" s="192"/>
      <c r="P49" s="192"/>
      <c r="Q49" s="192"/>
      <c r="R49" s="192"/>
      <c r="S49" s="310"/>
      <c r="T49" s="310"/>
      <c r="U49" s="310"/>
      <c r="V49" s="413"/>
      <c r="W49" s="413"/>
      <c r="X49" s="415"/>
      <c r="Y49" s="283" t="str">
        <f>IF(Y48=U24,U25,IF(Y48=U73,U72,""))</f>
        <v/>
      </c>
      <c r="Z49" s="423" t="str">
        <f>IF(ISNUMBER(Y49),VLOOKUP(Y48,Siembra,2,FALSE),"")</f>
        <v/>
      </c>
      <c r="AA49" s="423"/>
      <c r="AB49" s="278" t="str">
        <f>IF(Llave=32,IF(Y24="G",X25,X72),IF(Y48="","",IF(AC48="G",IF(Y48=U24,X25+AB96,X72+AB96),IF(AC48="P",IF(Y48=U24,X25-AB96,X72-AB96),""))))</f>
        <v/>
      </c>
      <c r="AC49" s="192"/>
      <c r="AD49" s="192"/>
      <c r="AE49" s="192"/>
      <c r="AF49" s="192"/>
      <c r="AG49" s="192"/>
      <c r="AH49" s="192"/>
      <c r="AI49" s="192"/>
      <c r="AJ49" s="192"/>
      <c r="AK49" s="192"/>
      <c r="AL49" s="192"/>
      <c r="AM49" s="192"/>
      <c r="AN49" s="192"/>
      <c r="AO49" s="279" t="str">
        <f>IF(AO48="","",IF(AN48="G",IF(AO48=AS24,AS25+AO96,AS72+AO96),IF(AN48="P",IF(AO48=AS24,AS25-AO96,AS72-AO96),"")))</f>
        <v/>
      </c>
      <c r="AP49" s="423" t="str">
        <f>IF(ISNUMBER(AO49),VLOOKUP(AO48,Siembra,2,FALSE),"")</f>
        <v/>
      </c>
      <c r="AQ49" s="423"/>
      <c r="AR49" s="285" t="str">
        <f>IF(AO48=AS24,AV25,IF(AO48=AS73,AV72,""))</f>
        <v/>
      </c>
      <c r="AS49" s="424"/>
      <c r="AT49" s="421"/>
      <c r="AU49" s="413"/>
      <c r="AV49" s="428"/>
      <c r="AW49" s="428"/>
      <c r="AX49" s="428"/>
      <c r="AY49" s="192"/>
      <c r="AZ49" s="192"/>
      <c r="BA49" s="192"/>
      <c r="BB49" s="192"/>
      <c r="BC49" s="192"/>
      <c r="BD49" s="192"/>
      <c r="BE49" s="192"/>
      <c r="BF49" s="192"/>
      <c r="BG49" s="192"/>
      <c r="BH49" s="192"/>
      <c r="BI49" s="273"/>
      <c r="BJ49" s="274" t="s">
        <v>205</v>
      </c>
      <c r="BK49" s="192"/>
      <c r="BL49" s="192"/>
      <c r="BM49" s="192"/>
      <c r="BN49" s="192"/>
      <c r="BO49" s="192"/>
      <c r="BP49" s="181"/>
      <c r="BQ49" s="181">
        <f>IF(BS49="Bye",1,MAX(BQ$8:BQ48)+1)</f>
        <v>42</v>
      </c>
      <c r="BR49" s="314" t="str">
        <f t="shared" si="2"/>
        <v/>
      </c>
      <c r="BS49" s="181" t="str">
        <f>IF(OR(Llave&lt;64,Llave=""),"",IF(Llave=64,IF(OR(D56="Bye",D59="Bye"),"Bye",IF(H56="P",D56,IF(H59="P",D59,""))),IF(Llave=128,IF(M111="P",I111,IF(M118="P",I118,"")))))</f>
        <v/>
      </c>
      <c r="BT49" s="181" t="str">
        <f>IF(OR(Llave&lt;64,Llave=""),"",IF(Llave=64,IF(OR(D56="Bye",D59="Bye"),"",IF(H56="P",G56,IF(H59="P",G59,""))),IF(Llave=128,IF(M111="P",L112,IF(M118="P",L117,"")))))</f>
        <v/>
      </c>
    </row>
    <row r="50" spans="2:72" ht="14.25" customHeight="1" x14ac:dyDescent="0.3">
      <c r="B50" s="192">
        <f>B47+1</f>
        <v>17</v>
      </c>
      <c r="C50" s="192" t="str">
        <f>IF(Llave="","",IF(Llave&gt;1,IF(OR(Plyrs_val=Tot_Jug,Groups*2=Plyrs_val),HLOOKUP(Plyrs_val,Knockout,B50+1,FALSE)),""))</f>
        <v/>
      </c>
      <c r="D50" s="411" t="str">
        <f>IF(Llave="","",IF(Llave&gt;1,IF(C50="Bye","Bye",IF(OR(Plyrs_val=Tot_Jug,Groups*2=Plyrs_val),VLOOKUP(C50,Dist_Llav,4,FALSE),"")),""))</f>
        <v/>
      </c>
      <c r="E50" s="411"/>
      <c r="F50" s="411"/>
      <c r="G50" s="192" t="str">
        <f>IF(D50="","",IF(D50="Bye",0,IF(D53="Bye",E51,IF(H50="G",E51+G51,IF(H50="P",E51-G51,"")))))</f>
        <v/>
      </c>
      <c r="H50" s="166"/>
      <c r="I50" s="192"/>
      <c r="J50" s="276"/>
      <c r="K50" s="192"/>
      <c r="L50" s="277" t="s">
        <v>206</v>
      </c>
      <c r="M50" s="192"/>
      <c r="N50" s="192"/>
      <c r="O50" s="192"/>
      <c r="P50" s="192"/>
      <c r="Q50" s="192"/>
      <c r="R50" s="192"/>
      <c r="S50" s="310"/>
      <c r="T50" s="310"/>
      <c r="U50" s="310"/>
      <c r="V50" s="192"/>
      <c r="W50" s="192"/>
      <c r="X50" s="287"/>
      <c r="Y50" s="192"/>
      <c r="Z50" s="192"/>
      <c r="AA50" s="192"/>
      <c r="AB50" s="287"/>
      <c r="AC50" s="192"/>
      <c r="AD50" s="192"/>
      <c r="AE50" s="192"/>
      <c r="AF50" s="192"/>
      <c r="AG50" s="192"/>
      <c r="AH50" s="192"/>
      <c r="AI50" s="192"/>
      <c r="AJ50" s="192"/>
      <c r="AK50" s="192"/>
      <c r="AL50" s="192"/>
      <c r="AM50" s="192"/>
      <c r="AN50" s="192"/>
      <c r="AO50" s="289"/>
      <c r="AP50" s="192"/>
      <c r="AQ50" s="192"/>
      <c r="AR50" s="192"/>
      <c r="AS50" s="289"/>
      <c r="AT50" s="192"/>
      <c r="AU50" s="192"/>
      <c r="AV50" s="428"/>
      <c r="AW50" s="428"/>
      <c r="AX50" s="428"/>
      <c r="AY50" s="192"/>
      <c r="AZ50" s="192"/>
      <c r="BA50" s="192"/>
      <c r="BB50" s="192"/>
      <c r="BC50" s="192"/>
      <c r="BD50" s="192"/>
      <c r="BE50" s="274" t="s">
        <v>207</v>
      </c>
      <c r="BF50" s="192"/>
      <c r="BG50" s="192"/>
      <c r="BH50" s="192"/>
      <c r="BI50" s="166"/>
      <c r="BJ50" s="192" t="str">
        <f>IF(BK50="","",IF(BK50="Bye",0,IF(BK53="Bye",BL51,IF(BI50="G",BL51+BJ51,IF(BI50="P",BL51-BJ51,"")))))</f>
        <v/>
      </c>
      <c r="BK50" s="411" t="str">
        <f>IF(Llave="","",IF(Llave&gt;1,IF(BN50="Bye","Bye",IF(OR(Plyrs_val=Tot_Jug,Groups*2=Plyrs_val),VLOOKUP(BN50,Dist_Llav,4,FALSE),"")),""))</f>
        <v/>
      </c>
      <c r="BL50" s="411"/>
      <c r="BM50" s="411"/>
      <c r="BN50" s="229" t="str">
        <f>IF(Llave=128,IF(OR(Plyrs_val=Tot_Jug,Groups*2=Plyrs_val),HLOOKUP(Plyrs_val,Knockout,BO50+1,FALSE)),"")</f>
        <v/>
      </c>
      <c r="BO50" s="229">
        <f>BO47+1</f>
        <v>81</v>
      </c>
      <c r="BP50" s="181"/>
      <c r="BQ50" s="181">
        <f>IF(BS50="Bye",1,MAX(BQ$8:BQ49)+1)</f>
        <v>43</v>
      </c>
      <c r="BR50" s="314" t="str">
        <f t="shared" si="2"/>
        <v/>
      </c>
      <c r="BS50" s="181" t="str">
        <f>IF(OR(Llave&lt;64,Llave=""),"",IF(Llave=64,IF(OR(D62="Bye",D65="Bye"),"Bye",IF(H62="P",D62,IF(H65="P",D65,""))),IF(Llave=128,IF(M123="P",I123,IF(M130="P",I130,"")))))</f>
        <v/>
      </c>
      <c r="BT50" s="181" t="str">
        <f>IF(OR(Llave&lt;64,Llave=""),"",IF(Llave=64,IF(OR(D62="Bye",D65="Bye"),"",IF(H62="P",G62,IF(H65="P",G65,""))),IF(Llave=128,IF(M123="P",L124,IF(M130="P",L129,"")))))</f>
        <v/>
      </c>
    </row>
    <row r="51" spans="2:72" x14ac:dyDescent="0.3">
      <c r="B51" s="413" t="str">
        <f>IF(Llave="","",B45+1)</f>
        <v/>
      </c>
      <c r="C51" s="192"/>
      <c r="D51" s="229" t="str">
        <f>IF(D50="","",IF(ISTEXT(D50),IF(D50="","",IF(D50="Bye",0,VLOOKUP(D50,Rank_Points,3,FALSE)))))</f>
        <v/>
      </c>
      <c r="E51" s="192" t="str">
        <f>IF(D50&lt;&gt;"",IF(D50="","",IF(D50="BYE",0,IF(ISTEXT(D50),VLOOKUP(C50,Dist_Llav,6,FALSE),""))),"")</f>
        <v/>
      </c>
      <c r="F51" s="414" t="s">
        <v>170</v>
      </c>
      <c r="G51" s="418" t="str">
        <f>IF(OR(D50="",D53=""),"",IF(OR(D50="Bye",D53="Bye"),0,IF(AND(H50="",H53=""),"",IF(AND(H50="G",H53="P"),IF(D51&gt;=D52,VLOOKUP(ABS(D51-D52),Point_dif,2,TRUE),VLOOKUP(ABS(D51-D52),Point_dif,3,TRUE)),IF(AND(H50="P",H53="G"),IF(D52&gt;=D51,VLOOKUP(ABS(D51-D52),Point_dif,2,TRUE),VLOOKUP(ABS(D51-D52),Point_dif,3,TRUE)))))))</f>
        <v/>
      </c>
      <c r="H51" s="278"/>
      <c r="I51" s="416" t="str">
        <f>IF(D50="Bye",D53,IF(D53="Bye",D50,IF(AND(H50="",H53=""),"",IF(AND(H50="G",H53="P"),D50,IF(AND(H53="G",H50="P"),D53,"Corregir ganador y perdedor")))))</f>
        <v/>
      </c>
      <c r="J51" s="417"/>
      <c r="K51" s="417"/>
      <c r="L51" s="417"/>
      <c r="M51" s="167"/>
      <c r="N51" s="192"/>
      <c r="O51" s="192"/>
      <c r="P51" s="192"/>
      <c r="Q51" s="192"/>
      <c r="R51" s="192"/>
      <c r="S51" s="192"/>
      <c r="T51" s="192"/>
      <c r="U51" s="192"/>
      <c r="V51" s="192"/>
      <c r="W51" s="192"/>
      <c r="X51" s="287"/>
      <c r="Y51" s="192"/>
      <c r="Z51" s="192"/>
      <c r="AA51" s="192"/>
      <c r="AB51" s="287"/>
      <c r="AC51" s="192"/>
      <c r="AD51" s="192"/>
      <c r="AE51" s="192"/>
      <c r="AF51" s="192"/>
      <c r="AG51" s="192"/>
      <c r="AH51" s="192"/>
      <c r="AI51" s="192"/>
      <c r="AJ51" s="192"/>
      <c r="AK51" s="192"/>
      <c r="AL51" s="192"/>
      <c r="AM51" s="192"/>
      <c r="AN51" s="192"/>
      <c r="AO51" s="289"/>
      <c r="AP51" s="192"/>
      <c r="AQ51" s="192"/>
      <c r="AR51" s="192"/>
      <c r="AS51" s="289"/>
      <c r="AT51" s="192"/>
      <c r="AU51" s="192"/>
      <c r="AV51" s="192"/>
      <c r="AW51" s="192"/>
      <c r="AX51" s="192"/>
      <c r="AY51" s="192"/>
      <c r="AZ51" s="192"/>
      <c r="BA51" s="192"/>
      <c r="BB51" s="192"/>
      <c r="BC51" s="192"/>
      <c r="BD51" s="166"/>
      <c r="BE51" s="416" t="str">
        <f>IF(BK53="Bye",BK50,IF(BK50="Bye",BK53,IF(AND(BI50="",BI53=""),"",IF(AND(BI50="G",BI53="P"),BK50,IF(AND(BI53="G",BI50="P"),BK53,"Corregir ganador y perdedor")))))</f>
        <v/>
      </c>
      <c r="BF51" s="417"/>
      <c r="BG51" s="417"/>
      <c r="BH51" s="417"/>
      <c r="BI51" s="279"/>
      <c r="BJ51" s="418" t="str">
        <f>IF(OR(BK50="",BK53=""),"",IF(OR(BK50="Bye",BK53="Bye"),0,IF(AND(BI50="",BI53=""),"",IF(AND(BI50="G",BI53="P"),IF(BM51&gt;=BM52,VLOOKUP(ABS(BM51-BM52),Point_dif,2,TRUE),VLOOKUP(ABS(BM51-BM52),Point_dif,3,TRUE)),IF(AND(BI50="P",BI53="G"),IF(BM52&gt;=BM51,VLOOKUP(ABS(BM51-BM52),Point_dif,2,TRUE),VLOOKUP(ABS(BM51-BM52),Point_dif,3,TRUE)))))))</f>
        <v/>
      </c>
      <c r="BK51" s="420" t="s">
        <v>170</v>
      </c>
      <c r="BL51" s="229" t="str">
        <f>IF(BK50&lt;&gt;"",IF(BK50="","",IF(BK50="BYE",0,IF(ISTEXT(BK50),VLOOKUP(BN50,Dist_Llav,6,FALSE),""))),"")</f>
        <v/>
      </c>
      <c r="BM51" s="280" t="str">
        <f>IF(BK50="","",IF(ISTEXT(BK50),IF(BK50="","",IF(BK50="Bye",0,VLOOKUP(BK50,Rank_Points,3,FALSE)))))</f>
        <v/>
      </c>
      <c r="BN51" s="422"/>
      <c r="BO51" s="422" t="str">
        <f>IF(Llave=128,BO45+1,"")</f>
        <v/>
      </c>
      <c r="BP51" s="181"/>
      <c r="BQ51" s="181">
        <f>IF(BS51="Bye",1,MAX(BQ$8:BQ50)+1)</f>
        <v>44</v>
      </c>
      <c r="BR51" s="314" t="str">
        <f t="shared" si="2"/>
        <v/>
      </c>
      <c r="BS51" s="181" t="str">
        <f>IF(OR(Llave&lt;64,Llave=""),"",IF(Llave=64,IF(OR(D68="Bye",D71="Bye"),"Bye",IF(H68="P",D68,IF(H71="P",D71,""))),IF(Llave=128,IF(M135="P",I135,IF(M142="P",I142,"")))))</f>
        <v/>
      </c>
      <c r="BT51" s="181" t="str">
        <f>IF(OR(Llave&lt;64,Llave=""),"",IF(Llave=64,IF(OR(D68="Bye",D71="Bye"),"",IF(H68="P",G68,IF(H71="P",G71,""))),IF(Llave=128,IF(M135="P",L136,IF(M142="P",L141,"")))))</f>
        <v/>
      </c>
    </row>
    <row r="52" spans="2:72" x14ac:dyDescent="0.3">
      <c r="B52" s="413"/>
      <c r="C52" s="192"/>
      <c r="D52" s="229" t="str">
        <f>IF(D53="","",IF(ISTEXT(D53),IF(D53="","",IF(D53="Bye",0,VLOOKUP(D53,Rank_Points,3,FALSE)))))</f>
        <v/>
      </c>
      <c r="E52" s="192" t="str">
        <f>IF(D53&lt;&gt;"",IF(D53="","",IF(D53="BYE",0,IF(ISTEXT(D53),VLOOKUP(C53,Dist_Llav,6,FALSE),""))),"")</f>
        <v/>
      </c>
      <c r="F52" s="414"/>
      <c r="G52" s="419"/>
      <c r="H52" s="282"/>
      <c r="I52" s="283" t="str">
        <f>IF(I51=D50,D51,IF(I51=D53,D52,""))</f>
        <v/>
      </c>
      <c r="J52" s="423" t="str">
        <f>IF(ISNUMBER(I52),VLOOKUP(I51,Siembra,2,FALSE),"")</f>
        <v/>
      </c>
      <c r="K52" s="423"/>
      <c r="L52" s="278" t="str">
        <f>IF(I51="","",IF(M51="G",IF(I51=D50,G50+L54,G53+L54),IF(M51="P",IF(I51=D50,G50-L54,G53-L54),"")))</f>
        <v/>
      </c>
      <c r="M52" s="192"/>
      <c r="N52" s="192"/>
      <c r="O52" s="192"/>
      <c r="P52" s="192"/>
      <c r="Q52" s="192"/>
      <c r="R52" s="192"/>
      <c r="S52" s="192"/>
      <c r="T52" s="192"/>
      <c r="U52" s="192"/>
      <c r="V52" s="192"/>
      <c r="W52" s="192"/>
      <c r="X52" s="287"/>
      <c r="Y52" s="192"/>
      <c r="Z52" s="192"/>
      <c r="AA52" s="192"/>
      <c r="AB52" s="287"/>
      <c r="AC52" s="192"/>
      <c r="AD52" s="192"/>
      <c r="AE52" s="192"/>
      <c r="AF52" s="192"/>
      <c r="AG52" s="192"/>
      <c r="AH52" s="192"/>
      <c r="AI52" s="192"/>
      <c r="AJ52" s="192"/>
      <c r="AK52" s="192"/>
      <c r="AL52" s="192"/>
      <c r="AM52" s="192"/>
      <c r="AN52" s="192"/>
      <c r="AO52" s="289"/>
      <c r="AP52" s="192"/>
      <c r="AQ52" s="192"/>
      <c r="AR52" s="192"/>
      <c r="AS52" s="289"/>
      <c r="AT52" s="192"/>
      <c r="AU52" s="192"/>
      <c r="AV52" s="192"/>
      <c r="AW52" s="192"/>
      <c r="AX52" s="192"/>
      <c r="AY52" s="192"/>
      <c r="AZ52" s="192"/>
      <c r="BA52" s="192"/>
      <c r="BB52" s="192"/>
      <c r="BC52" s="192"/>
      <c r="BD52" s="192"/>
      <c r="BE52" s="279" t="str">
        <f>IF(BE51="","",IF(BD51="G",IF(BE51=BK50,BJ50+BE54,BJ53+BE54),IF(BD51="P",IF(BE51=BK50,BJ50-BE54,BJ53-BE54),"")))</f>
        <v/>
      </c>
      <c r="BF52" s="423" t="str">
        <f>IF(ISNUMBER(BE52),VLOOKUP(BE51,Siembra,2,FALSE),"")</f>
        <v/>
      </c>
      <c r="BG52" s="423"/>
      <c r="BH52" s="285" t="str">
        <f>IF(BE51=BK50,BM51,IF(BE51=BK53,BM52,""))</f>
        <v/>
      </c>
      <c r="BI52" s="286"/>
      <c r="BJ52" s="419"/>
      <c r="BK52" s="421"/>
      <c r="BL52" s="229" t="str">
        <f>IF(BK53&lt;&gt;"",IF(BK53="","",IF(BK53="BYE",0,IF(ISTEXT(BK53),VLOOKUP(BN53,Dist_Llav,6,FALSE),""))),"")</f>
        <v/>
      </c>
      <c r="BM52" s="280" t="str">
        <f>IF(BK53="","",IF(ISTEXT(BK53),IF(BK53="","",IF(BK53="Bye",0,VLOOKUP(BK53,Rank_Points,3,FALSE)))))</f>
        <v/>
      </c>
      <c r="BN52" s="422"/>
      <c r="BO52" s="422"/>
      <c r="BP52" s="181"/>
      <c r="BQ52" s="181">
        <f>IF(BS52="Bye",1,MAX(BQ$8:BQ51)+1)</f>
        <v>45</v>
      </c>
      <c r="BR52" s="314" t="str">
        <f t="shared" si="2"/>
        <v/>
      </c>
      <c r="BS52" s="181" t="str">
        <f>IF(OR(Llave&lt;64,Llave=""),"",IF(Llave=64,IF(OR(D74="Bye",D77="Bye"),"Bye",IF(H74="P",D74,IF(H77="P",D77,""))),IF(Llave=128,IF(M147="P",I147,IF(M154="P",I154,"")))))</f>
        <v/>
      </c>
      <c r="BT52" s="181" t="str">
        <f>IF(OR(Llave&lt;64,Llave=""),"",IF(Llave=64,IF(OR(D74="Bye",D77="Bye"),"",IF(H74="P",G74,IF(H77="P",G77,""))),IF(Llave=128,IF(M147="P",L148,IF(M154="P",L153,"")))))</f>
        <v/>
      </c>
    </row>
    <row r="53" spans="2:72" x14ac:dyDescent="0.3">
      <c r="B53" s="192">
        <f>B50+1</f>
        <v>18</v>
      </c>
      <c r="C53" s="192" t="str">
        <f>IF(Llave="","",IF(Llave&gt;1,IF(OR(Plyrs_val=Tot_Jug,Groups*2=Plyrs_val),HLOOKUP(Plyrs_val,Knockout,B53+1,FALSE)),""))</f>
        <v/>
      </c>
      <c r="D53" s="412" t="str">
        <f>IF(Llave="","",IF(Llave&gt;1,IF(C53="Bye","Bye",IF(OR(Plyrs_val=Tot_Jug,Groups*2=Plyrs_val),VLOOKUP(C53,Dist_Llav,4,FALSE),"")),""))</f>
        <v/>
      </c>
      <c r="E53" s="412"/>
      <c r="F53" s="412"/>
      <c r="G53" s="192" t="str">
        <f>IF(D53="","",IF(D53="Bye",0,IF(D50="Bye",E52,IF(H53="G",E52+G51,IF(H53="P",E52-G51,"")))))</f>
        <v/>
      </c>
      <c r="H53" s="166"/>
      <c r="I53" s="192"/>
      <c r="J53" s="192"/>
      <c r="K53" s="192"/>
      <c r="L53" s="287"/>
      <c r="M53" s="192"/>
      <c r="N53" s="192"/>
      <c r="O53" s="192"/>
      <c r="P53" s="288" t="s">
        <v>209</v>
      </c>
      <c r="Q53" s="192"/>
      <c r="R53" s="192"/>
      <c r="S53" s="192"/>
      <c r="T53" s="192"/>
      <c r="U53" s="192"/>
      <c r="V53" s="192"/>
      <c r="W53" s="192"/>
      <c r="X53" s="287"/>
      <c r="Y53" s="192"/>
      <c r="Z53" s="192"/>
      <c r="AA53" s="192"/>
      <c r="AB53" s="287"/>
      <c r="AC53" s="192"/>
      <c r="AD53" s="192"/>
      <c r="AE53" s="192"/>
      <c r="AF53" s="192"/>
      <c r="AG53" s="192"/>
      <c r="AH53" s="192"/>
      <c r="AI53" s="192"/>
      <c r="AJ53" s="192"/>
      <c r="AK53" s="192"/>
      <c r="AL53" s="192"/>
      <c r="AM53" s="192"/>
      <c r="AN53" s="192"/>
      <c r="AO53" s="289"/>
      <c r="AP53" s="192" t="s">
        <v>9781</v>
      </c>
      <c r="AQ53" s="192"/>
      <c r="AR53" s="192"/>
      <c r="AS53" s="289"/>
      <c r="AT53" s="192"/>
      <c r="AU53" s="192"/>
      <c r="AV53" s="192"/>
      <c r="AW53" s="192"/>
      <c r="AX53" s="192"/>
      <c r="AY53" s="192"/>
      <c r="AZ53" s="192"/>
      <c r="BA53" s="274" t="s">
        <v>210</v>
      </c>
      <c r="BB53" s="192"/>
      <c r="BC53" s="192"/>
      <c r="BD53" s="192"/>
      <c r="BE53" s="289"/>
      <c r="BF53" s="192"/>
      <c r="BG53" s="192"/>
      <c r="BH53" s="192"/>
      <c r="BI53" s="166"/>
      <c r="BJ53" s="284" t="str">
        <f>IF(BK53="","",IF(BK53="Bye",0,IF(BK50="Bye",BL52,IF(BI53="G",BL52+BJ51,IF(BI53="P",BL52-BJ51,"")))))</f>
        <v/>
      </c>
      <c r="BK53" s="412" t="str">
        <f>IF(Llave="","",IF(Llave&gt;1,IF(BN53="Bye","Bye",IF(OR(Plyrs_val=Tot_Jug,Groups*2=Plyrs_val),VLOOKUP(BN53,Dist_Llav,4,FALSE),"")),""))</f>
        <v/>
      </c>
      <c r="BL53" s="412"/>
      <c r="BM53" s="412"/>
      <c r="BN53" s="229" t="str">
        <f>IF(Llave=128,IF(OR(Plyrs_val=Tot_Jug,Groups*2=Plyrs_val),HLOOKUP(Plyrs_val,Knockout,BO53+1,FALSE)),"")</f>
        <v/>
      </c>
      <c r="BO53" s="229">
        <f>BO50+1</f>
        <v>82</v>
      </c>
      <c r="BP53" s="181"/>
      <c r="BQ53" s="181">
        <f>IF(BS53="Bye",1,MAX(BQ$8:BQ52)+1)</f>
        <v>46</v>
      </c>
      <c r="BR53" s="314" t="str">
        <f t="shared" si="2"/>
        <v/>
      </c>
      <c r="BS53" s="181" t="str">
        <f>IF(OR(Llave&lt;64,Llave=""),"",IF(Llave=64,IF(OR(D80="Bye",D83="Bye"),"Bye",IF(H80="P",D80,IF(H83="P",D83,""))),IF(Llave=128,IF(M159="P",I159,IF(M166="P",I166,"")))))</f>
        <v/>
      </c>
      <c r="BT53" s="181" t="str">
        <f>IF(OR(Llave&lt;64,Llave=""),"",IF(Llave=64,IF(OR(D80="Bye",D83="Bye"),"",IF(H80="P",G80,IF(H83="P",G83,""))),IF(Llave=128,IF(M159="P",L160,IF(M166="P",L165,"")))))</f>
        <v/>
      </c>
    </row>
    <row r="54" spans="2:72" x14ac:dyDescent="0.3">
      <c r="B54" s="192"/>
      <c r="C54" s="192"/>
      <c r="D54" s="192"/>
      <c r="E54" s="192"/>
      <c r="F54" s="192"/>
      <c r="G54" s="192"/>
      <c r="H54" s="192"/>
      <c r="I54" s="413" t="str">
        <f>IF(Llave="","",I42+1)</f>
        <v/>
      </c>
      <c r="J54" s="192"/>
      <c r="K54" s="414" t="s">
        <v>170</v>
      </c>
      <c r="L54" s="415" t="str">
        <f>IF(OR(I51="",I58=""),"",IF(OR(I51="Bye",I58="Bye"),0,IF(AND(M51="",M58=""),"",IF(AND(M51="G",M58="P"),IF(I52&gt;=I57,VLOOKUP(ABS(I52-I57),Point_dif,2,TRUE),VLOOKUP(ABS(I52-I57),Point_dif,3,TRUE)),IF(AND(M51="P",M58="G"),IF(I57&gt;=I52,VLOOKUP(ABS(I52-I57),Point_dif,2,TRUE),VLOOKUP(ABS(I52-I57),Point_dif,3,TRUE)))))))</f>
        <v/>
      </c>
      <c r="M54" s="416" t="str">
        <f>IF(AND(M51="",M58=""),"",IF(AND(M51="G",M58="P"),I51,IF(AND(M58="G",M51="P"),I58,"Corregir ganador y perdedor")))</f>
        <v/>
      </c>
      <c r="N54" s="417"/>
      <c r="O54" s="417"/>
      <c r="P54" s="417"/>
      <c r="Q54" s="167"/>
      <c r="R54" s="192"/>
      <c r="S54" s="192"/>
      <c r="T54" s="192"/>
      <c r="U54" s="192"/>
      <c r="V54" s="192"/>
      <c r="W54" s="192"/>
      <c r="X54" s="287"/>
      <c r="Y54" s="192"/>
      <c r="Z54" s="192"/>
      <c r="AA54" s="192"/>
      <c r="AB54" s="287"/>
      <c r="AC54" s="192"/>
      <c r="AD54" s="192"/>
      <c r="AE54" s="192"/>
      <c r="AF54" s="192"/>
      <c r="AG54" s="192"/>
      <c r="AH54" s="192"/>
      <c r="AI54" s="192"/>
      <c r="AJ54" s="192"/>
      <c r="AK54" s="192"/>
      <c r="AL54" s="192"/>
      <c r="AM54" s="192"/>
      <c r="AN54" s="192"/>
      <c r="AO54" s="289"/>
      <c r="AP54" s="192"/>
      <c r="AQ54" s="192"/>
      <c r="AR54" s="192"/>
      <c r="AS54" s="289"/>
      <c r="AT54" s="192"/>
      <c r="AU54" s="192"/>
      <c r="AV54" s="192"/>
      <c r="AW54" s="192"/>
      <c r="AX54" s="192"/>
      <c r="AY54" s="192"/>
      <c r="AZ54" s="166"/>
      <c r="BA54" s="416" t="str">
        <f>IF(AND(BD51="",BD58=""),"",IF(AND(BD51="G",BD58="P"),BE51,IF(AND(BD58="G",BD51="P"),BE58,"Corregir ganador y perdedor")))</f>
        <v/>
      </c>
      <c r="BB54" s="417"/>
      <c r="BC54" s="417"/>
      <c r="BD54" s="417"/>
      <c r="BE54" s="424" t="str">
        <f>IF(OR(BE51="",BE58=""),"",IF(OR(BE51="Bye",BE58="Bye"),0,IF(AND(BD51="",BD58=""),"",IF(AND(BD51="G",BD58="P"),IF(BH52&gt;=BH57,VLOOKUP(ABS(BH52-BH57),Point_dif,2,TRUE),VLOOKUP(ABS(BH52-BH57),Point_dif,3,TRUE)),IF(AND(BD51="P",BD58="G"),IF(BH57&gt;=BH52,VLOOKUP(ABS(BH52-BH57),Point_dif,2,TRUE),VLOOKUP(ABS(BH52-BH57),Point_dif,3,TRUE)))))))</f>
        <v/>
      </c>
      <c r="BF54" s="421" t="s">
        <v>170</v>
      </c>
      <c r="BG54" s="281"/>
      <c r="BH54" s="413" t="str">
        <f>IF(Llave=128,BH42+1,"")</f>
        <v/>
      </c>
      <c r="BI54" s="192"/>
      <c r="BJ54" s="192"/>
      <c r="BK54" s="192"/>
      <c r="BL54" s="192"/>
      <c r="BM54" s="192"/>
      <c r="BN54" s="192"/>
      <c r="BO54" s="192"/>
      <c r="BP54" s="181"/>
      <c r="BQ54" s="181">
        <f>IF(BS54="Bye",1,MAX(BQ$8:BQ53)+1)</f>
        <v>47</v>
      </c>
      <c r="BR54" s="314" t="str">
        <f t="shared" si="2"/>
        <v/>
      </c>
      <c r="BS54" s="181" t="str">
        <f>IF(OR(Llave&lt;64,Llave=""),"",IF(Llave=64,IF(OR(D86="Bye",D89="Bye"),"Bye",IF(H86="P",D86,IF(H89="P",D89,""))),IF(Llave=128,IF(M171="P",I171,IF(M178="P",I178,"")))))</f>
        <v/>
      </c>
      <c r="BT54" s="181" t="str">
        <f>IF(OR(Llave&lt;64,Llave=""),"",IF(Llave=64,IF(OR(D86="Bye",D89="Bye"),"",IF(H86="P",G86,IF(H89="P",G89,""))),IF(Llave=128,IF(M171="P",L172,IF(M178="P",L177,"")))))</f>
        <v/>
      </c>
    </row>
    <row r="55" spans="2:72" x14ac:dyDescent="0.3">
      <c r="B55" s="192"/>
      <c r="C55" s="192"/>
      <c r="D55" s="192"/>
      <c r="E55" s="192"/>
      <c r="F55" s="192"/>
      <c r="G55" s="272" t="s">
        <v>211</v>
      </c>
      <c r="H55" s="192"/>
      <c r="I55" s="413"/>
      <c r="J55" s="192"/>
      <c r="K55" s="414"/>
      <c r="L55" s="415"/>
      <c r="M55" s="283" t="str">
        <f>IF(M54=I51,I52,IF(M54=I58,I57,""))</f>
        <v/>
      </c>
      <c r="N55" s="423" t="str">
        <f>IF(ISNUMBER(M55),VLOOKUP(M54,Siembra,2,FALSE),"")</f>
        <v/>
      </c>
      <c r="O55" s="423"/>
      <c r="P55" s="278" t="str">
        <f>IF(Llave=4,IF(M51="G",L52,L57),IF(M54="","",IF(Q54="G",IF(M54=I51,L52+P60,L57+P60),IF(Q54="P",IF(M54=I51,L52-P60,L57-P60),""))))</f>
        <v/>
      </c>
      <c r="Q55" s="192"/>
      <c r="R55" s="192"/>
      <c r="S55" s="192"/>
      <c r="T55" s="192"/>
      <c r="U55" s="192"/>
      <c r="V55" s="192"/>
      <c r="W55" s="192"/>
      <c r="X55" s="287"/>
      <c r="Y55" s="192"/>
      <c r="Z55" s="192"/>
      <c r="AA55" s="192"/>
      <c r="AB55" s="287"/>
      <c r="AC55" s="192"/>
      <c r="AD55" s="192"/>
      <c r="AE55" s="192"/>
      <c r="AF55" s="192"/>
      <c r="AG55" s="192"/>
      <c r="AH55" s="192"/>
      <c r="AI55" s="192"/>
      <c r="AJ55" s="192"/>
      <c r="AK55" s="192"/>
      <c r="AL55" s="192"/>
      <c r="AM55" s="192"/>
      <c r="AN55" s="192"/>
      <c r="AO55" s="289"/>
      <c r="AP55" s="192"/>
      <c r="AQ55" s="192"/>
      <c r="AR55" s="192"/>
      <c r="AS55" s="289"/>
      <c r="AT55" s="192"/>
      <c r="AU55" s="192"/>
      <c r="AV55" s="192"/>
      <c r="AW55" s="192"/>
      <c r="AX55" s="192"/>
      <c r="AY55" s="192"/>
      <c r="AZ55" s="192"/>
      <c r="BA55" s="279" t="str">
        <f>IF(BA54="","",IF(AZ54="G",IF(BA54=BE51,BE52+BA60,BE57+BA60),IF(AZ54="P",IF(BA54=BE51,BE52-BA60,BE57-BA60),"")))</f>
        <v/>
      </c>
      <c r="BB55" s="423" t="str">
        <f>IF(ISNUMBER(BA55),VLOOKUP(BA54,Siembra,2,FALSE),"")</f>
        <v/>
      </c>
      <c r="BC55" s="423"/>
      <c r="BD55" s="285" t="str">
        <f>IF(BA54=BE51,BH52,IF(BA54=BE58,BH57,""))</f>
        <v/>
      </c>
      <c r="BE55" s="424"/>
      <c r="BF55" s="421"/>
      <c r="BG55" s="281"/>
      <c r="BH55" s="413"/>
      <c r="BI55" s="273"/>
      <c r="BJ55" s="274" t="s">
        <v>212</v>
      </c>
      <c r="BK55" s="192"/>
      <c r="BL55" s="192"/>
      <c r="BM55" s="192"/>
      <c r="BN55" s="192"/>
      <c r="BO55" s="192"/>
      <c r="BP55" s="181"/>
      <c r="BQ55" s="181">
        <f>IF(BS55="Bye",1,MAX(BQ$8:BQ54)+1)</f>
        <v>48</v>
      </c>
      <c r="BR55" s="314" t="str">
        <f t="shared" si="2"/>
        <v/>
      </c>
      <c r="BS55" s="181" t="str">
        <f>IF(OR(Llave&lt;64,Llave=""),"",IF(Llave=64,IF(OR(D92="Bye",D95="Bye"),"Bye",IF(H92="P",D92,IF(H95="P",D95,""))),IF(Llave=128,IF(M183="P",I183,IF(M190="P",I190,"")))))</f>
        <v/>
      </c>
      <c r="BT55" s="181" t="str">
        <f>IF(OR(Llave&lt;64,Llave=""),"",IF(Llave=64,IF(OR(D92="Bye",D95="Bye"),"",IF(H92="P",G92,IF(H95="P",G95,""))),IF(Llave=128,IF(M183="P",L184,IF(M190="P",L189,"")))))</f>
        <v/>
      </c>
    </row>
    <row r="56" spans="2:72" x14ac:dyDescent="0.3">
      <c r="B56" s="192">
        <f>B53+1</f>
        <v>19</v>
      </c>
      <c r="C56" s="192" t="str">
        <f>IF(Llave="","",IF(Llave&gt;1,IF(OR(Plyrs_val=Tot_Jug,Groups*2=Plyrs_val),HLOOKUP(Plyrs_val,Knockout,B56+1,FALSE)),""))</f>
        <v/>
      </c>
      <c r="D56" s="411" t="str">
        <f>IF(Llave="","",IF(Llave&gt;1,IF(C56="Bye","Bye",IF(OR(Plyrs_val=Tot_Jug,Groups*2=Plyrs_val),VLOOKUP(C56,Dist_Llav,4,FALSE),"")),""))</f>
        <v/>
      </c>
      <c r="E56" s="411"/>
      <c r="F56" s="411"/>
      <c r="G56" s="192" t="str">
        <f>IF(D56="","",IF(D56="Bye",0,IF(D59="Bye",E57,IF(H56="G",E57+G57,IF(H56="P",E57-G57,"")))))</f>
        <v/>
      </c>
      <c r="H56" s="166"/>
      <c r="I56" s="192"/>
      <c r="J56" s="192"/>
      <c r="K56" s="192"/>
      <c r="L56" s="287"/>
      <c r="M56" s="192"/>
      <c r="N56" s="192"/>
      <c r="O56" s="192"/>
      <c r="P56" s="287"/>
      <c r="Q56" s="192"/>
      <c r="R56" s="192"/>
      <c r="S56" s="192"/>
      <c r="T56" s="192"/>
      <c r="U56" s="192"/>
      <c r="V56" s="192"/>
      <c r="W56" s="192"/>
      <c r="X56" s="287"/>
      <c r="Y56" s="192"/>
      <c r="Z56" s="192"/>
      <c r="AA56" s="192"/>
      <c r="AB56" s="287"/>
      <c r="AC56" s="192"/>
      <c r="AD56" s="192"/>
      <c r="AE56" s="192"/>
      <c r="AF56" s="192"/>
      <c r="AG56" s="192"/>
      <c r="AH56" s="192"/>
      <c r="AI56" s="192"/>
      <c r="AJ56" s="192"/>
      <c r="AK56" s="192"/>
      <c r="AL56" s="192"/>
      <c r="AM56" s="192"/>
      <c r="AN56" s="192"/>
      <c r="AO56" s="289"/>
      <c r="AP56" s="192"/>
      <c r="AQ56" s="192"/>
      <c r="AR56" s="192"/>
      <c r="AS56" s="289"/>
      <c r="AT56" s="192"/>
      <c r="AU56" s="192"/>
      <c r="AV56" s="192"/>
      <c r="AW56" s="192"/>
      <c r="AX56" s="192"/>
      <c r="AY56" s="192"/>
      <c r="AZ56" s="192"/>
      <c r="BA56" s="289"/>
      <c r="BB56" s="192"/>
      <c r="BC56" s="192"/>
      <c r="BD56" s="192"/>
      <c r="BE56" s="289"/>
      <c r="BF56" s="192"/>
      <c r="BG56" s="192"/>
      <c r="BH56" s="192"/>
      <c r="BI56" s="166"/>
      <c r="BJ56" s="192" t="str">
        <f>IF(BK56="","",IF(BK56="Bye",0,IF(BK59="Bye",BL57,IF(BI56="G",BL57+BJ57,IF(BI56="P",BL57-BJ57,"")))))</f>
        <v/>
      </c>
      <c r="BK56" s="411" t="str">
        <f>IF(Llave="","",IF(Llave&gt;1,IF(BN56="Bye","Bye",IF(OR(Plyrs_val=Tot_Jug,Groups*2=Plyrs_val),VLOOKUP(BN56,Dist_Llav,4,FALSE),"")),""))</f>
        <v/>
      </c>
      <c r="BL56" s="411"/>
      <c r="BM56" s="411"/>
      <c r="BN56" s="229" t="str">
        <f>IF(Llave=128,IF(OR(Plyrs_val=Tot_Jug,Groups*2=Plyrs_val),HLOOKUP(Plyrs_val,Knockout,BO56+1,FALSE)),"")</f>
        <v/>
      </c>
      <c r="BO56" s="229">
        <f>BO53+1</f>
        <v>83</v>
      </c>
      <c r="BP56" s="181"/>
      <c r="BQ56" s="181">
        <f>IF(BS56="Bye",1,MAX(BQ$8:BQ55)+1)</f>
        <v>49</v>
      </c>
      <c r="BR56" s="314" t="str">
        <f t="shared" si="2"/>
        <v/>
      </c>
      <c r="BS56" s="181" t="str">
        <f>IF(OR(Llave&lt;64,Llave=""),"",IF(Llave=64,IF(OR(D98="Bye",D101="Bye"),"Bye",IF(H98="P",D98,IF(H101="P",D101,""))),IF(Llave=128,IF(BD3="P",BE3,IF(BD10="P",BE10,"")))))</f>
        <v/>
      </c>
      <c r="BT56" s="181" t="str">
        <f>IF(OR(Llave&lt;64,Llave=""),"",IF(Llave=64,IF(OR(D98="Bye",D101="Bye"),"",IF(H98="P",G98,IF(H101="P",G101,""))),IF(Llave=128,IF(BD3="P",BE4,IF(BD10="P",BE9,"")))))</f>
        <v/>
      </c>
    </row>
    <row r="57" spans="2:72" x14ac:dyDescent="0.3">
      <c r="B57" s="413" t="str">
        <f>IF(Llave="","",B51+1)</f>
        <v/>
      </c>
      <c r="C57" s="192"/>
      <c r="D57" s="229" t="str">
        <f>IF(D56="","",IF(ISTEXT(D56),IF(D56="","",IF(D56="Bye",0,VLOOKUP(D56,Rank_Points,3,FALSE)))))</f>
        <v/>
      </c>
      <c r="E57" s="192" t="str">
        <f>IF(D56&lt;&gt;"",IF(D56="","",IF(D56="BYE",0,IF(ISTEXT(D56),VLOOKUP(C56,Dist_Llav,6,FALSE),""))),"")</f>
        <v/>
      </c>
      <c r="F57" s="414" t="s">
        <v>170</v>
      </c>
      <c r="G57" s="418" t="str">
        <f>IF(OR(D56="",D59=""),"",IF(OR(D56="Bye",D59="Bye"),0,IF(AND(H56="",H59=""),"",IF(AND(H56="G",H59="P"),IF(D57&gt;=D58,VLOOKUP(ABS(D57-D58),Point_dif,2,TRUE),VLOOKUP(ABS(D57-D58),Point_dif,3,TRUE)),IF(AND(H56="P",H59="G"),IF(D58&gt;=D57,VLOOKUP(ABS(D57-D58),Point_dif,2,TRUE),VLOOKUP(ABS(D57-D58),Point_dif,3,TRUE)))))))</f>
        <v/>
      </c>
      <c r="H57" s="278"/>
      <c r="I57" s="275" t="str">
        <f>IF(I58=D56,D57,IF(I58=D59,D58,""))</f>
        <v/>
      </c>
      <c r="J57" s="417" t="str">
        <f>IF(ISNUMBER(I57),VLOOKUP(I58,Siembra,2,FALSE),"")</f>
        <v/>
      </c>
      <c r="K57" s="417"/>
      <c r="L57" s="282" t="str">
        <f>IF(I58="","",IF(M58="G",IF(I58=D56,G56+L54,G59+L54),IF(M58="P",IF(I58=D56,G56-L54,G59-L54),"")))</f>
        <v/>
      </c>
      <c r="M57" s="192"/>
      <c r="N57" s="192"/>
      <c r="O57" s="192"/>
      <c r="P57" s="287"/>
      <c r="Q57" s="192"/>
      <c r="R57" s="192"/>
      <c r="S57" s="192"/>
      <c r="T57" s="192"/>
      <c r="U57" s="192"/>
      <c r="V57" s="192"/>
      <c r="W57" s="192"/>
      <c r="X57" s="287"/>
      <c r="Y57" s="192"/>
      <c r="Z57" s="192"/>
      <c r="AA57" s="192"/>
      <c r="AB57" s="287"/>
      <c r="AC57" s="192"/>
      <c r="AD57" s="192"/>
      <c r="AE57" s="192"/>
      <c r="AF57" s="192"/>
      <c r="AG57" s="192"/>
      <c r="AH57" s="192"/>
      <c r="AI57" s="192"/>
      <c r="AJ57" s="192"/>
      <c r="AK57" s="192"/>
      <c r="AL57" s="192"/>
      <c r="AM57" s="192"/>
      <c r="AN57" s="192"/>
      <c r="AO57" s="289"/>
      <c r="AP57" s="192"/>
      <c r="AQ57" s="192"/>
      <c r="AR57" s="192"/>
      <c r="AS57" s="289"/>
      <c r="AT57" s="192"/>
      <c r="AU57" s="192"/>
      <c r="AV57" s="192"/>
      <c r="AW57" s="192"/>
      <c r="AX57" s="192"/>
      <c r="AY57" s="192"/>
      <c r="AZ57" s="192"/>
      <c r="BA57" s="289"/>
      <c r="BB57" s="192"/>
      <c r="BC57" s="192"/>
      <c r="BD57" s="192"/>
      <c r="BE57" s="286" t="str">
        <f>IF(BE58="","",IF(BD58="G",IF(BE58=BK56,BJ56+BE54,BJ59+BE54),IF(BD58="P",IF(BE58=BK56,BJ56-BE54,BJ59-BE54),"")))</f>
        <v/>
      </c>
      <c r="BF57" s="417" t="str">
        <f>IF(ISNUMBER(BE57),VLOOKUP(BE58,Siembra,2,FALSE),"")</f>
        <v/>
      </c>
      <c r="BG57" s="417"/>
      <c r="BH57" s="282" t="str">
        <f>IF(BE58=BK56,BM57,IF(BE58=BK59,BM58,""))</f>
        <v/>
      </c>
      <c r="BI57" s="279"/>
      <c r="BJ57" s="418" t="str">
        <f>IF(OR(BK56="",BK59=""),"",IF(OR(BK56="Bye",BK59="Bye"),0,IF(AND(BI56="",BI59=""),"",IF(AND(BI56="G",BI59="P"),IF(BM57&gt;=BM58,VLOOKUP(ABS(BM57-BM58),Point_dif,2,TRUE),VLOOKUP(ABS(BM57-BM58),Point_dif,3,TRUE)),IF(AND(BI56="P",BI59="G"),IF(BM58&gt;=BM57,VLOOKUP(ABS(BM57-BM58),Point_dif,2,TRUE),VLOOKUP(ABS(BM57-BM58),Point_dif,3,TRUE)))))))</f>
        <v/>
      </c>
      <c r="BK57" s="420" t="s">
        <v>170</v>
      </c>
      <c r="BL57" s="229" t="str">
        <f>IF(BK56&lt;&gt;"",IF(BK56="","",IF(BK56="BYE",0,IF(ISTEXT(BK56),VLOOKUP(BN56,Dist_Llav,6,FALSE),""))),"")</f>
        <v/>
      </c>
      <c r="BM57" s="280" t="str">
        <f>IF(BK56="","",IF(ISTEXT(BK56),IF(BK56="","",IF(BK56="Bye",0,VLOOKUP(BK56,Rank_Points,3,FALSE)))))</f>
        <v/>
      </c>
      <c r="BN57" s="422"/>
      <c r="BO57" s="422" t="str">
        <f>IF(Llave=128,BO51+1,"")</f>
        <v/>
      </c>
      <c r="BP57" s="181"/>
      <c r="BQ57" s="181">
        <f>IF(BS57="Bye",1,MAX(BQ$8:BQ56)+1)</f>
        <v>50</v>
      </c>
      <c r="BR57" s="314" t="str">
        <f t="shared" si="2"/>
        <v/>
      </c>
      <c r="BS57" s="181" t="str">
        <f>IF(OR(Llave&lt;64,Llave=""),"",IF(Llave=64,IF(OR(D104="Bye",D107="Bye"),"Bye",IF(H104="P",D104,IF(H107="P",D107,""))),IF(Llave=128,IF(BD15="P",BE15,IF(BD22="P",BE22,"")))))</f>
        <v/>
      </c>
      <c r="BT57" s="181" t="str">
        <f>IF(OR(Llave&lt;64,Llave=""),"",IF(Llave=64,IF(OR(D104="Bye",D107="Bye"),"",IF(H104="P",G104,IF(H107="P",G107,""))),IF(Llave=128,IF(BD15="P",BE16,IF(BD22="P",BE21,"")))))</f>
        <v/>
      </c>
    </row>
    <row r="58" spans="2:72" x14ac:dyDescent="0.3">
      <c r="B58" s="413"/>
      <c r="C58" s="192"/>
      <c r="D58" s="229" t="str">
        <f>IF(D59="","",IF(ISTEXT(D59),IF(D59="","",IF(D59="Bye",0,VLOOKUP(D59,Rank_Points,3,FALSE)))))</f>
        <v/>
      </c>
      <c r="E58" s="192" t="str">
        <f>IF(D59&lt;&gt;"",IF(D59="","",IF(D59="BYE",0,IF(ISTEXT(D59),VLOOKUP(C59,Dist_Llav,6,FALSE),""))),"")</f>
        <v/>
      </c>
      <c r="F58" s="414"/>
      <c r="G58" s="419"/>
      <c r="H58" s="282"/>
      <c r="I58" s="425" t="str">
        <f>IF(D56="Bye",D59,IF(D59="Bye",D56,IF(AND(H56="",H59=""),"",IF(AND(H56="G",H59="P"),D56,IF(AND(H59="G",H56="P"),D59,"Corregir ganador y perdedor")))))</f>
        <v/>
      </c>
      <c r="J58" s="423"/>
      <c r="K58" s="423"/>
      <c r="L58" s="423"/>
      <c r="M58" s="167"/>
      <c r="N58" s="192"/>
      <c r="O58" s="192"/>
      <c r="P58" s="287"/>
      <c r="Q58" s="192"/>
      <c r="R58" s="192"/>
      <c r="S58" s="192"/>
      <c r="T58" s="192"/>
      <c r="U58" s="192"/>
      <c r="V58" s="192"/>
      <c r="W58" s="192"/>
      <c r="X58" s="287"/>
      <c r="Y58" s="192"/>
      <c r="Z58" s="192"/>
      <c r="AA58" s="192"/>
      <c r="AB58" s="287"/>
      <c r="AC58" s="192"/>
      <c r="AD58" s="192"/>
      <c r="AE58" s="192"/>
      <c r="AF58" s="192"/>
      <c r="AG58" s="192"/>
      <c r="AH58" s="192"/>
      <c r="AI58" s="192"/>
      <c r="AJ58" s="192"/>
      <c r="AK58" s="192"/>
      <c r="AL58" s="192"/>
      <c r="AM58" s="192"/>
      <c r="AN58" s="192"/>
      <c r="AO58" s="289"/>
      <c r="AP58" s="192"/>
      <c r="AQ58" s="192"/>
      <c r="AR58" s="192"/>
      <c r="AS58" s="289"/>
      <c r="AT58" s="192"/>
      <c r="AU58" s="192"/>
      <c r="AV58" s="192"/>
      <c r="AW58" s="192"/>
      <c r="AX58" s="192"/>
      <c r="AY58" s="192"/>
      <c r="AZ58" s="192"/>
      <c r="BA58" s="289"/>
      <c r="BB58" s="192"/>
      <c r="BC58" s="192"/>
      <c r="BD58" s="166"/>
      <c r="BE58" s="423" t="str">
        <f>IF(BK59="Bye",BK56,IF(BK56="Bye",BK59,IF(AND(BI56="",BI59=""),"",IF(AND(BI56="G",BI59="P"),BK56,IF(AND(BI59="G",BI56="P"),BK59,"Corregir ganador y perdedor")))))</f>
        <v/>
      </c>
      <c r="BF58" s="423"/>
      <c r="BG58" s="423"/>
      <c r="BH58" s="426"/>
      <c r="BI58" s="286"/>
      <c r="BJ58" s="419"/>
      <c r="BK58" s="421"/>
      <c r="BL58" s="229" t="str">
        <f>IF(BK59&lt;&gt;"",IF(BK59="","",IF(BK59="BYE",0,IF(ISTEXT(BK59),VLOOKUP(BN59,Dist_Llav,6,FALSE),""))),"")</f>
        <v/>
      </c>
      <c r="BM58" s="280" t="str">
        <f>IF(BK59="","",IF(ISTEXT(BK59),IF(BK59="","",IF(BK59="Bye",0,VLOOKUP(BK59,Rank_Points,3,FALSE)))))</f>
        <v/>
      </c>
      <c r="BN58" s="422"/>
      <c r="BO58" s="422"/>
      <c r="BP58" s="181"/>
      <c r="BQ58" s="181">
        <f>IF(BS58="Bye",1,MAX(BQ$8:BQ57)+1)</f>
        <v>51</v>
      </c>
      <c r="BR58" s="314" t="str">
        <f t="shared" si="2"/>
        <v/>
      </c>
      <c r="BS58" s="181" t="str">
        <f>IF(OR(Llave&lt;64,Llave=""),"",IF(Llave=64,IF(OR(D110="Bye",D113="Bye"),"Bye",IF(H110="P",D110,IF(H113="P",D113,""))),IF(Llave=128,IF(BD27="P",BE27,IF(BD34="P",BE34,"")))))</f>
        <v/>
      </c>
      <c r="BT58" s="181" t="str">
        <f>IF(OR(Llave&lt;64,Llave=""),"",IF(Llave=64,IF(OR(D110="Bye",D113="Bye"),"",IF(H110="P",G110,IF(H113="P",G113,""))),IF(Llave=128,IF(BD27="P",BE28,IF(BD34="P",BE33,"")))))</f>
        <v/>
      </c>
    </row>
    <row r="59" spans="2:72" x14ac:dyDescent="0.3">
      <c r="B59" s="192">
        <f>B56+1</f>
        <v>20</v>
      </c>
      <c r="C59" s="192" t="str">
        <f>IF(Llave="","",IF(Llave&gt;1,IF(OR(Plyrs_val=Tot_Jug,Groups*2=Plyrs_val),HLOOKUP(Plyrs_val,Knockout,B59+1,FALSE)),""))</f>
        <v/>
      </c>
      <c r="D59" s="412" t="str">
        <f>IF(Llave="","",IF(Llave&gt;1,IF(C59="Bye","Bye",IF(OR(Plyrs_val=Tot_Jug,Groups*2=Plyrs_val),VLOOKUP(C59,Dist_Llav,4,FALSE),"")),""))</f>
        <v/>
      </c>
      <c r="E59" s="412"/>
      <c r="F59" s="412"/>
      <c r="G59" s="192" t="str">
        <f>IF(D59="","",IF(D59="Bye",0,IF(D56="Bye",E58,IF(H59="G",E58+G57,IF(H59="P",E58-G57,"")))))</f>
        <v/>
      </c>
      <c r="H59" s="166"/>
      <c r="I59" s="192"/>
      <c r="J59" s="192"/>
      <c r="K59" s="192"/>
      <c r="L59" s="192"/>
      <c r="M59" s="192"/>
      <c r="N59" s="192"/>
      <c r="O59" s="192"/>
      <c r="P59" s="287"/>
      <c r="Q59" s="192"/>
      <c r="R59" s="192"/>
      <c r="S59" s="192"/>
      <c r="T59" s="288" t="s">
        <v>213</v>
      </c>
      <c r="U59" s="192"/>
      <c r="V59" s="192"/>
      <c r="W59" s="192"/>
      <c r="X59" s="287"/>
      <c r="Y59" s="192"/>
      <c r="Z59" s="192"/>
      <c r="AA59" s="192"/>
      <c r="AB59" s="287"/>
      <c r="AC59" s="192"/>
      <c r="AD59" s="192"/>
      <c r="AE59" s="192"/>
      <c r="AF59" s="192"/>
      <c r="AG59" s="192"/>
      <c r="AH59" s="192"/>
      <c r="AI59" s="192"/>
      <c r="AJ59" s="192"/>
      <c r="AK59" s="192"/>
      <c r="AL59" s="192"/>
      <c r="AM59" s="192"/>
      <c r="AN59" s="192"/>
      <c r="AO59" s="289"/>
      <c r="AP59" s="192"/>
      <c r="AQ59" s="192"/>
      <c r="AR59" s="192"/>
      <c r="AS59" s="289"/>
      <c r="AT59" s="192"/>
      <c r="AU59" s="192"/>
      <c r="AV59" s="192"/>
      <c r="AW59" s="274" t="s">
        <v>214</v>
      </c>
      <c r="AX59" s="192"/>
      <c r="AY59" s="192"/>
      <c r="AZ59" s="192"/>
      <c r="BA59" s="289"/>
      <c r="BB59" s="192"/>
      <c r="BC59" s="192"/>
      <c r="BD59" s="192"/>
      <c r="BE59" s="192"/>
      <c r="BF59" s="192"/>
      <c r="BG59" s="192"/>
      <c r="BH59" s="192"/>
      <c r="BI59" s="166"/>
      <c r="BJ59" s="284" t="str">
        <f>IF(BK59="","",IF(BK59="Bye",0,IF(BK56="Bye",BL58,IF(BI59="G",BL58+BJ57,IF(BI59="P",BL58-BJ57,"")))))</f>
        <v/>
      </c>
      <c r="BK59" s="412" t="str">
        <f>IF(Llave="","",IF(Llave&gt;1,IF(BN59="Bye","Bye",IF(OR(Plyrs_val=Tot_Jug,Groups*2=Plyrs_val),VLOOKUP(BN59,Dist_Llav,4,FALSE),"")),""))</f>
        <v/>
      </c>
      <c r="BL59" s="412"/>
      <c r="BM59" s="412"/>
      <c r="BN59" s="229" t="str">
        <f>IF(Llave=128,IF(OR(Plyrs_val=Tot_Jug,Groups*2=Plyrs_val),HLOOKUP(Plyrs_val,Knockout,BO59+1,FALSE)),"")</f>
        <v/>
      </c>
      <c r="BO59" s="229">
        <f>BO56+1</f>
        <v>84</v>
      </c>
      <c r="BP59" s="181"/>
      <c r="BQ59" s="181">
        <f>IF(BS59="Bye",1,MAX(BQ$8:BQ58)+1)</f>
        <v>52</v>
      </c>
      <c r="BR59" s="314" t="str">
        <f t="shared" si="2"/>
        <v/>
      </c>
      <c r="BS59" s="181" t="str">
        <f>IF(OR(Llave&lt;64,Llave=""),"",IF(Llave=64,IF(OR(D116="Bye",D119="Bye"),"Bye",IF(H116="P",D116,IF(H119="P",D119,""))),IF(Llave=128,IF(BD39="P",BE39,IF(BD46="P",BE46,"")))))</f>
        <v/>
      </c>
      <c r="BT59" s="181" t="str">
        <f>IF(OR(Llave&lt;64,Llave=""),"",IF(Llave=64,IF(OR(D116="Bye",D119="Bye"),"",IF(H116="P",G116,IF(H119="P",G119,""))),IF(Llave=128,IF(BD39="P",BE40,IF(BD46="P",BE45,"")))))</f>
        <v/>
      </c>
    </row>
    <row r="60" spans="2:72" x14ac:dyDescent="0.3">
      <c r="B60" s="192"/>
      <c r="C60" s="192"/>
      <c r="D60" s="192"/>
      <c r="E60" s="192"/>
      <c r="F60" s="192"/>
      <c r="G60" s="192"/>
      <c r="H60" s="192"/>
      <c r="I60" s="192"/>
      <c r="J60" s="192"/>
      <c r="K60" s="192"/>
      <c r="L60" s="192"/>
      <c r="M60" s="181"/>
      <c r="N60" s="413" t="str">
        <f>IF(Llave="","",N36+1)</f>
        <v/>
      </c>
      <c r="O60" s="414" t="s">
        <v>170</v>
      </c>
      <c r="P60" s="415" t="str">
        <f>IF(OR(M54="",M67=""),"",IF(OR(M54="Bye",M67="Bye"),0,IF(AND(Q54="",Q67=""),"",IF(AND(Q54="G",Q67="P"),IF(M55&gt;=M66,VLOOKUP(ABS(M55-M66),Point_dif,2,TRUE),VLOOKUP(ABS(M55-M66),Point_dif,3,TRUE)),IF(AND(Q54="P",Q67="G"),IF(M66&gt;=M55,VLOOKUP(ABS(M55-M66),Point_dif,2,TRUE),VLOOKUP(ABS(M55-M66),Point_dif,3,TRUE)))))))</f>
        <v/>
      </c>
      <c r="Q60" s="416" t="str">
        <f>IF(AND(Q54="",Q67=""),"",IF(AND(Q54="G",Q67="P"),M54,IF(AND(Q67="G",Q54="P"),M67,"Corregir ganador y perdedor")))</f>
        <v/>
      </c>
      <c r="R60" s="417"/>
      <c r="S60" s="417"/>
      <c r="T60" s="417"/>
      <c r="U60" s="167"/>
      <c r="V60" s="192"/>
      <c r="W60" s="192"/>
      <c r="X60" s="287"/>
      <c r="Y60" s="192"/>
      <c r="Z60" s="192"/>
      <c r="AA60" s="192"/>
      <c r="AB60" s="287"/>
      <c r="AC60" s="192"/>
      <c r="AD60" s="192"/>
      <c r="AE60" s="192"/>
      <c r="AF60" s="192"/>
      <c r="AG60" s="192"/>
      <c r="AH60" s="192"/>
      <c r="AI60" s="192"/>
      <c r="AJ60" s="192"/>
      <c r="AK60" s="192"/>
      <c r="AL60" s="192"/>
      <c r="AM60" s="192"/>
      <c r="AN60" s="192"/>
      <c r="AO60" s="289"/>
      <c r="AP60" s="192"/>
      <c r="AQ60" s="192"/>
      <c r="AR60" s="192"/>
      <c r="AS60" s="289"/>
      <c r="AT60" s="192"/>
      <c r="AU60" s="192"/>
      <c r="AV60" s="166"/>
      <c r="AW60" s="416" t="str">
        <f>IF(AND(AZ54="",AZ67=""),"",IF(AND(AZ54="G",AZ67="P"),BA54,IF(AND(AZ67="G",AZ54="P"),BA67,"Corregir ganador y perdedor")))</f>
        <v/>
      </c>
      <c r="AX60" s="417"/>
      <c r="AY60" s="417"/>
      <c r="AZ60" s="417"/>
      <c r="BA60" s="424" t="str">
        <f>IF(OR(BA54="",BA67=""),"",IF(OR(BA54="Bye",BA67="Bye"),0,IF(AND(AZ54="",AZ67=""),"",IF(AND(AZ54="G",AZ67="P"),IF(BD55&gt;=BD66,VLOOKUP(ABS(BD55-BD66),Point_dif,2,TRUE),VLOOKUP(ABS(BD55-BD66),Point_dif,3,TRUE)),IF(AND(AZ54="P",AZ67="G"),IF(BD66&gt;=BD55,VLOOKUP(ABS(BD55-BD66),Point_dif,2,TRUE),VLOOKUP(ABS(BD55-BD66),Point_dif,3,TRUE)))))))</f>
        <v/>
      </c>
      <c r="BB60" s="421" t="s">
        <v>170</v>
      </c>
      <c r="BC60" s="413" t="str">
        <f>IF(Llave=128,BC36+1,"")</f>
        <v/>
      </c>
      <c r="BD60" s="181"/>
      <c r="BE60" s="192"/>
      <c r="BF60" s="192"/>
      <c r="BG60" s="192"/>
      <c r="BH60" s="192"/>
      <c r="BI60" s="192"/>
      <c r="BJ60" s="192"/>
      <c r="BK60" s="192"/>
      <c r="BL60" s="192"/>
      <c r="BM60" s="192"/>
      <c r="BN60" s="192"/>
      <c r="BO60" s="192"/>
      <c r="BP60" s="181"/>
      <c r="BQ60" s="181">
        <f>IF(BS60="Bye",1,MAX(BQ$8:BQ59)+1)</f>
        <v>53</v>
      </c>
      <c r="BR60" s="314" t="str">
        <f t="shared" si="2"/>
        <v/>
      </c>
      <c r="BS60" s="181" t="str">
        <f>IF(OR(Llave&lt;64,Llave=""),"",IF(Llave=64,IF(OR(D122="Bye",D125="Bye"),"Bye",IF(H122="P",D122,IF(H125="P",D125,""))),IF(Llave=128,IF(BD51="P",BE51,IF(BD58="P",BE58,"")))))</f>
        <v/>
      </c>
      <c r="BT60" s="181" t="str">
        <f>IF(OR(Llave&lt;64,Llave=""),"",IF(Llave=64,IF(OR(D122="Bye",D125="Bye"),"",IF(H122="P",G122,IF(H125="P",G125,""))),IF(Llave=128,IF(BD51="P",BE52,IF(BD58="P",BE57,"")))))</f>
        <v/>
      </c>
    </row>
    <row r="61" spans="2:72" x14ac:dyDescent="0.3">
      <c r="B61" s="192"/>
      <c r="C61" s="192"/>
      <c r="D61" s="192"/>
      <c r="E61" s="192"/>
      <c r="F61" s="192"/>
      <c r="G61" s="272" t="s">
        <v>215</v>
      </c>
      <c r="H61" s="192"/>
      <c r="I61" s="192"/>
      <c r="J61" s="192"/>
      <c r="K61" s="192"/>
      <c r="L61" s="192"/>
      <c r="M61" s="181"/>
      <c r="N61" s="413"/>
      <c r="O61" s="414"/>
      <c r="P61" s="415"/>
      <c r="Q61" s="283" t="str">
        <f>IF(Q60=M54,M55,IF(Q60=M67,M66,""))</f>
        <v/>
      </c>
      <c r="R61" s="423" t="str">
        <f>IF(ISNUMBER(Q61),VLOOKUP(Q60,Siembra,2,FALSE),"")</f>
        <v/>
      </c>
      <c r="S61" s="423"/>
      <c r="T61" s="278" t="str">
        <f>IF(Q60="","",IF(U60="G",IF(Q60=M54,P55+T72,P66+T72),IF(U60="P",IF(Q60=M54,P55-T72,P66-T72),"")))</f>
        <v/>
      </c>
      <c r="U61" s="192"/>
      <c r="V61" s="192"/>
      <c r="W61" s="192"/>
      <c r="X61" s="287"/>
      <c r="Y61" s="192"/>
      <c r="Z61" s="192"/>
      <c r="AA61" s="192"/>
      <c r="AB61" s="287"/>
      <c r="AC61" s="192"/>
      <c r="AD61" s="192"/>
      <c r="AE61" s="192"/>
      <c r="AF61" s="192"/>
      <c r="AG61" s="192"/>
      <c r="AH61" s="192"/>
      <c r="AI61" s="192"/>
      <c r="AJ61" s="192"/>
      <c r="AK61" s="192"/>
      <c r="AL61" s="192"/>
      <c r="AM61" s="192"/>
      <c r="AN61" s="192"/>
      <c r="AO61" s="289"/>
      <c r="AP61" s="192"/>
      <c r="AQ61" s="192"/>
      <c r="AR61" s="192"/>
      <c r="AS61" s="289"/>
      <c r="AT61" s="192"/>
      <c r="AU61" s="192"/>
      <c r="AV61" s="192"/>
      <c r="AW61" s="279" t="str">
        <f>IF(AW60="","",IF(AV60="G",IF(AW60=BA54,BA55+AW71,BA66+AW71),IF(AV60="P",IF(AW60=BA54,BA55-AW71,BA66-AW71),"")))</f>
        <v/>
      </c>
      <c r="AX61" s="423" t="str">
        <f>IF(ISNUMBER(AW61),VLOOKUP(AW60,Siembra,2,FALSE),"")</f>
        <v/>
      </c>
      <c r="AY61" s="423"/>
      <c r="AZ61" s="285" t="str">
        <f>IF(AW60=BA54,BD55,IF(AW60=BA67,BD66,""))</f>
        <v/>
      </c>
      <c r="BA61" s="424"/>
      <c r="BB61" s="421"/>
      <c r="BC61" s="413"/>
      <c r="BD61" s="181"/>
      <c r="BE61" s="192"/>
      <c r="BF61" s="192"/>
      <c r="BG61" s="192"/>
      <c r="BH61" s="192"/>
      <c r="BI61" s="273"/>
      <c r="BJ61" s="274" t="s">
        <v>216</v>
      </c>
      <c r="BK61" s="192"/>
      <c r="BL61" s="192"/>
      <c r="BM61" s="192"/>
      <c r="BN61" s="192"/>
      <c r="BO61" s="192"/>
      <c r="BP61" s="181"/>
      <c r="BQ61" s="181">
        <f>IF(BS61="Bye",1,MAX(BQ$8:BQ60)+1)</f>
        <v>54</v>
      </c>
      <c r="BR61" s="314" t="str">
        <f t="shared" si="2"/>
        <v/>
      </c>
      <c r="BS61" s="181" t="str">
        <f>IF(OR(Llave&lt;64,Llave=""),"",IF(Llave=64,IF(OR(D128="Bye",D131="Bye"),"Bye",IF(H128="P",D128,IF(H131="P",D131,""))),IF(Llave=128,IF(BD63="P",BE63,IF(BD70="P",BE70,"")))))</f>
        <v/>
      </c>
      <c r="BT61" s="181" t="str">
        <f>IF(OR(Llave&lt;64,Llave=""),"",IF(Llave=64,IF(OR(D128="Bye",D131="Bye"),"",IF(H128="P",G128,IF(H131="P",G131,""))),IF(Llave=128,IF(BD63="P",BE64,IF(BD70="P",BE69,"")))))</f>
        <v/>
      </c>
    </row>
    <row r="62" spans="2:72" x14ac:dyDescent="0.3">
      <c r="B62" s="192">
        <f>B59+1</f>
        <v>21</v>
      </c>
      <c r="C62" s="192" t="str">
        <f>IF(Llave="","",IF(Llave&gt;1,IF(OR(Plyrs_val=Tot_Jug,Groups*2=Plyrs_val),HLOOKUP(Plyrs_val,Knockout,B62+1,FALSE)),""))</f>
        <v/>
      </c>
      <c r="D62" s="411" t="str">
        <f>IF(Llave="","",IF(Llave&gt;1,IF(C62="Bye","Bye",IF(OR(Plyrs_val=Tot_Jug,Groups*2=Plyrs_val),VLOOKUP(C62,Dist_Llav,4,FALSE),"")),""))</f>
        <v/>
      </c>
      <c r="E62" s="411"/>
      <c r="F62" s="411"/>
      <c r="G62" s="192" t="str">
        <f>IF(D62="","",IF(D62="Bye",0,IF(D65="Bye",E63,IF(H62="G",E63+G63,IF(H62="P",E63-G63,"")))))</f>
        <v/>
      </c>
      <c r="H62" s="166"/>
      <c r="I62" s="192"/>
      <c r="J62" s="192"/>
      <c r="K62" s="192"/>
      <c r="L62" s="277" t="s">
        <v>217</v>
      </c>
      <c r="M62" s="192"/>
      <c r="N62" s="192"/>
      <c r="O62" s="192"/>
      <c r="P62" s="287"/>
      <c r="Q62" s="192"/>
      <c r="R62" s="192"/>
      <c r="S62" s="192"/>
      <c r="T62" s="287"/>
      <c r="U62" s="192"/>
      <c r="V62" s="192"/>
      <c r="W62" s="192"/>
      <c r="X62" s="287"/>
      <c r="Y62" s="192"/>
      <c r="Z62" s="192"/>
      <c r="AA62" s="192"/>
      <c r="AB62" s="287"/>
      <c r="AC62" s="192"/>
      <c r="AD62" s="192"/>
      <c r="AE62" s="192"/>
      <c r="AF62" s="192"/>
      <c r="AG62" s="192"/>
      <c r="AH62" s="192"/>
      <c r="AI62" s="192"/>
      <c r="AJ62" s="192"/>
      <c r="AK62" s="192"/>
      <c r="AL62" s="192"/>
      <c r="AM62" s="192"/>
      <c r="AN62" s="192"/>
      <c r="AO62" s="289"/>
      <c r="AP62" s="192"/>
      <c r="AQ62" s="192"/>
      <c r="AR62" s="192"/>
      <c r="AS62" s="289"/>
      <c r="AT62" s="192"/>
      <c r="AU62" s="192"/>
      <c r="AV62" s="192"/>
      <c r="AW62" s="289"/>
      <c r="AX62" s="192"/>
      <c r="AY62" s="192"/>
      <c r="AZ62" s="192"/>
      <c r="BA62" s="289"/>
      <c r="BB62" s="192"/>
      <c r="BC62" s="192"/>
      <c r="BD62" s="192"/>
      <c r="BE62" s="274" t="s">
        <v>218</v>
      </c>
      <c r="BF62" s="192"/>
      <c r="BG62" s="192"/>
      <c r="BH62" s="192"/>
      <c r="BI62" s="166"/>
      <c r="BJ62" s="192" t="str">
        <f>IF(BK62="","",IF(BK62="Bye",0,IF(BK65="Bye",BL63,IF(BI62="G",BL63+BJ63,IF(BI62="P",BL63-BJ63,"")))))</f>
        <v/>
      </c>
      <c r="BK62" s="411" t="str">
        <f>IF(Llave="","",IF(Llave&gt;1,IF(BN62="Bye","Bye",IF(OR(Plyrs_val=Tot_Jug,Groups*2=Plyrs_val),VLOOKUP(BN62,Dist_Llav,4,FALSE),"")),""))</f>
        <v/>
      </c>
      <c r="BL62" s="411"/>
      <c r="BM62" s="411"/>
      <c r="BN62" s="229" t="str">
        <f>IF(Llave=128,IF(OR(Plyrs_val=Tot_Jug,Groups*2=Plyrs_val),HLOOKUP(Plyrs_val,Knockout,BO62+1,FALSE)),"")</f>
        <v/>
      </c>
      <c r="BO62" s="229">
        <f>BO59+1</f>
        <v>85</v>
      </c>
      <c r="BP62" s="181"/>
      <c r="BQ62" s="181">
        <f>IF(BS62="Bye",1,MAX(BQ$8:BQ61)+1)</f>
        <v>55</v>
      </c>
      <c r="BR62" s="314" t="str">
        <f t="shared" si="2"/>
        <v/>
      </c>
      <c r="BS62" s="181" t="str">
        <f>IF(OR(Llave&lt;64,Llave=""),"",IF(Llave=64,IF(OR(D134="Bye",D137="Bye"),"Bye",IF(H134="P",D134,IF(H137="P",D137,""))),IF(Llave=128,IF(BD75="P",BE75,IF(BD82="P",BE82,"")))))</f>
        <v/>
      </c>
      <c r="BT62" s="181" t="str">
        <f>IF(OR(Llave&lt;64,Llave=""),"",IF(Llave=64,IF(OR(D134="Bye",D137="Bye"),"",IF(H134="P",G134,IF(H137="P",G137,""))),IF(Llave=128,IF(BD75="P",BE76,IF(BD82="P",BE81,"")))))</f>
        <v/>
      </c>
    </row>
    <row r="63" spans="2:72" x14ac:dyDescent="0.3">
      <c r="B63" s="413" t="str">
        <f>IF(Llave="","",B57+1)</f>
        <v/>
      </c>
      <c r="C63" s="192"/>
      <c r="D63" s="229" t="str">
        <f>IF(D62="","",IF(ISTEXT(D62),IF(D62="","",IF(D62="Bye",0,VLOOKUP(D62,Rank_Points,3,FALSE)))))</f>
        <v/>
      </c>
      <c r="E63" s="192" t="str">
        <f>IF(D62&lt;&gt;"",IF(D62="","",IF(D62="BYE",0,IF(ISTEXT(D62),VLOOKUP(C62,Dist_Llav,6,FALSE),""))),"")</f>
        <v/>
      </c>
      <c r="F63" s="414" t="s">
        <v>170</v>
      </c>
      <c r="G63" s="418" t="str">
        <f>IF(OR(D62="",D65=""),"",IF(OR(D62="Bye",D65="Bye"),0,IF(AND(H62="",H65=""),"",IF(AND(H62="G",H65="P"),IF(D63&gt;=D64,VLOOKUP(ABS(D63-D64),Point_dif,2,TRUE),VLOOKUP(ABS(D63-D64),Point_dif,3,TRUE)),IF(AND(H62="P",H65="G"),IF(D64&gt;=D63,VLOOKUP(ABS(D63-D64),Point_dif,2,TRUE),VLOOKUP(ABS(D63-D64),Point_dif,3,TRUE)))))))</f>
        <v/>
      </c>
      <c r="H63" s="278"/>
      <c r="I63" s="416" t="str">
        <f>IF(D62="Bye",D65,IF(D65="Bye",D62,IF(AND(H62="",H65=""),"",IF(AND(H62="G",H65="P"),D62,IF(AND(H65="G",H62="P"),D65,"Corregir ganador y perdedor")))))</f>
        <v/>
      </c>
      <c r="J63" s="417"/>
      <c r="K63" s="417"/>
      <c r="L63" s="417"/>
      <c r="M63" s="167"/>
      <c r="N63" s="192"/>
      <c r="O63" s="192"/>
      <c r="P63" s="287"/>
      <c r="Q63" s="192"/>
      <c r="R63" s="192"/>
      <c r="S63" s="192"/>
      <c r="T63" s="287"/>
      <c r="U63" s="192"/>
      <c r="V63" s="192"/>
      <c r="W63" s="192"/>
      <c r="X63" s="287"/>
      <c r="Y63" s="192"/>
      <c r="Z63" s="192"/>
      <c r="AA63" s="192"/>
      <c r="AB63" s="287"/>
      <c r="AC63" s="192"/>
      <c r="AD63" s="192"/>
      <c r="AE63" s="192"/>
      <c r="AF63" s="192"/>
      <c r="AG63" s="192"/>
      <c r="AH63" s="192"/>
      <c r="AI63" s="192"/>
      <c r="AJ63" s="192"/>
      <c r="AK63" s="192"/>
      <c r="AL63" s="192"/>
      <c r="AM63" s="192"/>
      <c r="AN63" s="192"/>
      <c r="AO63" s="289"/>
      <c r="AP63" s="192"/>
      <c r="AQ63" s="192"/>
      <c r="AR63" s="192"/>
      <c r="AS63" s="289"/>
      <c r="AT63" s="192"/>
      <c r="AU63" s="192"/>
      <c r="AV63" s="192"/>
      <c r="AW63" s="289"/>
      <c r="AX63" s="192"/>
      <c r="AY63" s="192"/>
      <c r="AZ63" s="192"/>
      <c r="BA63" s="289"/>
      <c r="BB63" s="192"/>
      <c r="BC63" s="192"/>
      <c r="BD63" s="166"/>
      <c r="BE63" s="416" t="str">
        <f>IF(BK65="Bye",BK62,IF(BK62="Bye",BK65,IF(AND(BI62="",BI65=""),"",IF(AND(BI62="G",BI65="P"),BK62,IF(AND(BI65="G",BI62="P"),BK65,"Corregir ganador y perdedor")))))</f>
        <v/>
      </c>
      <c r="BF63" s="417"/>
      <c r="BG63" s="417"/>
      <c r="BH63" s="417"/>
      <c r="BI63" s="279"/>
      <c r="BJ63" s="418" t="str">
        <f>IF(OR(BK62="",BK65=""),"",IF(OR(BK62="Bye",BK65="Bye"),0,IF(AND(BI62="",BI65=""),"",IF(AND(BI62="G",BI65="P"),IF(BM63&gt;=BM64,VLOOKUP(ABS(BM63-BM64),Point_dif,2,TRUE),VLOOKUP(ABS(BM63-BM64),Point_dif,3,TRUE)),IF(AND(BI62="P",BI65="G"),IF(BM64&gt;=BM63,VLOOKUP(ABS(BM63-BM64),Point_dif,2,TRUE),VLOOKUP(ABS(BM63-BM64),Point_dif,3,TRUE)))))))</f>
        <v/>
      </c>
      <c r="BK63" s="420" t="s">
        <v>170</v>
      </c>
      <c r="BL63" s="229" t="str">
        <f>IF(BK62&lt;&gt;"",IF(BK62="","",IF(BK62="BYE",0,IF(ISTEXT(BK62),VLOOKUP(BN62,Dist_Llav,6,FALSE),""))),"")</f>
        <v/>
      </c>
      <c r="BM63" s="280" t="str">
        <f>IF(BK62="","",IF(ISTEXT(BK62),IF(BK62="","",IF(BK62="Bye",0,VLOOKUP(BK62,Rank_Points,3,FALSE)))))</f>
        <v/>
      </c>
      <c r="BN63" s="422"/>
      <c r="BO63" s="422" t="str">
        <f>IF(Llave=128,BO57+1,"")</f>
        <v/>
      </c>
      <c r="BP63" s="181"/>
      <c r="BQ63" s="181">
        <f>IF(BS63="Bye",1,MAX(BQ$8:BQ62)+1)</f>
        <v>56</v>
      </c>
      <c r="BR63" s="314" t="str">
        <f t="shared" si="2"/>
        <v/>
      </c>
      <c r="BS63" s="181" t="str">
        <f>IF(OR(Llave&lt;64,Llave=""),"",IF(Llave=64,IF(OR(D140="Bye",D143="Bye"),"Bye",IF(H140="P",D140,IF(H143="P",D143,""))),IF(Llave=128,IF(BD87="P",BE87,IF(BD94="P",BE94,"")))))</f>
        <v/>
      </c>
      <c r="BT63" s="181" t="str">
        <f>IF(OR(Llave&lt;64,Llave=""),"",IF(Llave=64,IF(OR(D140="Bye",D143="Bye"),"",IF(H140="P",G140,IF(H143="P",G143,""))),IF(Llave=128,IF(BD87="P",BE88,IF(BD94="P",BE93,"")))))</f>
        <v/>
      </c>
    </row>
    <row r="64" spans="2:72" x14ac:dyDescent="0.3">
      <c r="B64" s="413"/>
      <c r="C64" s="192"/>
      <c r="D64" s="229" t="str">
        <f>IF(D65="","",IF(ISTEXT(D65),IF(D65="","",IF(D65="Bye",0,VLOOKUP(D65,Rank_Points,3,FALSE)))))</f>
        <v/>
      </c>
      <c r="E64" s="192" t="str">
        <f>IF(D65&lt;&gt;"",IF(D65="","",IF(D65="BYE",0,IF(ISTEXT(D65),VLOOKUP(C65,Dist_Llav,6,FALSE),""))),"")</f>
        <v/>
      </c>
      <c r="F64" s="414"/>
      <c r="G64" s="419"/>
      <c r="H64" s="282"/>
      <c r="I64" s="283" t="str">
        <f>IF(I63=D62,D63,IF(I63=D65,D64,""))</f>
        <v/>
      </c>
      <c r="J64" s="423" t="str">
        <f>IF(ISNUMBER(I64),VLOOKUP(I63,Siembra,2,FALSE),"")</f>
        <v/>
      </c>
      <c r="K64" s="423"/>
      <c r="L64" s="278" t="str">
        <f>IF(I63="","",IF(M63="G",IF(I63=D62,G62+L66,G65+L66),IF(M63="P",IF(I63=D62,G62-L66,G65-L66),"")))</f>
        <v/>
      </c>
      <c r="M64" s="192"/>
      <c r="N64" s="192"/>
      <c r="O64" s="192"/>
      <c r="P64" s="287"/>
      <c r="Q64" s="192"/>
      <c r="R64" s="192"/>
      <c r="S64" s="192"/>
      <c r="T64" s="287"/>
      <c r="U64" s="192"/>
      <c r="V64" s="192"/>
      <c r="W64" s="192"/>
      <c r="X64" s="287"/>
      <c r="Y64" s="192"/>
      <c r="Z64" s="192"/>
      <c r="AA64" s="192"/>
      <c r="AB64" s="287"/>
      <c r="AC64" s="192"/>
      <c r="AD64" s="192"/>
      <c r="AE64" s="192"/>
      <c r="AF64" s="192"/>
      <c r="AG64" s="192"/>
      <c r="AH64" s="192"/>
      <c r="AI64" s="192"/>
      <c r="AJ64" s="192"/>
      <c r="AK64" s="192"/>
      <c r="AL64" s="192"/>
      <c r="AM64" s="192"/>
      <c r="AN64" s="192"/>
      <c r="AO64" s="289"/>
      <c r="AP64" s="192"/>
      <c r="AQ64" s="192"/>
      <c r="AR64" s="192"/>
      <c r="AS64" s="289"/>
      <c r="AT64" s="192"/>
      <c r="AU64" s="192"/>
      <c r="AV64" s="192"/>
      <c r="AW64" s="289"/>
      <c r="AX64" s="192"/>
      <c r="AY64" s="192"/>
      <c r="AZ64" s="192"/>
      <c r="BA64" s="289"/>
      <c r="BB64" s="192"/>
      <c r="BC64" s="192"/>
      <c r="BD64" s="192"/>
      <c r="BE64" s="279" t="str">
        <f>IF(BE63="","",IF(BD63="G",IF(BE63=BK62,BJ62+BE66,BJ65+BE66),IF(BD63="P",IF(BE63=BK62,BJ62-BE66,BJ65-BE66),"")))</f>
        <v/>
      </c>
      <c r="BF64" s="423" t="str">
        <f>IF(ISNUMBER(BE64),VLOOKUP(BE63,Siembra,2,FALSE),"")</f>
        <v/>
      </c>
      <c r="BG64" s="423"/>
      <c r="BH64" s="285" t="str">
        <f>IF(BE63=BK62,BM63,IF(BE63=BK65,BM64,""))</f>
        <v/>
      </c>
      <c r="BI64" s="286"/>
      <c r="BJ64" s="419"/>
      <c r="BK64" s="421"/>
      <c r="BL64" s="229" t="str">
        <f>IF(BK65&lt;&gt;"",IF(BK65="","",IF(BK65="BYE",0,IF(ISTEXT(BK65),VLOOKUP(BN65,Dist_Llav,6,FALSE),""))),"")</f>
        <v/>
      </c>
      <c r="BM64" s="280" t="str">
        <f>IF(BK65="","",IF(ISTEXT(BK65),IF(BK65="","",IF(BK65="Bye",0,VLOOKUP(BK65,Rank_Points,3,FALSE)))))</f>
        <v/>
      </c>
      <c r="BN64" s="422"/>
      <c r="BO64" s="422"/>
      <c r="BP64" s="181"/>
      <c r="BQ64" s="181">
        <f>IF(BS64="Bye",1,MAX(BQ$8:BQ63)+1)</f>
        <v>57</v>
      </c>
      <c r="BR64" s="314" t="str">
        <f t="shared" si="2"/>
        <v/>
      </c>
      <c r="BS64" s="181" t="str">
        <f>IF(OR(Llave&lt;64,Llave=""),"",IF(Llave=64,IF(OR(D146="Bye",D149="Bye"),"Bye",IF(H146="P",D146,IF(H149="P",D149,""))),IF(Llave=128,IF(BD99="P",BE99,IF(BD106="P",BE106,"")))))</f>
        <v/>
      </c>
      <c r="BT64" s="181" t="str">
        <f>IF(OR(Llave&lt;64,Llave=""),"",IF(Llave=64,IF(OR(D146="Bye",D149="Bye"),"",IF(H146="P",G146,IF(H149="P",G149,""))),IF(Llave=128,IF(BD99="P",BE100,IF(BD106="P",BE105,"")))))</f>
        <v/>
      </c>
    </row>
    <row r="65" spans="2:74" x14ac:dyDescent="0.3">
      <c r="B65" s="192">
        <f>B62+1</f>
        <v>22</v>
      </c>
      <c r="C65" s="192" t="str">
        <f>IF(Llave="","",IF(Llave&gt;1,IF(OR(Plyrs_val=Tot_Jug,Groups*2=Plyrs_val),HLOOKUP(Plyrs_val,Knockout,B65+1,FALSE)),""))</f>
        <v/>
      </c>
      <c r="D65" s="412" t="str">
        <f>IF(Llave="","",IF(Llave&gt;1,IF(C65="Bye","Bye",IF(OR(Plyrs_val=Tot_Jug,Groups*2=Plyrs_val),VLOOKUP(C65,Dist_Llav,4,FALSE),"")),""))</f>
        <v/>
      </c>
      <c r="E65" s="412"/>
      <c r="F65" s="412"/>
      <c r="G65" s="192" t="str">
        <f>IF(D65="","",IF(D65="Bye",0,IF(D62="Bye",E64,IF(H65="G",E64+G63,IF(H65="P",E64-G63,"")))))</f>
        <v/>
      </c>
      <c r="H65" s="166"/>
      <c r="I65" s="192"/>
      <c r="J65" s="192"/>
      <c r="K65" s="192"/>
      <c r="L65" s="287"/>
      <c r="M65" s="192"/>
      <c r="N65" s="192"/>
      <c r="O65" s="192"/>
      <c r="P65" s="287"/>
      <c r="Q65" s="192"/>
      <c r="R65" s="192"/>
      <c r="S65" s="192"/>
      <c r="T65" s="287"/>
      <c r="U65" s="192"/>
      <c r="V65" s="192"/>
      <c r="W65" s="192"/>
      <c r="X65" s="287"/>
      <c r="Y65" s="192"/>
      <c r="Z65" s="192"/>
      <c r="AA65" s="192"/>
      <c r="AB65" s="287"/>
      <c r="AC65" s="192"/>
      <c r="AD65" s="192"/>
      <c r="AE65" s="192"/>
      <c r="AF65" s="192"/>
      <c r="AG65" s="192"/>
      <c r="AH65" s="192"/>
      <c r="AI65" s="192"/>
      <c r="AJ65" s="192"/>
      <c r="AK65" s="192"/>
      <c r="AL65" s="192"/>
      <c r="AM65" s="192"/>
      <c r="AN65" s="192"/>
      <c r="AO65" s="289"/>
      <c r="AP65" s="192"/>
      <c r="AQ65" s="192"/>
      <c r="AR65" s="192"/>
      <c r="AS65" s="289"/>
      <c r="AT65" s="192"/>
      <c r="AU65" s="192"/>
      <c r="AV65" s="192"/>
      <c r="AW65" s="289"/>
      <c r="AX65" s="192"/>
      <c r="AY65" s="192"/>
      <c r="AZ65" s="192"/>
      <c r="BA65" s="289"/>
      <c r="BB65" s="192"/>
      <c r="BC65" s="192"/>
      <c r="BD65" s="192"/>
      <c r="BE65" s="289"/>
      <c r="BF65" s="192"/>
      <c r="BG65" s="192"/>
      <c r="BH65" s="192"/>
      <c r="BI65" s="166"/>
      <c r="BJ65" s="284" t="str">
        <f>IF(BK65="","",IF(BK65="Bye",0,IF(BK62="Bye",BL64,IF(BI65="G",BL64+BJ63,IF(BI65="P",BL64-BJ63,"")))))</f>
        <v/>
      </c>
      <c r="BK65" s="412" t="str">
        <f>IF(Llave="","",IF(Llave&gt;1,IF(BN65="Bye","Bye",IF(OR(Plyrs_val=Tot_Jug,Groups*2=Plyrs_val),VLOOKUP(BN65,Dist_Llav,4,FALSE),"")),""))</f>
        <v/>
      </c>
      <c r="BL65" s="412"/>
      <c r="BM65" s="412"/>
      <c r="BN65" s="229" t="str">
        <f>IF(Llave=128,IF(OR(Plyrs_val=Tot_Jug,Groups*2=Plyrs_val),HLOOKUP(Plyrs_val,Knockout,BO65+1,FALSE)),"")</f>
        <v/>
      </c>
      <c r="BO65" s="229">
        <f>BO62+1</f>
        <v>86</v>
      </c>
      <c r="BP65" s="181"/>
      <c r="BQ65" s="181">
        <f>IF(BS65="Bye",1,MAX(BQ$8:BQ64)+1)</f>
        <v>58</v>
      </c>
      <c r="BR65" s="314" t="str">
        <f t="shared" si="2"/>
        <v/>
      </c>
      <c r="BS65" s="181" t="str">
        <f>IF(OR(Llave&lt;64,Llave=""),"",IF(Llave=64,IF(OR(D152="Bye",D155="Bye"),"Bye",IF(H152="P",D152,IF(H155="P",D155,""))),IF(Llave=128,IF(BD111="P",BE111,IF(BD118="P",BE118,"")))))</f>
        <v/>
      </c>
      <c r="BT65" s="181" t="str">
        <f>IF(OR(Llave&lt;64,Llave=""),"",IF(Llave=64,IF(OR(D152="Bye",D155="Bye"),"",IF(H152="P",G152,IF(H155="P",G155,""))),IF(Llave=128,IF(BD111="P",BE112,IF(BD118="P",BE117,"")))))</f>
        <v/>
      </c>
    </row>
    <row r="66" spans="2:74" x14ac:dyDescent="0.3">
      <c r="B66" s="192"/>
      <c r="C66" s="192"/>
      <c r="D66" s="192"/>
      <c r="E66" s="192"/>
      <c r="F66" s="192"/>
      <c r="G66" s="192"/>
      <c r="H66" s="192"/>
      <c r="I66" s="413" t="str">
        <f>IF(Llave="","",I54+1)</f>
        <v/>
      </c>
      <c r="J66" s="192"/>
      <c r="K66" s="414" t="s">
        <v>170</v>
      </c>
      <c r="L66" s="415" t="str">
        <f>IF(OR(I63="",I70=""),"",IF(OR(I63="Bye",I70="Bye"),0,IF(AND(M63="",M70=""),"",IF(AND(M63="G",M70="P"),IF(I64&gt;=I69,VLOOKUP(ABS(I64-I69),Point_dif,2,TRUE),VLOOKUP(ABS(I64-I69),Point_dif,3,TRUE)),IF(AND(M63="P",M70="G"),IF(I69&gt;=I64,VLOOKUP(ABS(I64-I69),Point_dif,2,TRUE),VLOOKUP(ABS(I64-I69),Point_dif,3,TRUE)))))))</f>
        <v/>
      </c>
      <c r="M66" s="275" t="str">
        <f>IF(M67=I63,I64,IF(M67=I70,I69,""))</f>
        <v/>
      </c>
      <c r="N66" s="417" t="str">
        <f>IF(ISNUMBER(M66),VLOOKUP(M67,Siembra,2,FALSE),"")</f>
        <v/>
      </c>
      <c r="O66" s="417"/>
      <c r="P66" s="282" t="str">
        <f>IF(M67="","",IF(Q67="G",IF(M67=I63,L64+P60,L69+P60),IF(Q67="P",IF(M67=I63,L64-P60,L69-P60),"")))</f>
        <v/>
      </c>
      <c r="Q66" s="192"/>
      <c r="R66" s="192"/>
      <c r="S66" s="192"/>
      <c r="T66" s="287"/>
      <c r="U66" s="192"/>
      <c r="V66" s="192"/>
      <c r="W66" s="192"/>
      <c r="X66" s="287"/>
      <c r="Y66" s="192"/>
      <c r="Z66" s="192"/>
      <c r="AA66" s="192"/>
      <c r="AB66" s="287"/>
      <c r="AC66" s="192"/>
      <c r="AD66" s="192"/>
      <c r="AE66" s="192"/>
      <c r="AF66" s="192"/>
      <c r="AG66" s="192"/>
      <c r="AH66" s="192"/>
      <c r="AI66" s="192"/>
      <c r="AJ66" s="192"/>
      <c r="AK66" s="192"/>
      <c r="AL66" s="192"/>
      <c r="AM66" s="192"/>
      <c r="AN66" s="192"/>
      <c r="AO66" s="289"/>
      <c r="AP66" s="192"/>
      <c r="AQ66" s="192"/>
      <c r="AR66" s="192"/>
      <c r="AS66" s="289"/>
      <c r="AT66" s="192"/>
      <c r="AU66" s="192"/>
      <c r="AV66" s="192"/>
      <c r="AW66" s="289"/>
      <c r="AX66" s="192"/>
      <c r="AY66" s="192"/>
      <c r="AZ66" s="192"/>
      <c r="BA66" s="286" t="str">
        <f>IF(BE63="","",IF(AZ67="G",IF(BA67=BE63,BE64+BA60,BE69+BA60),IF(AZ67="P",IF(BA67=BE63,BE64-BA60,BE69-BA60),"")))</f>
        <v/>
      </c>
      <c r="BB66" s="417" t="str">
        <f>IF(ISNUMBER(BA66),VLOOKUP(BA67,Siembra,2,FALSE),"")</f>
        <v/>
      </c>
      <c r="BC66" s="417"/>
      <c r="BD66" s="282" t="str">
        <f>IF(BA67=BE63,BH64,IF(BA67=BE70,BH69,""))</f>
        <v/>
      </c>
      <c r="BE66" s="424" t="str">
        <f>IF(OR(BE63="",BE70=""),"",IF(OR(BE63="Bye",BE70="Bye"),0,IF(AND(BD63="",BD70=""),"",IF(AND(BD63="G",BD70="P"),IF(BH64&gt;=BH69,VLOOKUP(ABS(BH64-BH69),Point_dif,2,TRUE),VLOOKUP(ABS(BH64-BH69),Point_dif,3,TRUE)),IF(AND(BD63="P",BD70="G"),IF(BH69&gt;=BH64,VLOOKUP(ABS(BH64-BH69),Point_dif,2,TRUE),VLOOKUP(ABS(BH64-BH69),Point_dif,3,TRUE)))))))</f>
        <v/>
      </c>
      <c r="BF66" s="421" t="s">
        <v>170</v>
      </c>
      <c r="BG66" s="281"/>
      <c r="BH66" s="413" t="str">
        <f>IF(Llave=128,BH54+1,"")</f>
        <v/>
      </c>
      <c r="BI66" s="192"/>
      <c r="BJ66" s="192"/>
      <c r="BK66" s="192"/>
      <c r="BL66" s="192"/>
      <c r="BM66" s="192"/>
      <c r="BN66" s="192"/>
      <c r="BO66" s="192"/>
      <c r="BP66" s="181"/>
      <c r="BQ66" s="181">
        <f>IF(BS66="Bye",1,MAX(BQ$8:BQ65)+1)</f>
        <v>59</v>
      </c>
      <c r="BR66" s="314" t="str">
        <f t="shared" si="2"/>
        <v/>
      </c>
      <c r="BS66" s="181" t="str">
        <f>IF(OR(Llave&lt;64,Llave=""),"",IF(Llave=64,IF(OR(D158="Bye",D161="Bye"),"Bye",IF(H158="P",D158,IF(H161="P",D161,""))),IF(Llave=128,IF(BD123="P",BE123,IF(BD130="P",BE130,"")))))</f>
        <v/>
      </c>
      <c r="BT66" s="181" t="str">
        <f>IF(OR(Llave&lt;64,Llave=""),"",IF(Llave=64,IF(OR(D158="Bye",D161="Bye"),"",IF(H158="P",G158,IF(H161="P",G161,""))),IF(Llave=128,IF(BD123="P",BE124,IF(BD130="P",BE129,"")))))</f>
        <v/>
      </c>
    </row>
    <row r="67" spans="2:74" x14ac:dyDescent="0.3">
      <c r="B67" s="192"/>
      <c r="C67" s="192"/>
      <c r="D67" s="192"/>
      <c r="E67" s="192"/>
      <c r="F67" s="192"/>
      <c r="G67" s="272" t="s">
        <v>219</v>
      </c>
      <c r="H67" s="192"/>
      <c r="I67" s="413"/>
      <c r="J67" s="192"/>
      <c r="K67" s="414"/>
      <c r="L67" s="415"/>
      <c r="M67" s="425" t="str">
        <f>IF(AND(M63="",M70=""),"",IF(AND(M63="G",M70="P"),I63,IF(AND(M70="G",M63="P"),I70,"Corregir ganador y perdedor")))</f>
        <v/>
      </c>
      <c r="N67" s="423"/>
      <c r="O67" s="423"/>
      <c r="P67" s="423"/>
      <c r="Q67" s="167"/>
      <c r="R67" s="192"/>
      <c r="S67" s="192"/>
      <c r="T67" s="287"/>
      <c r="U67" s="192"/>
      <c r="V67" s="192"/>
      <c r="W67" s="192"/>
      <c r="X67" s="287"/>
      <c r="Y67" s="192"/>
      <c r="Z67" s="192"/>
      <c r="AA67" s="192"/>
      <c r="AB67" s="287"/>
      <c r="AC67" s="192"/>
      <c r="AD67" s="192"/>
      <c r="AE67" s="192"/>
      <c r="AF67" s="192"/>
      <c r="AG67" s="192"/>
      <c r="AH67" s="192"/>
      <c r="AI67" s="192"/>
      <c r="AJ67" s="192"/>
      <c r="AK67" s="192"/>
      <c r="AL67" s="192"/>
      <c r="AM67" s="192"/>
      <c r="AN67" s="192"/>
      <c r="AO67" s="289"/>
      <c r="AP67" s="192"/>
      <c r="AQ67" s="192"/>
      <c r="AR67" s="192"/>
      <c r="AS67" s="289"/>
      <c r="AT67" s="192"/>
      <c r="AU67" s="192"/>
      <c r="AV67" s="192"/>
      <c r="AW67" s="289"/>
      <c r="AX67" s="192"/>
      <c r="AY67" s="192"/>
      <c r="AZ67" s="166"/>
      <c r="BA67" s="423" t="str">
        <f>IF(AND(BD63="",BD70=""),"",IF(AND(BD63="G",BD70="P"),BE63,IF(AND(BD70="G",BD63="P"),BE70,"Corregir ganador y perdedor")))</f>
        <v/>
      </c>
      <c r="BB67" s="423"/>
      <c r="BC67" s="423"/>
      <c r="BD67" s="426"/>
      <c r="BE67" s="424"/>
      <c r="BF67" s="421"/>
      <c r="BG67" s="281"/>
      <c r="BH67" s="413"/>
      <c r="BI67" s="273"/>
      <c r="BJ67" s="274" t="s">
        <v>220</v>
      </c>
      <c r="BK67" s="192"/>
      <c r="BL67" s="192"/>
      <c r="BM67" s="192"/>
      <c r="BN67" s="192"/>
      <c r="BO67" s="192"/>
      <c r="BP67" s="181"/>
      <c r="BQ67" s="181">
        <f>IF(BS67="Bye",1,MAX(BQ$8:BQ66)+1)</f>
        <v>60</v>
      </c>
      <c r="BR67" s="314" t="str">
        <f t="shared" si="2"/>
        <v/>
      </c>
      <c r="BS67" s="181" t="str">
        <f>IF(OR(Llave&lt;64,Llave=""),"",IF(Llave=64,IF(OR(D164="Bye",D167="Bye"),"Bye",IF(H164="P",D164,IF(H167="P",D167,""))),IF(Llave=128,IF(BD135="P",BE135,IF(BD142="P",BE142,"")))))</f>
        <v/>
      </c>
      <c r="BT67" s="181" t="str">
        <f>IF(OR(Llave&lt;64,Llave=""),"",IF(Llave=64,IF(OR(D164="Bye",D167="Bye"),"",IF(H164="P",G164,IF(H167="P",G167,""))),IF(Llave=128,IF(BD135="P",BE136,IF(BD142="P",BE141,"")))))</f>
        <v/>
      </c>
    </row>
    <row r="68" spans="2:74" x14ac:dyDescent="0.3">
      <c r="B68" s="192">
        <f>B65+1</f>
        <v>23</v>
      </c>
      <c r="C68" s="192" t="str">
        <f>IF(Llave="","",IF(Llave&gt;1,IF(OR(Plyrs_val=Tot_Jug,Groups*2=Plyrs_val),HLOOKUP(Plyrs_val,Knockout,B68+1,FALSE)),""))</f>
        <v/>
      </c>
      <c r="D68" s="411" t="str">
        <f>IF(Llave="","",IF(Llave&gt;1,IF(C68="Bye","Bye",IF(OR(Plyrs_val=Tot_Jug,Groups*2=Plyrs_val),VLOOKUP(C68,Dist_Llav,4,FALSE),"")),""))</f>
        <v/>
      </c>
      <c r="E68" s="411"/>
      <c r="F68" s="411"/>
      <c r="G68" s="192" t="str">
        <f>IF(D68="","",IF(D68="Bye",0,IF(D71="Bye",E69,IF(H68="G",E69+G69,IF(H68="P",E69-G69,"")))))</f>
        <v/>
      </c>
      <c r="H68" s="166"/>
      <c r="I68" s="192"/>
      <c r="J68" s="192"/>
      <c r="K68" s="192"/>
      <c r="L68" s="287"/>
      <c r="M68" s="192"/>
      <c r="N68" s="192"/>
      <c r="O68" s="192"/>
      <c r="P68" s="192"/>
      <c r="Q68" s="192"/>
      <c r="R68" s="192"/>
      <c r="S68" s="192"/>
      <c r="T68" s="287"/>
      <c r="U68" s="192"/>
      <c r="V68" s="192"/>
      <c r="W68" s="192"/>
      <c r="X68" s="287"/>
      <c r="Y68" s="192"/>
      <c r="Z68" s="192"/>
      <c r="AA68" s="192"/>
      <c r="AB68" s="287"/>
      <c r="AC68" s="192"/>
      <c r="AD68" s="192"/>
      <c r="AE68" s="192"/>
      <c r="AF68" s="192"/>
      <c r="AG68" s="192"/>
      <c r="AH68" s="192"/>
      <c r="AI68" s="192"/>
      <c r="AJ68" s="192"/>
      <c r="AK68" s="192"/>
      <c r="AL68" s="192"/>
      <c r="AM68" s="192"/>
      <c r="AN68" s="192"/>
      <c r="AO68" s="289"/>
      <c r="AP68" s="192"/>
      <c r="AQ68" s="192"/>
      <c r="AR68" s="192"/>
      <c r="AS68" s="289"/>
      <c r="AT68" s="192"/>
      <c r="AU68" s="192"/>
      <c r="AV68" s="192"/>
      <c r="AW68" s="289"/>
      <c r="AX68" s="192"/>
      <c r="AY68" s="192"/>
      <c r="AZ68" s="192"/>
      <c r="BA68" s="192"/>
      <c r="BB68" s="192"/>
      <c r="BC68" s="192"/>
      <c r="BD68" s="192"/>
      <c r="BE68" s="289"/>
      <c r="BF68" s="192"/>
      <c r="BG68" s="192"/>
      <c r="BH68" s="192"/>
      <c r="BI68" s="166"/>
      <c r="BJ68" s="192" t="str">
        <f>IF(BK68="","",IF(BK68="Bye",0,IF(BK71="Bye",BL69,IF(BI68="G",BL69+BJ69,IF(BI68="P",BL69-BJ69,"")))))</f>
        <v/>
      </c>
      <c r="BK68" s="411" t="str">
        <f>IF(Llave="","",IF(Llave&gt;1,IF(BN68="Bye","Bye",IF(OR(Plyrs_val=Tot_Jug,Groups*2=Plyrs_val),VLOOKUP(BN68,Dist_Llav,4,FALSE),"")),""))</f>
        <v/>
      </c>
      <c r="BL68" s="411"/>
      <c r="BM68" s="411"/>
      <c r="BN68" s="229" t="str">
        <f>IF(Llave=128,IF(OR(Plyrs_val=Tot_Jug,Groups*2=Plyrs_val),HLOOKUP(Plyrs_val,Knockout,BO68+1,FALSE)),"")</f>
        <v/>
      </c>
      <c r="BO68" s="229">
        <f>BO65+1</f>
        <v>87</v>
      </c>
      <c r="BP68" s="181"/>
      <c r="BQ68" s="181">
        <f>IF(BS68="Bye",1,MAX(BQ$8:BQ67)+1)</f>
        <v>61</v>
      </c>
      <c r="BR68" s="314" t="str">
        <f t="shared" si="2"/>
        <v/>
      </c>
      <c r="BS68" s="181" t="str">
        <f>IF(OR(Llave&lt;64,Llave=""),"",IF(Llave=64,IF(OR(D170="Bye",D173="Bye"),"Bye",IF(H170="P",D170,IF(H173="P",D173,""))),IF(Llave=128,IF(BD147="P",BE147,IF(BD154="P",BE154,"")))))</f>
        <v/>
      </c>
      <c r="BT68" s="181" t="str">
        <f>IF(OR(Llave&lt;64,Llave=""),"",IF(Llave=64,IF(OR(D170="Bye",D173="Bye"),"",IF(H170="P",G170,IF(H173="P",G173,""))),IF(Llave=128,IF(BD147="P",BE148,IF(BD154="P",BE153,"")))))</f>
        <v/>
      </c>
    </row>
    <row r="69" spans="2:74" x14ac:dyDescent="0.3">
      <c r="B69" s="413" t="str">
        <f>IF(Llave="","",B63+1)</f>
        <v/>
      </c>
      <c r="C69" s="192"/>
      <c r="D69" s="229" t="str">
        <f>IF(D68="","",IF(ISTEXT(D68),IF(D68="","",IF(D68="Bye",0,VLOOKUP(D68,Rank_Points,3,FALSE)))))</f>
        <v/>
      </c>
      <c r="E69" s="192" t="str">
        <f>IF(D68&lt;&gt;"",IF(D68="","",IF(D68="BYE",0,IF(ISTEXT(D68),VLOOKUP(C68,Dist_Llav,6,FALSE),""))),"")</f>
        <v/>
      </c>
      <c r="F69" s="414" t="s">
        <v>170</v>
      </c>
      <c r="G69" s="418" t="str">
        <f>IF(OR(D68="",D71=""),"",IF(OR(D68="Bye",D71="Bye"),0,IF(AND(H68="",H71=""),"",IF(AND(H68="G",H71="P"),IF(D69&gt;=D70,VLOOKUP(ABS(D69-D70),Point_dif,2,TRUE),VLOOKUP(ABS(D69-D70),Point_dif,3,TRUE)),IF(AND(H68="P",H71="G"),IF(D70&gt;=D69,VLOOKUP(ABS(D69-D70),Point_dif,2,TRUE),VLOOKUP(ABS(D69-D70),Point_dif,3,TRUE)))))))</f>
        <v/>
      </c>
      <c r="H69" s="278"/>
      <c r="I69" s="275" t="str">
        <f>IF(I70=D68,D69,IF(I70=D71,D70,""))</f>
        <v/>
      </c>
      <c r="J69" s="417" t="str">
        <f>IF(ISNUMBER(I69),VLOOKUP(I70,Siembra,2,FALSE),"")</f>
        <v/>
      </c>
      <c r="K69" s="417"/>
      <c r="L69" s="282" t="str">
        <f>IF(I70="","",IF(M70="G",IF(I70=D68,G68+L66,G71+L66),IF(M70="P",IF(I70=D68,G68-L66,G71-L66),"")))</f>
        <v/>
      </c>
      <c r="M69" s="192"/>
      <c r="N69" s="192"/>
      <c r="O69" s="192"/>
      <c r="P69" s="192"/>
      <c r="Q69" s="192"/>
      <c r="R69" s="192"/>
      <c r="S69" s="192"/>
      <c r="T69" s="287"/>
      <c r="U69" s="192"/>
      <c r="V69" s="192"/>
      <c r="W69" s="192"/>
      <c r="X69" s="287"/>
      <c r="Y69" s="192"/>
      <c r="Z69" s="192"/>
      <c r="AA69" s="192"/>
      <c r="AB69" s="287"/>
      <c r="AC69" s="192"/>
      <c r="AD69" s="192"/>
      <c r="AE69" s="192"/>
      <c r="AF69" s="192"/>
      <c r="AG69" s="192"/>
      <c r="AH69" s="192"/>
      <c r="AI69" s="192"/>
      <c r="AJ69" s="192"/>
      <c r="AK69" s="192"/>
      <c r="AL69" s="192"/>
      <c r="AM69" s="192"/>
      <c r="AN69" s="192"/>
      <c r="AO69" s="289"/>
      <c r="AP69" s="192"/>
      <c r="AQ69" s="192"/>
      <c r="AR69" s="192"/>
      <c r="AS69" s="289"/>
      <c r="AT69" s="192"/>
      <c r="AU69" s="192"/>
      <c r="AV69" s="192"/>
      <c r="AW69" s="289"/>
      <c r="AX69" s="192"/>
      <c r="AY69" s="192"/>
      <c r="AZ69" s="192"/>
      <c r="BA69" s="192"/>
      <c r="BB69" s="192"/>
      <c r="BC69" s="192"/>
      <c r="BD69" s="192"/>
      <c r="BE69" s="286" t="str">
        <f>IF(BE70="","",IF(BD70="G",IF(BE70=BK68,BJ68+BE66,BJ71+BE66),IF(BD70="P",IF(BE70=BK68,BJ68-BE66,BJ71-BE66),"")))</f>
        <v/>
      </c>
      <c r="BF69" s="417" t="str">
        <f>IF(ISNUMBER(BE69),VLOOKUP(BE70,Siembra,2,FALSE),"")</f>
        <v/>
      </c>
      <c r="BG69" s="417"/>
      <c r="BH69" s="282" t="str">
        <f>IF(BE70=BK68,BM69,IF(BE70=BK71,BM70,""))</f>
        <v/>
      </c>
      <c r="BI69" s="279"/>
      <c r="BJ69" s="418" t="str">
        <f>IF(OR(BK68="",BK71=""),"",IF(OR(BK68="Bye",BK71="Bye"),0,IF(AND(BI68="",BI71=""),"",IF(AND(BI68="G",BI71="P"),IF(BM69&gt;=BM70,VLOOKUP(ABS(BM69-BM70),Point_dif,2,TRUE),VLOOKUP(ABS(BM69-BM70),Point_dif,3,TRUE)),IF(AND(BI68="P",BI71="G"),IF(BM70&gt;=BM69,VLOOKUP(ABS(BM69-BM70),Point_dif,2,TRUE),VLOOKUP(ABS(BM69-BM70),Point_dif,3,TRUE)))))))</f>
        <v/>
      </c>
      <c r="BK69" s="420" t="s">
        <v>170</v>
      </c>
      <c r="BL69" s="229" t="str">
        <f>IF(BK68&lt;&gt;"",IF(BK68="","",IF(BK68="BYE",0,IF(ISTEXT(BK68),VLOOKUP(BN68,Dist_Llav,6,FALSE),""))),"")</f>
        <v/>
      </c>
      <c r="BM69" s="280" t="str">
        <f>IF(BK68="","",IF(ISTEXT(BK68),IF(BK68="","",IF(BK68="Bye",0,VLOOKUP(BK68,Rank_Points,3,FALSE)))))</f>
        <v/>
      </c>
      <c r="BN69" s="422"/>
      <c r="BO69" s="422" t="str">
        <f>IF(Llave=128,BO63+1,"")</f>
        <v/>
      </c>
      <c r="BP69" s="181"/>
      <c r="BQ69" s="181">
        <f>IF(BS69="Bye",1,MAX(BQ$8:BQ68)+1)</f>
        <v>62</v>
      </c>
      <c r="BR69" s="314" t="str">
        <f t="shared" si="2"/>
        <v/>
      </c>
      <c r="BS69" s="181" t="str">
        <f>IF(OR(Llave&lt;64,Llave=""),"",IF(Llave=64,IF(OR(D176="Bye",D179="Bye"),"Bye",IF(H176="P",D176,IF(H179="P",D179,""))),IF(Llave=128,IF(BD159="P",BE159,IF(BD166="P",BE166,"")))))</f>
        <v/>
      </c>
      <c r="BT69" s="181" t="str">
        <f>IF(OR(Llave&lt;64,Llave=""),"",IF(Llave=64,IF(OR(D176="Bye",D179="Bye"),"",IF(H176="P",G176,IF(H179="P",G179,""))),IF(Llave=128,IF(BD159="P",BE160,IF(BD166="P",BE165,"")))))</f>
        <v/>
      </c>
    </row>
    <row r="70" spans="2:74" x14ac:dyDescent="0.3">
      <c r="B70" s="413"/>
      <c r="C70" s="192"/>
      <c r="D70" s="229" t="str">
        <f>IF(D71="","",IF(ISTEXT(D71),IF(D71="","",IF(D71="Bye",0,VLOOKUP(D71,Rank_Points,3,FALSE)))))</f>
        <v/>
      </c>
      <c r="E70" s="192" t="str">
        <f>IF(D71&lt;&gt;"",IF(D71="","",IF(D71="BYE",0,IF(ISTEXT(D71),VLOOKUP(C71,Dist_Llav,6,FALSE),""))),"")</f>
        <v/>
      </c>
      <c r="F70" s="414"/>
      <c r="G70" s="419"/>
      <c r="H70" s="282"/>
      <c r="I70" s="425" t="str">
        <f>IF(D68="Bye",D71,IF(D71="Bye",D68,IF(AND(H68="",H71=""),"",IF(AND(H68="G",H71="P"),D68,IF(AND(H71="G",H68="P"),D71,"Corregir ganador y perdedor")))))</f>
        <v/>
      </c>
      <c r="J70" s="423"/>
      <c r="K70" s="423"/>
      <c r="L70" s="423"/>
      <c r="M70" s="167"/>
      <c r="N70" s="192"/>
      <c r="O70" s="192"/>
      <c r="P70" s="192"/>
      <c r="Q70" s="192"/>
      <c r="R70" s="192"/>
      <c r="S70" s="192"/>
      <c r="T70" s="287"/>
      <c r="U70" s="192"/>
      <c r="V70" s="192"/>
      <c r="W70" s="192"/>
      <c r="X70" s="287"/>
      <c r="Y70" s="192"/>
      <c r="Z70" s="192"/>
      <c r="AA70" s="192"/>
      <c r="AB70" s="287"/>
      <c r="AC70" s="192"/>
      <c r="AD70" s="192"/>
      <c r="AE70" s="192"/>
      <c r="AF70" s="192"/>
      <c r="AG70" s="192"/>
      <c r="AH70" s="192"/>
      <c r="AI70" s="192"/>
      <c r="AJ70" s="192"/>
      <c r="AK70" s="192"/>
      <c r="AL70" s="192"/>
      <c r="AM70" s="192"/>
      <c r="AN70" s="192"/>
      <c r="AO70" s="289"/>
      <c r="AP70" s="192"/>
      <c r="AQ70" s="192"/>
      <c r="AR70" s="192"/>
      <c r="AS70" s="289"/>
      <c r="AT70" s="192"/>
      <c r="AU70" s="192"/>
      <c r="AV70" s="192"/>
      <c r="AW70" s="289"/>
      <c r="AX70" s="192"/>
      <c r="AY70" s="192"/>
      <c r="AZ70" s="192"/>
      <c r="BA70" s="192"/>
      <c r="BB70" s="192"/>
      <c r="BC70" s="192"/>
      <c r="BD70" s="166"/>
      <c r="BE70" s="423" t="str">
        <f>IF(BK71="Bye",BK68,IF(BK68="Bye",BK71,IF(AND(BI68="",BI71=""),"",IF(AND(BI68="G",BI71="P"),BK68,IF(AND(BI71="G",BI68="P"),BK71,"Corregir ganador y perdedor")))))</f>
        <v/>
      </c>
      <c r="BF70" s="423"/>
      <c r="BG70" s="423"/>
      <c r="BH70" s="426"/>
      <c r="BI70" s="286"/>
      <c r="BJ70" s="419"/>
      <c r="BK70" s="421"/>
      <c r="BL70" s="229" t="str">
        <f>IF(BK71&lt;&gt;"",IF(BK71="","",IF(BK71="BYE",0,IF(ISTEXT(BK71),VLOOKUP(BN71,Dist_Llav,6,FALSE),""))),"")</f>
        <v/>
      </c>
      <c r="BM70" s="280" t="str">
        <f>IF(BK71="","",IF(ISTEXT(BK71),IF(BK71="","",IF(BK71="Bye",0,VLOOKUP(BK71,Rank_Points,3,FALSE)))))</f>
        <v/>
      </c>
      <c r="BN70" s="422"/>
      <c r="BO70" s="422"/>
      <c r="BP70" s="181"/>
      <c r="BQ70" s="181">
        <f>IF(BS70="Bye",1,MAX(BQ$8:BQ69)+1)</f>
        <v>63</v>
      </c>
      <c r="BR70" s="314" t="str">
        <f t="shared" si="2"/>
        <v/>
      </c>
      <c r="BS70" s="181" t="str">
        <f>IF(OR(Llave&lt;64,Llave=""),"",IF(Llave=64,IF(OR(D182="Bye",D185="Bye"),"Bye",IF(H182="P",D182,IF(H185="P",D185,""))),IF(Llave=128,IF(BD171="P",BE171,IF(BD178="P",BE178,"")))))</f>
        <v/>
      </c>
      <c r="BT70" s="181" t="str">
        <f>IF(OR(Llave&lt;64,Llave=""),"",IF(Llave=64,IF(OR(D182="Bye",D185="Bye"),"",IF(H182="P",G182,IF(H185="P",G185,""))),IF(Llave=128,IF(BD171="P",BE172,IF(BD178="P",BE177,"")))))</f>
        <v/>
      </c>
    </row>
    <row r="71" spans="2:74" x14ac:dyDescent="0.3">
      <c r="B71" s="192">
        <f>B68+1</f>
        <v>24</v>
      </c>
      <c r="C71" s="192" t="str">
        <f>IF(Llave="","",IF(Llave&gt;1,IF(OR(Plyrs_val=Tot_Jug,Groups*2=Plyrs_val),HLOOKUP(Plyrs_val,Knockout,B71+1,FALSE)),""))</f>
        <v/>
      </c>
      <c r="D71" s="412" t="str">
        <f>IF(Llave="","",IF(Llave&gt;1,IF(C71="Bye","Bye",IF(OR(Plyrs_val=Tot_Jug,Groups*2=Plyrs_val),VLOOKUP(C71,Dist_Llav,4,FALSE),"")),""))</f>
        <v/>
      </c>
      <c r="E71" s="412"/>
      <c r="F71" s="412"/>
      <c r="G71" s="192" t="str">
        <f>IF(D71="","",IF(D71="Bye",0,IF(D68="Bye",E70,IF(H71="G",E70+G69,IF(H71="P",E70-G69,"")))))</f>
        <v/>
      </c>
      <c r="H71" s="166"/>
      <c r="I71" s="192"/>
      <c r="J71" s="192"/>
      <c r="K71" s="192"/>
      <c r="L71" s="192"/>
      <c r="M71" s="192"/>
      <c r="N71" s="192"/>
      <c r="O71" s="192"/>
      <c r="P71" s="192"/>
      <c r="Q71" s="192"/>
      <c r="R71" s="192"/>
      <c r="S71" s="192"/>
      <c r="T71" s="287"/>
      <c r="U71" s="192"/>
      <c r="V71" s="192"/>
      <c r="W71" s="192"/>
      <c r="X71" s="287"/>
      <c r="Y71" s="192"/>
      <c r="Z71" s="192"/>
      <c r="AA71" s="192"/>
      <c r="AB71" s="287"/>
      <c r="AC71" s="192"/>
      <c r="AD71" s="192"/>
      <c r="AE71" s="192"/>
      <c r="AF71" s="192"/>
      <c r="AG71" s="192"/>
      <c r="AH71" s="192"/>
      <c r="AI71" s="192"/>
      <c r="AJ71" s="192"/>
      <c r="AK71" s="192"/>
      <c r="AL71" s="192"/>
      <c r="AM71" s="192"/>
      <c r="AN71" s="192"/>
      <c r="AO71" s="289"/>
      <c r="AP71" s="192"/>
      <c r="AQ71" s="192"/>
      <c r="AR71" s="192"/>
      <c r="AS71" s="289"/>
      <c r="AT71" s="192"/>
      <c r="AU71" s="192"/>
      <c r="AV71" s="192"/>
      <c r="AW71" s="424" t="str">
        <f>IF(OR(AW60="",AW85=""),"",IF(AND(AV60="",AV85=""),"",IF(AND(AV60="G",AV85="P"),IF(AZ61&gt;=AZ84,VLOOKUP(ABS(AZ61-AZ84),Point_dif,2,TRUE),VLOOKUP(ABS(AZ61-AZ84),Point_dif,3,TRUE)),IF(AND(AV60="P",AV85="G"),IF(AZ84&gt;=AZ61,VLOOKUP(ABS(AZ61-AZ84),Point_dif,2,TRUE),VLOOKUP(ABS(AZ61-AZ84),Point_dif,3,TRUE))))))</f>
        <v/>
      </c>
      <c r="AX71" s="421" t="s">
        <v>170</v>
      </c>
      <c r="AY71" s="413" t="str">
        <f>IF(Llave=128,AY23+1,"")</f>
        <v/>
      </c>
      <c r="AZ71" s="181"/>
      <c r="BA71" s="192"/>
      <c r="BB71" s="192"/>
      <c r="BC71" s="192"/>
      <c r="BD71" s="192"/>
      <c r="BE71" s="192"/>
      <c r="BF71" s="192"/>
      <c r="BG71" s="192"/>
      <c r="BH71" s="192"/>
      <c r="BI71" s="166"/>
      <c r="BJ71" s="284" t="str">
        <f>IF(BK71="","",IF(BK71="Bye",0,IF(BK68="Bye",BL70,IF(BI71="G",BL70+BJ69,IF(BI71="P",BL70-BJ69,"")))))</f>
        <v/>
      </c>
      <c r="BK71" s="412" t="str">
        <f>IF(Llave="","",IF(Llave&gt;1,IF(BN71="Bye","Bye",IF(OR(Plyrs_val=Tot_Jug,Groups*2=Plyrs_val),VLOOKUP(BN71,Dist_Llav,4,FALSE),"")),""))</f>
        <v/>
      </c>
      <c r="BL71" s="412"/>
      <c r="BM71" s="412"/>
      <c r="BN71" s="229" t="str">
        <f>IF(Llave=128,IF(OR(Plyrs_val=Tot_Jug,Groups*2=Plyrs_val),HLOOKUP(Plyrs_val,Knockout,BO71+1,FALSE)),"")</f>
        <v/>
      </c>
      <c r="BO71" s="229">
        <f>BO68+1</f>
        <v>88</v>
      </c>
      <c r="BP71" s="181"/>
      <c r="BQ71" s="181">
        <f>IF(BS71="Bye",1,MAX(BQ$8:BQ70)+1)</f>
        <v>64</v>
      </c>
      <c r="BR71" s="314" t="str">
        <f t="shared" si="2"/>
        <v/>
      </c>
      <c r="BS71" s="181" t="str">
        <f>IF(OR(Llave&lt;64,Llave=""),"",IF(Llave=64,IF(OR(D188="Bye",D191="Bye"),"Bye",IF(H188="P",D188,IF(H191="P",D191,""))),IF(Llave=128,IF(BD183="P",BE183,IF(BD190="P",BE190,"")))))</f>
        <v/>
      </c>
      <c r="BT71" s="181" t="str">
        <f>IF(OR(Llave&lt;64,Llave=""),"",IF(Llave=64,IF(OR(D188="Bye",D191="Bye"),"",IF(H188="P",G188,IF(H191="P",G191,""))),IF(Llave=128,IF(BD183="P",BE184,IF(BD190="P",BE189,"")))))</f>
        <v/>
      </c>
      <c r="BV71"/>
    </row>
    <row r="72" spans="2:74" x14ac:dyDescent="0.3">
      <c r="B72" s="192"/>
      <c r="C72" s="192"/>
      <c r="D72" s="192"/>
      <c r="E72" s="192"/>
      <c r="F72" s="192"/>
      <c r="G72" s="192"/>
      <c r="H72" s="192"/>
      <c r="I72" s="192"/>
      <c r="J72" s="192"/>
      <c r="K72" s="192"/>
      <c r="L72" s="192"/>
      <c r="M72" s="192"/>
      <c r="N72" s="192"/>
      <c r="O72" s="192"/>
      <c r="P72" s="192"/>
      <c r="Q72" s="181"/>
      <c r="R72" s="413">
        <f>R24+1</f>
        <v>3</v>
      </c>
      <c r="S72" s="414" t="s">
        <v>170</v>
      </c>
      <c r="T72" s="415" t="str">
        <f>IF(OR(Q60="",Q85=""),"",IF(OR(Q60="Bye",Q85="Bye"),0,IF(AND(U60="",U85=""),"",IF(AND(U60="G",U85="P"),IF(Q61&gt;=Q84,VLOOKUP(ABS(Q61-Q84),Point_dif,2,TRUE),VLOOKUP(ABS(Q61-Q84),Point_dif,3,TRUE)),IF(AND(U60="P",U85="G"),IF(Q84&gt;=Q61,VLOOKUP(ABS(Q61-Q84),Point_dif,2,TRUE),VLOOKUP(ABS(Q61-Q84),Point_dif,3,TRUE)))))))</f>
        <v/>
      </c>
      <c r="U72" s="275" t="str">
        <f>IF(U73=Q60,Q61,IF(U73=Q85,Q84,""))</f>
        <v/>
      </c>
      <c r="V72" s="417" t="str">
        <f>IF(ISNUMBER(U72),VLOOKUP(U73,Siembra,2,FALSE),"")</f>
        <v/>
      </c>
      <c r="W72" s="417"/>
      <c r="X72" s="282" t="str">
        <f>IF(U73="","",IF(Y73="G",IF(U73=Q60,T61+X48,T84+X48),IF(Y73="P",IF(U73=Q60,T61-X48,T84-X48),"")))</f>
        <v/>
      </c>
      <c r="Y72" s="192"/>
      <c r="Z72" s="192"/>
      <c r="AA72" s="192"/>
      <c r="AB72" s="287"/>
      <c r="AC72" s="192"/>
      <c r="AD72" s="192"/>
      <c r="AE72" s="192"/>
      <c r="AF72" s="192"/>
      <c r="AG72" s="192"/>
      <c r="AH72" s="192"/>
      <c r="AI72" s="192"/>
      <c r="AJ72" s="192"/>
      <c r="AK72" s="192"/>
      <c r="AL72" s="192"/>
      <c r="AM72" s="192"/>
      <c r="AN72" s="192"/>
      <c r="AO72" s="289"/>
      <c r="AP72" s="192"/>
      <c r="AQ72" s="192"/>
      <c r="AR72" s="192"/>
      <c r="AS72" s="286" t="str">
        <f>IF(AS73="","",IF(AR73="G",IF(AS73=AW60,AW61+AS48,AW84+AS48),IF(AR73="P",IF(AS73=AW60,AW61-AS48,AW84-AS48),"")))</f>
        <v/>
      </c>
      <c r="AT72" s="417" t="str">
        <f>IF(ISNUMBER(AS72),VLOOKUP(AS73,Siembra,2,FALSE),"")</f>
        <v/>
      </c>
      <c r="AU72" s="417"/>
      <c r="AV72" s="282" t="str">
        <f>IF(AS73=AW60,AZ61,IF(AS73=AW85,AZ84,""))</f>
        <v/>
      </c>
      <c r="AW72" s="424"/>
      <c r="AX72" s="421"/>
      <c r="AY72" s="413"/>
      <c r="AZ72" s="181"/>
      <c r="BA72" s="192"/>
      <c r="BB72" s="192"/>
      <c r="BC72" s="192"/>
      <c r="BD72" s="192"/>
      <c r="BE72" s="192"/>
      <c r="BF72" s="192"/>
      <c r="BG72" s="192"/>
      <c r="BH72" s="192"/>
      <c r="BI72" s="192"/>
      <c r="BJ72" s="192"/>
      <c r="BK72" s="192"/>
      <c r="BL72" s="192"/>
      <c r="BM72" s="192"/>
      <c r="BN72" s="192"/>
      <c r="BO72" s="192"/>
      <c r="BP72" s="181"/>
      <c r="BQ72" s="181">
        <f>IF(BS72="Bye",1,MAX(BQ$8:BQ71)+1)</f>
        <v>65</v>
      </c>
      <c r="BR72" s="314" t="str">
        <f t="shared" ref="BR72:BR103" si="3">IF(BR71="","",IF(AND(Llave&gt;=128,ISNUMBER(BR71)),BR71+1,""))</f>
        <v/>
      </c>
      <c r="BS72" s="181" t="str">
        <f>IF(Llave=128,IF(OR(D2="Bye",D5="Bye"),"Bye",IF(H2="P",D2,IF(H5="P",H5,""))),"")</f>
        <v/>
      </c>
      <c r="BT72" s="181" t="b">
        <f>IF(Llave&lt;128,"",IF(Llave=128,IF(OR(D2="Bye",D5="Bye"),"",IF(H2="P",G2,IF(H5="P",G5,"")))))</f>
        <v>0</v>
      </c>
      <c r="BV72"/>
    </row>
    <row r="73" spans="2:74" x14ac:dyDescent="0.3">
      <c r="B73" s="192"/>
      <c r="C73" s="192"/>
      <c r="D73" s="192"/>
      <c r="E73" s="192"/>
      <c r="F73" s="192"/>
      <c r="G73" s="288" t="s">
        <v>221</v>
      </c>
      <c r="H73" s="192"/>
      <c r="I73" s="192"/>
      <c r="J73" s="192"/>
      <c r="K73" s="192"/>
      <c r="L73" s="192"/>
      <c r="M73" s="192"/>
      <c r="N73" s="192"/>
      <c r="O73" s="192"/>
      <c r="P73" s="192"/>
      <c r="Q73" s="181"/>
      <c r="R73" s="413"/>
      <c r="S73" s="414"/>
      <c r="T73" s="415"/>
      <c r="U73" s="425" t="str">
        <f>IF(AND(U60="",U85=""),"",IF(AND(U60="G",U85="P"),Q60,IF(AND(U85="G",U60="P"),Q85,"Corregir ganador y perdedor")))</f>
        <v/>
      </c>
      <c r="V73" s="423"/>
      <c r="W73" s="423"/>
      <c r="X73" s="423"/>
      <c r="Y73" s="167"/>
      <c r="Z73" s="192"/>
      <c r="AA73" s="192"/>
      <c r="AB73" s="287"/>
      <c r="AC73" s="192"/>
      <c r="AD73" s="192"/>
      <c r="AE73" s="192"/>
      <c r="AF73" s="192"/>
      <c r="AG73" s="192"/>
      <c r="AH73" s="192"/>
      <c r="AI73" s="192"/>
      <c r="AJ73" s="192"/>
      <c r="AK73" s="192"/>
      <c r="AL73" s="192"/>
      <c r="AM73" s="192"/>
      <c r="AN73" s="192"/>
      <c r="AO73" s="289"/>
      <c r="AP73" s="192"/>
      <c r="AQ73" s="192"/>
      <c r="AR73" s="166"/>
      <c r="AS73" s="425" t="str">
        <f>IF(AND(AV60="",AV85=""),"",IF(AND(AV60="G",AV85="P"),AW60,IF(AND(AV85="G",AV60="P"),AW85,"Corregir ganador y perdedor")))</f>
        <v/>
      </c>
      <c r="AT73" s="423"/>
      <c r="AU73" s="423"/>
      <c r="AV73" s="423"/>
      <c r="AW73" s="289"/>
      <c r="AX73" s="192"/>
      <c r="AY73" s="192"/>
      <c r="AZ73" s="192"/>
      <c r="BA73" s="192"/>
      <c r="BB73" s="192"/>
      <c r="BC73" s="192"/>
      <c r="BD73" s="192"/>
      <c r="BE73" s="192"/>
      <c r="BF73" s="192"/>
      <c r="BG73" s="192"/>
      <c r="BH73" s="192"/>
      <c r="BI73" s="273"/>
      <c r="BJ73" s="274" t="s">
        <v>222</v>
      </c>
      <c r="BK73" s="192"/>
      <c r="BL73" s="192"/>
      <c r="BM73" s="192"/>
      <c r="BN73" s="192"/>
      <c r="BO73" s="192"/>
      <c r="BP73" s="181"/>
      <c r="BQ73" s="181">
        <f>IF(BS73="Bye",1,MAX(BQ$8:BQ72)+1)</f>
        <v>66</v>
      </c>
      <c r="BR73" s="314" t="str">
        <f t="shared" si="3"/>
        <v/>
      </c>
      <c r="BS73" s="181" t="str">
        <f>IF(Llave=128,IF(OR(D8="Bye",D11="Bye"),"Bye",IF(H8="P",D8,IF(H11="P",D11,""))),"")</f>
        <v/>
      </c>
      <c r="BT73" s="181" t="b">
        <f>IF(Llave&lt;128,"",IF(Llave=128,IF(OR(D8="Bye",D11="Bye"),"",IF(H8="P",G8,IF(H11="P",G11,"")))))</f>
        <v>0</v>
      </c>
    </row>
    <row r="74" spans="2:74" x14ac:dyDescent="0.3">
      <c r="B74" s="192">
        <f>B71+1</f>
        <v>25</v>
      </c>
      <c r="C74" s="192" t="str">
        <f>IF(Llave="","",IF(Llave&gt;1,IF(OR(Plyrs_val=Tot_Jug,Groups*2=Plyrs_val),HLOOKUP(Plyrs_val,Knockout,B74+1,FALSE)),""))</f>
        <v/>
      </c>
      <c r="D74" s="411" t="str">
        <f>IF(Llave="","",IF(Llave&gt;1,IF(C74="Bye","Bye",IF(OR(Plyrs_val=Tot_Jug,Groups*2=Plyrs_val),VLOOKUP(C74,Dist_Llav,4,FALSE),"")),""))</f>
        <v/>
      </c>
      <c r="E74" s="411"/>
      <c r="F74" s="411"/>
      <c r="G74" s="192" t="str">
        <f>IF(D74="","",IF(D74="Bye",0,IF(D77="Bye",E75,IF(H74="G",E75+G75,IF(H74="P",E75-G75,"")))))</f>
        <v/>
      </c>
      <c r="H74" s="166"/>
      <c r="I74" s="192"/>
      <c r="J74" s="192"/>
      <c r="K74" s="192"/>
      <c r="L74" s="277" t="s">
        <v>223</v>
      </c>
      <c r="M74" s="192"/>
      <c r="N74" s="192"/>
      <c r="O74" s="192"/>
      <c r="P74" s="192"/>
      <c r="Q74" s="192"/>
      <c r="R74" s="192"/>
      <c r="S74" s="192"/>
      <c r="T74" s="287"/>
      <c r="U74" s="192"/>
      <c r="V74" s="192"/>
      <c r="W74" s="192"/>
      <c r="X74" s="192"/>
      <c r="Y74" s="192"/>
      <c r="Z74" s="192"/>
      <c r="AA74" s="192"/>
      <c r="AB74" s="287"/>
      <c r="AC74" s="192"/>
      <c r="AD74" s="427"/>
      <c r="AE74" s="428"/>
      <c r="AF74" s="428"/>
      <c r="AG74" s="192"/>
      <c r="AH74" s="192"/>
      <c r="AI74" s="192"/>
      <c r="AJ74" s="192"/>
      <c r="AK74" s="192"/>
      <c r="AL74" s="192"/>
      <c r="AM74" s="192"/>
      <c r="AN74" s="192"/>
      <c r="AO74" s="289"/>
      <c r="AP74" s="192"/>
      <c r="AQ74" s="192"/>
      <c r="AR74" s="192"/>
      <c r="AS74" s="192"/>
      <c r="AT74" s="192"/>
      <c r="AU74" s="192"/>
      <c r="AV74" s="192"/>
      <c r="AW74" s="289"/>
      <c r="AX74" s="192"/>
      <c r="AY74" s="192"/>
      <c r="AZ74" s="192"/>
      <c r="BA74" s="192"/>
      <c r="BB74" s="192"/>
      <c r="BC74" s="192"/>
      <c r="BD74" s="192"/>
      <c r="BE74" s="274" t="s">
        <v>224</v>
      </c>
      <c r="BF74" s="192"/>
      <c r="BG74" s="192"/>
      <c r="BH74" s="192"/>
      <c r="BI74" s="166"/>
      <c r="BJ74" s="192" t="str">
        <f>IF(BK74="","",IF(BK74="Bye",0,IF(BK77="Bye",BL75,IF(BI74="G",BL75+BJ75,IF(BI74="P",BL75-BJ75,"")))))</f>
        <v/>
      </c>
      <c r="BK74" s="411" t="str">
        <f>IF(Llave="","",IF(Llave&gt;1,IF(BN74="Bye","Bye",IF(OR(Plyrs_val=Tot_Jug,Groups*2=Plyrs_val),VLOOKUP(BN74,Dist_Llav,4,FALSE),"")),""))</f>
        <v/>
      </c>
      <c r="BL74" s="411"/>
      <c r="BM74" s="411"/>
      <c r="BN74" s="229" t="str">
        <f>IF(Llave=128,IF(OR(Plyrs_val=Tot_Jug,Groups*2=Plyrs_val),HLOOKUP(Plyrs_val,Knockout,BO74+1,FALSE)),"")</f>
        <v/>
      </c>
      <c r="BO74" s="229">
        <f>BO71+1</f>
        <v>89</v>
      </c>
      <c r="BP74" s="181"/>
      <c r="BQ74" s="181">
        <f>IF(BS74="Bye",1,MAX(BQ$8:BQ73)+1)</f>
        <v>67</v>
      </c>
      <c r="BR74" s="314" t="str">
        <f t="shared" si="3"/>
        <v/>
      </c>
      <c r="BS74" s="181" t="str">
        <f>IF(Llave=128,IF(OR(D14="Bye",D17="Bye"),"Bye",IF(H14="P",D14,IF(H17="P",D17,""))),"")</f>
        <v/>
      </c>
      <c r="BT74" s="181" t="b">
        <f>IF(Llave&lt;128,"",IF(Llave=128,IF(OR(D14="Bye",D17="Bye"),"",IF(H14="P",G14,IF(H17="P",G17,"")))))</f>
        <v>0</v>
      </c>
    </row>
    <row r="75" spans="2:74" x14ac:dyDescent="0.3">
      <c r="B75" s="413" t="str">
        <f>IF(Llave="","",B69+1)</f>
        <v/>
      </c>
      <c r="C75" s="192"/>
      <c r="D75" s="229" t="str">
        <f>IF(D74="","",IF(ISTEXT(D74),IF(D74="","",IF(D74="Bye",0,VLOOKUP(D74,Rank_Points,3,FALSE)))))</f>
        <v/>
      </c>
      <c r="E75" s="192" t="str">
        <f>IF(D74&lt;&gt;"",IF(D74="","",IF(D74="BYE",0,IF(ISTEXT(D74),VLOOKUP(C74,Dist_Llav,6,FALSE),""))),"")</f>
        <v/>
      </c>
      <c r="F75" s="414" t="s">
        <v>170</v>
      </c>
      <c r="G75" s="418" t="str">
        <f>IF(OR(D74="",D77=""),"",IF(OR(D74="Bye",D77="Bye"),0,IF(AND(H74="",H77=""),"",IF(AND(H74="G",H77="P"),IF(D75&gt;=D76,VLOOKUP(ABS(D75-D76),Point_dif,2,TRUE),VLOOKUP(ABS(D75-D76),Point_dif,3,TRUE)),IF(AND(H74="P",H77="G"),IF(D76&gt;=D75,VLOOKUP(ABS(D75-D76),Point_dif,2,TRUE),VLOOKUP(ABS(D75-D76),Point_dif,3,TRUE)))))))</f>
        <v/>
      </c>
      <c r="H75" s="278"/>
      <c r="I75" s="416" t="str">
        <f>IF(D74="Bye",D77,IF(D77="Bye",D74,IF(AND(H74="",H77=""),"",IF(AND(H74="G",H77="P"),D74,IF(AND(H77="G",H74="P"),D77,"Corregir ganador y perdedor")))))</f>
        <v/>
      </c>
      <c r="J75" s="417"/>
      <c r="K75" s="417"/>
      <c r="L75" s="417"/>
      <c r="M75" s="167"/>
      <c r="N75" s="192"/>
      <c r="O75" s="192"/>
      <c r="P75" s="192"/>
      <c r="Q75" s="192"/>
      <c r="R75" s="192"/>
      <c r="S75" s="192"/>
      <c r="T75" s="287"/>
      <c r="U75" s="192"/>
      <c r="V75" s="192"/>
      <c r="W75" s="192"/>
      <c r="X75" s="192"/>
      <c r="Y75" s="192"/>
      <c r="Z75" s="192"/>
      <c r="AA75" s="192"/>
      <c r="AB75" s="287"/>
      <c r="AC75" s="192"/>
      <c r="AD75" s="428"/>
      <c r="AE75" s="428"/>
      <c r="AF75" s="428"/>
      <c r="AG75" s="192"/>
      <c r="AH75" s="192"/>
      <c r="AI75" s="192"/>
      <c r="AJ75" s="192"/>
      <c r="AK75" s="192"/>
      <c r="AL75" s="192"/>
      <c r="AM75" s="192"/>
      <c r="AN75" s="192"/>
      <c r="AO75" s="289"/>
      <c r="AP75" s="192"/>
      <c r="AQ75" s="192"/>
      <c r="AR75" s="192"/>
      <c r="AS75" s="192"/>
      <c r="AT75" s="192"/>
      <c r="AU75" s="192"/>
      <c r="AV75" s="192"/>
      <c r="AW75" s="289"/>
      <c r="AX75" s="192"/>
      <c r="AY75" s="192"/>
      <c r="AZ75" s="192"/>
      <c r="BA75" s="192"/>
      <c r="BB75" s="192"/>
      <c r="BC75" s="192"/>
      <c r="BD75" s="166"/>
      <c r="BE75" s="416" t="str">
        <f>IF(BK77="Bye",BK74,IF(BK74="Bye",BK77,IF(AND(BI74="",BI77=""),"",IF(AND(BI74="G",BI77="P"),BK74,IF(AND(BI77="G",BI74="P"),BK77,"Corregir ganador y perdedor")))))</f>
        <v/>
      </c>
      <c r="BF75" s="417"/>
      <c r="BG75" s="417"/>
      <c r="BH75" s="417"/>
      <c r="BI75" s="279"/>
      <c r="BJ75" s="418" t="str">
        <f>IF(OR(BK74="",BK77=""),"",IF(OR(BK74="Bye",BK77="Bye"),0,IF(AND(BI74="",BI77=""),"",IF(AND(BI74="G",BI77="P"),IF(BM75&gt;=BM76,VLOOKUP(ABS(BM75-BM76),Point_dif,2,TRUE),VLOOKUP(ABS(BM75-BM76),Point_dif,3,TRUE)),IF(AND(BI74="P",BI77="G"),IF(BM76&gt;=BM75,VLOOKUP(ABS(BM75-BM76),Point_dif,2,TRUE),VLOOKUP(ABS(BM75-BM76),Point_dif,3,TRUE)))))))</f>
        <v/>
      </c>
      <c r="BK75" s="420" t="s">
        <v>170</v>
      </c>
      <c r="BL75" s="229" t="str">
        <f>IF(BK74&lt;&gt;"",IF(BK74="","",IF(BK74="BYE",0,IF(ISTEXT(BK74),VLOOKUP(BN74,Dist_Llav,6,FALSE),""))),"")</f>
        <v/>
      </c>
      <c r="BM75" s="280" t="str">
        <f>IF(BK74="","",IF(ISTEXT(BK74),IF(BK74="","",IF(BK74="Bye",0,VLOOKUP(BK74,Rank_Points,3,FALSE)))))</f>
        <v/>
      </c>
      <c r="BN75" s="422"/>
      <c r="BO75" s="422" t="str">
        <f>IF(Llave=128,BO69+1,"")</f>
        <v/>
      </c>
      <c r="BP75" s="181"/>
      <c r="BQ75" s="181">
        <f>IF(BS75="Bye",1,MAX(BQ$8:BQ74)+1)</f>
        <v>68</v>
      </c>
      <c r="BR75" s="314" t="str">
        <f t="shared" si="3"/>
        <v/>
      </c>
      <c r="BS75" s="181" t="str">
        <f>IF(Llave=128,IF(OR(D20="Bye",D23="Bye"),"Bye",IF(H20="P",D20,IF(H23="P",D23,""))),"")</f>
        <v/>
      </c>
      <c r="BT75" s="181" t="b">
        <f>IF(Llave&lt;128,"",IF(Llave=128,IF(OR(D20="Bye",D23="Bye"),"",IF(H20="P",G20,IF(H23="P",G23,"")))))</f>
        <v>0</v>
      </c>
    </row>
    <row r="76" spans="2:74" x14ac:dyDescent="0.3">
      <c r="B76" s="413"/>
      <c r="C76" s="192"/>
      <c r="D76" s="229" t="str">
        <f>IF(D77="","",IF(ISTEXT(D77),IF(D77="","",IF(D77="Bye",0,VLOOKUP(D77,Rank_Points,3,FALSE)))))</f>
        <v/>
      </c>
      <c r="E76" s="192" t="str">
        <f>IF(D77&lt;&gt;"",IF(D77="","",IF(D77="BYE",0,IF(ISTEXT(D77),VLOOKUP(C77,Dist_Llav,6,FALSE),""))),"")</f>
        <v/>
      </c>
      <c r="F76" s="414"/>
      <c r="G76" s="419"/>
      <c r="H76" s="282"/>
      <c r="I76" s="283" t="str">
        <f>IF(I75=D74,D75,IF(I75=D77,D76,""))</f>
        <v/>
      </c>
      <c r="J76" s="423" t="str">
        <f>IF(ISNUMBER(I76),VLOOKUP(I75,Siembra,2,FALSE),"")</f>
        <v/>
      </c>
      <c r="K76" s="423"/>
      <c r="L76" s="278" t="str">
        <f>IF(I75="","",IF(M75="G",IF(I75=D74,G74+L78,G77+L78),IF(M75="P",IF(I75=D74,G74-L78,G77-L78),"")))</f>
        <v/>
      </c>
      <c r="M76" s="192"/>
      <c r="N76" s="192"/>
      <c r="O76" s="192"/>
      <c r="P76" s="192"/>
      <c r="Q76" s="192"/>
      <c r="R76" s="192"/>
      <c r="S76" s="192"/>
      <c r="T76" s="287"/>
      <c r="U76" s="192"/>
      <c r="V76" s="192"/>
      <c r="W76" s="192"/>
      <c r="X76" s="192"/>
      <c r="Y76" s="192"/>
      <c r="Z76" s="192"/>
      <c r="AA76" s="192"/>
      <c r="AB76" s="287"/>
      <c r="AC76" s="192"/>
      <c r="AD76" s="428"/>
      <c r="AE76" s="428"/>
      <c r="AF76" s="428"/>
      <c r="AG76" s="192"/>
      <c r="AH76" s="192"/>
      <c r="AI76" s="192"/>
      <c r="AJ76" s="192"/>
      <c r="AK76" s="192"/>
      <c r="AL76" s="192"/>
      <c r="AM76" s="192"/>
      <c r="AN76" s="192"/>
      <c r="AO76" s="289"/>
      <c r="AP76" s="192"/>
      <c r="AQ76" s="192"/>
      <c r="AR76" s="192"/>
      <c r="AS76" s="192"/>
      <c r="AT76" s="192"/>
      <c r="AU76" s="192"/>
      <c r="AV76" s="192"/>
      <c r="AW76" s="289"/>
      <c r="AX76" s="192"/>
      <c r="AY76" s="192"/>
      <c r="AZ76" s="192"/>
      <c r="BA76" s="192"/>
      <c r="BB76" s="192"/>
      <c r="BC76" s="192"/>
      <c r="BD76" s="192"/>
      <c r="BE76" s="279" t="str">
        <f>IF(BE75="","",IF(BD75="G",IF(BE75=BK74,BJ74+BE78,BJ77+BE78),IF(BD75="P",IF(BE75=BK74,BJ74-BE78,BJ77-BE78),"")))</f>
        <v/>
      </c>
      <c r="BF76" s="423" t="str">
        <f>IF(ISNUMBER(BE76),VLOOKUP(BE75,Siembra,2,FALSE),"")</f>
        <v/>
      </c>
      <c r="BG76" s="423"/>
      <c r="BH76" s="285" t="str">
        <f>IF(BE75=BK74,BM75,IF(BE75=BK77,BM76,""))</f>
        <v/>
      </c>
      <c r="BI76" s="286"/>
      <c r="BJ76" s="419"/>
      <c r="BK76" s="421"/>
      <c r="BL76" s="229" t="str">
        <f>IF(BK77&lt;&gt;"",IF(BK77="","",IF(BK77="BYE",0,IF(ISTEXT(BK77),VLOOKUP(BN77,Dist_Llav,6,FALSE),""))),"")</f>
        <v/>
      </c>
      <c r="BM76" s="280" t="str">
        <f>IF(BK77="","",IF(ISTEXT(BK77),IF(BK77="","",IF(BK77="Bye",0,VLOOKUP(BK77,Rank_Points,3,FALSE)))))</f>
        <v/>
      </c>
      <c r="BN76" s="422"/>
      <c r="BO76" s="422"/>
      <c r="BP76" s="181"/>
      <c r="BQ76" s="181">
        <f>IF(BS76="Bye",1,MAX(BQ$8:BQ75)+1)</f>
        <v>69</v>
      </c>
      <c r="BR76" s="314" t="str">
        <f t="shared" si="3"/>
        <v/>
      </c>
      <c r="BS76" s="181" t="str">
        <f>IF(Llave=128,IF(OR(D26="Bye",D29="Bye"),"Bye",IF(H26="P",D26,IF(H29="P",D29,""))),"")</f>
        <v/>
      </c>
      <c r="BT76" s="181" t="b">
        <f>IF(Llave&lt;128,"",IF(Llave=128,IF(OR(D26="Bye",D29="Bye"),"",IF(H26="P",G26,IF(H29="P",G29,"")))))</f>
        <v>0</v>
      </c>
    </row>
    <row r="77" spans="2:74" x14ac:dyDescent="0.3">
      <c r="B77" s="192">
        <f>B74+1</f>
        <v>26</v>
      </c>
      <c r="C77" s="192" t="str">
        <f>IF(Llave="","",IF(Llave&gt;1,IF(OR(Plyrs_val=Tot_Jug,Groups*2=Plyrs_val),HLOOKUP(Plyrs_val,Knockout,B77+1,FALSE)),""))</f>
        <v/>
      </c>
      <c r="D77" s="412" t="str">
        <f>IF(Llave="","",IF(Llave&gt;1,IF(C77="Bye","Bye",IF(OR(Plyrs_val=Tot_Jug,Groups*2=Plyrs_val),VLOOKUP(C77,Dist_Llav,4,FALSE),"")),""))</f>
        <v/>
      </c>
      <c r="E77" s="412"/>
      <c r="F77" s="412"/>
      <c r="G77" s="192" t="str">
        <f>IF(D77="","",IF(D77="Bye",0,IF(D74="Bye",E76,IF(H77="G",E76+G75,IF(H77="P",E76-G75,"")))))</f>
        <v/>
      </c>
      <c r="H77" s="166"/>
      <c r="I77" s="192"/>
      <c r="J77" s="192"/>
      <c r="K77" s="192"/>
      <c r="L77" s="287"/>
      <c r="M77" s="192"/>
      <c r="N77" s="192"/>
      <c r="O77" s="192"/>
      <c r="P77" s="288" t="s">
        <v>225</v>
      </c>
      <c r="Q77" s="192"/>
      <c r="R77" s="192"/>
      <c r="S77" s="192"/>
      <c r="T77" s="287"/>
      <c r="U77" s="192"/>
      <c r="V77" s="192"/>
      <c r="W77" s="192"/>
      <c r="X77" s="192"/>
      <c r="Y77" s="192"/>
      <c r="Z77" s="192"/>
      <c r="AA77" s="192"/>
      <c r="AB77" s="287"/>
      <c r="AC77" s="192"/>
      <c r="AD77" s="428"/>
      <c r="AE77" s="428"/>
      <c r="AF77" s="428"/>
      <c r="AG77" s="192"/>
      <c r="AH77" s="192"/>
      <c r="AI77" s="192"/>
      <c r="AJ77" s="192"/>
      <c r="AK77" s="192"/>
      <c r="AL77" s="192"/>
      <c r="AM77" s="192"/>
      <c r="AN77" s="192"/>
      <c r="AO77" s="289"/>
      <c r="AP77" s="192"/>
      <c r="AQ77" s="192"/>
      <c r="AR77" s="192"/>
      <c r="AS77" s="192"/>
      <c r="AT77" s="192"/>
      <c r="AU77" s="192"/>
      <c r="AV77" s="192"/>
      <c r="AW77" s="289"/>
      <c r="AX77" s="192"/>
      <c r="AY77" s="192"/>
      <c r="AZ77" s="192"/>
      <c r="BA77" s="274" t="s">
        <v>226</v>
      </c>
      <c r="BB77" s="192"/>
      <c r="BC77" s="192"/>
      <c r="BD77" s="192"/>
      <c r="BE77" s="289"/>
      <c r="BF77" s="192"/>
      <c r="BG77" s="192"/>
      <c r="BH77" s="192"/>
      <c r="BI77" s="166"/>
      <c r="BJ77" s="284" t="str">
        <f>IF(BK77="","",IF(BK77="Bye",0,IF(BK74="Bye",BL76,IF(BI77="G",BL76+BJ75,IF(BI77="P",BL76-BJ75,"")))))</f>
        <v/>
      </c>
      <c r="BK77" s="412" t="str">
        <f>IF(Llave="","",IF(Llave&gt;1,IF(BN77="Bye","Bye",IF(OR(Plyrs_val=Tot_Jug,Groups*2=Plyrs_val),VLOOKUP(BN77,Dist_Llav,4,FALSE),"")),""))</f>
        <v/>
      </c>
      <c r="BL77" s="412"/>
      <c r="BM77" s="412"/>
      <c r="BN77" s="229" t="str">
        <f>IF(Llave=128,IF(OR(Plyrs_val=Tot_Jug,Groups*2=Plyrs_val),HLOOKUP(Plyrs_val,Knockout,BO77+1,FALSE)),"")</f>
        <v/>
      </c>
      <c r="BO77" s="229">
        <f>BO74+1</f>
        <v>90</v>
      </c>
      <c r="BP77" s="181"/>
      <c r="BQ77" s="181">
        <f>IF(BS77="Bye",1,MAX(BQ$8:BQ76)+1)</f>
        <v>70</v>
      </c>
      <c r="BR77" s="314" t="str">
        <f t="shared" si="3"/>
        <v/>
      </c>
      <c r="BS77" s="181" t="str">
        <f>IF(Llave=128,IF(OR(D32="Bye",D35="Bye"),"Bye",IF(H32="P",D32,IF(H35="P",D35,""))),"")</f>
        <v/>
      </c>
      <c r="BT77" s="181" t="b">
        <f>IF(Llave&lt;128,"",IF(Llave=128,IF(OR(D32="Bye",D35="Bye"),"",IF(H32="P",G32,IF(H35="P",G35,"")))))</f>
        <v>0</v>
      </c>
    </row>
    <row r="78" spans="2:74" x14ac:dyDescent="0.3">
      <c r="B78" s="192"/>
      <c r="C78" s="192"/>
      <c r="D78" s="192"/>
      <c r="E78" s="192"/>
      <c r="F78" s="192"/>
      <c r="G78" s="192"/>
      <c r="H78" s="192"/>
      <c r="I78" s="413" t="str">
        <f>IF(Llave="","",I66+1)</f>
        <v/>
      </c>
      <c r="J78" s="192"/>
      <c r="K78" s="414" t="s">
        <v>170</v>
      </c>
      <c r="L78" s="415" t="str">
        <f>IF(OR(I75="",I82=""),"",IF(OR(I75="Bye",I82="Bye"),0,IF(AND(M75="",M82=""),"",IF(AND(M75="G",M82="P"),IF(I76&gt;=I81,VLOOKUP(ABS(I76-I81),Point_dif,2,TRUE),VLOOKUP(ABS(I76-I81),Point_dif,3,TRUE)),IF(AND(M75="P",M82="G"),IF(I81&gt;=I76,VLOOKUP(ABS(I76-I81),Point_dif,2,TRUE),VLOOKUP(ABS(I76-I81),Point_dif,3,TRUE)))))))</f>
        <v/>
      </c>
      <c r="M78" s="416" t="str">
        <f>IF(AND(M75="",M82=""),"",IF(AND(M75="G",M82="P"),I75,IF(AND(M82="G",M75="P"),I82,"Corregir ganador y perdedor")))</f>
        <v/>
      </c>
      <c r="N78" s="417"/>
      <c r="O78" s="417"/>
      <c r="P78" s="417"/>
      <c r="Q78" s="167"/>
      <c r="R78" s="192"/>
      <c r="S78" s="192"/>
      <c r="T78" s="287"/>
      <c r="U78" s="192"/>
      <c r="V78" s="192"/>
      <c r="W78" s="192"/>
      <c r="X78" s="192"/>
      <c r="Y78" s="192"/>
      <c r="Z78" s="192"/>
      <c r="AA78" s="192"/>
      <c r="AB78" s="287"/>
      <c r="AC78" s="192"/>
      <c r="AD78" s="428"/>
      <c r="AE78" s="428"/>
      <c r="AF78" s="428"/>
      <c r="AG78" s="192"/>
      <c r="AH78" s="192"/>
      <c r="AI78" s="192"/>
      <c r="AJ78" s="192"/>
      <c r="AK78" s="192"/>
      <c r="AL78" s="192"/>
      <c r="AM78" s="192"/>
      <c r="AN78" s="192"/>
      <c r="AO78" s="289"/>
      <c r="AP78" s="192"/>
      <c r="AQ78" s="192"/>
      <c r="AR78" s="192"/>
      <c r="AS78" s="192"/>
      <c r="AT78" s="192"/>
      <c r="AU78" s="192"/>
      <c r="AV78" s="192"/>
      <c r="AW78" s="289"/>
      <c r="AX78" s="192"/>
      <c r="AY78" s="192"/>
      <c r="AZ78" s="166"/>
      <c r="BA78" s="416" t="str">
        <f>IF(AND(BD75="",BD82=""),"",IF(AND(BD75="G",BD82="P"),BE75,IF(AND(BD82="G",BD75="P"),BE82,"Corregir ganador y perdedor")))</f>
        <v/>
      </c>
      <c r="BB78" s="417"/>
      <c r="BC78" s="417"/>
      <c r="BD78" s="417"/>
      <c r="BE78" s="424" t="str">
        <f>IF(OR(BE75="",BE82=""),"",IF(OR(BE75="Bye",BE82="Bye"),0,IF(AND(BD75="",BD82=""),"",IF(AND(BD75="G",BD82="P"),IF(BH76&gt;=BH81,VLOOKUP(ABS(BH76-BH81),Point_dif,2,TRUE),VLOOKUP(ABS(BH76-BH81),Point_dif,3,TRUE)),IF(AND(BD75="P",BD82="G"),IF(BH81&gt;=BH76,VLOOKUP(ABS(BH76-BH81),Point_dif,2,TRUE),VLOOKUP(ABS(BH76-BH81),Point_dif,3,TRUE)))))))</f>
        <v/>
      </c>
      <c r="BF78" s="421" t="s">
        <v>170</v>
      </c>
      <c r="BG78" s="281"/>
      <c r="BH78" s="413" t="str">
        <f>IF(Llave=128,BH66+1,"")</f>
        <v/>
      </c>
      <c r="BI78" s="192"/>
      <c r="BJ78" s="192"/>
      <c r="BK78" s="192"/>
      <c r="BL78" s="192"/>
      <c r="BM78" s="192"/>
      <c r="BN78" s="192"/>
      <c r="BO78" s="192"/>
      <c r="BP78" s="181"/>
      <c r="BQ78" s="181">
        <f>IF(BS78="Bye",1,MAX(BQ$8:BQ77)+1)</f>
        <v>71</v>
      </c>
      <c r="BR78" s="314" t="str">
        <f t="shared" si="3"/>
        <v/>
      </c>
      <c r="BS78" s="181" t="str">
        <f>IF(Llave=128,IF(OR(D38="Bye",D41="Bye"),"Bye",IF(H38="P",D38,IF(H41="P",D41,""))),"")</f>
        <v/>
      </c>
      <c r="BT78" s="181" t="b">
        <f>IF(Llave&lt;128,"",IF(Llave=128,IF(OR(D38="Bye",D41=""),"Bye",IF(H38="P",G38,IF(H41="P",G41,"")))))</f>
        <v>0</v>
      </c>
    </row>
    <row r="79" spans="2:74" x14ac:dyDescent="0.3">
      <c r="B79" s="192"/>
      <c r="C79" s="192"/>
      <c r="D79" s="192"/>
      <c r="E79" s="192"/>
      <c r="F79" s="192"/>
      <c r="G79" s="272" t="s">
        <v>227</v>
      </c>
      <c r="H79" s="192"/>
      <c r="I79" s="413"/>
      <c r="J79" s="192"/>
      <c r="K79" s="414"/>
      <c r="L79" s="415"/>
      <c r="M79" s="283" t="str">
        <f>IF(M78=I75,I76,IF(M78=I82,I81,""))</f>
        <v/>
      </c>
      <c r="N79" s="423" t="str">
        <f>IF(ISNUMBER(M79),VLOOKUP(M78,Siembra,2,FALSE),"")</f>
        <v/>
      </c>
      <c r="O79" s="423"/>
      <c r="P79" s="278" t="str">
        <f>IF(Llave=4,IF(M75="G",L76,L81),IF(M78="","",IF(Q78="G",IF(M78=I75,L76+P84,L81+P84),IF(Q78="P",IF(M78=I75,L76-P84,L81-P84),""))))</f>
        <v/>
      </c>
      <c r="Q79" s="192"/>
      <c r="R79" s="192"/>
      <c r="S79" s="192"/>
      <c r="T79" s="287"/>
      <c r="U79" s="192"/>
      <c r="V79" s="192"/>
      <c r="W79" s="192"/>
      <c r="X79" s="192"/>
      <c r="Y79" s="192"/>
      <c r="Z79" s="192"/>
      <c r="AA79" s="192"/>
      <c r="AB79" s="287"/>
      <c r="AC79" s="192"/>
      <c r="AD79" s="428"/>
      <c r="AE79" s="428"/>
      <c r="AF79" s="428"/>
      <c r="AG79" s="192"/>
      <c r="AH79" s="192"/>
      <c r="AI79" s="192"/>
      <c r="AJ79" s="192"/>
      <c r="AK79" s="192"/>
      <c r="AL79" s="192"/>
      <c r="AM79" s="192"/>
      <c r="AN79" s="192"/>
      <c r="AO79" s="289"/>
      <c r="AP79" s="192"/>
      <c r="AQ79" s="192"/>
      <c r="AR79" s="192"/>
      <c r="AS79" s="192"/>
      <c r="AT79" s="192"/>
      <c r="AU79" s="192"/>
      <c r="AV79" s="192"/>
      <c r="AW79" s="289"/>
      <c r="AX79" s="192"/>
      <c r="AY79" s="192"/>
      <c r="AZ79" s="192"/>
      <c r="BA79" s="279" t="str">
        <f>IF(BE75="","",IF(AZ78="G",IF(BA78=BE75,BE76+BA84,BE81+BA84),IF(AZ78="P",IF(BA78=BE75,BE76-BA84,BE81-BA84),"")))</f>
        <v/>
      </c>
      <c r="BB79" s="423" t="str">
        <f>IF(ISNUMBER(BA79),VLOOKUP(BA78,Siembra,2,FALSE),"")</f>
        <v/>
      </c>
      <c r="BC79" s="423"/>
      <c r="BD79" s="285" t="str">
        <f>IF(BA78=BE75,BH76,IF(BA78=BE82,BH81,""))</f>
        <v/>
      </c>
      <c r="BE79" s="424"/>
      <c r="BF79" s="421"/>
      <c r="BG79" s="281"/>
      <c r="BH79" s="413"/>
      <c r="BI79" s="273"/>
      <c r="BJ79" s="274" t="s">
        <v>228</v>
      </c>
      <c r="BK79" s="192"/>
      <c r="BL79" s="192"/>
      <c r="BM79" s="192"/>
      <c r="BN79" s="192"/>
      <c r="BO79" s="192"/>
      <c r="BP79" s="181"/>
      <c r="BQ79" s="181">
        <f>IF(BS79="Bye",1,MAX(BQ$8:BQ78)+1)</f>
        <v>72</v>
      </c>
      <c r="BR79" s="314" t="str">
        <f t="shared" si="3"/>
        <v/>
      </c>
      <c r="BS79" s="181" t="str">
        <f>IF(Llave=128,IF(OR(D44="Bye",D47="Bye"),"Bye",IF(H44="P",D44,IF(H47="P",D47,""))),"")</f>
        <v/>
      </c>
      <c r="BT79" s="181" t="b">
        <f>IF(Llave&lt;128,"",IF(Llave=128,IF(OR(D44="Bye",D47="Bye"),"",IF(H44="P",G44,IF(H47="P",G47,"")))))</f>
        <v>0</v>
      </c>
    </row>
    <row r="80" spans="2:74" x14ac:dyDescent="0.3">
      <c r="B80" s="192">
        <f>B77+1</f>
        <v>27</v>
      </c>
      <c r="C80" s="192" t="str">
        <f>IF(Llave="","",IF(Llave&gt;1,IF(OR(Plyrs_val=Tot_Jug,Groups*2=Plyrs_val),HLOOKUP(Plyrs_val,Knockout,B80+1,FALSE)),""))</f>
        <v/>
      </c>
      <c r="D80" s="411" t="str">
        <f>IF(Llave="","",IF(Llave&gt;1,IF(C80="Bye","Bye",IF(OR(Plyrs_val=Tot_Jug,Groups*2=Plyrs_val),VLOOKUP(C80,Dist_Llav,4,FALSE),"")),""))</f>
        <v/>
      </c>
      <c r="E80" s="411"/>
      <c r="F80" s="411"/>
      <c r="G80" s="192" t="str">
        <f>IF(D80="","",IF(D80="Bye",0,IF(D83="Bye",E81,IF(H80="G",E81+G81,IF(H80="P",E81-G81,"")))))</f>
        <v/>
      </c>
      <c r="H80" s="166"/>
      <c r="I80" s="192"/>
      <c r="J80" s="192"/>
      <c r="K80" s="192"/>
      <c r="L80" s="287"/>
      <c r="M80" s="192"/>
      <c r="N80" s="192"/>
      <c r="O80" s="192"/>
      <c r="P80" s="287"/>
      <c r="Q80" s="192"/>
      <c r="R80" s="192"/>
      <c r="S80" s="192"/>
      <c r="T80" s="287"/>
      <c r="U80" s="192"/>
      <c r="V80" s="192"/>
      <c r="W80" s="192"/>
      <c r="X80" s="192"/>
      <c r="Y80" s="192"/>
      <c r="Z80" s="192"/>
      <c r="AA80" s="192"/>
      <c r="AB80" s="287"/>
      <c r="AC80" s="192"/>
      <c r="AD80" s="428"/>
      <c r="AE80" s="428"/>
      <c r="AF80" s="428"/>
      <c r="AG80" s="192"/>
      <c r="AH80" s="192"/>
      <c r="AI80" s="192"/>
      <c r="AJ80" s="192"/>
      <c r="AK80" s="192"/>
      <c r="AL80" s="192"/>
      <c r="AM80" s="192"/>
      <c r="AN80" s="192"/>
      <c r="AO80" s="289"/>
      <c r="AP80" s="192"/>
      <c r="AQ80" s="192"/>
      <c r="AR80" s="192"/>
      <c r="AS80" s="192"/>
      <c r="AT80" s="192"/>
      <c r="AU80" s="192"/>
      <c r="AV80" s="192"/>
      <c r="AW80" s="289"/>
      <c r="AX80" s="192"/>
      <c r="AY80" s="192"/>
      <c r="AZ80" s="192"/>
      <c r="BA80" s="289"/>
      <c r="BB80" s="192"/>
      <c r="BC80" s="192"/>
      <c r="BD80" s="192"/>
      <c r="BE80" s="289"/>
      <c r="BF80" s="192"/>
      <c r="BG80" s="192"/>
      <c r="BH80" s="192"/>
      <c r="BI80" s="166"/>
      <c r="BJ80" s="192" t="str">
        <f>IF(BK80="","",IF(BK80="Bye",0,IF(BK83="Bye",BL81,IF(BI80="G",BL81+BJ81,IF(BI80="P",BL81-BJ81,"")))))</f>
        <v/>
      </c>
      <c r="BK80" s="411" t="str">
        <f>IF(Llave="","",IF(Llave&gt;1,IF(BN80="Bye","Bye",IF(OR(Plyrs_val=Tot_Jug,Groups*2=Plyrs_val),VLOOKUP(BN80,Dist_Llav,4,FALSE),"")),""))</f>
        <v/>
      </c>
      <c r="BL80" s="411"/>
      <c r="BM80" s="411"/>
      <c r="BN80" s="229" t="str">
        <f>IF(Llave=128,IF(OR(Plyrs_val=Tot_Jug,Groups*2=Plyrs_val),HLOOKUP(Plyrs_val,Knockout,BO80+1,FALSE)),"")</f>
        <v/>
      </c>
      <c r="BO80" s="229">
        <f>BO77+1</f>
        <v>91</v>
      </c>
      <c r="BP80" s="181"/>
      <c r="BQ80" s="181">
        <f>IF(BS80="Bye",1,MAX(BQ$8:BQ79)+1)</f>
        <v>73</v>
      </c>
      <c r="BR80" s="314" t="str">
        <f t="shared" si="3"/>
        <v/>
      </c>
      <c r="BS80" s="181" t="str">
        <f>IF(Llave=128,IF(OR(D50="Bye",D53="Bye"),"Bye",IF(H50="P",D50,IF(H53="P",D53,""))),"")</f>
        <v/>
      </c>
      <c r="BT80" s="181" t="b">
        <f>IF(Llave&lt;128,"",IF(Llave=128,IF(OR(D50="Bye",D53="Bye"),"",IF(H50="P",G50,IF(H53="P",G53,"")))))</f>
        <v>0</v>
      </c>
    </row>
    <row r="81" spans="2:72" x14ac:dyDescent="0.3">
      <c r="B81" s="413" t="str">
        <f>IF(Llave="","",B75+1)</f>
        <v/>
      </c>
      <c r="C81" s="192"/>
      <c r="D81" s="229" t="str">
        <f>IF(D80="","",IF(ISTEXT(D80),IF(D80="","",IF(D80="Bye",0,VLOOKUP(D80,Rank_Points,3,FALSE)))))</f>
        <v/>
      </c>
      <c r="E81" s="192" t="str">
        <f>IF(D80&lt;&gt;"",IF(D80="","",IF(D80="BYE",0,IF(ISTEXT(D80),VLOOKUP(C80,Dist_Llav,6,FALSE),""))),"")</f>
        <v/>
      </c>
      <c r="F81" s="414" t="s">
        <v>170</v>
      </c>
      <c r="G81" s="418" t="str">
        <f>IF(OR(D80="",D83=""),"",IF(OR(D80="Bye",D83="Bye"),0,IF(AND(H80="",H83=""),"",IF(AND(H80="G",H83="P"),IF(D81&gt;=D82,VLOOKUP(ABS(D81-D82),Point_dif,2,TRUE),VLOOKUP(ABS(D81-D82),Point_dif,3,TRUE)),IF(AND(H80="P",H83="G"),IF(D82&gt;=D81,VLOOKUP(ABS(D81-D82),Point_dif,2,TRUE),VLOOKUP(ABS(D81-D82),Point_dif,3,TRUE)))))))</f>
        <v/>
      </c>
      <c r="H81" s="278"/>
      <c r="I81" s="275" t="str">
        <f>IF(I82=D80,D81,IF(I82=D83,D82,""))</f>
        <v/>
      </c>
      <c r="J81" s="417" t="str">
        <f>IF(ISNUMBER(I81),VLOOKUP(I82,Siembra,2,FALSE),"")</f>
        <v/>
      </c>
      <c r="K81" s="417"/>
      <c r="L81" s="282" t="str">
        <f>IF(I82="","",IF(M82="G",IF(I82=D80,G80+L78,G83+L78),IF(M82="P",IF(I82=D80,G80-L78,G83-L78),"")))</f>
        <v/>
      </c>
      <c r="M81" s="192"/>
      <c r="N81" s="192"/>
      <c r="O81" s="192"/>
      <c r="P81" s="287"/>
      <c r="Q81" s="192"/>
      <c r="R81" s="192"/>
      <c r="S81" s="192"/>
      <c r="T81" s="287"/>
      <c r="U81" s="192"/>
      <c r="V81" s="192"/>
      <c r="W81" s="192"/>
      <c r="X81" s="192"/>
      <c r="Y81" s="192"/>
      <c r="Z81" s="192"/>
      <c r="AA81" s="192"/>
      <c r="AB81" s="287"/>
      <c r="AC81" s="192"/>
      <c r="AD81" s="428"/>
      <c r="AE81" s="428"/>
      <c r="AF81" s="428"/>
      <c r="AG81" s="192"/>
      <c r="AH81" s="192"/>
      <c r="AI81" s="192"/>
      <c r="AJ81" s="192"/>
      <c r="AK81" s="192"/>
      <c r="AL81" s="192"/>
      <c r="AM81" s="192"/>
      <c r="AN81" s="192"/>
      <c r="AO81" s="289"/>
      <c r="AP81" s="192"/>
      <c r="AQ81" s="192"/>
      <c r="AR81" s="192"/>
      <c r="AS81" s="192"/>
      <c r="AT81" s="192"/>
      <c r="AU81" s="192"/>
      <c r="AV81" s="192"/>
      <c r="AW81" s="289"/>
      <c r="AX81" s="192"/>
      <c r="AY81" s="192"/>
      <c r="AZ81" s="192"/>
      <c r="BA81" s="289"/>
      <c r="BB81" s="192"/>
      <c r="BC81" s="192"/>
      <c r="BD81" s="192"/>
      <c r="BE81" s="286" t="str">
        <f>IF(BE82="","",IF(BD82="G",IF(BE82=BK80,BJ80+BE78,BJ83+BE78),IF(BD82="P",IF(BE82=BK80,BJ80-BE78,BJ83-BE78),"")))</f>
        <v/>
      </c>
      <c r="BF81" s="417" t="str">
        <f>IF(ISNUMBER(BE81),VLOOKUP(BE82,Siembra,2,FALSE),"")</f>
        <v/>
      </c>
      <c r="BG81" s="417"/>
      <c r="BH81" s="282" t="str">
        <f>IF(BE82=BK80,BM81,IF(BE82=BK83,BM82,""))</f>
        <v/>
      </c>
      <c r="BI81" s="279"/>
      <c r="BJ81" s="418" t="str">
        <f>IF(OR(BK80="",BK83=""),"",IF(OR(BK80="Bye",BK83="Bye"),0,IF(AND(BI80="",BI83=""),"",IF(AND(BI80="G",BI83="P"),IF(BM81&gt;=BM82,VLOOKUP(ABS(BM81-BM82),Point_dif,2,TRUE),VLOOKUP(ABS(BM81-BM82),Point_dif,3,TRUE)),IF(AND(BI80="P",BI83="G"),IF(BM82&gt;=BM81,VLOOKUP(ABS(BM81-BM82),Point_dif,2,TRUE),VLOOKUP(ABS(BM81-BM82),Point_dif,3,TRUE)))))))</f>
        <v/>
      </c>
      <c r="BK81" s="420" t="s">
        <v>170</v>
      </c>
      <c r="BL81" s="229" t="str">
        <f>IF(BK80&lt;&gt;"",IF(BK80="","",IF(BK80="BYE",0,IF(ISTEXT(BK80),VLOOKUP(BN80,Dist_Llav,6,FALSE),""))),"")</f>
        <v/>
      </c>
      <c r="BM81" s="280" t="str">
        <f>IF(BK80="","",IF(ISTEXT(BK80),IF(BK80="","",IF(BK80="Bye",0,VLOOKUP(BK80,Rank_Points,3,FALSE)))))</f>
        <v/>
      </c>
      <c r="BN81" s="422"/>
      <c r="BO81" s="422" t="str">
        <f>IF(Llave=128,BO75+1,"")</f>
        <v/>
      </c>
      <c r="BP81" s="181"/>
      <c r="BQ81" s="181">
        <f>IF(BS81="Bye",1,MAX(BQ$8:BQ80)+1)</f>
        <v>74</v>
      </c>
      <c r="BR81" s="314" t="str">
        <f t="shared" si="3"/>
        <v/>
      </c>
      <c r="BS81" s="181" t="str">
        <f>IF(Llave=128,IF(OR(D56="Bye",D59="Bye"),"Bye",IF(H56="P",D56,IF(H59="P",D59,""))),"")</f>
        <v/>
      </c>
      <c r="BT81" s="181" t="b">
        <f>IF(Llave&lt;128,"",IF(Llave=128,IF(OR(D56="Bye",D59="Bye"),"",IF(H56="P",G56,IF(H59="P",G59,"")))))</f>
        <v>0</v>
      </c>
    </row>
    <row r="82" spans="2:72" x14ac:dyDescent="0.3">
      <c r="B82" s="413"/>
      <c r="C82" s="192"/>
      <c r="D82" s="229" t="str">
        <f>IF(D83="","",IF(ISTEXT(D83),IF(D83="","",IF(D83="Bye",0,VLOOKUP(D83,Rank_Points,3,FALSE)))))</f>
        <v/>
      </c>
      <c r="E82" s="192" t="str">
        <f>IF(D83&lt;&gt;"",IF(D83="","",IF(D83="BYE",0,IF(ISTEXT(D83),VLOOKUP(C83,Dist_Llav,6,FALSE),""))),"")</f>
        <v/>
      </c>
      <c r="F82" s="414"/>
      <c r="G82" s="419"/>
      <c r="H82" s="282"/>
      <c r="I82" s="425" t="str">
        <f>IF(D80="Bye",D83,IF(D83="Bye",D80,IF(AND(H80="",H83=""),"",IF(AND(H80="G",H83="P"),D80,IF(AND(H83="G",H80="P"),D83,"Corregir ganador y perdedor")))))</f>
        <v/>
      </c>
      <c r="J82" s="423"/>
      <c r="K82" s="423"/>
      <c r="L82" s="423"/>
      <c r="M82" s="167"/>
      <c r="N82" s="192"/>
      <c r="O82" s="192"/>
      <c r="P82" s="287"/>
      <c r="Q82" s="192"/>
      <c r="R82" s="192"/>
      <c r="S82" s="192"/>
      <c r="T82" s="287"/>
      <c r="U82" s="192"/>
      <c r="V82" s="192"/>
      <c r="W82" s="192"/>
      <c r="X82" s="192"/>
      <c r="Y82" s="192"/>
      <c r="Z82" s="192"/>
      <c r="AA82" s="192"/>
      <c r="AB82" s="287"/>
      <c r="AC82" s="192"/>
      <c r="AD82" s="192"/>
      <c r="AE82" s="192"/>
      <c r="AF82" s="192"/>
      <c r="AG82" s="192"/>
      <c r="AH82" s="192"/>
      <c r="AI82" s="192"/>
      <c r="AJ82" s="192"/>
      <c r="AK82" s="192"/>
      <c r="AL82" s="192"/>
      <c r="AM82" s="192"/>
      <c r="AN82" s="192"/>
      <c r="AO82" s="289"/>
      <c r="AP82" s="192"/>
      <c r="AQ82" s="192"/>
      <c r="AR82" s="192"/>
      <c r="AS82" s="192"/>
      <c r="AT82" s="192"/>
      <c r="AU82" s="192"/>
      <c r="AV82" s="192"/>
      <c r="AW82" s="289"/>
      <c r="AX82" s="192"/>
      <c r="AY82" s="192"/>
      <c r="AZ82" s="192"/>
      <c r="BA82" s="289"/>
      <c r="BB82" s="192"/>
      <c r="BC82" s="192"/>
      <c r="BD82" s="166"/>
      <c r="BE82" s="423" t="str">
        <f>IF(BK83="Bye",BK80,IF(BK80="Bye",BK83,IF(AND(BI80="",BI83=""),"",IF(AND(BI80="G",BI83="P"),BK80,IF(AND(BI83="G",BI80="P"),BK83,"Corregir ganador y perdedor")))))</f>
        <v/>
      </c>
      <c r="BF82" s="423"/>
      <c r="BG82" s="423"/>
      <c r="BH82" s="426"/>
      <c r="BI82" s="286"/>
      <c r="BJ82" s="419"/>
      <c r="BK82" s="421"/>
      <c r="BL82" s="229" t="str">
        <f>IF(BK83&lt;&gt;"",IF(BK83="","",IF(BK83="BYE",0,IF(ISTEXT(BK83),VLOOKUP(BN83,Dist_Llav,6,FALSE),""))),"")</f>
        <v/>
      </c>
      <c r="BM82" s="280" t="str">
        <f>IF(BK83="","",IF(ISTEXT(BK83),IF(BK83="","",IF(BK83="Bye",0,VLOOKUP(BK83,Rank_Points,3,FALSE)))))</f>
        <v/>
      </c>
      <c r="BN82" s="422"/>
      <c r="BO82" s="422"/>
      <c r="BP82" s="181"/>
      <c r="BQ82" s="181">
        <f>IF(BS82="Bye",1,MAX(BQ$8:BQ81)+1)</f>
        <v>75</v>
      </c>
      <c r="BR82" s="314" t="str">
        <f t="shared" si="3"/>
        <v/>
      </c>
      <c r="BS82" s="181" t="str">
        <f>IF(Llave=128,IF(OR(D62="Bye",D65="Bye"),"Bye",IF(H62="P",D62,IF(H65="P",D65,""))),"")</f>
        <v/>
      </c>
      <c r="BT82" s="181" t="b">
        <f>IF(Llave&lt;128,"",IF(Llave=128,IF(OR(D62="Bye",D65="Bye"),"",IF(H62="P",G62,IF(H65="P",G65,"")))))</f>
        <v>0</v>
      </c>
    </row>
    <row r="83" spans="2:72" x14ac:dyDescent="0.3">
      <c r="B83" s="192">
        <f>B80+1</f>
        <v>28</v>
      </c>
      <c r="C83" s="192" t="str">
        <f>IF(Llave="","",IF(Llave&gt;1,IF(OR(Plyrs_val=Tot_Jug,Groups*2=Plyrs_val),HLOOKUP(Plyrs_val,Knockout,B83+1,FALSE)),""))</f>
        <v/>
      </c>
      <c r="D83" s="412" t="str">
        <f>IF(Llave="","",IF(Llave&gt;1,IF(C83="Bye","Bye",IF(OR(Plyrs_val=Tot_Jug,Groups*2=Plyrs_val),VLOOKUP(C83,Dist_Llav,4,FALSE),"")),""))</f>
        <v/>
      </c>
      <c r="E83" s="412"/>
      <c r="F83" s="412"/>
      <c r="G83" s="192" t="str">
        <f>IF(D83="","",IF(D83="Bye",0,IF(D80="Bye",E82,IF(H83="G",E82+G81,IF(H83="P",E82-G81,"")))))</f>
        <v/>
      </c>
      <c r="H83" s="166"/>
      <c r="I83" s="192"/>
      <c r="J83" s="192"/>
      <c r="K83" s="192"/>
      <c r="L83" s="192"/>
      <c r="M83" s="192"/>
      <c r="N83" s="192"/>
      <c r="O83" s="192"/>
      <c r="P83" s="287"/>
      <c r="Q83" s="192"/>
      <c r="R83" s="192"/>
      <c r="S83" s="192"/>
      <c r="T83" s="287"/>
      <c r="U83" s="192"/>
      <c r="V83" s="192"/>
      <c r="W83" s="192"/>
      <c r="X83" s="192"/>
      <c r="Y83" s="192"/>
      <c r="Z83" s="192"/>
      <c r="AA83" s="192"/>
      <c r="AB83" s="287"/>
      <c r="AC83" s="192"/>
      <c r="AD83" s="192"/>
      <c r="AE83" s="192"/>
      <c r="AF83" s="192"/>
      <c r="AG83" s="192"/>
      <c r="AH83" s="192"/>
      <c r="AI83" s="192"/>
      <c r="AJ83" s="192"/>
      <c r="AK83" s="192"/>
      <c r="AL83" s="192"/>
      <c r="AM83" s="192"/>
      <c r="AN83" s="192"/>
      <c r="AO83" s="289"/>
      <c r="AP83" s="192"/>
      <c r="AQ83" s="192"/>
      <c r="AR83" s="192"/>
      <c r="AS83" s="192"/>
      <c r="AT83" s="192"/>
      <c r="AU83" s="192"/>
      <c r="AV83" s="192"/>
      <c r="AW83" s="289"/>
      <c r="AX83" s="192"/>
      <c r="AY83" s="192"/>
      <c r="AZ83" s="192"/>
      <c r="BA83" s="289"/>
      <c r="BB83" s="192"/>
      <c r="BC83" s="192"/>
      <c r="BD83" s="192"/>
      <c r="BE83" s="192"/>
      <c r="BF83" s="192"/>
      <c r="BG83" s="192"/>
      <c r="BH83" s="192"/>
      <c r="BI83" s="166"/>
      <c r="BJ83" s="284" t="str">
        <f>IF(BK83="","",IF(BK83="Bye",0,IF(BK80="Bye",BL82,IF(BI83="G",BL82+BJ81,IF(BI83="P",BL82-BJ81,"")))))</f>
        <v/>
      </c>
      <c r="BK83" s="412" t="str">
        <f>IF(Llave="","",IF(Llave&gt;1,IF(BN83="Bye","Bye",IF(OR(Plyrs_val=Tot_Jug,Groups*2=Plyrs_val),VLOOKUP(BN83,Dist_Llav,4,FALSE),"")),""))</f>
        <v/>
      </c>
      <c r="BL83" s="412"/>
      <c r="BM83" s="412"/>
      <c r="BN83" s="229" t="str">
        <f>IF(Llave=128,IF(OR(Plyrs_val=Tot_Jug,Groups*2=Plyrs_val),HLOOKUP(Plyrs_val,Knockout,BO83+1,FALSE)),"")</f>
        <v/>
      </c>
      <c r="BO83" s="229">
        <f>BO80+1</f>
        <v>92</v>
      </c>
      <c r="BP83" s="181"/>
      <c r="BQ83" s="181">
        <f>IF(BS83="Bye",1,MAX(BQ$8:BQ82)+1)</f>
        <v>76</v>
      </c>
      <c r="BR83" s="314" t="str">
        <f t="shared" si="3"/>
        <v/>
      </c>
      <c r="BS83" s="181" t="str">
        <f>IF(Llave=128,IF(OR(D68="Bye",D71="Bye"),"Bye",IF(H68="P",D68,IF(H71="P",D71,""))),"")</f>
        <v/>
      </c>
      <c r="BT83" s="181" t="b">
        <f>IF(Llave&lt;128,"",IF(Llave=128,IF(OR(D68="Bye",D71="Bye"),"",IF(H68="P",G68,IF(H71="P",G71,"")))))</f>
        <v>0</v>
      </c>
    </row>
    <row r="84" spans="2:72" x14ac:dyDescent="0.3">
      <c r="B84" s="192"/>
      <c r="C84" s="192"/>
      <c r="D84" s="192"/>
      <c r="E84" s="192"/>
      <c r="F84" s="192"/>
      <c r="G84" s="192"/>
      <c r="H84" s="192"/>
      <c r="I84" s="192"/>
      <c r="J84" s="192"/>
      <c r="K84" s="192"/>
      <c r="L84" s="192"/>
      <c r="M84" s="181"/>
      <c r="N84" s="413" t="str">
        <f>IF(Llave="","",N60+1)</f>
        <v/>
      </c>
      <c r="O84" s="414" t="s">
        <v>170</v>
      </c>
      <c r="P84" s="415" t="str">
        <f>IF(OR(M78="",M91=""),"",IF(OR(M78="Bye",M91="Bye"),0,IF(AND(Q78="",Q91=""),"",IF(AND(Q78="G",Q91="P"),IF(M79&gt;=M90,VLOOKUP(ABS(M79-M90),Point_dif,2,TRUE),VLOOKUP(ABS(M79-M90),Point_dif,3,TRUE)),IF(AND(Q78="P",Q91="G"),IF(M90&gt;=M79,VLOOKUP(ABS(M79-M90),Point_dif,2,TRUE),VLOOKUP(ABS(M79-M90),Point_dif,3,TRUE)))))))</f>
        <v/>
      </c>
      <c r="Q84" s="275" t="str">
        <f>IF(Q85=M78,M79,IF(Q85=M91,M90,""))</f>
        <v/>
      </c>
      <c r="R84" s="417" t="str">
        <f>IF(ISNUMBER(Q84),VLOOKUP(Q85,Siembra,2,FALSE),"")</f>
        <v/>
      </c>
      <c r="S84" s="417"/>
      <c r="T84" s="282" t="str">
        <f>IF(Q85="","",IF(U85="G",IF(Q85=M78,P79+T72,P90+T72),IF(U85="P",IF(Q85=M78,P79-T72,P90-T72),"")))</f>
        <v/>
      </c>
      <c r="U84" s="192"/>
      <c r="V84" s="192"/>
      <c r="W84" s="192"/>
      <c r="X84" s="192"/>
      <c r="Y84" s="192"/>
      <c r="Z84" s="192"/>
      <c r="AA84" s="192"/>
      <c r="AB84" s="287"/>
      <c r="AC84" s="192"/>
      <c r="AD84" s="192"/>
      <c r="AE84" s="192"/>
      <c r="AF84" s="192"/>
      <c r="AG84" s="192"/>
      <c r="AH84" s="192"/>
      <c r="AI84" s="192"/>
      <c r="AJ84" s="192"/>
      <c r="AK84" s="192"/>
      <c r="AL84" s="192"/>
      <c r="AM84" s="192"/>
      <c r="AN84" s="192"/>
      <c r="AO84" s="289"/>
      <c r="AP84" s="192"/>
      <c r="AQ84" s="192"/>
      <c r="AR84" s="192"/>
      <c r="AS84" s="192"/>
      <c r="AT84" s="192"/>
      <c r="AU84" s="192"/>
      <c r="AV84" s="192"/>
      <c r="AW84" s="286" t="str">
        <f>IF(AW85="","",IF(AV85="G",IF(AW85=BA78,BA79+AW71,BA90+AW71),IF(AV85="P",IF(AW85=BA78,BA79-AW71,BA90-AW71),"")))</f>
        <v/>
      </c>
      <c r="AX84" s="417" t="str">
        <f>IF(ISNUMBER(AW84),VLOOKUP(AW85,Siembra,2,FALSE),"")</f>
        <v/>
      </c>
      <c r="AY84" s="417"/>
      <c r="AZ84" s="282" t="str">
        <f>IF(AW85=BA78,BD79,IF(AW85=BA91,BD90,""))</f>
        <v/>
      </c>
      <c r="BA84" s="424" t="str">
        <f>IF(OR(BA78="",BA91=""),"",IF(OR(BA78="Bye",BA91="Bye"),0,IF(AND(AZ78="",AZ91=""),"",IF(AND(AZ78="G",AZ91="P"),IF(BD79&gt;=BD90,VLOOKUP(ABS(BD79-BD90),Point_dif,2,TRUE),VLOOKUP(ABS(BD79-BD90),Point_dif,3,TRUE)),IF(AND(AZ78="P",AZ91="G"),IF(BD90&gt;=BD79,VLOOKUP(ABS(BD79-BD90),Point_dif,2,TRUE),VLOOKUP(ABS(BD79-BD90),Point_dif,3,TRUE)))))))</f>
        <v/>
      </c>
      <c r="BB84" s="421" t="s">
        <v>170</v>
      </c>
      <c r="BC84" s="413" t="str">
        <f>IF(Llave=128,BC60+1,"")</f>
        <v/>
      </c>
      <c r="BD84" s="181"/>
      <c r="BE84" s="192"/>
      <c r="BF84" s="192"/>
      <c r="BG84" s="192"/>
      <c r="BH84" s="192"/>
      <c r="BI84" s="192"/>
      <c r="BJ84" s="192"/>
      <c r="BK84" s="192"/>
      <c r="BL84" s="192"/>
      <c r="BM84" s="192"/>
      <c r="BN84" s="192"/>
      <c r="BO84" s="192"/>
      <c r="BP84" s="181"/>
      <c r="BQ84" s="181">
        <f>IF(BS84="Bye",1,MAX(BQ$8:BQ83)+1)</f>
        <v>77</v>
      </c>
      <c r="BR84" s="314" t="str">
        <f t="shared" si="3"/>
        <v/>
      </c>
      <c r="BS84" s="181" t="str">
        <f>IF(Llave=128,IF(OR(D74="Bye",D77="Bye"),"Bye",IF(H74="P",D74,IF(H77="P",D77,""))),"")</f>
        <v/>
      </c>
      <c r="BT84" s="181" t="b">
        <f>IF(Llave&lt;128,"",IF(Llave=128,IF(OR(D74="Bye",D77="Bye"),"",IF(H74="P",G74,IF(H77="P",G77,"")))))</f>
        <v>0</v>
      </c>
    </row>
    <row r="85" spans="2:72" x14ac:dyDescent="0.3">
      <c r="B85" s="192"/>
      <c r="C85" s="192"/>
      <c r="D85" s="192"/>
      <c r="E85" s="192"/>
      <c r="F85" s="192"/>
      <c r="G85" s="272" t="s">
        <v>229</v>
      </c>
      <c r="H85" s="192"/>
      <c r="I85" s="192"/>
      <c r="J85" s="192"/>
      <c r="K85" s="192"/>
      <c r="L85" s="192"/>
      <c r="M85" s="181"/>
      <c r="N85" s="413"/>
      <c r="O85" s="414"/>
      <c r="P85" s="415"/>
      <c r="Q85" s="425" t="str">
        <f>IF(AND(Q78="",Q91=""),"",IF(AND(Q78="G",Q91="P"),M78,IF(AND(Q91="G",Q78="P"),M91,"Corregir ganador y perdedor")))</f>
        <v/>
      </c>
      <c r="R85" s="423"/>
      <c r="S85" s="423"/>
      <c r="T85" s="423"/>
      <c r="U85" s="167"/>
      <c r="V85" s="192"/>
      <c r="W85" s="192"/>
      <c r="X85" s="192"/>
      <c r="Y85" s="192"/>
      <c r="Z85" s="192"/>
      <c r="AA85" s="192"/>
      <c r="AB85" s="287"/>
      <c r="AC85" s="192"/>
      <c r="AD85" s="192"/>
      <c r="AE85" s="192"/>
      <c r="AF85" s="192"/>
      <c r="AG85" s="192"/>
      <c r="AH85" s="427">
        <f>IF(Llave&gt;64,5,"")</f>
        <v>5</v>
      </c>
      <c r="AI85" s="428"/>
      <c r="AJ85" s="428"/>
      <c r="AK85" s="192"/>
      <c r="AL85" s="192"/>
      <c r="AM85" s="192"/>
      <c r="AN85" s="192"/>
      <c r="AO85" s="289"/>
      <c r="AP85" s="192"/>
      <c r="AQ85" s="192"/>
      <c r="AR85" s="192"/>
      <c r="AS85" s="192"/>
      <c r="AT85" s="192"/>
      <c r="AU85" s="192"/>
      <c r="AV85" s="166"/>
      <c r="AW85" s="423" t="str">
        <f>IF(AND(AZ78="",AZ91=""),"",IF(AND(AZ78="G",AZ91="P"),BA78,IF(AND(AZ91="G",AZ78="P"),BA91,"Corregir ganador y perdedor")))</f>
        <v/>
      </c>
      <c r="AX85" s="423"/>
      <c r="AY85" s="423"/>
      <c r="AZ85" s="426"/>
      <c r="BA85" s="424"/>
      <c r="BB85" s="421"/>
      <c r="BC85" s="413"/>
      <c r="BD85" s="181"/>
      <c r="BE85" s="192"/>
      <c r="BF85" s="192"/>
      <c r="BG85" s="192"/>
      <c r="BH85" s="192"/>
      <c r="BI85" s="273"/>
      <c r="BJ85" s="274" t="s">
        <v>230</v>
      </c>
      <c r="BK85" s="192"/>
      <c r="BL85" s="192"/>
      <c r="BM85" s="192"/>
      <c r="BN85" s="192"/>
      <c r="BO85" s="192"/>
      <c r="BP85" s="181"/>
      <c r="BQ85" s="181">
        <f>IF(BS85="Bye",1,MAX(BQ$8:BQ84)+1)</f>
        <v>78</v>
      </c>
      <c r="BR85" s="314" t="str">
        <f t="shared" si="3"/>
        <v/>
      </c>
      <c r="BS85" s="181" t="str">
        <f>IF(Llave=128,IF(OR(D80="Bye",D83="Bye"),"Bye",IF(H80="P",D80,IF(H83="P",D83,""))),"")</f>
        <v/>
      </c>
      <c r="BT85" s="181" t="b">
        <f>IF(Llave&lt;128,"",IF(Llave=128,IF(OR(D80="Bye",D83="Bye"),"",IF(H80="P",G80,IF(H83="P",G83,"")))))</f>
        <v>0</v>
      </c>
    </row>
    <row r="86" spans="2:72" x14ac:dyDescent="0.3">
      <c r="B86" s="192">
        <f>B83+1</f>
        <v>29</v>
      </c>
      <c r="C86" s="192" t="str">
        <f>IF(Llave="","",IF(Llave&gt;1,IF(OR(Plyrs_val=Tot_Jug,Groups*2=Plyrs_val),HLOOKUP(Plyrs_val,Knockout,B86+1,FALSE)),""))</f>
        <v/>
      </c>
      <c r="D86" s="411" t="str">
        <f>IF(Llave="","",IF(Llave&gt;1,IF(C86="Bye","Bye",IF(OR(Plyrs_val=Tot_Jug,Groups*2=Plyrs_val),VLOOKUP(C86,Dist_Llav,4,FALSE),"")),""))</f>
        <v/>
      </c>
      <c r="E86" s="411"/>
      <c r="F86" s="411"/>
      <c r="G86" s="192" t="str">
        <f>IF(D86="","",IF(D86="Bye",0,IF(D89="Bye",E87,IF(H86="G",E87+G87,IF(H86="P",E87-G87,"")))))</f>
        <v/>
      </c>
      <c r="H86" s="166"/>
      <c r="I86" s="192"/>
      <c r="J86" s="192"/>
      <c r="K86" s="192"/>
      <c r="L86" s="277" t="s">
        <v>231</v>
      </c>
      <c r="M86" s="192"/>
      <c r="N86" s="192"/>
      <c r="O86" s="192"/>
      <c r="P86" s="287"/>
      <c r="Q86" s="192"/>
      <c r="R86" s="192"/>
      <c r="S86" s="192"/>
      <c r="T86" s="192"/>
      <c r="U86" s="192"/>
      <c r="V86" s="192"/>
      <c r="W86" s="192"/>
      <c r="X86" s="192"/>
      <c r="Y86" s="192"/>
      <c r="Z86" s="192"/>
      <c r="AA86" s="192"/>
      <c r="AB86" s="287"/>
      <c r="AC86" s="192"/>
      <c r="AD86" s="192"/>
      <c r="AE86" s="192"/>
      <c r="AF86" s="192"/>
      <c r="AG86" s="192"/>
      <c r="AH86" s="428"/>
      <c r="AI86" s="428"/>
      <c r="AJ86" s="428"/>
      <c r="AK86" s="192"/>
      <c r="AL86" s="192"/>
      <c r="AM86" s="192"/>
      <c r="AN86" s="192"/>
      <c r="AO86" s="289"/>
      <c r="AP86" s="192"/>
      <c r="AQ86" s="192"/>
      <c r="AR86" s="192"/>
      <c r="AS86" s="192"/>
      <c r="AT86" s="192"/>
      <c r="AU86" s="192"/>
      <c r="AV86" s="192"/>
      <c r="AW86" s="192"/>
      <c r="AX86" s="192"/>
      <c r="AY86" s="192"/>
      <c r="AZ86" s="192"/>
      <c r="BA86" s="289"/>
      <c r="BB86" s="192"/>
      <c r="BC86" s="192"/>
      <c r="BD86" s="192"/>
      <c r="BE86" s="274" t="s">
        <v>232</v>
      </c>
      <c r="BF86" s="192"/>
      <c r="BG86" s="192"/>
      <c r="BH86" s="192"/>
      <c r="BI86" s="166"/>
      <c r="BJ86" s="192" t="str">
        <f>IF(BK86="","",IF(BK86="Bye",0,IF(BK89="Bye",BL87,IF(BI86="G",BL87+BJ87,IF(BI86="P",BL87-BJ87,"")))))</f>
        <v/>
      </c>
      <c r="BK86" s="411" t="str">
        <f>IF(Llave="","",IF(Llave&gt;1,IF(BN86="Bye","Bye",IF(OR(Plyrs_val=Tot_Jug,Groups*2=Plyrs_val),VLOOKUP(BN86,Dist_Llav,4,FALSE),"")),""))</f>
        <v/>
      </c>
      <c r="BL86" s="411"/>
      <c r="BM86" s="411"/>
      <c r="BN86" s="229" t="str">
        <f>IF(Llave=128,IF(OR(Plyrs_val=Tot_Jug,Groups*2=Plyrs_val),HLOOKUP(Plyrs_val,Knockout,BO86+1,FALSE)),"")</f>
        <v/>
      </c>
      <c r="BO86" s="229">
        <f>BO83+1</f>
        <v>93</v>
      </c>
      <c r="BP86" s="181"/>
      <c r="BQ86" s="181">
        <f>IF(BS86="Bye",1,MAX(BQ$8:BQ85)+1)</f>
        <v>79</v>
      </c>
      <c r="BR86" s="314" t="str">
        <f t="shared" si="3"/>
        <v/>
      </c>
      <c r="BS86" s="181" t="str">
        <f>IF(Llave=128,IF(OR(D86="Bye",D89="Bye"),"Bye",IF(H86="P",D86,IF(H89="P",D89,""))),"")</f>
        <v/>
      </c>
      <c r="BT86" s="181" t="b">
        <f>IF(Llave&lt;128,"",IF(Llave=128,IF(OR(D86="Bye",D89="Bye"),"",IF(H86="P",G86,IF(H89="P",G89,"")))))</f>
        <v>0</v>
      </c>
    </row>
    <row r="87" spans="2:72" x14ac:dyDescent="0.3">
      <c r="B87" s="413" t="str">
        <f>IF(Llave="","",B81+1)</f>
        <v/>
      </c>
      <c r="C87" s="192"/>
      <c r="D87" s="229" t="str">
        <f>IF(D86="","",IF(ISTEXT(D86),IF(D86="","",IF(D86="Bye",0,VLOOKUP(D86,Rank_Points,3,FALSE)))))</f>
        <v/>
      </c>
      <c r="E87" s="192" t="str">
        <f>IF(D86&lt;&gt;"",IF(D86="","",IF(D86="BYE",0,IF(ISTEXT(D86),VLOOKUP(C86,Dist_Llav,6,FALSE),""))),"")</f>
        <v/>
      </c>
      <c r="F87" s="414" t="s">
        <v>170</v>
      </c>
      <c r="G87" s="418" t="str">
        <f>IF(OR(D86="",D89=""),"",IF(OR(D86="Bye",D89="Bye"),0,IF(AND(H86="",H89=""),"",IF(AND(H86="G",H89="P"),IF(D87&gt;=D88,VLOOKUP(ABS(D87-D88),Point_dif,2,TRUE),VLOOKUP(ABS(D87-D88),Point_dif,3,TRUE)),IF(AND(H86="P",H89="G"),IF(D88&gt;=D87,VLOOKUP(ABS(D87-D88),Point_dif,2,TRUE),VLOOKUP(ABS(D87-D88),Point_dif,3,TRUE)))))))</f>
        <v/>
      </c>
      <c r="H87" s="278"/>
      <c r="I87" s="416" t="str">
        <f>IF(D86="Bye",D89,IF(D89="Bye",D86,IF(AND(H86="",H89=""),"",IF(AND(H86="G",H89="P"),D86,IF(AND(H89="G",H86="P"),D89,"Corregir ganador y perdedor")))))</f>
        <v/>
      </c>
      <c r="J87" s="417"/>
      <c r="K87" s="417"/>
      <c r="L87" s="417"/>
      <c r="M87" s="167"/>
      <c r="N87" s="192"/>
      <c r="O87" s="192"/>
      <c r="P87" s="287"/>
      <c r="Q87" s="192"/>
      <c r="R87" s="192"/>
      <c r="S87" s="192"/>
      <c r="T87" s="192"/>
      <c r="U87" s="192"/>
      <c r="V87" s="192"/>
      <c r="W87" s="192"/>
      <c r="X87" s="192"/>
      <c r="Y87" s="192"/>
      <c r="Z87" s="192"/>
      <c r="AA87" s="192"/>
      <c r="AB87" s="287"/>
      <c r="AC87" s="192"/>
      <c r="AD87" s="192"/>
      <c r="AE87" s="192"/>
      <c r="AF87" s="192"/>
      <c r="AG87" s="192"/>
      <c r="AH87" s="428"/>
      <c r="AI87" s="428"/>
      <c r="AJ87" s="428"/>
      <c r="AK87" s="192"/>
      <c r="AL87" s="192"/>
      <c r="AM87" s="192"/>
      <c r="AN87" s="192"/>
      <c r="AO87" s="289"/>
      <c r="AP87" s="192"/>
      <c r="AQ87" s="192"/>
      <c r="AR87" s="192"/>
      <c r="AS87" s="192"/>
      <c r="AT87" s="192"/>
      <c r="AU87" s="192"/>
      <c r="AV87" s="192"/>
      <c r="AW87" s="192"/>
      <c r="AX87" s="192"/>
      <c r="AY87" s="192"/>
      <c r="AZ87" s="192"/>
      <c r="BA87" s="289"/>
      <c r="BB87" s="192"/>
      <c r="BC87" s="192"/>
      <c r="BD87" s="166"/>
      <c r="BE87" s="416" t="str">
        <f>IF(BK89="Bye",BK86,IF(BK86="Bye",BK89,IF(AND(BI86="",BI89=""),"",IF(AND(BI86="G",BI89="P"),BK86,IF(AND(BI89="G",BI86="P"),BK89,"Corregir ganador y perdedor")))))</f>
        <v/>
      </c>
      <c r="BF87" s="417"/>
      <c r="BG87" s="417"/>
      <c r="BH87" s="417"/>
      <c r="BI87" s="279"/>
      <c r="BJ87" s="418" t="str">
        <f>IF(OR(BK86="",BK89=""),"",IF(OR(BK86="Bye",BK89="Bye"),0,IF(AND(BI86="",BI89=""),"",IF(AND(BI86="G",BI89="P"),IF(BM87&gt;=BM88,VLOOKUP(ABS(BM87-BM88),Point_dif,2,TRUE),VLOOKUP(ABS(BM87-BM88),Point_dif,3,TRUE)),IF(AND(BI86="P",BI89="G"),IF(BM88&gt;=BM87,VLOOKUP(ABS(BM87-BM88),Point_dif,2,TRUE),VLOOKUP(ABS(BM87-BM88),Point_dif,3,TRUE)))))))</f>
        <v/>
      </c>
      <c r="BK87" s="420" t="s">
        <v>170</v>
      </c>
      <c r="BL87" s="229" t="str">
        <f>IF(BK86&lt;&gt;"",IF(BK86="","",IF(BK86="BYE",0,IF(ISTEXT(BK86),VLOOKUP(BN86,Dist_Llav,6,FALSE),""))),"")</f>
        <v/>
      </c>
      <c r="BM87" s="280" t="str">
        <f>IF(BK86="","",IF(ISTEXT(BK86),IF(BK86="","",IF(BK86="Bye",0,VLOOKUP(BK86,Rank_Points,3,FALSE)))))</f>
        <v/>
      </c>
      <c r="BN87" s="422"/>
      <c r="BO87" s="422" t="str">
        <f>IF(Llave=128,BO81+1,"")</f>
        <v/>
      </c>
      <c r="BP87" s="181"/>
      <c r="BQ87" s="181">
        <f>IF(BS87="Bye",1,MAX(BQ$8:BQ86)+1)</f>
        <v>80</v>
      </c>
      <c r="BR87" s="314" t="str">
        <f t="shared" si="3"/>
        <v/>
      </c>
      <c r="BS87" s="181" t="str">
        <f>IF(Llave=128,IF(OR(D92="Bye",D95="Bye"),"Bye",IF(H92="P",D92,IF(H95="P",D95,""))),"")</f>
        <v/>
      </c>
      <c r="BT87" s="181" t="b">
        <f>IF(Llave&lt;128,"",IF(Llave=128,IF(OR(D92="Bye",D95="Bye"),"",IF(H92="P",G92,IF(H95="P",G95,"")))))</f>
        <v>0</v>
      </c>
    </row>
    <row r="88" spans="2:72" x14ac:dyDescent="0.3">
      <c r="B88" s="413"/>
      <c r="C88" s="192"/>
      <c r="D88" s="229" t="str">
        <f>IF(D89="","",IF(ISTEXT(D89),IF(D89="","",IF(D89="Bye",0,VLOOKUP(D89,Rank_Points,3,FALSE)))))</f>
        <v/>
      </c>
      <c r="E88" s="192" t="str">
        <f>IF(D89&lt;&gt;"",IF(D89="","",IF(D89="BYE",0,IF(ISTEXT(D89),VLOOKUP(C89,Dist_Llav,6,FALSE),""))),"")</f>
        <v/>
      </c>
      <c r="F88" s="414"/>
      <c r="G88" s="419"/>
      <c r="H88" s="282"/>
      <c r="I88" s="283" t="str">
        <f>IF(I87=D86,D87,IF(I87=D89,D88,""))</f>
        <v/>
      </c>
      <c r="J88" s="423" t="str">
        <f>IF(ISNUMBER(I88),VLOOKUP(I87,Siembra,2,FALSE),"")</f>
        <v/>
      </c>
      <c r="K88" s="423"/>
      <c r="L88" s="278" t="str">
        <f>IF(I87="","",IF(M87="G",IF(I87=D86,G86+L90,G89+L90),IF(M87="P",IF(I87=D86,G86-L90,G89-L90),"")))</f>
        <v/>
      </c>
      <c r="M88" s="192"/>
      <c r="N88" s="192"/>
      <c r="O88" s="192"/>
      <c r="P88" s="287"/>
      <c r="Q88" s="192"/>
      <c r="R88" s="192"/>
      <c r="S88" s="192"/>
      <c r="T88" s="192"/>
      <c r="U88" s="192"/>
      <c r="V88" s="192"/>
      <c r="W88" s="192"/>
      <c r="X88" s="192"/>
      <c r="Y88" s="192"/>
      <c r="Z88" s="192"/>
      <c r="AA88" s="192"/>
      <c r="AB88" s="287"/>
      <c r="AC88" s="192"/>
      <c r="AD88" s="192"/>
      <c r="AE88" s="192"/>
      <c r="AF88" s="192"/>
      <c r="AG88" s="192"/>
      <c r="AH88" s="428"/>
      <c r="AI88" s="428"/>
      <c r="AJ88" s="428"/>
      <c r="AK88" s="192"/>
      <c r="AL88" s="192"/>
      <c r="AM88" s="192"/>
      <c r="AN88" s="192"/>
      <c r="AO88" s="289"/>
      <c r="AP88" s="192"/>
      <c r="AQ88" s="192"/>
      <c r="AR88" s="192"/>
      <c r="AS88" s="192"/>
      <c r="AT88" s="192"/>
      <c r="AU88" s="192"/>
      <c r="AV88" s="192"/>
      <c r="AW88" s="192"/>
      <c r="AX88" s="192"/>
      <c r="AY88" s="192"/>
      <c r="AZ88" s="192"/>
      <c r="BA88" s="289"/>
      <c r="BB88" s="192"/>
      <c r="BC88" s="192"/>
      <c r="BD88" s="192"/>
      <c r="BE88" s="279" t="str">
        <f>IF(BE87="","",IF(BD87="G",IF(BE87=BK86,BJ86+BE90,BJ89+BE90),IF(BD87="P",IF(BE87=BK86,BJ86-BE90,BJ89-BE90),"")))</f>
        <v/>
      </c>
      <c r="BF88" s="423" t="str">
        <f>IF(ISNUMBER(BE88),VLOOKUP(BE87,Siembra,2,FALSE),"")</f>
        <v/>
      </c>
      <c r="BG88" s="423"/>
      <c r="BH88" s="285" t="str">
        <f>IF(BE87=BK86,BM87,IF(BE87=BK89,BM88,""))</f>
        <v/>
      </c>
      <c r="BI88" s="286"/>
      <c r="BJ88" s="419"/>
      <c r="BK88" s="421"/>
      <c r="BL88" s="229" t="str">
        <f>IF(BK89&lt;&gt;"",IF(BK89="","",IF(BK89="BYE",0,IF(ISTEXT(BK89),VLOOKUP(BN89,Dist_Llav,6,FALSE),""))),"")</f>
        <v/>
      </c>
      <c r="BM88" s="280" t="str">
        <f>IF(BK89="","",IF(ISTEXT(BK89),IF(BK89="","",IF(BK89="Bye",0,VLOOKUP(BK89,Rank_Points,3,FALSE)))))</f>
        <v/>
      </c>
      <c r="BN88" s="422"/>
      <c r="BO88" s="422"/>
      <c r="BP88" s="181"/>
      <c r="BQ88" s="181">
        <f>IF(BS88="Bye",1,MAX(BQ$8:BQ87)+1)</f>
        <v>81</v>
      </c>
      <c r="BR88" s="314" t="str">
        <f t="shared" si="3"/>
        <v/>
      </c>
      <c r="BS88" s="181" t="str">
        <f>IF(Llave=128,IF(OR(D98="Bye",D101="Bye"),"Bye",IF(H98="P",D98,IF(H101="P",D101,""))),"")</f>
        <v/>
      </c>
      <c r="BT88" s="181" t="b">
        <f>IF(Llave&lt;128,"",IF(Llave=128,IF(OR(D98="Bye",D101="Bye"),"",IF(H98="P",G98,IF(H101="P",G101,"")))))</f>
        <v>0</v>
      </c>
    </row>
    <row r="89" spans="2:72" x14ac:dyDescent="0.3">
      <c r="B89" s="192">
        <f>B86+1</f>
        <v>30</v>
      </c>
      <c r="C89" s="192" t="str">
        <f>IF(Llave="","",IF(Llave&gt;1,IF(OR(Plyrs_val=Tot_Jug,Groups*2=Plyrs_val),HLOOKUP(Plyrs_val,Knockout,B89+1,FALSE)),""))</f>
        <v/>
      </c>
      <c r="D89" s="412" t="str">
        <f>IF(Llave="","",IF(Llave&gt;1,IF(C89="Bye","Bye",IF(OR(Plyrs_val=Tot_Jug,Groups*2=Plyrs_val),VLOOKUP(C89,Dist_Llav,4,FALSE),"")),""))</f>
        <v/>
      </c>
      <c r="E89" s="412"/>
      <c r="F89" s="412"/>
      <c r="G89" s="192" t="str">
        <f>IF(D89="","",IF(D89="Bye",0,IF(D86="Bye",E88,IF(H89="G",E88+G87,IF(H89="P",E88-G87,"")))))</f>
        <v/>
      </c>
      <c r="H89" s="166"/>
      <c r="I89" s="192"/>
      <c r="J89" s="192"/>
      <c r="K89" s="192"/>
      <c r="L89" s="287"/>
      <c r="M89" s="192"/>
      <c r="N89" s="192"/>
      <c r="O89" s="192"/>
      <c r="P89" s="287"/>
      <c r="Q89" s="192"/>
      <c r="R89" s="192"/>
      <c r="S89" s="192"/>
      <c r="T89" s="192"/>
      <c r="U89" s="192"/>
      <c r="V89" s="192"/>
      <c r="W89" s="192"/>
      <c r="X89" s="192"/>
      <c r="Y89" s="192"/>
      <c r="Z89" s="192"/>
      <c r="AA89" s="192"/>
      <c r="AB89" s="287"/>
      <c r="AC89" s="192"/>
      <c r="AD89" s="192"/>
      <c r="AE89" s="192"/>
      <c r="AF89" s="192"/>
      <c r="AG89" s="192"/>
      <c r="AH89" s="428"/>
      <c r="AI89" s="428"/>
      <c r="AJ89" s="428"/>
      <c r="AK89" s="192"/>
      <c r="AL89" s="192"/>
      <c r="AM89" s="192"/>
      <c r="AN89" s="192"/>
      <c r="AO89" s="289"/>
      <c r="AP89" s="192"/>
      <c r="AQ89" s="192"/>
      <c r="AR89" s="192"/>
      <c r="AS89" s="192"/>
      <c r="AT89" s="192"/>
      <c r="AU89" s="192"/>
      <c r="AV89" s="192"/>
      <c r="AW89" s="192"/>
      <c r="AX89" s="192"/>
      <c r="AY89" s="192"/>
      <c r="AZ89" s="192"/>
      <c r="BA89" s="289"/>
      <c r="BB89" s="192"/>
      <c r="BC89" s="192"/>
      <c r="BD89" s="192"/>
      <c r="BE89" s="289"/>
      <c r="BF89" s="192"/>
      <c r="BG89" s="192"/>
      <c r="BH89" s="192"/>
      <c r="BI89" s="166"/>
      <c r="BJ89" s="284" t="str">
        <f>IF(BK89="","",IF(BK89="Bye",0,IF(BK86="Bye",BL88,IF(BI89="G",BL88+BJ87,IF(BI89="P",BL88-BJ87,"")))))</f>
        <v/>
      </c>
      <c r="BK89" s="412" t="str">
        <f>IF(Llave="","",IF(Llave&gt;1,IF(BN89="Bye","Bye",IF(OR(Plyrs_val=Tot_Jug,Groups*2=Plyrs_val),VLOOKUP(BN89,Dist_Llav,4,FALSE),"")),""))</f>
        <v/>
      </c>
      <c r="BL89" s="412"/>
      <c r="BM89" s="412"/>
      <c r="BN89" s="229" t="str">
        <f>IF(Llave=128,IF(OR(Plyrs_val=Tot_Jug,Groups*2=Plyrs_val),HLOOKUP(Plyrs_val,Knockout,BO89+1,FALSE)),"")</f>
        <v/>
      </c>
      <c r="BO89" s="229">
        <f>BO86+1</f>
        <v>94</v>
      </c>
      <c r="BP89" s="181"/>
      <c r="BQ89" s="181">
        <f>IF(BS89="Bye",1,MAX(BQ$8:BQ88)+1)</f>
        <v>82</v>
      </c>
      <c r="BR89" s="314" t="str">
        <f t="shared" si="3"/>
        <v/>
      </c>
      <c r="BS89" s="181" t="str">
        <f>IF(Llave=128,IF(OR(D104="Bye",D107="Bye"),"Bye",IF(H104="P",D104,IF(H107="P",D107,""))),"")</f>
        <v/>
      </c>
      <c r="BT89" s="181" t="b">
        <f>IF(Llave&lt;128,"",IF(Llave=128,IF(OR(D104="Bye",D107="Bye"),"",IF(H104="P",G104,IF(H107="P",G107,"")))))</f>
        <v>0</v>
      </c>
    </row>
    <row r="90" spans="2:72" x14ac:dyDescent="0.3">
      <c r="B90" s="192"/>
      <c r="C90" s="192"/>
      <c r="D90" s="192"/>
      <c r="E90" s="192"/>
      <c r="F90" s="192"/>
      <c r="G90" s="192"/>
      <c r="H90" s="192"/>
      <c r="I90" s="413" t="str">
        <f>IF(Llave="","",I78+1)</f>
        <v/>
      </c>
      <c r="J90" s="192"/>
      <c r="K90" s="414" t="s">
        <v>170</v>
      </c>
      <c r="L90" s="415" t="str">
        <f>IF(OR(I87="",I94=""),"",IF(OR(I87="Bye",I94="Bye"),0,IF(AND(M87="",M94=""),"",IF(AND(M87="G",M94="P"),IF(I88&gt;=I93,VLOOKUP(ABS(I88-I93),Point_dif,2,TRUE),VLOOKUP(ABS(I88-I93),Point_dif,3,TRUE)),IF(AND(M87="P",M94="G"),IF(I93&gt;=I88,VLOOKUP(ABS(I88-I93),Point_dif,2,TRUE),VLOOKUP(ABS(I88-I93),Point_dif,3,TRUE)))))))</f>
        <v/>
      </c>
      <c r="M90" s="275" t="str">
        <f>IF(M91=I87,I88,IF(M91=I94,I93,""))</f>
        <v/>
      </c>
      <c r="N90" s="417" t="str">
        <f>IF(ISNUMBER(M90),VLOOKUP(M91,Siembra,2,FALSE),"")</f>
        <v/>
      </c>
      <c r="O90" s="417"/>
      <c r="P90" s="282" t="str">
        <f>IF(M91="","",IF(Q91="G",IF(M91=I87,L88+P84,L93+P84),IF(Q91="P",IF(M91=I87,L88-P84,L93-P84),"")))</f>
        <v/>
      </c>
      <c r="Q90" s="192"/>
      <c r="R90" s="192"/>
      <c r="S90" s="192"/>
      <c r="T90" s="192"/>
      <c r="U90" s="192"/>
      <c r="V90" s="192"/>
      <c r="W90" s="192"/>
      <c r="X90" s="192"/>
      <c r="Y90" s="192"/>
      <c r="Z90" s="192"/>
      <c r="AA90" s="192"/>
      <c r="AB90" s="287"/>
      <c r="AC90" s="192"/>
      <c r="AD90" s="192"/>
      <c r="AE90" s="192"/>
      <c r="AF90" s="192"/>
      <c r="AG90" s="192"/>
      <c r="AH90" s="428"/>
      <c r="AI90" s="428"/>
      <c r="AJ90" s="428"/>
      <c r="AK90" s="192"/>
      <c r="AL90" s="192"/>
      <c r="AM90" s="192"/>
      <c r="AN90" s="192"/>
      <c r="AO90" s="289"/>
      <c r="AP90" s="192"/>
      <c r="AQ90" s="192"/>
      <c r="AR90" s="192"/>
      <c r="AS90" s="192"/>
      <c r="AT90" s="192"/>
      <c r="AU90" s="192"/>
      <c r="AV90" s="192"/>
      <c r="AW90" s="192"/>
      <c r="AX90" s="192"/>
      <c r="AY90" s="192"/>
      <c r="AZ90" s="192"/>
      <c r="BA90" s="286" t="str">
        <f>IF(BE87="","",IF(AZ91="G",IF(BA91=BE87,BE88+BA84,BE93+BA84),IF(AZ91="P",IF(BA91=BE87,BE88-BA84,BE93-BA84),"")))</f>
        <v/>
      </c>
      <c r="BB90" s="417" t="str">
        <f>IF(ISNUMBER(BA90),VLOOKUP(BA91,Siembra,2,FALSE),"")</f>
        <v/>
      </c>
      <c r="BC90" s="417"/>
      <c r="BD90" s="282" t="str">
        <f>IF(BA91=BE87,BH88,IF(BA91=BE94,BH93,""))</f>
        <v/>
      </c>
      <c r="BE90" s="424" t="str">
        <f>IF(OR(BE87="",BE94=""),"",IF(OR(BE87="Bye",BE94="Bye"),0,IF(AND(BD87="",BD94=""),"",IF(AND(BD87="G",BD94="P"),IF(BH88&gt;=BH93,VLOOKUP(ABS(BH88-BH93),Point_dif,2,TRUE),VLOOKUP(ABS(BH88-BH93),Point_dif,3,TRUE)),IF(AND(BD87="P",BD94="G"),IF(BH93&gt;=BH88,VLOOKUP(ABS(BH88-BH93),Point_dif,2,TRUE),VLOOKUP(ABS(BH88-BH93),Point_dif,3,TRUE)))))))</f>
        <v/>
      </c>
      <c r="BF90" s="421" t="s">
        <v>170</v>
      </c>
      <c r="BG90" s="281"/>
      <c r="BH90" s="413" t="str">
        <f>IF(Llave=128,BH78+1,"")</f>
        <v/>
      </c>
      <c r="BI90" s="192"/>
      <c r="BJ90" s="192"/>
      <c r="BK90" s="192"/>
      <c r="BL90" s="192"/>
      <c r="BM90" s="192"/>
      <c r="BN90" s="192"/>
      <c r="BO90" s="192"/>
      <c r="BP90" s="181"/>
      <c r="BQ90" s="181">
        <f>IF(BS90="Bye",1,MAX(BQ$8:BQ89)+1)</f>
        <v>83</v>
      </c>
      <c r="BR90" s="314" t="str">
        <f t="shared" si="3"/>
        <v/>
      </c>
      <c r="BS90" s="181" t="str">
        <f>IF(Llave=128,IF(OR(D110="Bye",D113="Bye"),"Bye",IF(H110="P",D110,IF(H113="P",D113,""))),"")</f>
        <v/>
      </c>
      <c r="BT90" s="181" t="b">
        <f>IF(Llave&lt;128,"",IF(Llave=128,IF(OR(D110="Bye",D113="Bye"),"",IF(H110="P",G110,IF(H113="P",G113,"")))))</f>
        <v>0</v>
      </c>
    </row>
    <row r="91" spans="2:72" x14ac:dyDescent="0.3">
      <c r="B91" s="192"/>
      <c r="C91" s="192"/>
      <c r="D91" s="192"/>
      <c r="E91" s="192"/>
      <c r="F91" s="192"/>
      <c r="G91" s="272" t="s">
        <v>233</v>
      </c>
      <c r="H91" s="192"/>
      <c r="I91" s="413"/>
      <c r="J91" s="192"/>
      <c r="K91" s="414"/>
      <c r="L91" s="415"/>
      <c r="M91" s="425" t="str">
        <f>IF(AND(M87="",M94=""),"",IF(AND(M87="G",M94="P"),I87,IF(AND(M94="G",M87="P"),I94,"Corregir ganador y perdedor")))</f>
        <v/>
      </c>
      <c r="N91" s="423"/>
      <c r="O91" s="423"/>
      <c r="P91" s="423"/>
      <c r="Q91" s="167"/>
      <c r="R91" s="192"/>
      <c r="S91" s="192"/>
      <c r="T91" s="192"/>
      <c r="U91" s="192"/>
      <c r="V91" s="192"/>
      <c r="W91" s="192"/>
      <c r="X91" s="192"/>
      <c r="Y91" s="192"/>
      <c r="Z91" s="192"/>
      <c r="AA91" s="192"/>
      <c r="AB91" s="287"/>
      <c r="AC91" s="192"/>
      <c r="AD91" s="192"/>
      <c r="AE91" s="192"/>
      <c r="AF91" s="192"/>
      <c r="AG91" s="192"/>
      <c r="AH91" s="428"/>
      <c r="AI91" s="428"/>
      <c r="AJ91" s="428"/>
      <c r="AK91" s="192"/>
      <c r="AL91" s="192"/>
      <c r="AM91" s="192"/>
      <c r="AN91" s="192"/>
      <c r="AO91" s="289"/>
      <c r="AP91" s="192"/>
      <c r="AQ91" s="192"/>
      <c r="AR91" s="192"/>
      <c r="AS91" s="192"/>
      <c r="AT91" s="192"/>
      <c r="AU91" s="192"/>
      <c r="AV91" s="192"/>
      <c r="AW91" s="192"/>
      <c r="AX91" s="192"/>
      <c r="AY91" s="192"/>
      <c r="AZ91" s="166"/>
      <c r="BA91" s="423" t="str">
        <f>IF(AND(BD87="",BD94=""),"",IF(AND(BD87="G",BD94="P"),BE87,IF(AND(BD94="G",BD87="P"),BE94,"Corregir ganador y perdedor")))</f>
        <v/>
      </c>
      <c r="BB91" s="423"/>
      <c r="BC91" s="423"/>
      <c r="BD91" s="426"/>
      <c r="BE91" s="424"/>
      <c r="BF91" s="421"/>
      <c r="BG91" s="281"/>
      <c r="BH91" s="413"/>
      <c r="BI91" s="273"/>
      <c r="BJ91" s="274" t="s">
        <v>234</v>
      </c>
      <c r="BK91" s="192"/>
      <c r="BL91" s="192"/>
      <c r="BM91" s="192"/>
      <c r="BN91" s="192"/>
      <c r="BO91" s="192"/>
      <c r="BP91" s="181"/>
      <c r="BQ91" s="181">
        <f>IF(BS91="Bye",1,MAX(BQ$8:BQ90)+1)</f>
        <v>84</v>
      </c>
      <c r="BR91" s="314" t="str">
        <f t="shared" si="3"/>
        <v/>
      </c>
      <c r="BS91" s="181" t="str">
        <f>IF(Llave=128,IF(OR(D116="Bye",D119="Bye"),"Bye",IF(H116="P",D116,IF(H119="P",D119,""))),"")</f>
        <v/>
      </c>
      <c r="BT91" s="181" t="b">
        <f>IF(Llave&lt;128,"",IF(Llave=128,IF(OR(D116="Bye",D119="Bye"),"",IF(H116="P",G116,IF(H119="P",G119,"")))))</f>
        <v>0</v>
      </c>
    </row>
    <row r="92" spans="2:72" x14ac:dyDescent="0.3">
      <c r="B92" s="192">
        <f>B89+1</f>
        <v>31</v>
      </c>
      <c r="C92" s="192" t="str">
        <f>IF(Llave="","",IF(Llave&gt;1,IF(OR(Plyrs_val=Tot_Jug,Groups*2=Plyrs_val),HLOOKUP(Plyrs_val,Knockout,B92+1,FALSE)),""))</f>
        <v/>
      </c>
      <c r="D92" s="411" t="str">
        <f>IF(Llave="","",IF(Llave&gt;1,IF(C92="Bye","Bye",IF(OR(Plyrs_val=Tot_Jug,Groups*2=Plyrs_val),VLOOKUP(C92,Dist_Llav,4,FALSE),"")),""))</f>
        <v/>
      </c>
      <c r="E92" s="411"/>
      <c r="F92" s="411"/>
      <c r="G92" s="192" t="str">
        <f>IF(D92="","",IF(D92="Bye",0,IF(D95="Bye",E93,IF(H92="G",E93+G93,IF(H92="P",E93-G93,"")))))</f>
        <v/>
      </c>
      <c r="H92" s="166"/>
      <c r="I92" s="192"/>
      <c r="J92" s="192"/>
      <c r="K92" s="192"/>
      <c r="L92" s="287"/>
      <c r="M92" s="192"/>
      <c r="N92" s="192"/>
      <c r="O92" s="192"/>
      <c r="P92" s="192"/>
      <c r="Q92" s="192"/>
      <c r="R92" s="192"/>
      <c r="S92" s="192"/>
      <c r="T92" s="192"/>
      <c r="U92" s="192"/>
      <c r="V92" s="192"/>
      <c r="W92" s="192"/>
      <c r="X92" s="192"/>
      <c r="Y92" s="192"/>
      <c r="Z92" s="192"/>
      <c r="AA92" s="192"/>
      <c r="AB92" s="287"/>
      <c r="AC92" s="192"/>
      <c r="AD92" s="192"/>
      <c r="AE92" s="192"/>
      <c r="AF92" s="192"/>
      <c r="AG92" s="192"/>
      <c r="AH92" s="428"/>
      <c r="AI92" s="428"/>
      <c r="AJ92" s="428"/>
      <c r="AK92" s="192"/>
      <c r="AL92" s="192"/>
      <c r="AM92" s="192"/>
      <c r="AN92" s="192"/>
      <c r="AO92" s="289"/>
      <c r="AP92" s="192"/>
      <c r="AQ92" s="192"/>
      <c r="AR92" s="192"/>
      <c r="AS92" s="192"/>
      <c r="AT92" s="192"/>
      <c r="AU92" s="192"/>
      <c r="AV92" s="192"/>
      <c r="AW92" s="192"/>
      <c r="AX92" s="192"/>
      <c r="AY92" s="192"/>
      <c r="AZ92" s="192"/>
      <c r="BA92" s="192"/>
      <c r="BB92" s="192"/>
      <c r="BC92" s="192"/>
      <c r="BD92" s="192"/>
      <c r="BE92" s="289"/>
      <c r="BF92" s="192"/>
      <c r="BG92" s="192"/>
      <c r="BH92" s="192"/>
      <c r="BI92" s="166"/>
      <c r="BJ92" s="192" t="str">
        <f>IF(BK92="","",IF(BK92="Bye",0,IF(BK95="Bye",BL93,IF(BI92="G",BL93+BJ93,IF(BI92="P",BL93-BJ93,"")))))</f>
        <v/>
      </c>
      <c r="BK92" s="411" t="str">
        <f>IF(Llave="","",IF(Llave&gt;1,IF(BN92="Bye","Bye",IF(OR(Plyrs_val=Tot_Jug,Groups*2=Plyrs_val),VLOOKUP(BN92,Dist_Llav,4,FALSE),"")),""))</f>
        <v/>
      </c>
      <c r="BL92" s="411"/>
      <c r="BM92" s="411"/>
      <c r="BN92" s="229" t="str">
        <f>IF(Llave=128,IF(OR(Plyrs_val=Tot_Jug,Groups*2=Plyrs_val),HLOOKUP(Plyrs_val,Knockout,BO92+1,FALSE)),"")</f>
        <v/>
      </c>
      <c r="BO92" s="229">
        <f>BO89+1</f>
        <v>95</v>
      </c>
      <c r="BP92" s="181"/>
      <c r="BQ92" s="181">
        <f>IF(BS92="Bye",1,MAX(BQ$8:BQ91)+1)</f>
        <v>85</v>
      </c>
      <c r="BR92" s="314" t="str">
        <f t="shared" si="3"/>
        <v/>
      </c>
      <c r="BS92" s="181" t="str">
        <f>IF(Llave=128,IF(OR(D122="Bye",D125="Bye"),"Bye",IF(H122="P",D122,IF(H125="P",D125,""))),"")</f>
        <v/>
      </c>
      <c r="BT92" s="181" t="b">
        <f>IF(Llave&lt;128,"",IF(Llave=128,IF(OR(D122="Bye",D125="Bye"),"",IF(H122="P",G122,IF(H125="P",G125,"")))))</f>
        <v>0</v>
      </c>
    </row>
    <row r="93" spans="2:72" x14ac:dyDescent="0.3">
      <c r="B93" s="413" t="str">
        <f>IF(Llave="","",B87+1)</f>
        <v/>
      </c>
      <c r="C93" s="192"/>
      <c r="D93" s="229" t="str">
        <f>IF(D92="","",IF(ISTEXT(D92),IF(D92="","",IF(D92="Bye",0,VLOOKUP(D92,Rank_Points,3,FALSE)))))</f>
        <v/>
      </c>
      <c r="E93" s="192" t="str">
        <f>IF(D92&lt;&gt;"",IF(D92="","",IF(D92="BYE",0,IF(ISTEXT(D92),VLOOKUP(C92,Dist_Llav,6,FALSE),""))),"")</f>
        <v/>
      </c>
      <c r="F93" s="414" t="s">
        <v>170</v>
      </c>
      <c r="G93" s="418" t="str">
        <f>IF(OR(D92="",D95=""),"",IF(OR(D92="Bye",D95="Bye"),0,IF(AND(H92="",H95=""),"",IF(AND(H92="G",H95="P"),IF(D93&gt;=D94,VLOOKUP(ABS(D93-D94),Point_dif,2,TRUE),VLOOKUP(ABS(D93-D94),Point_dif,3,TRUE)),IF(AND(H92="P",H95="G"),IF(D94&gt;=D93,VLOOKUP(ABS(D93-D94),Point_dif,2,TRUE),VLOOKUP(ABS(D93-D94),Point_dif,3,TRUE)))))))</f>
        <v/>
      </c>
      <c r="H93" s="278"/>
      <c r="I93" s="275" t="str">
        <f>IF(I94=D92,D93,IF(I94=D95,D94,""))</f>
        <v/>
      </c>
      <c r="J93" s="417" t="str">
        <f>IF(ISNUMBER(I93),VLOOKUP(I94,Siembra,2,FALSE),"")</f>
        <v/>
      </c>
      <c r="K93" s="417"/>
      <c r="L93" s="282" t="str">
        <f>IF(I94="","",IF(M94="G",IF(I94=D92,G92+L90,G95+L90),IF(M94="P",IF(I94=D92,G92-L90,G95-L90),"")))</f>
        <v/>
      </c>
      <c r="M93" s="192"/>
      <c r="N93" s="192"/>
      <c r="O93" s="192"/>
      <c r="P93" s="192"/>
      <c r="Q93" s="192"/>
      <c r="R93" s="192"/>
      <c r="S93" s="192"/>
      <c r="T93" s="192"/>
      <c r="U93" s="192"/>
      <c r="V93" s="192"/>
      <c r="W93" s="192"/>
      <c r="X93" s="192"/>
      <c r="Y93" s="192"/>
      <c r="Z93" s="192"/>
      <c r="AA93" s="192"/>
      <c r="AB93" s="287"/>
      <c r="AC93" s="192"/>
      <c r="AD93" s="192"/>
      <c r="AE93" s="192"/>
      <c r="AF93" s="192"/>
      <c r="AG93" s="192"/>
      <c r="AH93" s="192"/>
      <c r="AI93" s="192"/>
      <c r="AJ93" s="192"/>
      <c r="AK93" s="192"/>
      <c r="AL93" s="192"/>
      <c r="AM93" s="192"/>
      <c r="AN93" s="192"/>
      <c r="AO93" s="289"/>
      <c r="AP93" s="192"/>
      <c r="AQ93" s="192"/>
      <c r="AR93" s="192"/>
      <c r="AS93" s="192"/>
      <c r="AT93" s="192"/>
      <c r="AU93" s="192"/>
      <c r="AV93" s="192"/>
      <c r="AW93" s="192"/>
      <c r="AX93" s="192"/>
      <c r="AY93" s="192"/>
      <c r="AZ93" s="192"/>
      <c r="BA93" s="192"/>
      <c r="BB93" s="192"/>
      <c r="BC93" s="192"/>
      <c r="BD93" s="192"/>
      <c r="BE93" s="286" t="str">
        <f>IF(BE94="","",IF(BD94="G",IF(BE94=BK92,BJ92+BE90,BJ95+BE90),IF(BD94="P",IF(BE94=BK92,BJ92-BE90,BJ95-BE90),"")))</f>
        <v/>
      </c>
      <c r="BF93" s="417" t="str">
        <f>IF(ISNUMBER(BE93),VLOOKUP(BE94,Siembra,2,FALSE),"")</f>
        <v/>
      </c>
      <c r="BG93" s="417"/>
      <c r="BH93" s="282" t="str">
        <f>IF(BE94=BK92,BM93,IF(BE94=BK95,BM94,""))</f>
        <v/>
      </c>
      <c r="BI93" s="279"/>
      <c r="BJ93" s="418" t="str">
        <f>IF(OR(BK92="",BK95=""),"",IF(OR(BK92="Bye",BK95="Bye"),0,IF(AND(BI92="",BI95=""),"",IF(AND(BI92="G",BI95="P"),IF(BM93&gt;=BM94,VLOOKUP(ABS(BM93-BM94),Point_dif,2,TRUE),VLOOKUP(ABS(BM93-BM94),Point_dif,3,TRUE)),IF(AND(BI92="P",BI95="G"),IF(BM94&gt;=BM93,VLOOKUP(ABS(BM93-BM94),Point_dif,2,TRUE),VLOOKUP(ABS(BM93-BM94),Point_dif,3,TRUE)))))))</f>
        <v/>
      </c>
      <c r="BK93" s="420" t="s">
        <v>170</v>
      </c>
      <c r="BL93" s="229" t="str">
        <f>IF(BK92&lt;&gt;"",IF(BK92="","",IF(BK92="BYE",0,IF(ISTEXT(BK92),VLOOKUP(BN92,Dist_Llav,6,FALSE),""))),"")</f>
        <v/>
      </c>
      <c r="BM93" s="280" t="str">
        <f>IF(BK92="","",IF(ISTEXT(BK92),IF(BK92="","",IF(BK92="Bye",0,VLOOKUP(BK92,Rank_Points,3,FALSE)))))</f>
        <v/>
      </c>
      <c r="BN93" s="422"/>
      <c r="BO93" s="422" t="str">
        <f>IF(Llave=128,BO87+1,"")</f>
        <v/>
      </c>
      <c r="BP93" s="181"/>
      <c r="BQ93" s="181">
        <f>IF(BS93="Bye",1,MAX(BQ$8:BQ92)+1)</f>
        <v>86</v>
      </c>
      <c r="BR93" s="314" t="str">
        <f t="shared" si="3"/>
        <v/>
      </c>
      <c r="BS93" s="181" t="str">
        <f>IF(Llave=128,IF(OR(D128="Bye",D131="Bye"),"Bye",IF(H128="P",D128,IF(H131="P",D131,""))),"")</f>
        <v/>
      </c>
      <c r="BT93" s="181" t="b">
        <f>IF(Llave&lt;128,"",IF(Llave=128,IF(OR(D128="Bye",D131="Bye"),"",IF(H128="P",G128,IF(H131="P",G131,"")))))</f>
        <v>0</v>
      </c>
    </row>
    <row r="94" spans="2:72" x14ac:dyDescent="0.3">
      <c r="B94" s="413"/>
      <c r="C94" s="192"/>
      <c r="D94" s="229" t="str">
        <f>IF(D95="","",IF(ISTEXT(D95),IF(D95="","",IF(D95="Bye",0,VLOOKUP(D95,Rank_Points,3,FALSE)))))</f>
        <v/>
      </c>
      <c r="E94" s="192" t="str">
        <f>IF(D95&lt;&gt;"",IF(D95="","",IF(D95="BYE",0,IF(ISTEXT(D95),VLOOKUP(C95,Dist_Llav,6,FALSE),""))),"")</f>
        <v/>
      </c>
      <c r="F94" s="414"/>
      <c r="G94" s="419"/>
      <c r="H94" s="282"/>
      <c r="I94" s="425" t="str">
        <f>IF(D92="Bye",D95,IF(D95="Bye",D92,IF(AND(H92="",H95=""),"",IF(AND(H92="G",H95="P"),D92,IF(AND(H95="G",H92="P"),D95,"Corregir ganador y perdedor")))))</f>
        <v/>
      </c>
      <c r="J94" s="423"/>
      <c r="K94" s="423"/>
      <c r="L94" s="423"/>
      <c r="M94" s="167"/>
      <c r="N94" s="192"/>
      <c r="O94" s="192"/>
      <c r="P94" s="192"/>
      <c r="Q94" s="192"/>
      <c r="R94" s="192"/>
      <c r="S94" s="192"/>
      <c r="T94" s="192"/>
      <c r="U94" s="192"/>
      <c r="V94" s="192"/>
      <c r="W94" s="192"/>
      <c r="X94" s="192"/>
      <c r="Y94" s="192"/>
      <c r="Z94" s="192"/>
      <c r="AA94" s="192"/>
      <c r="AB94" s="287"/>
      <c r="AC94" s="192"/>
      <c r="AD94" s="192"/>
      <c r="AE94" s="192"/>
      <c r="AF94" s="192"/>
      <c r="AG94" s="192"/>
      <c r="AH94" s="192"/>
      <c r="AI94" s="192"/>
      <c r="AJ94" s="192"/>
      <c r="AK94" s="192"/>
      <c r="AL94" s="192"/>
      <c r="AM94" s="192"/>
      <c r="AN94" s="192"/>
      <c r="AO94" s="289"/>
      <c r="AP94" s="192"/>
      <c r="AQ94" s="192"/>
      <c r="AR94" s="192"/>
      <c r="AS94" s="192"/>
      <c r="AT94" s="192"/>
      <c r="AU94" s="192"/>
      <c r="AV94" s="192"/>
      <c r="AW94" s="192"/>
      <c r="AX94" s="192"/>
      <c r="AY94" s="192"/>
      <c r="AZ94" s="192"/>
      <c r="BA94" s="192"/>
      <c r="BB94" s="192"/>
      <c r="BC94" s="192"/>
      <c r="BD94" s="166"/>
      <c r="BE94" s="423" t="str">
        <f>IF(BK95="Bye",BK92,IF(BK92="Bye",BK95,IF(AND(BI92="",BI95=""),"",IF(AND(BI92="G",BI95="P"),BK92,IF(AND(BI95="G",BI92="P"),BK95,"Corregir ganador y perdedor")))))</f>
        <v/>
      </c>
      <c r="BF94" s="423"/>
      <c r="BG94" s="423"/>
      <c r="BH94" s="426"/>
      <c r="BI94" s="286"/>
      <c r="BJ94" s="419"/>
      <c r="BK94" s="421"/>
      <c r="BL94" s="229" t="str">
        <f>IF(BK95&lt;&gt;"",IF(BK95="","",IF(BK95="BYE",0,IF(ISTEXT(BK95),VLOOKUP(BN95,Dist_Llav,6,FALSE),""))),"")</f>
        <v/>
      </c>
      <c r="BM94" s="280" t="str">
        <f>IF(BK95="","",IF(ISTEXT(BK95),IF(BK95="","",IF(BK95="Bye",0,VLOOKUP(BK95,Rank_Points,3,FALSE)))))</f>
        <v/>
      </c>
      <c r="BN94" s="422"/>
      <c r="BO94" s="422"/>
      <c r="BP94" s="181"/>
      <c r="BQ94" s="181">
        <f>IF(BS94="Bye",1,MAX(BQ$8:BQ93)+1)</f>
        <v>87</v>
      </c>
      <c r="BR94" s="314" t="str">
        <f t="shared" si="3"/>
        <v/>
      </c>
      <c r="BS94" s="181" t="str">
        <f>IF(Llave=128,IF(OR(D134="Bye",D137="Bye"),"Bye",IF(H134="P",D134,IF(H137="P",D137,""))),"")</f>
        <v/>
      </c>
      <c r="BT94" s="181" t="b">
        <f>IF(Llave&lt;128,"",IF(Llave=128,IF(OR(D134="Bye",D137="Bye"),"",IF(H134="P",G134,IF(H137="P",G137,"")))))</f>
        <v>0</v>
      </c>
    </row>
    <row r="95" spans="2:72" x14ac:dyDescent="0.3">
      <c r="B95" s="192">
        <f>B92+1</f>
        <v>32</v>
      </c>
      <c r="C95" s="192" t="str">
        <f>IF(Llave="","",IF(Llave&gt;1,IF(OR(Plyrs_val=Tot_Jug,Groups*2=Plyrs_val),HLOOKUP(Plyrs_val,Knockout,B95+1,FALSE)),""))</f>
        <v/>
      </c>
      <c r="D95" s="412" t="str">
        <f>IF(Llave="","",IF(Llave&gt;1,IF(C95="Bye","Bye",IF(OR(Plyrs_val=Tot_Jug,Groups*2=Plyrs_val),VLOOKUP(C95,Dist_Llav,4,FALSE),"")),""))</f>
        <v/>
      </c>
      <c r="E95" s="412"/>
      <c r="F95" s="412"/>
      <c r="G95" s="192" t="str">
        <f>IF(D95="","",IF(D95="Bye",0,IF(D92="Bye",E94,IF(H95="G",E94+G93,IF(H95="P",E94-G93,"")))))</f>
        <v/>
      </c>
      <c r="H95" s="166"/>
      <c r="I95" s="192"/>
      <c r="J95" s="192"/>
      <c r="K95" s="192"/>
      <c r="L95" s="192"/>
      <c r="M95" s="192"/>
      <c r="N95" s="192"/>
      <c r="O95" s="192"/>
      <c r="P95" s="192"/>
      <c r="Q95" s="192"/>
      <c r="R95" s="192"/>
      <c r="S95" s="192"/>
      <c r="T95" s="192"/>
      <c r="U95" s="192"/>
      <c r="V95" s="192"/>
      <c r="W95" s="192"/>
      <c r="X95" s="192"/>
      <c r="Y95" s="192"/>
      <c r="Z95" s="192"/>
      <c r="AA95" s="192"/>
      <c r="AB95" s="287"/>
      <c r="AC95" s="192"/>
      <c r="AD95" s="192"/>
      <c r="AE95" s="192"/>
      <c r="AF95" s="167"/>
      <c r="AG95" s="192"/>
      <c r="AH95" s="192"/>
      <c r="AI95" s="192"/>
      <c r="AJ95" s="192"/>
      <c r="AK95" s="167"/>
      <c r="AL95" s="192"/>
      <c r="AM95" s="192"/>
      <c r="AN95" s="192"/>
      <c r="AO95" s="289"/>
      <c r="AP95" s="192"/>
      <c r="AQ95" s="192"/>
      <c r="AR95" s="192"/>
      <c r="AS95" s="192"/>
      <c r="AT95" s="192"/>
      <c r="AU95" s="192"/>
      <c r="AV95" s="192"/>
      <c r="AW95" s="192"/>
      <c r="AX95" s="192"/>
      <c r="AY95" s="192"/>
      <c r="AZ95" s="192"/>
      <c r="BA95" s="192"/>
      <c r="BB95" s="192"/>
      <c r="BC95" s="192"/>
      <c r="BD95" s="192"/>
      <c r="BE95" s="192"/>
      <c r="BF95" s="192"/>
      <c r="BG95" s="192"/>
      <c r="BH95" s="192"/>
      <c r="BI95" s="166"/>
      <c r="BJ95" s="284" t="str">
        <f>IF(BK95="","",IF(BK95="Bye",0,IF(BK92="Bye",BL94,IF(BI95="G",BL94+BJ93,IF(BI95="P",BL94-BJ93,"")))))</f>
        <v/>
      </c>
      <c r="BK95" s="412" t="str">
        <f>IF(Llave="","",IF(Llave&gt;1,IF(BN95="Bye","Bye",IF(OR(Plyrs_val=Tot_Jug,Groups*2=Plyrs_val),VLOOKUP(BN95,Dist_Llav,4,FALSE),"")),""))</f>
        <v/>
      </c>
      <c r="BL95" s="412"/>
      <c r="BM95" s="412"/>
      <c r="BN95" s="229" t="str">
        <f>IF(Llave=128,IF(OR(Plyrs_val=Tot_Jug,Groups*2=Plyrs_val),HLOOKUP(Plyrs_val,Knockout,BO95+1,FALSE)),"")</f>
        <v/>
      </c>
      <c r="BO95" s="229">
        <f>BO92+1</f>
        <v>96</v>
      </c>
      <c r="BP95" s="181"/>
      <c r="BQ95" s="181">
        <f>IF(BS95="Bye",1,MAX(BQ$8:BQ94)+1)</f>
        <v>88</v>
      </c>
      <c r="BR95" s="314" t="str">
        <f t="shared" si="3"/>
        <v/>
      </c>
      <c r="BS95" s="181" t="str">
        <f>IF(Llave=128,IF(OR(D140="Bye",D143="Bye"),"Bye",IF(H140="P",D140,IF(H143="P",D143,""))),"")</f>
        <v/>
      </c>
      <c r="BT95" s="181" t="b">
        <f>IF(Llave&lt;128,"",IF(Llave=128,IF(OR(D140="Bye",D143="Bye"),"",IF(H140="P",G140,IF(H143="P",G143,"")))))</f>
        <v>0</v>
      </c>
    </row>
    <row r="96" spans="2:72" x14ac:dyDescent="0.3">
      <c r="B96" s="192"/>
      <c r="C96" s="192"/>
      <c r="D96" s="192"/>
      <c r="E96" s="192"/>
      <c r="F96" s="192"/>
      <c r="G96" s="192"/>
      <c r="H96" s="192"/>
      <c r="I96" s="192"/>
      <c r="J96" s="192"/>
      <c r="K96" s="192"/>
      <c r="L96" s="192"/>
      <c r="M96" s="192"/>
      <c r="N96" s="192"/>
      <c r="O96" s="192"/>
      <c r="P96" s="192"/>
      <c r="Q96" s="192"/>
      <c r="R96" s="192"/>
      <c r="S96" s="192"/>
      <c r="T96" s="192"/>
      <c r="U96" s="192"/>
      <c r="V96" s="192"/>
      <c r="W96" s="192"/>
      <c r="X96" s="192"/>
      <c r="Y96" s="181"/>
      <c r="Z96" s="308" t="str">
        <f>IF(Llave="","",IF(Llave=4,"",IF(Llave="",2,IF(Llave=16,"",IF(Llave=32,5,IF(Llave=64,2,IF(Llave=128,3,"")))))))</f>
        <v/>
      </c>
      <c r="AA96" s="414" t="s">
        <v>170</v>
      </c>
      <c r="AB96" s="415" t="str">
        <f>IF(OR(Y48="",Y145=""),"",IF(OR(Y48="Bye",Y145="Bye"),0,IF(AND(AC48="",AC145=""),"",IF(AND(AC48="G",AC145="P"),IF(Y49&gt;=Y144,VLOOKUP(ABS(Y49-Y144),Point_dif,2,TRUE),VLOOKUP(ABS(Y49-Y144),Point_dif,3,TRUE)),IF(AND(AC48="P",AC145="G"),IF(Y144&gt;=Y49,VLOOKUP(ABS(Y49-Y144),Point_dif,2,TRUE),VLOOKUP(ABS(Y49-Y144),Point_dif,3,TRUE)))))))</f>
        <v/>
      </c>
      <c r="AC96" s="416" t="str">
        <f>IF(AND(AC48="",AC145=""),"",IF(AND(AC48="G",AC145="P"),Y48,IF(AND(AC145="G",AC48="P"),Y145,"Corregir ganador y perdedor")))</f>
        <v/>
      </c>
      <c r="AD96" s="417"/>
      <c r="AE96" s="417"/>
      <c r="AF96" s="417"/>
      <c r="AG96" s="430" t="str">
        <f>IF(AND(AF95="",AK95=""),"",IF(AND(AF95="G",AK95="P"),AC96,IF(AND(AK95="G",AF95="P"),AK96,"Corregir ganador y perdedor")))</f>
        <v/>
      </c>
      <c r="AH96" s="431"/>
      <c r="AI96" s="431"/>
      <c r="AJ96" s="432"/>
      <c r="AK96" s="416" t="str">
        <f>IF(AND(AN48="",AN145=""),"",IF(AND(AN48="G",AN145="P"),AO48,IF(AND(AN145="G",AN48="P"),AO145,"Corregir ganador y perdedor")))</f>
        <v/>
      </c>
      <c r="AL96" s="417"/>
      <c r="AM96" s="417"/>
      <c r="AN96" s="436"/>
      <c r="AO96" s="309" t="str">
        <f>IF(OR(AO48="",AO145=""),"",IF(AND(AO48="",AO145=""),"",IF(AND(AN48="G",AN145="P"),IF(AR49&gt;=AR144,VLOOKUP(ABS(AR49-AR144),Point_dif,2,TRUE),VLOOKUP(ABS(AR49-AR144),Point_dif,3,TRUE)),IF(AND(AN48="P",AN145="G"),IF(AR144&gt;=AR49,VLOOKUP(ABS(AR49-AR144),Point_dif,2,TRUE),VLOOKUP(ABS(AR49-AR144),Point_dif,3,TRUE))))))</f>
        <v/>
      </c>
      <c r="AP96" s="307" t="s">
        <v>170</v>
      </c>
      <c r="AQ96" s="307" t="str">
        <f>IF(Llave=128,Z96+1,"")</f>
        <v/>
      </c>
      <c r="AR96" s="181"/>
      <c r="AS96" s="192"/>
      <c r="AT96" s="192"/>
      <c r="AU96" s="192"/>
      <c r="AV96" s="192"/>
      <c r="AW96" s="192"/>
      <c r="AX96" s="192"/>
      <c r="AY96" s="192"/>
      <c r="AZ96" s="192"/>
      <c r="BA96" s="192"/>
      <c r="BB96" s="192"/>
      <c r="BC96" s="192"/>
      <c r="BD96" s="192"/>
      <c r="BE96" s="192"/>
      <c r="BF96" s="192"/>
      <c r="BG96" s="192"/>
      <c r="BH96" s="192"/>
      <c r="BI96" s="192"/>
      <c r="BJ96" s="192"/>
      <c r="BK96" s="192"/>
      <c r="BL96" s="192"/>
      <c r="BM96" s="192"/>
      <c r="BN96" s="192"/>
      <c r="BO96" s="192"/>
      <c r="BP96" s="181"/>
      <c r="BQ96" s="181">
        <f>IF(BS96="Bye",1,MAX(BQ$8:BQ95)+1)</f>
        <v>89</v>
      </c>
      <c r="BR96" s="314" t="str">
        <f t="shared" si="3"/>
        <v/>
      </c>
      <c r="BS96" s="181" t="str">
        <f>IF(Llave=128,IF(OR(D146="Bye",D149="Bye"),"Bye",IF(H146="P",D146,IF(H149="P",D149,""))),"")</f>
        <v/>
      </c>
      <c r="BT96" s="181" t="b">
        <f>IF(Llave&lt;128,"",IF(Llave=128,IF(OR(D146="Bye",D149="Bye"),"",IF(H146="P",G146,IF(H149="P",G149,"")))))</f>
        <v>0</v>
      </c>
    </row>
    <row r="97" spans="2:74" x14ac:dyDescent="0.3">
      <c r="B97" s="192"/>
      <c r="C97" s="192"/>
      <c r="D97" s="192"/>
      <c r="E97" s="192"/>
      <c r="F97" s="192"/>
      <c r="G97" s="272" t="s">
        <v>235</v>
      </c>
      <c r="H97" s="192"/>
      <c r="I97" s="192"/>
      <c r="J97" s="192"/>
      <c r="K97" s="192"/>
      <c r="L97" s="192"/>
      <c r="M97" s="192"/>
      <c r="N97" s="192"/>
      <c r="O97" s="192"/>
      <c r="P97" s="192"/>
      <c r="Q97" s="192"/>
      <c r="R97" s="192"/>
      <c r="S97" s="192"/>
      <c r="T97" s="192"/>
      <c r="U97" s="192"/>
      <c r="V97" s="192"/>
      <c r="W97" s="192"/>
      <c r="X97" s="192"/>
      <c r="Y97" s="181"/>
      <c r="Z97" s="308"/>
      <c r="AA97" s="414"/>
      <c r="AB97" s="415"/>
      <c r="AC97" s="283" t="str">
        <f>IF(AC96=Y48,Y49,IF(AC96=Y145,Y144,""))</f>
        <v/>
      </c>
      <c r="AD97" s="423" t="str">
        <f>IF(ISNUMBER(AC97),VLOOKUP(AC96,Siembra,2,FALSE),"")</f>
        <v/>
      </c>
      <c r="AE97" s="423"/>
      <c r="AF97" s="278" t="str">
        <f>IF(Llave=64,IF(AC48="G",AB49,AB144),IF(AC96="","",IF(AF95="G",IF(AC96=Y48,X25+AB96,AB144+AB96),IF(AF95="P",IF(AC96=Y48,AB49-AB96,AB144-AB96),""))))</f>
        <v/>
      </c>
      <c r="AG97" s="433"/>
      <c r="AH97" s="434"/>
      <c r="AI97" s="434"/>
      <c r="AJ97" s="435"/>
      <c r="AK97" s="279" t="str">
        <f>IF(AK96="","",IF(AK95="G",IF(AK96=AO48,AO49+AI98,AO144+AI98),IF(AK95="P",IF(AK96=AO48,AO49-AI98,AO144-AI98),"")))</f>
        <v/>
      </c>
      <c r="AL97" s="423" t="str">
        <f>IF(ISNUMBER(AN97),VLOOKUP(AK96,Siembra,2,FALSE),"")</f>
        <v/>
      </c>
      <c r="AM97" s="423"/>
      <c r="AN97" s="278" t="str">
        <f>IF(AK96=AO48,AR49,IF(AK96=AO145,AR144,""))</f>
        <v/>
      </c>
      <c r="AO97" s="309"/>
      <c r="AP97" s="307"/>
      <c r="AQ97" s="307"/>
      <c r="AR97" s="181"/>
      <c r="AS97" s="192"/>
      <c r="AT97" s="192"/>
      <c r="AU97" s="192"/>
      <c r="AV97" s="192"/>
      <c r="AW97" s="192"/>
      <c r="AX97" s="192"/>
      <c r="AY97" s="192"/>
      <c r="AZ97" s="192"/>
      <c r="BA97" s="192"/>
      <c r="BB97" s="192"/>
      <c r="BC97" s="192"/>
      <c r="BD97" s="192"/>
      <c r="BE97" s="192"/>
      <c r="BF97" s="192"/>
      <c r="BG97" s="192"/>
      <c r="BH97" s="192"/>
      <c r="BI97" s="273"/>
      <c r="BJ97" s="274" t="s">
        <v>236</v>
      </c>
      <c r="BK97" s="192"/>
      <c r="BL97" s="192"/>
      <c r="BM97" s="192"/>
      <c r="BN97" s="192"/>
      <c r="BO97" s="192"/>
      <c r="BP97" s="181"/>
      <c r="BQ97" s="181">
        <f>IF(BS97="Bye",1,MAX(BQ$8:BQ96)+1)</f>
        <v>90</v>
      </c>
      <c r="BR97" s="314" t="str">
        <f t="shared" si="3"/>
        <v/>
      </c>
      <c r="BS97" s="181" t="str">
        <f>IF(Llave=128,IF(OR(D152="Bye",D155="Bye"),"Bye",IF(H152="P",D152,IF(H155="P",D155,""))),"")</f>
        <v/>
      </c>
      <c r="BT97" s="181" t="b">
        <f>IF(Llave&lt;128,"",IF(Llave=128,IF(OR(D152="Bye",D155="Bye"),"",IF(H152="P",G152,IF(H155="P",G155,"")))))</f>
        <v>0</v>
      </c>
    </row>
    <row r="98" spans="2:74" x14ac:dyDescent="0.3">
      <c r="B98" s="192">
        <f>B95+1</f>
        <v>33</v>
      </c>
      <c r="C98" s="192" t="str">
        <f>IF(Llave="","",IF(Llave&gt;1,IF(OR(Plyrs_val=Tot_Jug,Groups*2=Plyrs_val),HLOOKUP(Plyrs_val,Knockout,B98+1,FALSE)),""))</f>
        <v/>
      </c>
      <c r="D98" s="411" t="str">
        <f>IF(Llave="","",IF(Llave&gt;1,IF(C98="Bye","Bye",IF(OR(Plyrs_val=Tot_Jug,Groups*2=Plyrs_val),VLOOKUP(C98,Dist_Llav,4,FALSE),"")),""))</f>
        <v/>
      </c>
      <c r="E98" s="411"/>
      <c r="F98" s="411"/>
      <c r="G98" s="192" t="str">
        <f>IF(D98="","",IF(D98="Bye",0,IF(D101="Bye",E99,IF(H98="G",E99+G99,IF(H98="P",E99-G99,"")))))</f>
        <v/>
      </c>
      <c r="H98" s="166"/>
      <c r="I98" s="192"/>
      <c r="J98" s="276"/>
      <c r="K98" s="192"/>
      <c r="L98" s="277" t="s">
        <v>237</v>
      </c>
      <c r="M98" s="192"/>
      <c r="N98" s="192"/>
      <c r="O98" s="192"/>
      <c r="P98" s="192"/>
      <c r="Q98" s="192"/>
      <c r="R98" s="192"/>
      <c r="S98" s="192"/>
      <c r="T98" s="192"/>
      <c r="U98" s="192"/>
      <c r="V98" s="192"/>
      <c r="W98" s="192"/>
      <c r="X98" s="192"/>
      <c r="Y98" s="192"/>
      <c r="Z98" s="192"/>
      <c r="AA98" s="192"/>
      <c r="AB98" s="287"/>
      <c r="AC98" s="192"/>
      <c r="AD98" s="413"/>
      <c r="AE98" s="413"/>
      <c r="AF98" s="192"/>
      <c r="AG98" s="423" t="s">
        <v>170</v>
      </c>
      <c r="AH98" s="423"/>
      <c r="AI98" s="423" t="str">
        <f>IF(AK96="","",IF(OR(AF95="",AK95=""),"",IF(AND(AF95="",AK95=""),"",IF(AND(AF95="G",AK95="P"),IF(AC97&gt;=AN97,VLOOKUP(ABS(AC97-AN97),Point_dif,2,TRUE),VLOOKUP(ABS(AC97-AN97),Point_dif,3,TRUE)),IF(AND(AF95="P",AK95="G"),IF(AN97&gt;=AC97,VLOOKUP(ABS(AC97-AN97),Point_dif,2,TRUE),VLOOKUP(ABS(AC97-AN97),Point_dif,3,TRUE)))))))</f>
        <v/>
      </c>
      <c r="AJ98" s="423"/>
      <c r="AK98" s="192"/>
      <c r="AL98" s="413"/>
      <c r="AM98" s="413"/>
      <c r="AN98" s="192"/>
      <c r="AO98" s="289"/>
      <c r="AP98" s="192"/>
      <c r="AQ98" s="192"/>
      <c r="AR98" s="192"/>
      <c r="AS98" s="192"/>
      <c r="AT98" s="192"/>
      <c r="AU98" s="192"/>
      <c r="AV98" s="192"/>
      <c r="AW98" s="192"/>
      <c r="AX98" s="192"/>
      <c r="AY98" s="192"/>
      <c r="AZ98" s="192"/>
      <c r="BA98" s="192"/>
      <c r="BB98" s="192"/>
      <c r="BC98" s="192"/>
      <c r="BD98" s="192"/>
      <c r="BE98" s="274" t="s">
        <v>238</v>
      </c>
      <c r="BF98" s="192"/>
      <c r="BG98" s="192"/>
      <c r="BH98" s="192"/>
      <c r="BI98" s="166"/>
      <c r="BJ98" s="192" t="str">
        <f>IF(BK98="","",IF(BK98="Bye",0,IF(BK101="Bye",BL99,IF(BI98="G",BL99+BJ99,IF(BI98="P",BL99-BJ99,"")))))</f>
        <v/>
      </c>
      <c r="BK98" s="411" t="str">
        <f>IF(Llave="","",IF(Llave&gt;1,IF(BN98="Bye","Bye",IF(OR(Plyrs_val=Tot_Jug,Groups*2=Plyrs_val),VLOOKUP(BN98,Dist_Llav,4,FALSE),"")),""))</f>
        <v/>
      </c>
      <c r="BL98" s="411"/>
      <c r="BM98" s="411"/>
      <c r="BN98" s="229" t="str">
        <f>IF(Llave=128,IF(OR(Plyrs_val=Tot_Jug,Groups*2=Plyrs_val),HLOOKUP(Plyrs_val,Knockout,BO98+1,FALSE)),"")</f>
        <v/>
      </c>
      <c r="BO98" s="229">
        <f>BO95+1</f>
        <v>97</v>
      </c>
      <c r="BP98" s="181"/>
      <c r="BQ98" s="181">
        <f>IF(BS98="Bye",1,MAX(BQ$8:BQ97)+1)</f>
        <v>91</v>
      </c>
      <c r="BR98" s="314" t="str">
        <f t="shared" si="3"/>
        <v/>
      </c>
      <c r="BS98" s="181" t="str">
        <f>IF(Llave=128,IF(OR(D158="Bye",D161="Bye"),"Bye",IF(H158="P",D158,IF(H161="P",D161,""))),"")</f>
        <v/>
      </c>
      <c r="BT98" s="181" t="b">
        <f>IF(Llave&lt;128,"",IF(Llave=128,IF(OR(D158="Bye",D161="Bye"),"",IF(H158="P",G158,IF(H161="P",G161,"")))))</f>
        <v>0</v>
      </c>
    </row>
    <row r="99" spans="2:74" x14ac:dyDescent="0.3">
      <c r="B99" s="413" t="str">
        <f>IF(Llave="","",B93+1)</f>
        <v/>
      </c>
      <c r="C99" s="192"/>
      <c r="D99" s="229" t="str">
        <f>IF(D98="","",IF(ISTEXT(D98),IF(D98="","",IF(D98="Bye",0,VLOOKUP(D98,Rank_Points,3,FALSE)))))</f>
        <v/>
      </c>
      <c r="E99" s="192" t="str">
        <f>IF(D98&lt;&gt;"",IF(D98="","",IF(D98="BYE",0,IF(ISTEXT(D98),VLOOKUP(C98,Dist_Llav,6,FALSE),""))),"")</f>
        <v/>
      </c>
      <c r="F99" s="414" t="s">
        <v>170</v>
      </c>
      <c r="G99" s="418" t="str">
        <f>IF(OR(D98="",D101=""),"",IF(OR(D98="Bye",D101="Bye"),0,IF(AND(H98="",H101=""),"",IF(AND(H98="G",H101="P"),IF(D99&gt;=D100,VLOOKUP(ABS(D99-D100),Point_dif,2,TRUE),VLOOKUP(ABS(D99-D100),Point_dif,3,TRUE)),IF(AND(H98="P",H101="G"),IF(D100&gt;=D99,VLOOKUP(ABS(D99-D100),Point_dif,2,TRUE),VLOOKUP(ABS(D99-D100),Point_dif,3,TRUE)))))))</f>
        <v/>
      </c>
      <c r="H99" s="278"/>
      <c r="I99" s="416" t="str">
        <f>IF(D98="Bye",D101,IF(D101="Bye",D98,IF(AND(H98="",H101=""),"",IF(AND(H98="G",H101="P"),D98,IF(AND(H101="G",H98="P"),D101,"Corregir ganador y perdedor")))))</f>
        <v/>
      </c>
      <c r="J99" s="417"/>
      <c r="K99" s="417"/>
      <c r="L99" s="417"/>
      <c r="M99" s="167"/>
      <c r="N99" s="192"/>
      <c r="O99" s="192"/>
      <c r="P99" s="192"/>
      <c r="Q99" s="192"/>
      <c r="R99" s="192"/>
      <c r="S99" s="192"/>
      <c r="T99" s="192"/>
      <c r="U99" s="192"/>
      <c r="V99" s="192"/>
      <c r="W99" s="192"/>
      <c r="X99" s="192"/>
      <c r="Y99" s="192"/>
      <c r="Z99" s="192"/>
      <c r="AA99" s="192"/>
      <c r="AB99" s="287"/>
      <c r="AC99" s="192"/>
      <c r="AD99" s="192"/>
      <c r="AE99" s="192"/>
      <c r="AF99" s="192"/>
      <c r="AG99" s="291" t="str">
        <f>IF(AG96=AC96,AC97,IF(AG96=AK96,AN97,""))</f>
        <v/>
      </c>
      <c r="AH99" s="355" t="str">
        <f>IF(ISNUMBER(AG99),VLOOKUP(AG96,Siembra,2,FALSE),"")</f>
        <v/>
      </c>
      <c r="AI99" s="355"/>
      <c r="AJ99" s="191" t="str">
        <f>IF(AF95="G",AF97,IF(AK95="G",AK97,""))</f>
        <v/>
      </c>
      <c r="AK99" s="192"/>
      <c r="AL99" s="192"/>
      <c r="AM99" s="192"/>
      <c r="AN99" s="192"/>
      <c r="AO99" s="289"/>
      <c r="AP99" s="192"/>
      <c r="AQ99" s="192"/>
      <c r="AR99" s="192"/>
      <c r="AS99" s="192"/>
      <c r="AT99" s="192"/>
      <c r="AU99" s="192"/>
      <c r="AV99" s="192"/>
      <c r="AW99" s="192"/>
      <c r="AX99" s="192"/>
      <c r="AY99" s="192"/>
      <c r="AZ99" s="192"/>
      <c r="BA99" s="192"/>
      <c r="BB99" s="192"/>
      <c r="BC99" s="192"/>
      <c r="BD99" s="166"/>
      <c r="BE99" s="416" t="str">
        <f>IF(BK101="Bye",BK98,IF(BK98="Bye",BK101,IF(AND(BI98="",BI101=""),"",IF(AND(BI98="G",BI101="P"),BK98,IF(AND(BI101="G",BI98="P"),BK101,"Corregir ganador y perdedor")))))</f>
        <v/>
      </c>
      <c r="BF99" s="417"/>
      <c r="BG99" s="417"/>
      <c r="BH99" s="417"/>
      <c r="BI99" s="279"/>
      <c r="BJ99" s="418" t="str">
        <f>IF(OR(BK98="",BK101=""),"",IF(OR(BK98="Bye",BK101="Bye"),0,IF(AND(BI98="",BI101=""),"",IF(AND(BI98="G",BI101="P"),IF(BM99&gt;=BM100,VLOOKUP(ABS(BM99-BM100),Point_dif,2,TRUE),VLOOKUP(ABS(BM99-BM100),Point_dif,3,TRUE)),IF(AND(BI98="P",BI101="G"),IF(BM100&gt;=BM99,VLOOKUP(ABS(BM99-BM100),Point_dif,2,TRUE),VLOOKUP(ABS(BM99-BM100),Point_dif,3,TRUE)))))))</f>
        <v/>
      </c>
      <c r="BK99" s="420" t="s">
        <v>170</v>
      </c>
      <c r="BL99" s="229" t="str">
        <f>IF(BK98&lt;&gt;"",IF(BK98="","",IF(BK98="BYE",0,IF(ISTEXT(BK98),VLOOKUP(BN98,Dist_Llav,6,FALSE),""))),"")</f>
        <v/>
      </c>
      <c r="BM99" s="280" t="str">
        <f>IF(BK98="","",IF(ISTEXT(BK98),IF(BK98="","",IF(BK98="Bye",0,VLOOKUP(BK98,Rank_Points,3,FALSE)))))</f>
        <v/>
      </c>
      <c r="BN99" s="422"/>
      <c r="BO99" s="422" t="str">
        <f>IF(Llave=128,BO93+1,"")</f>
        <v/>
      </c>
      <c r="BP99" s="181"/>
      <c r="BQ99" s="181">
        <f>IF(BS99="Bye",1,MAX(BQ$8:BQ98)+1)</f>
        <v>92</v>
      </c>
      <c r="BR99" s="314" t="str">
        <f t="shared" si="3"/>
        <v/>
      </c>
      <c r="BS99" s="181" t="str">
        <f>IF(Llave=128,IF(OR(D164="Bye",D167="Bye"),"Bye",IF(H164="P",D164,IF(H167="P",D167,""))),"")</f>
        <v/>
      </c>
      <c r="BT99" s="181" t="b">
        <f>IF(Llave&lt;128,"",IF(Llave=128,IF(OR(D164="Bye",D167="Bye"),"",IF(H164="P",G164,IF(H167="P",G167,"")))))</f>
        <v>0</v>
      </c>
    </row>
    <row r="100" spans="2:74" x14ac:dyDescent="0.3">
      <c r="B100" s="413"/>
      <c r="C100" s="192"/>
      <c r="D100" s="229" t="str">
        <f>IF(D101="","",IF(ISTEXT(D101),IF(D101="","",IF(D101="Bye",0,VLOOKUP(D101,Rank_Points,3,FALSE)))))</f>
        <v/>
      </c>
      <c r="E100" s="192" t="str">
        <f>IF(D101&lt;&gt;"",IF(D101="","",IF(D101="BYE",0,IF(ISTEXT(D101),VLOOKUP(C101,Dist_Llav,6,FALSE),""))),"")</f>
        <v/>
      </c>
      <c r="F100" s="414"/>
      <c r="G100" s="419"/>
      <c r="H100" s="282"/>
      <c r="I100" s="283" t="str">
        <f>IF(I99=D98,D99,IF(I99=D101,D100,""))</f>
        <v/>
      </c>
      <c r="J100" s="423" t="str">
        <f>IF(ISNUMBER(I100),VLOOKUP(I99,Siembra,2,FALSE),"")</f>
        <v/>
      </c>
      <c r="K100" s="423"/>
      <c r="L100" s="278" t="str">
        <f>IF(I99="","",IF(M99="G",IF(I99=D98,G98+L102,G101+L102),IF(M99="P",IF(I99=D98,G98-L102,G101-L102),"")))</f>
        <v/>
      </c>
      <c r="M100" s="192"/>
      <c r="N100" s="192"/>
      <c r="O100" s="192"/>
      <c r="P100" s="192"/>
      <c r="Q100" s="192"/>
      <c r="R100" s="192"/>
      <c r="S100" s="192"/>
      <c r="T100" s="192"/>
      <c r="U100" s="192"/>
      <c r="V100" s="192"/>
      <c r="W100" s="192"/>
      <c r="X100" s="192"/>
      <c r="Y100" s="192"/>
      <c r="Z100" s="192"/>
      <c r="AA100" s="192"/>
      <c r="AB100" s="287"/>
      <c r="AC100" s="192"/>
      <c r="AD100" s="192"/>
      <c r="AE100" s="192"/>
      <c r="AF100" s="192"/>
      <c r="AG100" s="192"/>
      <c r="AH100" s="192"/>
      <c r="AI100" s="192"/>
      <c r="AJ100" s="192"/>
      <c r="AK100" s="192"/>
      <c r="AL100" s="192"/>
      <c r="AM100" s="192"/>
      <c r="AN100" s="192"/>
      <c r="AO100" s="289"/>
      <c r="AP100" s="192"/>
      <c r="AQ100" s="192"/>
      <c r="AR100" s="192"/>
      <c r="AS100" s="192"/>
      <c r="AT100" s="192"/>
      <c r="AU100" s="192"/>
      <c r="AV100" s="192"/>
      <c r="AW100" s="192"/>
      <c r="AX100" s="192"/>
      <c r="AY100" s="192"/>
      <c r="AZ100" s="192"/>
      <c r="BA100" s="192"/>
      <c r="BB100" s="192"/>
      <c r="BC100" s="192"/>
      <c r="BD100" s="192"/>
      <c r="BE100" s="279" t="str">
        <f>IF(BE99="","",IF(BD99="G",IF(BE99=BK98,BJ98+BE102,BJ101+BE102),IF(BD99="P",IF(BE99=BK98,BJ98-BE102,BJ101-BE102),"")))</f>
        <v/>
      </c>
      <c r="BF100" s="423" t="str">
        <f>IF(ISNUMBER(BE100),VLOOKUP(BE99,Siembra,2,FALSE),"")</f>
        <v/>
      </c>
      <c r="BG100" s="423"/>
      <c r="BH100" s="285" t="str">
        <f>IF(BE99=BK98,BM99,IF(BE99=BK101,BM100,""))</f>
        <v/>
      </c>
      <c r="BI100" s="286"/>
      <c r="BJ100" s="419"/>
      <c r="BK100" s="421"/>
      <c r="BL100" s="229" t="str">
        <f>IF(BK101&lt;&gt;"",IF(BK101="","",IF(BK101="BYE",0,IF(ISTEXT(BK101),VLOOKUP(BN101,Dist_Llav,6,FALSE),""))),"")</f>
        <v/>
      </c>
      <c r="BM100" s="280" t="str">
        <f>IF(BK101="","",IF(ISTEXT(BK101),IF(BK101="","",IF(BK101="Bye",0,VLOOKUP(BK101,Rank_Points,3,FALSE)))))</f>
        <v/>
      </c>
      <c r="BN100" s="422"/>
      <c r="BO100" s="422"/>
      <c r="BP100" s="181"/>
      <c r="BQ100" s="181">
        <f>IF(BS100="Bye",1,MAX(BQ$8:BQ99)+1)</f>
        <v>93</v>
      </c>
      <c r="BR100" s="314" t="str">
        <f t="shared" si="3"/>
        <v/>
      </c>
      <c r="BS100" s="181" t="str">
        <f>IF(Llave=128,IF(OR(D170="Bye",D173="Bye"),"Bye",IF(H170="P",D170,IF(H173="P",D173,""))),"")</f>
        <v/>
      </c>
      <c r="BT100" s="181" t="b">
        <f>IF(Llave&lt;128,"",IF(Llave=128,IF(OR(D170="Bye",D173="Bye"),"",IF(H170="P",G170,IF(H173="P",G173,"")))))</f>
        <v>0</v>
      </c>
    </row>
    <row r="101" spans="2:74" x14ac:dyDescent="0.3">
      <c r="B101" s="192">
        <f>B98+1</f>
        <v>34</v>
      </c>
      <c r="C101" s="192" t="str">
        <f>IF(Llave="","",IF(Llave&gt;1,IF(OR(Plyrs_val=Tot_Jug,Groups*2=Plyrs_val),HLOOKUP(Plyrs_val,Knockout,B101+1,FALSE)),""))</f>
        <v/>
      </c>
      <c r="D101" s="412" t="str">
        <f>IF(Llave="","",IF(Llave&gt;1,IF(C101="Bye","Bye",IF(OR(Plyrs_val=Tot_Jug,Groups*2=Plyrs_val),VLOOKUP(C101,Dist_Llav,4,FALSE),"")),""))</f>
        <v/>
      </c>
      <c r="E101" s="412"/>
      <c r="F101" s="412"/>
      <c r="G101" s="192" t="str">
        <f>IF(D101="","",IF(D101="Bye",0,IF(D98="Bye",E100,IF(H101="G",E100+G99,IF(H101="P",E100-G99,"")))))</f>
        <v/>
      </c>
      <c r="H101" s="166"/>
      <c r="I101" s="192"/>
      <c r="J101" s="192"/>
      <c r="K101" s="192"/>
      <c r="L101" s="287"/>
      <c r="M101" s="192"/>
      <c r="N101" s="192"/>
      <c r="O101" s="192"/>
      <c r="P101" s="288" t="s">
        <v>239</v>
      </c>
      <c r="Q101" s="192"/>
      <c r="R101" s="192"/>
      <c r="S101" s="192"/>
      <c r="T101" s="192"/>
      <c r="U101" s="192"/>
      <c r="V101" s="192"/>
      <c r="W101" s="192"/>
      <c r="X101" s="192"/>
      <c r="Y101" s="192"/>
      <c r="Z101" s="192"/>
      <c r="AA101" s="192"/>
      <c r="AB101" s="287"/>
      <c r="AC101" s="192"/>
      <c r="AD101" s="192"/>
      <c r="AE101" s="192"/>
      <c r="AF101" s="192"/>
      <c r="AG101" s="192"/>
      <c r="AH101" s="192"/>
      <c r="AI101" s="192"/>
      <c r="AJ101" s="192"/>
      <c r="AK101" s="192"/>
      <c r="AL101" s="192"/>
      <c r="AM101" s="192"/>
      <c r="AN101" s="192"/>
      <c r="AO101" s="289"/>
      <c r="AP101" s="192"/>
      <c r="AQ101" s="192"/>
      <c r="AR101" s="192"/>
      <c r="AS101" s="192"/>
      <c r="AT101" s="192"/>
      <c r="AU101" s="192"/>
      <c r="AV101" s="192"/>
      <c r="AW101" s="192"/>
      <c r="AX101" s="192"/>
      <c r="AY101" s="192"/>
      <c r="AZ101" s="192"/>
      <c r="BA101" s="274" t="s">
        <v>240</v>
      </c>
      <c r="BB101" s="192"/>
      <c r="BC101" s="192"/>
      <c r="BD101" s="192"/>
      <c r="BE101" s="289"/>
      <c r="BF101" s="192"/>
      <c r="BG101" s="192"/>
      <c r="BH101" s="192"/>
      <c r="BI101" s="166"/>
      <c r="BJ101" s="284" t="str">
        <f>IF(BK101="","",IF(BK101="Bye",0,IF(BK98="Bye",BL100,IF(BI101="G",BL100+BJ99,IF(BI101="P",BL100-BJ99,"")))))</f>
        <v/>
      </c>
      <c r="BK101" s="412" t="str">
        <f>IF(Llave="","",IF(Llave&gt;1,IF(BN101="Bye","Bye",IF(OR(Plyrs_val=Tot_Jug,Groups*2=Plyrs_val),VLOOKUP(BN101,Dist_Llav,4,FALSE),"")),""))</f>
        <v/>
      </c>
      <c r="BL101" s="412"/>
      <c r="BM101" s="412"/>
      <c r="BN101" s="229" t="str">
        <f>IF(Llave=128,IF(OR(Plyrs_val=Tot_Jug,Groups*2=Plyrs_val),HLOOKUP(Plyrs_val,Knockout,BO101+1,FALSE)),"")</f>
        <v/>
      </c>
      <c r="BO101" s="229">
        <f>BO98+1</f>
        <v>98</v>
      </c>
      <c r="BP101" s="181"/>
      <c r="BQ101" s="181">
        <f>IF(BS101="Bye",1,MAX(BQ$8:BQ100)+1)</f>
        <v>94</v>
      </c>
      <c r="BR101" s="314" t="str">
        <f t="shared" si="3"/>
        <v/>
      </c>
      <c r="BS101" s="181" t="str">
        <f>IF(Llave=128,IF(OR(D176="Bye",D179="Bye"),"Bye",IF(H176="P",D176,IF(H179="P",D179,""))),"")</f>
        <v/>
      </c>
      <c r="BT101" s="181" t="b">
        <f>IF(Llave&lt;128,"",IF(Llave=128,IF(OR(D176="Bye",D179="Bye"),"",IF(H176="P",G176,IF(H179="P",G179,"")))))</f>
        <v>0</v>
      </c>
    </row>
    <row r="102" spans="2:74" x14ac:dyDescent="0.3">
      <c r="B102" s="192"/>
      <c r="C102" s="192"/>
      <c r="D102" s="192"/>
      <c r="E102" s="192"/>
      <c r="F102" s="192"/>
      <c r="G102" s="192"/>
      <c r="H102" s="192"/>
      <c r="I102" s="413" t="str">
        <f>IF(Llave="","",I90+1)</f>
        <v/>
      </c>
      <c r="J102" s="192"/>
      <c r="K102" s="414" t="s">
        <v>170</v>
      </c>
      <c r="L102" s="415" t="str">
        <f>IF(OR(I99="",I106=""),"",IF(OR(I99="Bye",I106="Bye"),0,IF(AND(M99="",M106=""),"",IF(AND(M99="G",M106="P"),IF(I100&gt;=I105,VLOOKUP(ABS(I100-I105),Point_dif,2,TRUE),VLOOKUP(ABS(I100-I105),Point_dif,3,TRUE)),IF(AND(M99="P",M106="G"),IF(I105&gt;=I100,VLOOKUP(ABS(I100-I105),Point_dif,2,TRUE),VLOOKUP(ABS(I100-I105),Point_dif,3,TRUE)))))))</f>
        <v/>
      </c>
      <c r="M102" s="416" t="str">
        <f>IF(AND(M99="",M106=""),"",IF(AND(M99="G",M106="P"),I99,IF(AND(M106="G",M99="P"),I106,"Corregir ganador y perdedor")))</f>
        <v/>
      </c>
      <c r="N102" s="417"/>
      <c r="O102" s="417"/>
      <c r="P102" s="417"/>
      <c r="Q102" s="167"/>
      <c r="R102" s="192"/>
      <c r="S102" s="192"/>
      <c r="T102" s="192"/>
      <c r="U102" s="192"/>
      <c r="V102" s="192"/>
      <c r="W102" s="192"/>
      <c r="X102" s="192"/>
      <c r="Y102" s="192"/>
      <c r="Z102" s="192"/>
      <c r="AA102" s="192"/>
      <c r="AB102" s="287"/>
      <c r="AC102" s="192"/>
      <c r="AD102" s="192"/>
      <c r="AE102" s="192"/>
      <c r="AF102" s="192"/>
      <c r="AG102" s="192"/>
      <c r="AH102" s="192"/>
      <c r="AI102" s="192"/>
      <c r="AJ102" s="192"/>
      <c r="AK102" s="192"/>
      <c r="AL102" s="192"/>
      <c r="AM102" s="192"/>
      <c r="AN102" s="192"/>
      <c r="AO102" s="289"/>
      <c r="AP102" s="192"/>
      <c r="AQ102" s="192"/>
      <c r="AR102" s="192"/>
      <c r="AS102" s="192"/>
      <c r="AT102" s="192"/>
      <c r="AU102" s="192"/>
      <c r="AV102" s="192"/>
      <c r="AW102" s="192"/>
      <c r="AX102" s="192"/>
      <c r="AY102" s="192"/>
      <c r="AZ102" s="166"/>
      <c r="BA102" s="416" t="str">
        <f>IF(AND(BD99="",BD106=""),"",IF(AND(BD99="G",BD106="P"),BE99,IF(AND(BD106="G",BD99="P"),BE106,"Corregir ganador y perdedor")))</f>
        <v/>
      </c>
      <c r="BB102" s="417"/>
      <c r="BC102" s="417"/>
      <c r="BD102" s="417"/>
      <c r="BE102" s="424" t="str">
        <f>IF(OR(BE99="",BE106=""),"",IF(OR(BE99="Bye",BE106="Bye"),0,IF(AND(BD99="",BD106=""),"",IF(AND(BD99="G",BD106="P"),IF(BH100&gt;=BH105,VLOOKUP(ABS(BH100-BH105),Point_dif,2,TRUE),VLOOKUP(ABS(BH100-BH105),Point_dif,3,TRUE)),IF(AND(BD99="P",BD106="G"),IF(BH105&gt;=BH100,VLOOKUP(ABS(BH100-BH105),Point_dif,2,TRUE),VLOOKUP(ABS(BH100-BH105),Point_dif,3,TRUE)))))))</f>
        <v/>
      </c>
      <c r="BF102" s="421" t="s">
        <v>170</v>
      </c>
      <c r="BG102" s="281"/>
      <c r="BH102" s="413" t="str">
        <f>IF(Llave=128,BH90+1,"")</f>
        <v/>
      </c>
      <c r="BI102" s="192"/>
      <c r="BJ102" s="192"/>
      <c r="BK102" s="192"/>
      <c r="BL102" s="192"/>
      <c r="BM102" s="192"/>
      <c r="BN102" s="192"/>
      <c r="BO102" s="192"/>
      <c r="BP102" s="181"/>
      <c r="BQ102" s="181">
        <f>IF(BS102="Bye",1,MAX(BQ$8:BQ101)+1)</f>
        <v>95</v>
      </c>
      <c r="BR102" s="314" t="str">
        <f t="shared" si="3"/>
        <v/>
      </c>
      <c r="BS102" s="181" t="str">
        <f>IF(Llave=128,IF(OR(D182="Bye",D185="Bye"),"Bye",IF(H182="P",D182,IF(H185="P",D185,""))),"")</f>
        <v/>
      </c>
      <c r="BT102" s="181" t="b">
        <f>IF(Llave&lt;128,"",IF(Llave=128,IF(OR(D182="Bye",D185="Bye"),"",IF(H182="P",G182,IF(H185="P",G185,"")))))</f>
        <v>0</v>
      </c>
    </row>
    <row r="103" spans="2:74" x14ac:dyDescent="0.3">
      <c r="B103" s="192"/>
      <c r="C103" s="192"/>
      <c r="D103" s="192"/>
      <c r="E103" s="192"/>
      <c r="F103" s="192"/>
      <c r="G103" s="272" t="s">
        <v>241</v>
      </c>
      <c r="H103" s="192"/>
      <c r="I103" s="413"/>
      <c r="J103" s="192"/>
      <c r="K103" s="414"/>
      <c r="L103" s="415"/>
      <c r="M103" s="283" t="str">
        <f>IF(M102=I99,I100,IF(M102=I106,I105,""))</f>
        <v/>
      </c>
      <c r="N103" s="423" t="str">
        <f>IF(ISNUMBER(M103),VLOOKUP(M102,Siembra,2,FALSE),"")</f>
        <v/>
      </c>
      <c r="O103" s="423"/>
      <c r="P103" s="278" t="str">
        <f>IF(Llave=4,IF(M99="G",L100,L105),IF(M102="","",IF(Q102="G",IF(M102=I99,L100+P108,L105+P108),IF(Q102="P",IF(M102=I99,L100-P108,L105-P108),""))))</f>
        <v/>
      </c>
      <c r="Q103" s="192"/>
      <c r="R103" s="192"/>
      <c r="S103" s="192"/>
      <c r="T103" s="192"/>
      <c r="U103" s="192"/>
      <c r="V103" s="192"/>
      <c r="W103" s="192"/>
      <c r="X103" s="192"/>
      <c r="Y103" s="192"/>
      <c r="Z103" s="192"/>
      <c r="AA103" s="192"/>
      <c r="AB103" s="287"/>
      <c r="AC103" s="192"/>
      <c r="AD103" s="192"/>
      <c r="AE103" s="192"/>
      <c r="AF103" s="192"/>
      <c r="AG103" s="192"/>
      <c r="AH103" s="192"/>
      <c r="AI103" s="192"/>
      <c r="AJ103" s="192"/>
      <c r="AK103" s="192"/>
      <c r="AL103" s="192"/>
      <c r="AM103" s="192"/>
      <c r="AN103" s="192"/>
      <c r="AO103" s="289"/>
      <c r="AP103" s="192"/>
      <c r="AQ103" s="192"/>
      <c r="AR103" s="192"/>
      <c r="AS103" s="192"/>
      <c r="AT103" s="192"/>
      <c r="AU103" s="192"/>
      <c r="AV103" s="192"/>
      <c r="AW103" s="192"/>
      <c r="AX103" s="192"/>
      <c r="AY103" s="192"/>
      <c r="AZ103" s="192"/>
      <c r="BA103" s="279" t="str">
        <f>IF(BE99="","",IF(AZ102="G",IF(BA102=BE99,BE100+BA108,BE105+BA108),IF(AZ102="P",IF(BA102=BE99,BE100-BA108,BE105-BA108),"")))</f>
        <v/>
      </c>
      <c r="BB103" s="423" t="str">
        <f>IF(ISNUMBER(BA103),VLOOKUP(BA102,Siembra,2,FALSE),"")</f>
        <v/>
      </c>
      <c r="BC103" s="423"/>
      <c r="BD103" s="285" t="str">
        <f>IF(BA102=BE99,BH100,IF(BA102=BE106,BH105,""))</f>
        <v/>
      </c>
      <c r="BE103" s="424"/>
      <c r="BF103" s="421"/>
      <c r="BG103" s="281"/>
      <c r="BH103" s="413"/>
      <c r="BI103" s="273"/>
      <c r="BJ103" s="274" t="s">
        <v>242</v>
      </c>
      <c r="BK103" s="192"/>
      <c r="BL103" s="192"/>
      <c r="BM103" s="192"/>
      <c r="BN103" s="192"/>
      <c r="BO103" s="192"/>
      <c r="BP103" s="181"/>
      <c r="BQ103" s="181">
        <f>IF(BS103="Bye",1,MAX(BQ$8:BQ102)+1)</f>
        <v>96</v>
      </c>
      <c r="BR103" s="314" t="str">
        <f t="shared" si="3"/>
        <v/>
      </c>
      <c r="BS103" s="181" t="str">
        <f>IF(Llave=128,IF(OR(D188="Bye",D191="Bye"),"Bye",IF(H188="P",D188,IF(H191="P",D191,""))),"")</f>
        <v/>
      </c>
      <c r="BT103" s="181" t="b">
        <f>IF(Llave&lt;128,"",IF(Llave=128,IF(OR(D188="Bye",D191="Bye"),"",IF(H188="P",G188,IF(H191="P",G191,"")))))</f>
        <v>0</v>
      </c>
    </row>
    <row r="104" spans="2:74" x14ac:dyDescent="0.3">
      <c r="B104" s="192">
        <f>B101+1</f>
        <v>35</v>
      </c>
      <c r="C104" s="192" t="str">
        <f>IF(Llave="","",IF(Llave&gt;1,IF(OR(Plyrs_val=Tot_Jug,Groups*2=Plyrs_val),HLOOKUP(Plyrs_val,Knockout,B104+1,FALSE)),""))</f>
        <v/>
      </c>
      <c r="D104" s="411" t="str">
        <f>IF(Llave="","",IF(Llave&gt;1,IF(C104="Bye","Bye",IF(OR(Plyrs_val=Tot_Jug,Groups*2=Plyrs_val),VLOOKUP(C104,Dist_Llav,4,FALSE),"")),""))</f>
        <v/>
      </c>
      <c r="E104" s="411"/>
      <c r="F104" s="411"/>
      <c r="G104" s="192" t="str">
        <f>IF(D104="","",IF(D104="Bye",0,IF(D107="Bye",E105,IF(H104="G",E105+G105,IF(H104="P",E105-G105,"")))))</f>
        <v/>
      </c>
      <c r="H104" s="166"/>
      <c r="I104" s="192"/>
      <c r="J104" s="192"/>
      <c r="K104" s="192"/>
      <c r="L104" s="287"/>
      <c r="M104" s="192"/>
      <c r="N104" s="192"/>
      <c r="O104" s="192"/>
      <c r="P104" s="287"/>
      <c r="Q104" s="192"/>
      <c r="R104" s="192"/>
      <c r="S104" s="192"/>
      <c r="T104" s="192"/>
      <c r="U104" s="192"/>
      <c r="V104" s="192"/>
      <c r="W104" s="192"/>
      <c r="X104" s="192"/>
      <c r="Y104" s="192"/>
      <c r="Z104" s="192"/>
      <c r="AA104" s="192"/>
      <c r="AB104" s="287"/>
      <c r="AC104" s="192"/>
      <c r="AD104" s="192"/>
      <c r="AE104" s="192"/>
      <c r="AF104" s="192"/>
      <c r="AG104" s="192"/>
      <c r="AH104" s="192"/>
      <c r="AI104" s="192"/>
      <c r="AJ104" s="192"/>
      <c r="AK104" s="192"/>
      <c r="AL104" s="192"/>
      <c r="AM104" s="192"/>
      <c r="AN104" s="192"/>
      <c r="AO104" s="289"/>
      <c r="AP104" s="192"/>
      <c r="AQ104" s="192"/>
      <c r="AR104" s="192"/>
      <c r="AS104" s="192"/>
      <c r="AT104" s="192"/>
      <c r="AU104" s="192"/>
      <c r="AV104" s="192"/>
      <c r="AW104" s="192"/>
      <c r="AX104" s="192"/>
      <c r="AY104" s="192"/>
      <c r="AZ104" s="192"/>
      <c r="BA104" s="289"/>
      <c r="BB104" s="192"/>
      <c r="BC104" s="192"/>
      <c r="BD104" s="192"/>
      <c r="BE104" s="289"/>
      <c r="BF104" s="192"/>
      <c r="BG104" s="192"/>
      <c r="BH104" s="192"/>
      <c r="BI104" s="166"/>
      <c r="BJ104" s="192" t="str">
        <f>IF(BK104="","",IF(BK104="Bye",0,IF(BK107="Bye",BL105,IF(BI104="G",BL105+BJ105,IF(BI104="P",BL105-BJ105,"")))))</f>
        <v/>
      </c>
      <c r="BK104" s="411" t="str">
        <f>IF(Llave="","",IF(Llave&gt;1,IF(BN104="Bye","Bye",IF(OR(Plyrs_val=Tot_Jug,Groups*2=Plyrs_val),VLOOKUP(BN104,Dist_Llav,4,FALSE),"")),""))</f>
        <v/>
      </c>
      <c r="BL104" s="411"/>
      <c r="BM104" s="411"/>
      <c r="BN104" s="229" t="str">
        <f>IF(Llave=128,IF(OR(Plyrs_val=Tot_Jug,Groups*2=Plyrs_val),HLOOKUP(Plyrs_val,Knockout,BO104+1,FALSE)),"")</f>
        <v/>
      </c>
      <c r="BO104" s="229">
        <f>BO101+1</f>
        <v>99</v>
      </c>
      <c r="BP104" s="181"/>
      <c r="BQ104" s="181">
        <f>IF(BS104="Bye",1,MAX(BQ$8:BQ103)+1)</f>
        <v>97</v>
      </c>
      <c r="BR104" s="314" t="str">
        <f t="shared" ref="BR104:BR135" si="4">IF(BR103="","",IF(AND(Llave&gt;=128,ISNUMBER(BR103)),BR103+1,""))</f>
        <v/>
      </c>
      <c r="BS104" s="181" t="str">
        <f>IF(Llave=128,IF(OR(BK2="Bye",BK5="Bye"),"Bye",IF(BI2="P",BK2,IF(BI5="P",BK5,""))),"")</f>
        <v/>
      </c>
      <c r="BT104" s="181" t="b">
        <f>IF(Llave&lt;128,"",IF(Llave=128,IF(OR(BK2="Bye",BK5="Bye"),"",IF(BI2="P",BJ2,IF(BI5="P",BJ5,"")))))</f>
        <v>0</v>
      </c>
    </row>
    <row r="105" spans="2:74" x14ac:dyDescent="0.3">
      <c r="B105" s="413" t="str">
        <f>IF(Llave="","",B99+1)</f>
        <v/>
      </c>
      <c r="C105" s="192"/>
      <c r="D105" s="229" t="str">
        <f>IF(D104="","",IF(ISTEXT(D104),IF(D104="","",IF(D104="Bye",0,VLOOKUP(D104,Rank_Points,3,FALSE)))))</f>
        <v/>
      </c>
      <c r="E105" s="192" t="str">
        <f>IF(D104&lt;&gt;"",IF(D104="","",IF(D104="BYE",0,IF(ISTEXT(D104),VLOOKUP(C104,Dist_Llav,6,FALSE),""))),"")</f>
        <v/>
      </c>
      <c r="F105" s="414" t="s">
        <v>170</v>
      </c>
      <c r="G105" s="418" t="str">
        <f>IF(OR(D104="",D107=""),"",IF(OR(D104="Bye",D107="Bye"),0,IF(AND(H104="",H107=""),"",IF(AND(H104="G",H107="P"),IF(D105&gt;=D106,VLOOKUP(ABS(D105-D106),Point_dif,2,TRUE),VLOOKUP(ABS(D105-D106),Point_dif,3,TRUE)),IF(AND(H104="P",H107="G"),IF(D106&gt;=D105,VLOOKUP(ABS(D105-D106),Point_dif,2,TRUE),VLOOKUP(ABS(D105-D106),Point_dif,3,TRUE)))))))</f>
        <v/>
      </c>
      <c r="H105" s="278"/>
      <c r="I105" s="275" t="str">
        <f>IF(I106=D104,D105,IF(I106=D107,D106,""))</f>
        <v/>
      </c>
      <c r="J105" s="417" t="str">
        <f>IF(ISNUMBER(I105),VLOOKUP(I106,Siembra,2,FALSE),"")</f>
        <v/>
      </c>
      <c r="K105" s="417"/>
      <c r="L105" s="282" t="str">
        <f>IF(I106="","",IF(M106="G",IF(I106=D104,G104+L102,G107+L102),IF(M106="P",IF(I106=D104,G104-L102,G107-L102),"")))</f>
        <v/>
      </c>
      <c r="M105" s="192"/>
      <c r="N105" s="192"/>
      <c r="O105" s="192"/>
      <c r="P105" s="287"/>
      <c r="Q105" s="192"/>
      <c r="R105" s="192"/>
      <c r="S105" s="192"/>
      <c r="T105" s="192"/>
      <c r="U105" s="192"/>
      <c r="V105" s="192"/>
      <c r="W105" s="192"/>
      <c r="X105" s="192"/>
      <c r="Y105" s="192"/>
      <c r="Z105" s="192"/>
      <c r="AA105" s="192"/>
      <c r="AB105" s="287"/>
      <c r="AC105" s="192"/>
      <c r="AD105" s="192"/>
      <c r="AE105" s="192"/>
      <c r="AF105" s="192"/>
      <c r="AG105" s="192"/>
      <c r="AH105" s="192"/>
      <c r="AI105" s="192"/>
      <c r="AJ105" s="192"/>
      <c r="AK105" s="192"/>
      <c r="AL105" s="192"/>
      <c r="AM105" s="192"/>
      <c r="AN105" s="192"/>
      <c r="AO105" s="289"/>
      <c r="AP105" s="192"/>
      <c r="AQ105" s="192"/>
      <c r="AR105" s="192"/>
      <c r="AS105" s="192"/>
      <c r="AT105" s="192"/>
      <c r="AU105" s="192"/>
      <c r="AV105" s="192"/>
      <c r="AW105" s="192"/>
      <c r="AX105" s="192"/>
      <c r="AY105" s="192"/>
      <c r="AZ105" s="192"/>
      <c r="BA105" s="289"/>
      <c r="BB105" s="192"/>
      <c r="BC105" s="192"/>
      <c r="BD105" s="192"/>
      <c r="BE105" s="286" t="str">
        <f>IF(BE106="","",IF(BD106="G",IF(BE106=BK104,BJ104+BE102,BJ107+BE102),IF(BD106="P",IF(BE106=BK104,BJ104-BE102,BJ107-BE102),"")))</f>
        <v/>
      </c>
      <c r="BF105" s="417" t="str">
        <f>IF(ISNUMBER(BE105),VLOOKUP(BE106,Siembra,2,FALSE),"")</f>
        <v/>
      </c>
      <c r="BG105" s="417"/>
      <c r="BH105" s="282" t="str">
        <f>IF(BE106=BK104,BM105,IF(BE106=BK107,BM106,""))</f>
        <v/>
      </c>
      <c r="BI105" s="279"/>
      <c r="BJ105" s="418" t="str">
        <f>IF(OR(BK104="",BK107=""),"",IF(OR(BK104="Bye",BK107="Bye"),0,IF(AND(BI104="",BI107=""),"",IF(AND(BI104="G",BI107="P"),IF(BM105&gt;=BM106,VLOOKUP(ABS(BM105-BM106),Point_dif,2,TRUE),VLOOKUP(ABS(BM105-BM106),Point_dif,3,TRUE)),IF(AND(BI104="P",BI107="G"),IF(BM106&gt;=BM105,VLOOKUP(ABS(BM105-BM106),Point_dif,2,TRUE),VLOOKUP(ABS(BM105-BM106),Point_dif,3,TRUE)))))))</f>
        <v/>
      </c>
      <c r="BK105" s="420" t="s">
        <v>170</v>
      </c>
      <c r="BL105" s="229" t="str">
        <f>IF(BK104&lt;&gt;"",IF(BK104="","",IF(BK104="BYE",0,IF(ISTEXT(BK104),VLOOKUP(BN104,Dist_Llav,6,FALSE),""))),"")</f>
        <v/>
      </c>
      <c r="BM105" s="280" t="str">
        <f>IF(BK104="","",IF(ISTEXT(BK104),IF(BK104="","",IF(BK104="Bye",0,VLOOKUP(BK104,Rank_Points,3,FALSE)))))</f>
        <v/>
      </c>
      <c r="BN105" s="422"/>
      <c r="BO105" s="422" t="str">
        <f>IF(Llave=128,BO99+1,"")</f>
        <v/>
      </c>
      <c r="BP105" s="181"/>
      <c r="BQ105" s="181">
        <f>IF(BS105="Bye",1,MAX(BQ$8:BQ104)+1)</f>
        <v>98</v>
      </c>
      <c r="BR105" s="314" t="str">
        <f t="shared" si="4"/>
        <v/>
      </c>
      <c r="BS105" s="181" t="str">
        <f>IF(Llave=128,IF(OR(BK8="Bye",BK11="Bye"),"Bye",IF(BI8="P",BK8,IF(BI11="P",BK11,""))),"")</f>
        <v/>
      </c>
      <c r="BT105" s="181" t="b">
        <f>IF(Llave&lt;128,"",IF(Llave=128,IF(OR(BK8="Bye",BK11="Bye"),"",IF(BI8="P",BJ8,IF(BI11="P",BJ11,"")))))</f>
        <v>0</v>
      </c>
    </row>
    <row r="106" spans="2:74" x14ac:dyDescent="0.3">
      <c r="B106" s="413"/>
      <c r="C106" s="192"/>
      <c r="D106" s="229" t="str">
        <f>IF(D107="","",IF(ISTEXT(D107),IF(D107="","",IF(D107="Bye",0,VLOOKUP(D107,Rank_Points,3,FALSE)))))</f>
        <v/>
      </c>
      <c r="E106" s="192" t="str">
        <f>IF(D107&lt;&gt;"",IF(D107="","",IF(D107="BYE",0,IF(ISTEXT(D107),VLOOKUP(C107,Dist_Llav,6,FALSE),""))),"")</f>
        <v/>
      </c>
      <c r="F106" s="414"/>
      <c r="G106" s="419"/>
      <c r="H106" s="282"/>
      <c r="I106" s="425" t="str">
        <f>IF(D104="Bye",D107,IF(D107="Bye",D104,IF(AND(H104="",H107=""),"",IF(AND(H104="G",H107="P"),D104,IF(AND(H107="G",H104="P"),D107,"Corregir ganador y perdedor")))))</f>
        <v/>
      </c>
      <c r="J106" s="423"/>
      <c r="K106" s="423"/>
      <c r="L106" s="423"/>
      <c r="M106" s="167"/>
      <c r="N106" s="192"/>
      <c r="O106" s="192"/>
      <c r="P106" s="287"/>
      <c r="Q106" s="192"/>
      <c r="R106" s="192"/>
      <c r="S106" s="192"/>
      <c r="T106" s="192"/>
      <c r="U106" s="192"/>
      <c r="V106" s="192"/>
      <c r="W106" s="192"/>
      <c r="X106" s="192"/>
      <c r="Y106" s="192"/>
      <c r="Z106" s="192"/>
      <c r="AA106" s="192"/>
      <c r="AB106" s="287"/>
      <c r="AC106" s="192"/>
      <c r="AD106" s="192"/>
      <c r="AE106" s="192"/>
      <c r="AF106" s="192"/>
      <c r="AG106" s="192"/>
      <c r="AH106" s="192"/>
      <c r="AI106" s="192"/>
      <c r="AJ106" s="192"/>
      <c r="AK106" s="192"/>
      <c r="AL106" s="192"/>
      <c r="AM106" s="192"/>
      <c r="AN106" s="192"/>
      <c r="AO106" s="289"/>
      <c r="AP106" s="192"/>
      <c r="AQ106" s="192"/>
      <c r="AR106" s="192"/>
      <c r="AS106" s="192"/>
      <c r="AT106" s="192"/>
      <c r="AU106" s="192"/>
      <c r="AV106" s="192"/>
      <c r="AW106" s="192"/>
      <c r="AX106" s="192"/>
      <c r="AY106" s="192"/>
      <c r="AZ106" s="192"/>
      <c r="BA106" s="289"/>
      <c r="BB106" s="192"/>
      <c r="BC106" s="192"/>
      <c r="BD106" s="166"/>
      <c r="BE106" s="423" t="str">
        <f>IF(BK107="Bye",BK104,IF(BK104="Bye",BK107,IF(AND(BI104="",BI107=""),"",IF(AND(BI104="G",BI107="P"),BK104,IF(AND(BI107="G",BI104="P"),BK107,"Corregir ganador y perdedor")))))</f>
        <v/>
      </c>
      <c r="BF106" s="423"/>
      <c r="BG106" s="423"/>
      <c r="BH106" s="426"/>
      <c r="BI106" s="286"/>
      <c r="BJ106" s="419"/>
      <c r="BK106" s="421"/>
      <c r="BL106" s="229" t="str">
        <f>IF(BK107&lt;&gt;"",IF(BK107="","",IF(BK107="BYE",0,IF(ISTEXT(BK107),VLOOKUP(BN107,Dist_Llav,6,FALSE),""))),"")</f>
        <v/>
      </c>
      <c r="BM106" s="280" t="str">
        <f>IF(BK107="","",IF(ISTEXT(BK107),IF(BK107="","",IF(BK107="Bye",0,VLOOKUP(BK107,Rank_Points,3,FALSE)))))</f>
        <v/>
      </c>
      <c r="BN106" s="422"/>
      <c r="BO106" s="422"/>
      <c r="BP106" s="181"/>
      <c r="BQ106" s="181">
        <f>IF(BS106="Bye",1,MAX(BQ$8:BQ105)+1)</f>
        <v>99</v>
      </c>
      <c r="BR106" s="314" t="str">
        <f t="shared" si="4"/>
        <v/>
      </c>
      <c r="BS106" s="181" t="str">
        <f>IF(Llave=128,IF(OR(BK14="Bye",BK17="Bye"),"Bye",IF(BI14="P",BK14,IF(BI17="P",BK17,""))),"")</f>
        <v/>
      </c>
      <c r="BT106" s="181" t="b">
        <f>IF(Llave&lt;128,"",IF(Llave=128,IF(OR(BK14="Bye",BK17="Bye"),"",IF(BI14="P",BJ14,IF(BI17="P",BJ17,"")))))</f>
        <v>0</v>
      </c>
    </row>
    <row r="107" spans="2:74" x14ac:dyDescent="0.3">
      <c r="B107" s="192">
        <f>B104+1</f>
        <v>36</v>
      </c>
      <c r="C107" s="192" t="str">
        <f>IF(Llave="","",IF(Llave&gt;1,IF(OR(Plyrs_val=Tot_Jug,Groups*2=Plyrs_val),HLOOKUP(Plyrs_val,Knockout,B107+1,FALSE)),""))</f>
        <v/>
      </c>
      <c r="D107" s="412" t="str">
        <f>IF(Llave="","",IF(Llave&gt;1,IF(C107="Bye","Bye",IF(OR(Plyrs_val=Tot_Jug,Groups*2=Plyrs_val),VLOOKUP(C107,Dist_Llav,4,FALSE),"")),""))</f>
        <v/>
      </c>
      <c r="E107" s="412"/>
      <c r="F107" s="412"/>
      <c r="G107" s="192" t="str">
        <f>IF(D107="","",IF(D107="Bye",0,IF(D104="Bye",E106,IF(H107="G",E106+G105,IF(H107="P",E106-G105,"")))))</f>
        <v/>
      </c>
      <c r="H107" s="166"/>
      <c r="I107" s="192"/>
      <c r="J107" s="192"/>
      <c r="K107" s="192"/>
      <c r="L107" s="192"/>
      <c r="M107" s="192"/>
      <c r="N107" s="192"/>
      <c r="O107" s="192"/>
      <c r="P107" s="287"/>
      <c r="Q107" s="192"/>
      <c r="R107" s="192"/>
      <c r="S107" s="192"/>
      <c r="T107" s="288" t="s">
        <v>243</v>
      </c>
      <c r="U107" s="192"/>
      <c r="V107" s="192"/>
      <c r="W107" s="192"/>
      <c r="X107" s="192"/>
      <c r="Y107" s="192"/>
      <c r="Z107" s="192"/>
      <c r="AA107" s="192"/>
      <c r="AB107" s="287"/>
      <c r="AC107" s="192"/>
      <c r="AD107" s="192"/>
      <c r="AE107" s="192"/>
      <c r="AF107" s="192"/>
      <c r="AG107" s="192"/>
      <c r="AH107" s="192"/>
      <c r="AI107" s="192"/>
      <c r="AJ107" s="192"/>
      <c r="AK107" s="192"/>
      <c r="AL107" s="192"/>
      <c r="AM107" s="192"/>
      <c r="AN107" s="192"/>
      <c r="AO107" s="289"/>
      <c r="AP107" s="192"/>
      <c r="AQ107" s="192"/>
      <c r="AR107" s="192"/>
      <c r="AS107" s="192"/>
      <c r="AT107" s="192"/>
      <c r="AU107" s="192"/>
      <c r="AV107" s="192"/>
      <c r="AW107" s="274" t="s">
        <v>244</v>
      </c>
      <c r="AX107" s="192"/>
      <c r="AY107" s="192"/>
      <c r="AZ107" s="192"/>
      <c r="BA107" s="289"/>
      <c r="BB107" s="192"/>
      <c r="BC107" s="192"/>
      <c r="BD107" s="192"/>
      <c r="BE107" s="192"/>
      <c r="BF107" s="192"/>
      <c r="BG107" s="192"/>
      <c r="BH107" s="192"/>
      <c r="BI107" s="166"/>
      <c r="BJ107" s="284" t="str">
        <f>IF(BK107="","",IF(BK107="Bye",0,IF(BK104="Bye",BL106,IF(BI107="G",BL106+BJ105,IF(BI107="P",BL106-BJ105,"")))))</f>
        <v/>
      </c>
      <c r="BK107" s="412" t="str">
        <f>IF(Llave="","",IF(Llave&gt;1,IF(BN107="Bye","Bye",IF(OR(Plyrs_val=Tot_Jug,Groups*2=Plyrs_val),VLOOKUP(BN107,Dist_Llav,4,FALSE),"")),""))</f>
        <v/>
      </c>
      <c r="BL107" s="412"/>
      <c r="BM107" s="412"/>
      <c r="BN107" s="229" t="str">
        <f>IF(Llave=128,IF(OR(Plyrs_val=Tot_Jug,Groups*2=Plyrs_val),HLOOKUP(Plyrs_val,Knockout,BO107+1,FALSE)),"")</f>
        <v/>
      </c>
      <c r="BO107" s="229">
        <f>BO104+1</f>
        <v>100</v>
      </c>
      <c r="BP107" s="181"/>
      <c r="BQ107" s="181">
        <f>IF(BS107="Bye",1,MAX(BQ$8:BQ106)+1)</f>
        <v>100</v>
      </c>
      <c r="BR107" s="314" t="str">
        <f t="shared" si="4"/>
        <v/>
      </c>
      <c r="BS107" s="181" t="str">
        <f>IF(Llave=128,IF(OR(BK20="Bye",BK23="Bye"),"Bye",IF(BI20="P",BK20,IF(BI23="P",BK23,""))),"")</f>
        <v/>
      </c>
      <c r="BT107" s="181" t="b">
        <f>IF(Llave&lt;128,"",IF(Llave=128,IF(OR(BK20="Bye",BK23="Bye"),"",IF(BI20="P",BJ20,IF(BI23="P",BJ23,"")))))</f>
        <v>0</v>
      </c>
      <c r="BV107"/>
    </row>
    <row r="108" spans="2:74" x14ac:dyDescent="0.3">
      <c r="B108" s="192"/>
      <c r="C108" s="192"/>
      <c r="D108" s="192"/>
      <c r="E108" s="192"/>
      <c r="F108" s="192"/>
      <c r="G108" s="192"/>
      <c r="H108" s="192"/>
      <c r="I108" s="192"/>
      <c r="J108" s="192"/>
      <c r="K108" s="192"/>
      <c r="L108" s="192"/>
      <c r="M108" s="181"/>
      <c r="N108" s="413" t="str">
        <f>IF(Llave="","",N84+1)</f>
        <v/>
      </c>
      <c r="O108" s="413" t="s">
        <v>170</v>
      </c>
      <c r="P108" s="415" t="str">
        <f>IF(OR(M102="",M115=""),"",IF(OR(M102="Bye",M115="Bye"),0,IF(AND(Q102="",Q115=""),"",IF(AND(Q102="G",Q115="P"),IF(M103&gt;=M114,VLOOKUP(ABS(M103-M114),Point_dif,2,TRUE),VLOOKUP(ABS(M103-M114),Point_dif,3,TRUE)),IF(AND(Q102="P",Q115="G"),IF(M114&gt;=M103,VLOOKUP(ABS(M103-M114),Point_dif,2,TRUE),VLOOKUP(ABS(M103-M114),Point_dif,3,TRUE)))))))</f>
        <v/>
      </c>
      <c r="Q108" s="416" t="str">
        <f>IF(AND(Q102="",Q115=""),"",IF(AND(Q102="G",Q115="P"),M102,IF(AND(Q115="G",Q102="P"),M115,"Corregir ganador y perdedor")))</f>
        <v/>
      </c>
      <c r="R108" s="417"/>
      <c r="S108" s="417"/>
      <c r="T108" s="417"/>
      <c r="U108" s="167"/>
      <c r="V108" s="192"/>
      <c r="W108" s="192"/>
      <c r="X108" s="192"/>
      <c r="Y108" s="192"/>
      <c r="Z108" s="192"/>
      <c r="AA108" s="192"/>
      <c r="AB108" s="287"/>
      <c r="AC108" s="192"/>
      <c r="AD108" s="192"/>
      <c r="AE108" s="192"/>
      <c r="AF108" s="192"/>
      <c r="AG108" s="192"/>
      <c r="AH108" s="192"/>
      <c r="AI108" s="192"/>
      <c r="AJ108" s="192"/>
      <c r="AK108" s="192"/>
      <c r="AL108" s="192"/>
      <c r="AM108" s="192"/>
      <c r="AN108" s="192"/>
      <c r="AO108" s="289"/>
      <c r="AP108" s="192"/>
      <c r="AQ108" s="192"/>
      <c r="AR108" s="192"/>
      <c r="AS108" s="192"/>
      <c r="AT108" s="192"/>
      <c r="AU108" s="192"/>
      <c r="AV108" s="167"/>
      <c r="AW108" s="416" t="str">
        <f>IF(AND(AZ102="",AZ115=""),"",IF(AND(AZ102="G",AZ115="P"),BA102,IF(AND(AZ115="G",AZ102="P"),BA115,"Corregir ganador y perdedor")))</f>
        <v/>
      </c>
      <c r="AX108" s="417"/>
      <c r="AY108" s="417"/>
      <c r="AZ108" s="417"/>
      <c r="BA108" s="424" t="str">
        <f>IF(OR(BA102="",BA115=""),"",IF(OR(BA102="Bye",BA115="Bye"),0,IF(AND(AZ102="",AZ115=""),"",IF(AND(AZ102="G",AZ115="P"),IF(BD103&gt;=BD114,VLOOKUP(ABS(BD103-BD114),Point_dif,2,TRUE),VLOOKUP(ABS(BD103-BD114),Point_dif,3,TRUE)),IF(AND(AZ102="P",AZ115="G"),IF(BD114&gt;=BD103,VLOOKUP(ABS(BD103-BD114),Point_dif,2,TRUE),VLOOKUP(ABS(BD103-BD114),Point_dif,3,TRUE)))))))</f>
        <v/>
      </c>
      <c r="BB108" s="421" t="s">
        <v>170</v>
      </c>
      <c r="BC108" s="413" t="str">
        <f>IF(Llave=128,BC84+1,"")</f>
        <v/>
      </c>
      <c r="BD108" s="181"/>
      <c r="BE108" s="192"/>
      <c r="BF108" s="192"/>
      <c r="BG108" s="192"/>
      <c r="BH108" s="192"/>
      <c r="BI108" s="192"/>
      <c r="BJ108" s="192"/>
      <c r="BK108" s="192"/>
      <c r="BL108" s="192"/>
      <c r="BM108" s="192"/>
      <c r="BN108" s="192"/>
      <c r="BO108" s="192"/>
      <c r="BP108" s="181"/>
      <c r="BQ108" s="181">
        <f>IF(BS108="Bye",1,MAX(BQ$8:BQ107)+1)</f>
        <v>101</v>
      </c>
      <c r="BR108" s="314" t="str">
        <f t="shared" si="4"/>
        <v/>
      </c>
      <c r="BS108" s="181" t="str">
        <f>IF(Llave=128,IF(OR(BK26="Bye",BK29="Bye"),"Bye",IF(BI26="P",BK26,IF(BI29="P",BK29,""))),"")</f>
        <v/>
      </c>
      <c r="BT108" s="181" t="b">
        <f>IF(Llave&lt;128,"",IF(Llave=128,IF(OR(BK26="Bye",BK29="Bye"),"",IF(BI26="P",BJ26,IF(BI29="P",BJ29,"")))))</f>
        <v>0</v>
      </c>
    </row>
    <row r="109" spans="2:74" x14ac:dyDescent="0.3">
      <c r="B109" s="192"/>
      <c r="C109" s="192"/>
      <c r="D109" s="192"/>
      <c r="E109" s="192"/>
      <c r="F109" s="192"/>
      <c r="G109" s="272" t="s">
        <v>245</v>
      </c>
      <c r="H109" s="192"/>
      <c r="I109" s="192"/>
      <c r="J109" s="192"/>
      <c r="K109" s="192"/>
      <c r="L109" s="192"/>
      <c r="M109" s="181"/>
      <c r="N109" s="413"/>
      <c r="O109" s="413"/>
      <c r="P109" s="415"/>
      <c r="Q109" s="283" t="str">
        <f>IF(Q108=M102,M103,IF(Q108=M115,M114,""))</f>
        <v/>
      </c>
      <c r="R109" s="423" t="str">
        <f>IF(ISNUMBER(Q109),VLOOKUP(Q108,Siembra,2,FALSE),"")</f>
        <v/>
      </c>
      <c r="S109" s="423"/>
      <c r="T109" s="278" t="str">
        <f>IF(Q108="","",IF(U108="G",IF(Q108=M102,P103+T120,P114+T120),IF(U108="P",IF(Q108=M102,P103-T120,P114-T120),"")))</f>
        <v/>
      </c>
      <c r="U109" s="192"/>
      <c r="V109" s="192"/>
      <c r="W109" s="192"/>
      <c r="X109" s="192"/>
      <c r="Y109" s="192"/>
      <c r="Z109" s="192"/>
      <c r="AA109" s="192"/>
      <c r="AB109" s="287"/>
      <c r="AC109" s="192"/>
      <c r="AD109" s="192"/>
      <c r="AE109" s="192"/>
      <c r="AF109" s="192"/>
      <c r="AG109" s="192"/>
      <c r="AH109" s="192"/>
      <c r="AI109" s="192"/>
      <c r="AJ109" s="192"/>
      <c r="AK109" s="192"/>
      <c r="AL109" s="192"/>
      <c r="AM109" s="192"/>
      <c r="AN109" s="192"/>
      <c r="AO109" s="289"/>
      <c r="AP109" s="192"/>
      <c r="AQ109" s="192"/>
      <c r="AR109" s="192"/>
      <c r="AS109" s="192"/>
      <c r="AT109" s="192"/>
      <c r="AU109" s="192"/>
      <c r="AV109" s="192"/>
      <c r="AW109" s="279" t="str">
        <f>IF(AW108="","",IF(AV108="G",IF(AW108=BA102,BA103+AW120,BA114+AW120),IF(AV108="P",IF(AW108=BA102,BA103-AW120,BA114-AW120),"")))</f>
        <v/>
      </c>
      <c r="AX109" s="423" t="str">
        <f>IF(ISNUMBER(AW109),VLOOKUP(AW108,Siembra,2,FALSE),"")</f>
        <v/>
      </c>
      <c r="AY109" s="423"/>
      <c r="AZ109" s="285" t="str">
        <f>IF(AW108=BA102,BD103,IF(AW108=BA115,BD114,""))</f>
        <v/>
      </c>
      <c r="BA109" s="424"/>
      <c r="BB109" s="421"/>
      <c r="BC109" s="413"/>
      <c r="BD109" s="181"/>
      <c r="BE109" s="274" t="s">
        <v>246</v>
      </c>
      <c r="BF109" s="192"/>
      <c r="BG109" s="192"/>
      <c r="BH109" s="192"/>
      <c r="BI109" s="273"/>
      <c r="BJ109" s="274" t="s">
        <v>247</v>
      </c>
      <c r="BK109" s="192"/>
      <c r="BL109" s="192"/>
      <c r="BM109" s="192"/>
      <c r="BN109" s="192"/>
      <c r="BO109" s="192"/>
      <c r="BP109" s="181"/>
      <c r="BQ109" s="181">
        <f>IF(BS109="Bye",1,MAX(BQ$8:BQ108)+1)</f>
        <v>102</v>
      </c>
      <c r="BR109" s="314" t="str">
        <f t="shared" si="4"/>
        <v/>
      </c>
      <c r="BS109" s="181" t="str">
        <f>IF(Llave=128,IF(OR(BK32="Bye",BK35="Bye"),"Bye",IF(BI32="P",BK32,IF(BI35="P",BK35,""))),"")</f>
        <v/>
      </c>
      <c r="BT109" s="181" t="b">
        <f>IF(Llave&lt;128,"",IF(Llave=128,IF(OR(BK32="Bye",BK35="Bye"),"",IF(BI32="P",BJ32,IF(BI35="P",BJ35,"")))))</f>
        <v>0</v>
      </c>
    </row>
    <row r="110" spans="2:74" x14ac:dyDescent="0.3">
      <c r="B110" s="192">
        <f>B107+1</f>
        <v>37</v>
      </c>
      <c r="C110" s="192" t="str">
        <f>IF(Llave="","",IF(Llave&gt;1,IF(OR(Plyrs_val=Tot_Jug,Groups*2=Plyrs_val),HLOOKUP(Plyrs_val,Knockout,B110+1,FALSE)),""))</f>
        <v/>
      </c>
      <c r="D110" s="411" t="str">
        <f>IF(Llave="","",IF(Llave&gt;1,IF(C110="Bye","Bye",IF(OR(Plyrs_val=Tot_Jug,Groups*2=Plyrs_val),VLOOKUP(C110,Dist_Llav,4,FALSE),"")),""))</f>
        <v/>
      </c>
      <c r="E110" s="411"/>
      <c r="F110" s="411"/>
      <c r="G110" s="192" t="str">
        <f>IF(D110="","",IF(D110="Bye",0,IF(D113="Bye",E111,IF(H110="G",E111+G111,IF(H110="P",E111-G111,"")))))</f>
        <v/>
      </c>
      <c r="H110" s="166"/>
      <c r="I110" s="192"/>
      <c r="J110" s="192"/>
      <c r="K110" s="192"/>
      <c r="L110" s="277" t="s">
        <v>248</v>
      </c>
      <c r="M110" s="192"/>
      <c r="N110" s="192"/>
      <c r="O110" s="192"/>
      <c r="P110" s="287"/>
      <c r="Q110" s="192"/>
      <c r="R110" s="192"/>
      <c r="S110" s="192"/>
      <c r="T110" s="287"/>
      <c r="U110" s="192"/>
      <c r="V110" s="192"/>
      <c r="W110" s="192"/>
      <c r="X110" s="192"/>
      <c r="Y110" s="192"/>
      <c r="Z110" s="192"/>
      <c r="AA110" s="192"/>
      <c r="AB110" s="287"/>
      <c r="AC110" s="192"/>
      <c r="AD110" s="192"/>
      <c r="AE110" s="192"/>
      <c r="AF110" s="192"/>
      <c r="AG110" s="192"/>
      <c r="AH110" s="192"/>
      <c r="AI110" s="192"/>
      <c r="AJ110" s="192"/>
      <c r="AK110" s="192"/>
      <c r="AL110" s="192"/>
      <c r="AM110" s="192"/>
      <c r="AN110" s="192"/>
      <c r="AO110" s="289"/>
      <c r="AP110" s="192"/>
      <c r="AQ110" s="192"/>
      <c r="AR110" s="192"/>
      <c r="AS110" s="192"/>
      <c r="AT110" s="192"/>
      <c r="AU110" s="192"/>
      <c r="AV110" s="192"/>
      <c r="AW110" s="289"/>
      <c r="AX110" s="192"/>
      <c r="AY110" s="192"/>
      <c r="AZ110" s="192"/>
      <c r="BA110" s="289"/>
      <c r="BB110" s="192"/>
      <c r="BC110" s="192"/>
      <c r="BD110" s="192"/>
      <c r="BE110" s="192"/>
      <c r="BF110" s="192"/>
      <c r="BG110" s="192"/>
      <c r="BH110" s="192"/>
      <c r="BI110" s="166"/>
      <c r="BJ110" s="192" t="str">
        <f>IF(BK110="","",IF(BK110="Bye",0,IF(BK113="Bye",BL111,IF(BI110="G",BL111+BJ111,IF(BI110="P",BL111-BJ111,"")))))</f>
        <v/>
      </c>
      <c r="BK110" s="411" t="str">
        <f>IF(Llave="","",IF(Llave&gt;1,IF(BN110="Bye","Bye",IF(OR(Plyrs_val=Tot_Jug,Groups*2=Plyrs_val),VLOOKUP(BN110,Dist_Llav,4,FALSE),"")),""))</f>
        <v/>
      </c>
      <c r="BL110" s="411"/>
      <c r="BM110" s="411"/>
      <c r="BN110" s="229" t="str">
        <f>IF(Llave=128,IF(OR(Plyrs_val=Tot_Jug,Groups*2=Plyrs_val),HLOOKUP(Plyrs_val,Knockout,BO110+1,FALSE)),"")</f>
        <v/>
      </c>
      <c r="BO110" s="229">
        <f>BO107+1</f>
        <v>101</v>
      </c>
      <c r="BP110" s="181"/>
      <c r="BQ110" s="181">
        <f>IF(BS110="Bye",1,MAX(BQ$8:BQ109)+1)</f>
        <v>103</v>
      </c>
      <c r="BR110" s="314" t="str">
        <f t="shared" si="4"/>
        <v/>
      </c>
      <c r="BS110" s="181" t="str">
        <f>IF(Llave=128,IF(OR(BK38="Bye",BK41="Bye"),"Bye",IF(BI38="P",BK38,IF(BI41="P",BK41,""))),"")</f>
        <v/>
      </c>
      <c r="BT110" s="181" t="b">
        <f>IF(Llave&lt;128,"",IF(Llave=128,IF(OR(BK38="Bye",BK41="Bye"),"",IF(BI38="P",BJ38,IF(BI41="P",BJ41,"")))))</f>
        <v>0</v>
      </c>
    </row>
    <row r="111" spans="2:74" x14ac:dyDescent="0.3">
      <c r="B111" s="413" t="str">
        <f>IF(Llave="","",B105+1)</f>
        <v/>
      </c>
      <c r="C111" s="192"/>
      <c r="D111" s="229" t="str">
        <f>IF(D110="","",IF(ISTEXT(D110),IF(D110="","",IF(D110="Bye",0,VLOOKUP(D110,Rank_Points,3,FALSE)))))</f>
        <v/>
      </c>
      <c r="E111" s="192" t="str">
        <f>IF(D110&lt;&gt;"",IF(D110="","",IF(D110="BYE",0,IF(ISTEXT(D110),VLOOKUP(C110,Dist_Llav,6,FALSE),""))),"")</f>
        <v/>
      </c>
      <c r="F111" s="414" t="s">
        <v>170</v>
      </c>
      <c r="G111" s="418" t="str">
        <f>IF(OR(D110="",D113=""),"",IF(OR(D110="Bye",D113="Bye"),0,IF(AND(H110="",H113=""),"",IF(AND(H110="G",H113="P"),IF(D111&gt;=D112,VLOOKUP(ABS(D111-D112),Point_dif,2,TRUE),VLOOKUP(ABS(D111-D112),Point_dif,3,TRUE)),IF(AND(H110="P",H113="G"),IF(D112&gt;=D111,VLOOKUP(ABS(D111-D112),Point_dif,2,TRUE),VLOOKUP(ABS(D111-D112),Point_dif,3,TRUE)))))))</f>
        <v/>
      </c>
      <c r="H111" s="278"/>
      <c r="I111" s="416" t="str">
        <f>IF(D110="Bye",D113,IF(D113="Bye",D110,IF(AND(H110="",H113=""),"",IF(AND(H110="G",H113="P"),D110,IF(AND(H113="G",H110="P"),D113,"Corregir ganador y perdedor")))))</f>
        <v/>
      </c>
      <c r="J111" s="417"/>
      <c r="K111" s="417"/>
      <c r="L111" s="417"/>
      <c r="M111" s="167"/>
      <c r="N111" s="192"/>
      <c r="O111" s="192"/>
      <c r="P111" s="287"/>
      <c r="Q111" s="192"/>
      <c r="R111" s="192"/>
      <c r="S111" s="192"/>
      <c r="T111" s="287"/>
      <c r="U111" s="192"/>
      <c r="V111" s="192"/>
      <c r="W111" s="192"/>
      <c r="X111" s="192"/>
      <c r="Y111" s="192"/>
      <c r="Z111" s="192"/>
      <c r="AA111" s="192"/>
      <c r="AB111" s="287"/>
      <c r="AC111" s="192"/>
      <c r="AD111" s="192"/>
      <c r="AE111" s="192"/>
      <c r="AF111" s="192"/>
      <c r="AG111" s="192"/>
      <c r="AH111" s="192"/>
      <c r="AI111" s="192"/>
      <c r="AJ111" s="192"/>
      <c r="AK111" s="192"/>
      <c r="AL111" s="192"/>
      <c r="AM111" s="192"/>
      <c r="AN111" s="192"/>
      <c r="AO111" s="289"/>
      <c r="AP111" s="192"/>
      <c r="AQ111" s="192"/>
      <c r="AR111" s="192"/>
      <c r="AS111" s="192"/>
      <c r="AT111" s="192"/>
      <c r="AU111" s="192"/>
      <c r="AV111" s="192"/>
      <c r="AW111" s="289"/>
      <c r="AX111" s="192"/>
      <c r="AY111" s="192"/>
      <c r="AZ111" s="192"/>
      <c r="BA111" s="289"/>
      <c r="BB111" s="192"/>
      <c r="BC111" s="192"/>
      <c r="BD111" s="166"/>
      <c r="BE111" s="416" t="str">
        <f>IF(BK113="Bye",BK110,IF(BK110="Bye",BK113,IF(AND(BI110="",BI113=""),"",IF(AND(BI110="G",BI113="P"),BK110,IF(AND(BI113="G",BI110="P"),BK113,"Corregir ganador y perdedor")))))</f>
        <v/>
      </c>
      <c r="BF111" s="417"/>
      <c r="BG111" s="417"/>
      <c r="BH111" s="417"/>
      <c r="BI111" s="279"/>
      <c r="BJ111" s="418" t="str">
        <f>IF(OR(BK110="",BK113=""),"",IF(OR(BK110="Bye",BK113="Bye"),0,IF(AND(BI110="",BI113=""),"",IF(AND(BI110="G",BI113="P"),IF(BM111&gt;=BM112,VLOOKUP(ABS(BM111-BM112),Point_dif,2,TRUE),VLOOKUP(ABS(BM111-BM112),Point_dif,3,TRUE)),IF(AND(BI110="P",BI113="G"),IF(BM112&gt;=BM111,VLOOKUP(ABS(BM111-BM112),Point_dif,2,TRUE),VLOOKUP(ABS(BM111-BM112),Point_dif,3,TRUE)))))))</f>
        <v/>
      </c>
      <c r="BK111" s="420" t="s">
        <v>170</v>
      </c>
      <c r="BL111" s="229" t="str">
        <f>IF(BK110&lt;&gt;"",IF(BK110="","",IF(BK110="BYE",0,IF(ISTEXT(BK110),VLOOKUP(BN110,Dist_Llav,6,FALSE),""))),"")</f>
        <v/>
      </c>
      <c r="BM111" s="280" t="str">
        <f>IF(BK110="","",IF(ISTEXT(BK110),IF(BK110="","",IF(BK110="Bye",0,VLOOKUP(BK110,Rank_Points,3,FALSE)))))</f>
        <v/>
      </c>
      <c r="BN111" s="422"/>
      <c r="BO111" s="422" t="str">
        <f>IF(Llave=128,BO105+1,"")</f>
        <v/>
      </c>
      <c r="BP111" s="181"/>
      <c r="BQ111" s="181">
        <f>IF(BS111="Bye",1,MAX(BQ$8:BQ110)+1)</f>
        <v>104</v>
      </c>
      <c r="BR111" s="314" t="str">
        <f t="shared" si="4"/>
        <v/>
      </c>
      <c r="BS111" s="181" t="str">
        <f>IF(Llave=128,IF(OR(BK44="Bye",BK47="Bye"),"Bye",IF(BI44="P",BK44,IF(BI47="P",BK47,""))),"")</f>
        <v/>
      </c>
      <c r="BT111" s="181" t="b">
        <f>IF(Llave&lt;128,"",IF(Llave=128,IF(OR(BK44="Bye",BK47="Bye"),"",IF(BI44="P",BJ44,IF(BI47="P",BJ47,"")))))</f>
        <v>0</v>
      </c>
    </row>
    <row r="112" spans="2:74" x14ac:dyDescent="0.3">
      <c r="B112" s="413"/>
      <c r="C112" s="192"/>
      <c r="D112" s="229" t="str">
        <f>IF(D113="","",IF(ISTEXT(D113),IF(D113="","",IF(D113="Bye",0,VLOOKUP(D113,Rank_Points,3,FALSE)))))</f>
        <v/>
      </c>
      <c r="E112" s="192" t="str">
        <f>IF(D113&lt;&gt;"",IF(D113="","",IF(D113="BYE",0,IF(ISTEXT(D113),VLOOKUP(C113,Dist_Llav,6,FALSE),""))),"")</f>
        <v/>
      </c>
      <c r="F112" s="414"/>
      <c r="G112" s="419"/>
      <c r="H112" s="282"/>
      <c r="I112" s="283" t="str">
        <f>IF(I111=D110,D111,IF(I111=D113,D112,""))</f>
        <v/>
      </c>
      <c r="J112" s="423" t="str">
        <f>IF(ISNUMBER(I112),VLOOKUP(I111,Siembra,2,FALSE),"")</f>
        <v/>
      </c>
      <c r="K112" s="423"/>
      <c r="L112" s="278" t="str">
        <f>IF(I111="","",IF(M111="G",IF(I111=D110,G110+L114,G113+L114),IF(M111="P",IF(I111=D110,G110-L114,G113-L114),"")))</f>
        <v/>
      </c>
      <c r="M112" s="192"/>
      <c r="N112" s="192"/>
      <c r="O112" s="192"/>
      <c r="P112" s="287"/>
      <c r="Q112" s="192"/>
      <c r="R112" s="192"/>
      <c r="S112" s="192"/>
      <c r="T112" s="287"/>
      <c r="U112" s="192"/>
      <c r="V112" s="192"/>
      <c r="W112" s="192"/>
      <c r="X112" s="192"/>
      <c r="Y112" s="192"/>
      <c r="Z112" s="192"/>
      <c r="AA112" s="192"/>
      <c r="AB112" s="287"/>
      <c r="AC112" s="192"/>
      <c r="AD112" s="192"/>
      <c r="AE112" s="192"/>
      <c r="AF112" s="192"/>
      <c r="AG112" s="192"/>
      <c r="AH112" s="192"/>
      <c r="AI112" s="192"/>
      <c r="AJ112" s="192"/>
      <c r="AK112" s="192"/>
      <c r="AL112" s="192"/>
      <c r="AM112" s="192"/>
      <c r="AN112" s="192"/>
      <c r="AO112" s="289"/>
      <c r="AP112" s="192"/>
      <c r="AQ112" s="192"/>
      <c r="AR112" s="192"/>
      <c r="AS112" s="192"/>
      <c r="AT112" s="192"/>
      <c r="AU112" s="192"/>
      <c r="AV112" s="192"/>
      <c r="AW112" s="289"/>
      <c r="AX112" s="192"/>
      <c r="AY112" s="192"/>
      <c r="AZ112" s="192"/>
      <c r="BA112" s="289"/>
      <c r="BB112" s="192"/>
      <c r="BC112" s="192"/>
      <c r="BD112" s="192"/>
      <c r="BE112" s="279" t="str">
        <f>IF(BE111="","",IF(BD111="G",IF(BE111=BK110,BJ110+BE114,BJ113+BE114),IF(BD111="P",IF(BE111=BK110,BJ110-BE114,BJ113-BE114),"")))</f>
        <v/>
      </c>
      <c r="BF112" s="423" t="str">
        <f>IF(ISNUMBER(BE112),VLOOKUP(BE111,Siembra,2,FALSE),"")</f>
        <v/>
      </c>
      <c r="BG112" s="423"/>
      <c r="BH112" s="285" t="str">
        <f>IF(BE111=BK110,BM111,IF(BE111=BK113,BM112,""))</f>
        <v/>
      </c>
      <c r="BI112" s="286"/>
      <c r="BJ112" s="419"/>
      <c r="BK112" s="421"/>
      <c r="BL112" s="229" t="str">
        <f>IF(BK113&lt;&gt;"",IF(BK113="","",IF(BK113="BYE",0,IF(ISTEXT(BK113),VLOOKUP(BN113,Dist_Llav,6,FALSE),""))),"")</f>
        <v/>
      </c>
      <c r="BM112" s="280" t="str">
        <f>IF(BK113="","",IF(ISTEXT(BK113),IF(BK113="","",IF(BK113="Bye",0,VLOOKUP(BK113,Rank_Points,3,FALSE)))))</f>
        <v/>
      </c>
      <c r="BN112" s="422"/>
      <c r="BO112" s="422"/>
      <c r="BP112" s="181"/>
      <c r="BQ112" s="181">
        <f>IF(BS112="Bye",1,MAX(BQ$8:BQ111)+1)</f>
        <v>105</v>
      </c>
      <c r="BR112" s="314" t="str">
        <f t="shared" si="4"/>
        <v/>
      </c>
      <c r="BS112" s="181" t="str">
        <f>IF(Llave=128,IF(OR(BK50="Bye",BK53="Bye"),"Bye",IF(BI50="P",BK50,IF(BI53="P",BK53,""))),"")</f>
        <v/>
      </c>
      <c r="BT112" s="181" t="b">
        <f>IF(Llave&lt;128,"",IF(Llave=128,IF(OR(BK50="Bye",BK53="Bye"),"",IF(BI50="P",BJ50,IF(BI53="P",BJ53,"")))))</f>
        <v>0</v>
      </c>
    </row>
    <row r="113" spans="2:74" x14ac:dyDescent="0.3">
      <c r="B113" s="192">
        <f>B110+1</f>
        <v>38</v>
      </c>
      <c r="C113" s="192" t="str">
        <f>IF(Llave="","",IF(Llave&gt;1,IF(OR(Plyrs_val=Tot_Jug,Groups*2=Plyrs_val),HLOOKUP(Plyrs_val,Knockout,B113+1,FALSE)),""))</f>
        <v/>
      </c>
      <c r="D113" s="412" t="str">
        <f>IF(Llave="","",IF(Llave&gt;1,IF(C113="Bye","Bye",IF(OR(Plyrs_val=Tot_Jug,Groups*2=Plyrs_val),VLOOKUP(C113,Dist_Llav,4,FALSE),"")),""))</f>
        <v/>
      </c>
      <c r="E113" s="412"/>
      <c r="F113" s="412"/>
      <c r="G113" s="192" t="str">
        <f>IF(D113="","",IF(D113="Bye",0,IF(D110="Bye",E112,IF(H113="G",E112+G111,IF(H113="P",E112-G111,"")))))</f>
        <v/>
      </c>
      <c r="H113" s="166"/>
      <c r="I113" s="192"/>
      <c r="J113" s="192"/>
      <c r="K113" s="192"/>
      <c r="L113" s="287"/>
      <c r="M113" s="192"/>
      <c r="N113" s="192"/>
      <c r="O113" s="192"/>
      <c r="P113" s="287"/>
      <c r="Q113" s="192"/>
      <c r="R113" s="192"/>
      <c r="S113" s="192"/>
      <c r="T113" s="287"/>
      <c r="U113" s="192"/>
      <c r="V113" s="192"/>
      <c r="W113" s="192"/>
      <c r="X113" s="192"/>
      <c r="Y113" s="192"/>
      <c r="Z113" s="192"/>
      <c r="AA113" s="192"/>
      <c r="AB113" s="287"/>
      <c r="AC113" s="192"/>
      <c r="AD113" s="192"/>
      <c r="AE113" s="192"/>
      <c r="AF113" s="192"/>
      <c r="AG113" s="192"/>
      <c r="AH113" s="192"/>
      <c r="AI113" s="192"/>
      <c r="AJ113" s="192"/>
      <c r="AK113" s="192"/>
      <c r="AL113" s="192"/>
      <c r="AM113" s="192"/>
      <c r="AN113" s="192"/>
      <c r="AO113" s="289"/>
      <c r="AP113" s="192"/>
      <c r="AQ113" s="192"/>
      <c r="AR113" s="192"/>
      <c r="AS113" s="192"/>
      <c r="AT113" s="192"/>
      <c r="AU113" s="192"/>
      <c r="AV113" s="192"/>
      <c r="AW113" s="289"/>
      <c r="AX113" s="192"/>
      <c r="AY113" s="192"/>
      <c r="AZ113" s="192"/>
      <c r="BA113" s="289"/>
      <c r="BB113" s="192"/>
      <c r="BC113" s="192"/>
      <c r="BD113" s="192"/>
      <c r="BE113" s="289"/>
      <c r="BF113" s="192"/>
      <c r="BG113" s="192"/>
      <c r="BH113" s="192"/>
      <c r="BI113" s="166"/>
      <c r="BJ113" s="284" t="str">
        <f>IF(BK113="","",IF(BK113="Bye",0,IF(BK110="Bye",BL112,IF(BI113="G",BL112+BJ111,IF(BI113="P",BL112-BJ111,"")))))</f>
        <v/>
      </c>
      <c r="BK113" s="412" t="str">
        <f>IF(Llave="","",IF(Llave&gt;1,IF(BN113="Bye","Bye",IF(OR(Plyrs_val=Tot_Jug,Groups*2=Plyrs_val),VLOOKUP(BN113,Dist_Llav,4,FALSE),"")),""))</f>
        <v/>
      </c>
      <c r="BL113" s="412"/>
      <c r="BM113" s="412"/>
      <c r="BN113" s="229" t="str">
        <f>IF(Llave=128,IF(OR(Plyrs_val=Tot_Jug,Groups*2=Plyrs_val),HLOOKUP(Plyrs_val,Knockout,BO113+1,FALSE)),"")</f>
        <v/>
      </c>
      <c r="BO113" s="229">
        <f>BO110+1</f>
        <v>102</v>
      </c>
      <c r="BP113" s="181"/>
      <c r="BQ113" s="181">
        <f>IF(BS113="Bye",1,MAX(BQ$8:BQ112)+1)</f>
        <v>106</v>
      </c>
      <c r="BR113" s="314" t="str">
        <f t="shared" si="4"/>
        <v/>
      </c>
      <c r="BS113" s="181" t="str">
        <f>IF(Llave=128,IF(OR(BK56="Bye",BK59="Bye"),"Bye",IF(BI56="P",BK56,IF(BI59="P",BK59,""))),"")</f>
        <v/>
      </c>
      <c r="BT113" s="181" t="b">
        <f>IF(Llave&lt;128,"",IF(Llave=128,IF(OR(BK56="Bye",BK59="Bye"),"",IF(BI56="P",BJ56,IF(BI59="P",BJ59,"")))))</f>
        <v>0</v>
      </c>
    </row>
    <row r="114" spans="2:74" x14ac:dyDescent="0.3">
      <c r="B114" s="192"/>
      <c r="C114" s="192"/>
      <c r="D114" s="192"/>
      <c r="E114" s="192"/>
      <c r="F114" s="192"/>
      <c r="G114" s="192"/>
      <c r="H114" s="192"/>
      <c r="I114" s="413" t="str">
        <f>IF(Llave="","",I102+1)</f>
        <v/>
      </c>
      <c r="J114" s="192"/>
      <c r="K114" s="414" t="s">
        <v>170</v>
      </c>
      <c r="L114" s="415" t="str">
        <f>IF(OR(I111="",I118=""),"",IF(OR(I111="Bye",I118="Bye"),0,IF(AND(M111="",M118=""),"",IF(AND(M111="G",M118="P"),IF(I112&gt;=I117,VLOOKUP(ABS(I112-I117),Point_dif,2,TRUE),VLOOKUP(ABS(I112-I117),Point_dif,3,TRUE)),IF(AND(M111="P",M118="G"),IF(I117&gt;=I112,VLOOKUP(ABS(I112-I117),Point_dif,2,TRUE),VLOOKUP(ABS(I112-I117),Point_dif,3,TRUE)))))))</f>
        <v/>
      </c>
      <c r="M114" s="275" t="str">
        <f>IF(M115=I111,I112,IF(M115=I118,I117,""))</f>
        <v/>
      </c>
      <c r="N114" s="417" t="str">
        <f>IF(ISNUMBER(M114),VLOOKUP(M115,Siembra,2,FALSE),"")</f>
        <v/>
      </c>
      <c r="O114" s="417"/>
      <c r="P114" s="282" t="str">
        <f>IF(M115="","",IF(Q115="G",IF(M115=I111,L112+P108,L117+P108),IF(Q115="P",IF(M115=I111,L112-P108,L117-P108),"")))</f>
        <v/>
      </c>
      <c r="Q114" s="192"/>
      <c r="R114" s="192"/>
      <c r="S114" s="192"/>
      <c r="T114" s="287"/>
      <c r="U114" s="192"/>
      <c r="V114" s="192"/>
      <c r="W114" s="192"/>
      <c r="X114" s="192"/>
      <c r="Y114" s="192"/>
      <c r="Z114" s="192"/>
      <c r="AA114" s="192"/>
      <c r="AB114" s="287"/>
      <c r="AC114" s="192"/>
      <c r="AD114" s="192"/>
      <c r="AE114" s="192"/>
      <c r="AF114" s="192"/>
      <c r="AG114" s="192"/>
      <c r="AH114" s="192"/>
      <c r="AI114" s="192"/>
      <c r="AJ114" s="192"/>
      <c r="AK114" s="192"/>
      <c r="AL114" s="192"/>
      <c r="AM114" s="192"/>
      <c r="AN114" s="192"/>
      <c r="AO114" s="289"/>
      <c r="AP114" s="192"/>
      <c r="AQ114" s="192"/>
      <c r="AR114" s="192"/>
      <c r="AS114" s="192"/>
      <c r="AT114" s="192"/>
      <c r="AU114" s="192"/>
      <c r="AV114" s="192"/>
      <c r="AW114" s="289"/>
      <c r="AX114" s="192"/>
      <c r="AY114" s="192"/>
      <c r="AZ114" s="192"/>
      <c r="BA114" s="286" t="str">
        <f>IF(BE111="","",IF(AZ115="G",IF(BA115=BE111,BE112+BA108,BE117+BA108),IF(AZ115="P",IF(BA115=BE111,BE112-BA108,BE117-BA108),"")))</f>
        <v/>
      </c>
      <c r="BB114" s="417" t="str">
        <f>IF(ISNUMBER(BA114),VLOOKUP(BA115,Siembra,2,FALSE),"")</f>
        <v/>
      </c>
      <c r="BC114" s="417"/>
      <c r="BD114" s="282" t="str">
        <f>IF(BA115=BE111,BH112,IF(BA115=BE118,BH117,""))</f>
        <v/>
      </c>
      <c r="BE114" s="424" t="str">
        <f>IF(OR(BE111="",BE118=""),"",IF(OR(BE111="Bye",BE118="Bye"),0,IF(AND(BD111="",BD118=""),"",IF(AND(BD111="G",BD118="P"),IF(BH112&gt;=BH117,VLOOKUP(ABS(BH112-BH117),Point_dif,2,TRUE),VLOOKUP(ABS(BH112-BH117),Point_dif,3,TRUE)),IF(AND(BD111="P",BD118="G"),IF(BH117&gt;=BH112,VLOOKUP(ABS(BH112-BH117),Point_dif,2,TRUE),VLOOKUP(ABS(BH112-BH117),Point_dif,3,TRUE)))))))</f>
        <v/>
      </c>
      <c r="BF114" s="421" t="s">
        <v>170</v>
      </c>
      <c r="BG114" s="281"/>
      <c r="BH114" s="413" t="str">
        <f>IF(Llave=128,BH102+1,"")</f>
        <v/>
      </c>
      <c r="BI114" s="192"/>
      <c r="BJ114" s="192"/>
      <c r="BK114" s="192"/>
      <c r="BL114" s="192"/>
      <c r="BM114" s="192"/>
      <c r="BN114" s="192"/>
      <c r="BO114" s="192"/>
      <c r="BP114" s="181"/>
      <c r="BQ114" s="181">
        <f>IF(BS114="Bye",1,MAX(BQ$8:BQ113)+1)</f>
        <v>107</v>
      </c>
      <c r="BR114" s="314" t="str">
        <f t="shared" si="4"/>
        <v/>
      </c>
      <c r="BS114" s="181" t="str">
        <f>IF(Llave=128,IF(OR(BK62="Bye",BK65="Bye"),"Bye",IF(BI62="P",BK62,IF(BI65="P",BK65,""))),"")</f>
        <v/>
      </c>
      <c r="BT114" s="181" t="b">
        <f>IF(Llave&lt;128,"",IF(Llave=128,IF(OR(BK62="Bye",BK65="Bye"),"",IF(BI62="P",BJ62,IF(BI65="P",BJ65,"")))))</f>
        <v>0</v>
      </c>
    </row>
    <row r="115" spans="2:74" x14ac:dyDescent="0.3">
      <c r="B115" s="192"/>
      <c r="C115" s="192"/>
      <c r="D115" s="192"/>
      <c r="E115" s="192"/>
      <c r="F115" s="192"/>
      <c r="G115" s="272" t="s">
        <v>249</v>
      </c>
      <c r="H115" s="192"/>
      <c r="I115" s="413"/>
      <c r="J115" s="192"/>
      <c r="K115" s="414"/>
      <c r="L115" s="415"/>
      <c r="M115" s="425" t="str">
        <f>IF(AND(M111="",M118=""),"",IF(AND(M111="G",M118="P"),I111,IF(AND(M118="G",M111="P"),I118,"Corregir ganador y perdedor")))</f>
        <v/>
      </c>
      <c r="N115" s="423"/>
      <c r="O115" s="423"/>
      <c r="P115" s="423"/>
      <c r="Q115" s="167"/>
      <c r="R115" s="192"/>
      <c r="S115" s="192"/>
      <c r="T115" s="287"/>
      <c r="U115" s="192"/>
      <c r="V115" s="192"/>
      <c r="W115" s="192"/>
      <c r="X115" s="192"/>
      <c r="Y115" s="192"/>
      <c r="Z115" s="192"/>
      <c r="AA115" s="192"/>
      <c r="AB115" s="287"/>
      <c r="AC115" s="192"/>
      <c r="AD115" s="192"/>
      <c r="AE115" s="192"/>
      <c r="AF115" s="192"/>
      <c r="AG115" s="192"/>
      <c r="AH115" s="192"/>
      <c r="AI115" s="192"/>
      <c r="AJ115" s="192"/>
      <c r="AK115" s="192"/>
      <c r="AL115" s="192"/>
      <c r="AM115" s="192"/>
      <c r="AN115" s="192"/>
      <c r="AO115" s="289"/>
      <c r="AP115" s="192"/>
      <c r="AQ115" s="192"/>
      <c r="AR115" s="192"/>
      <c r="AS115" s="192"/>
      <c r="AT115" s="192"/>
      <c r="AU115" s="192"/>
      <c r="AV115" s="192"/>
      <c r="AW115" s="289"/>
      <c r="AX115" s="192"/>
      <c r="AY115" s="192"/>
      <c r="AZ115" s="166"/>
      <c r="BA115" s="423" t="str">
        <f>IF(AND(BD111="",BD118=""),"",IF(AND(BD111="G",BD118="P"),BE111,IF(AND(BD118="G",BD111="P"),BE118,"Corregir ganador y perdedor")))</f>
        <v/>
      </c>
      <c r="BB115" s="423"/>
      <c r="BC115" s="423"/>
      <c r="BD115" s="426"/>
      <c r="BE115" s="424"/>
      <c r="BF115" s="421"/>
      <c r="BG115" s="281"/>
      <c r="BH115" s="413"/>
      <c r="BI115" s="273"/>
      <c r="BJ115" s="274" t="s">
        <v>250</v>
      </c>
      <c r="BK115" s="192"/>
      <c r="BL115" s="192"/>
      <c r="BM115" s="192"/>
      <c r="BN115" s="192"/>
      <c r="BO115" s="192"/>
      <c r="BP115" s="181"/>
      <c r="BQ115" s="181">
        <f>IF(BS115="Bye",1,MAX(BQ$8:BQ114)+1)</f>
        <v>108</v>
      </c>
      <c r="BR115" s="314" t="str">
        <f t="shared" si="4"/>
        <v/>
      </c>
      <c r="BS115" s="181" t="str">
        <f>IF(Llave=128,IF(OR(BK68="Bye",BK71="Bye"),"Bye",IF(BI68="P",BK68,IF(BI71="P",BK71,""))),"")</f>
        <v/>
      </c>
      <c r="BT115" s="181" t="b">
        <f>IF(Llave&lt;128,"",IF(Llave=128,IF(OR(BK68="Bye",BK71="Bye"),"",IF(BI68="P",BJ68,IF(BI71="P",BJ71,"")))))</f>
        <v>0</v>
      </c>
    </row>
    <row r="116" spans="2:74" x14ac:dyDescent="0.3">
      <c r="B116" s="192">
        <f>B113+1</f>
        <v>39</v>
      </c>
      <c r="C116" s="192" t="str">
        <f>IF(Llave="","",IF(Llave&gt;1,IF(OR(Plyrs_val=Tot_Jug,Groups*2=Plyrs_val),HLOOKUP(Plyrs_val,Knockout,B116+1,FALSE)),""))</f>
        <v/>
      </c>
      <c r="D116" s="411" t="str">
        <f>IF(Llave="","",IF(Llave&gt;1,IF(C116="Bye","Bye",IF(OR(Plyrs_val=Tot_Jug,Groups*2=Plyrs_val),VLOOKUP(C116,Dist_Llav,4,FALSE),"")),""))</f>
        <v/>
      </c>
      <c r="E116" s="411"/>
      <c r="F116" s="411"/>
      <c r="G116" s="192" t="str">
        <f>IF(D116="","",IF(D116="Bye",0,IF(D119="Bye",E117,IF(H116="G",E117+G117,IF(H116="P",E117-G117,"")))))</f>
        <v/>
      </c>
      <c r="H116" s="166"/>
      <c r="I116" s="192"/>
      <c r="J116" s="192"/>
      <c r="K116" s="192"/>
      <c r="L116" s="287"/>
      <c r="M116" s="192"/>
      <c r="N116" s="192"/>
      <c r="O116" s="192"/>
      <c r="P116" s="192"/>
      <c r="Q116" s="192"/>
      <c r="R116" s="192"/>
      <c r="S116" s="192"/>
      <c r="T116" s="287"/>
      <c r="U116" s="192"/>
      <c r="V116" s="192"/>
      <c r="W116" s="192"/>
      <c r="X116" s="192"/>
      <c r="Y116" s="192"/>
      <c r="Z116" s="192"/>
      <c r="AA116" s="192"/>
      <c r="AB116" s="287"/>
      <c r="AC116" s="192"/>
      <c r="AD116" s="192"/>
      <c r="AE116" s="192"/>
      <c r="AF116" s="192"/>
      <c r="AG116" s="192"/>
      <c r="AH116" s="192"/>
      <c r="AI116" s="192"/>
      <c r="AJ116" s="192"/>
      <c r="AK116" s="192"/>
      <c r="AL116" s="192"/>
      <c r="AM116" s="192"/>
      <c r="AN116" s="192"/>
      <c r="AO116" s="289"/>
      <c r="AP116" s="192"/>
      <c r="AQ116" s="192"/>
      <c r="AR116" s="192"/>
      <c r="AS116" s="192"/>
      <c r="AT116" s="192"/>
      <c r="AU116" s="192"/>
      <c r="AV116" s="192"/>
      <c r="AW116" s="289"/>
      <c r="AX116" s="192"/>
      <c r="AY116" s="192"/>
      <c r="AZ116" s="192"/>
      <c r="BA116" s="192"/>
      <c r="BB116" s="192"/>
      <c r="BC116" s="192"/>
      <c r="BD116" s="192"/>
      <c r="BE116" s="289"/>
      <c r="BF116" s="192"/>
      <c r="BG116" s="192"/>
      <c r="BH116" s="192"/>
      <c r="BI116" s="166"/>
      <c r="BJ116" s="192" t="str">
        <f>IF(BK116="","",IF(BK116="Bye",0,IF(BK119="Bye",BL117,IF(BI116="G",BL117+BJ117,IF(BI116="P",BL117-BJ117,"")))))</f>
        <v/>
      </c>
      <c r="BK116" s="411" t="str">
        <f>IF(Llave="","",IF(Llave&gt;1,IF(BN116="Bye","Bye",IF(OR(Plyrs_val=Tot_Jug,Groups*2=Plyrs_val),VLOOKUP(BN116,Dist_Llav,4,FALSE),"")),""))</f>
        <v/>
      </c>
      <c r="BL116" s="411"/>
      <c r="BM116" s="411"/>
      <c r="BN116" s="229" t="str">
        <f>IF(Llave=128,IF(OR(Plyrs_val=Tot_Jug,Groups*2=Plyrs_val),HLOOKUP(Plyrs_val,Knockout,BO116+1,FALSE)),"")</f>
        <v/>
      </c>
      <c r="BO116" s="229">
        <f>BO113+1</f>
        <v>103</v>
      </c>
      <c r="BP116" s="181"/>
      <c r="BQ116" s="181">
        <f>IF(BS116="Bye",1,MAX(BQ$8:BQ115)+1)</f>
        <v>109</v>
      </c>
      <c r="BR116" s="314" t="str">
        <f t="shared" si="4"/>
        <v/>
      </c>
      <c r="BS116" s="181" t="str">
        <f>IF(Llave=128,IF(OR(BK74="Bye",BK77="Bye"),"Bye",IF(BI74="P",BK74,IF(BI77="P",BK77,""))),"")</f>
        <v/>
      </c>
      <c r="BT116" s="181" t="b">
        <f>IF(Llave&lt;128,"",IF(Llave=128,IF(OR(BK74="Bye",BK77="Bye"),"",IF(BI74="P",BJ74,IF(BI77="P",BJ77,"")))))</f>
        <v>0</v>
      </c>
    </row>
    <row r="117" spans="2:74" x14ac:dyDescent="0.3">
      <c r="B117" s="413" t="str">
        <f>IF(Llave="","",B111+1)</f>
        <v/>
      </c>
      <c r="C117" s="192"/>
      <c r="D117" s="229" t="str">
        <f>IF(D116="","",IF(ISTEXT(D116),IF(D116="","",IF(D116="Bye",0,VLOOKUP(D116,Rank_Points,3,FALSE)))))</f>
        <v/>
      </c>
      <c r="E117" s="192" t="str">
        <f>IF(D116&lt;&gt;"",IF(D116="","",IF(D116="BYE",0,IF(ISTEXT(D116),VLOOKUP(C116,Dist_Llav,6,FALSE),""))),"")</f>
        <v/>
      </c>
      <c r="F117" s="414" t="s">
        <v>170</v>
      </c>
      <c r="G117" s="418" t="str">
        <f>IF(OR(D116="",D119=""),"",IF(OR(D116="Bye",D119="Bye"),0,IF(AND(H116="",H119=""),"",IF(AND(H116="G",H119="P"),IF(D117&gt;=D118,VLOOKUP(ABS(D117-D118),Point_dif,2,TRUE),VLOOKUP(ABS(D117-D118),Point_dif,3,TRUE)),IF(AND(H116="P",H119="G"),IF(D118&gt;=D117,VLOOKUP(ABS(D117-D118),Point_dif,2,TRUE),VLOOKUP(ABS(D117-D118),Point_dif,3,TRUE)))))))</f>
        <v/>
      </c>
      <c r="H117" s="278"/>
      <c r="I117" s="275" t="str">
        <f>IF(I118=D116,D117,IF(I118=D119,D118,""))</f>
        <v/>
      </c>
      <c r="J117" s="417" t="str">
        <f>IF(ISNUMBER(I117),VLOOKUP(I118,Siembra,2,FALSE),"")</f>
        <v/>
      </c>
      <c r="K117" s="417"/>
      <c r="L117" s="282" t="str">
        <f>IF(I118="","",IF(M118="G",IF(I118=D116,G116+L114,G119+L114),IF(M118="P",IF(I118=D116,G116-L114,G119-L114),"")))</f>
        <v/>
      </c>
      <c r="M117" s="192"/>
      <c r="N117" s="192"/>
      <c r="O117" s="192"/>
      <c r="P117" s="192"/>
      <c r="Q117" s="192"/>
      <c r="R117" s="192"/>
      <c r="S117" s="192"/>
      <c r="T117" s="287"/>
      <c r="U117" s="192"/>
      <c r="V117" s="192"/>
      <c r="W117" s="192"/>
      <c r="X117" s="192"/>
      <c r="Y117" s="192"/>
      <c r="Z117" s="192"/>
      <c r="AA117" s="192"/>
      <c r="AB117" s="287"/>
      <c r="AC117" s="192"/>
      <c r="AD117" s="192"/>
      <c r="AE117" s="192"/>
      <c r="AF117" s="192"/>
      <c r="AG117" s="192"/>
      <c r="AH117" s="192"/>
      <c r="AI117" s="192"/>
      <c r="AJ117" s="192"/>
      <c r="AK117" s="192"/>
      <c r="AL117" s="192"/>
      <c r="AM117" s="192"/>
      <c r="AN117" s="192"/>
      <c r="AO117" s="289"/>
      <c r="AP117" s="192"/>
      <c r="AQ117" s="192"/>
      <c r="AR117" s="192"/>
      <c r="AS117" s="192"/>
      <c r="AT117" s="192"/>
      <c r="AU117" s="192"/>
      <c r="AV117" s="192"/>
      <c r="AW117" s="289"/>
      <c r="AX117" s="192"/>
      <c r="AY117" s="192"/>
      <c r="AZ117" s="192"/>
      <c r="BA117" s="192"/>
      <c r="BB117" s="192"/>
      <c r="BC117" s="192"/>
      <c r="BD117" s="192"/>
      <c r="BE117" s="286" t="str">
        <f>IF(BE118="","",IF(BD118="G",IF(BE118=BK116,BJ116+BE114,BJ119+BE114),IF(BD118="P",IF(BE118=BK116,BJ116-BE114,BJ119-BE114),"")))</f>
        <v/>
      </c>
      <c r="BF117" s="417" t="str">
        <f>IF(ISNUMBER(BE117),VLOOKUP(BE118,Siembra,2,FALSE),"")</f>
        <v/>
      </c>
      <c r="BG117" s="417"/>
      <c r="BH117" s="282" t="str">
        <f>IF(BE118=BK116,BM117,IF(BE118=BK119,BM118,""))</f>
        <v/>
      </c>
      <c r="BI117" s="279"/>
      <c r="BJ117" s="418" t="str">
        <f>IF(OR(BK116="",BK119=""),"",IF(OR(BK116="Bye",BK119="Bye"),0,IF(AND(BI116="",BI119=""),"",IF(AND(BI116="G",BI119="P"),IF(BM117&gt;=BM118,VLOOKUP(ABS(BM117-BM118),Point_dif,2,TRUE),VLOOKUP(ABS(BM117-BM118),Point_dif,3,TRUE)),IF(AND(BI116="P",BI119="G"),IF(BM118&gt;=BM117,VLOOKUP(ABS(BM117-BM118),Point_dif,2,TRUE),VLOOKUP(ABS(BM117-BM118),Point_dif,3,TRUE)))))))</f>
        <v/>
      </c>
      <c r="BK117" s="420" t="s">
        <v>170</v>
      </c>
      <c r="BL117" s="229" t="str">
        <f>IF(BK116&lt;&gt;"",IF(BK116="","",IF(BK116="BYE",0,IF(ISTEXT(BK116),VLOOKUP(BN116,Dist_Llav,6,FALSE),""))),"")</f>
        <v/>
      </c>
      <c r="BM117" s="280" t="str">
        <f>IF(BK116="","",IF(ISTEXT(BK116),IF(BK116="","",IF(BK116="Bye",0,VLOOKUP(BK116,Rank_Points,3,FALSE)))))</f>
        <v/>
      </c>
      <c r="BN117" s="422"/>
      <c r="BO117" s="422" t="str">
        <f>IF(Llave=128,BO111+1,"")</f>
        <v/>
      </c>
      <c r="BP117" s="181"/>
      <c r="BQ117" s="181">
        <f>IF(BS117="Bye",1,MAX(BQ$8:BQ116)+1)</f>
        <v>110</v>
      </c>
      <c r="BR117" s="314" t="str">
        <f t="shared" si="4"/>
        <v/>
      </c>
      <c r="BS117" s="181" t="str">
        <f>IF(Llave=128,IF(OR(BK80="Bye",BK83="Bye"),"Bye",IF(BI80="P",BK80,IF(BI83="P",BK83,""))),"")</f>
        <v/>
      </c>
      <c r="BT117" s="181" t="b">
        <f>IF(Llave&lt;128,"",IF(Llave=128,IF(OR(BK80="Bye",BK83="Bye"),"",IF(BI80="P",BJ80,IF(BI83="P",BJ83,"")))))</f>
        <v>0</v>
      </c>
    </row>
    <row r="118" spans="2:74" x14ac:dyDescent="0.3">
      <c r="B118" s="413"/>
      <c r="C118" s="192"/>
      <c r="D118" s="229" t="str">
        <f>IF(D119="","",IF(ISTEXT(D119),IF(D119="","",IF(D119="Bye",0,VLOOKUP(D119,Rank_Points,3,FALSE)))))</f>
        <v/>
      </c>
      <c r="E118" s="192" t="str">
        <f>IF(D119&lt;&gt;"",IF(D119="","",IF(D119="BYE",0,IF(ISTEXT(D119),VLOOKUP(C119,Dist_Llav,6,FALSE),""))),"")</f>
        <v/>
      </c>
      <c r="F118" s="414"/>
      <c r="G118" s="419"/>
      <c r="H118" s="282"/>
      <c r="I118" s="425" t="str">
        <f>IF(D116="Bye",D119,IF(D119="Bye",D116,IF(AND(H116="",H119=""),"",IF(AND(H116="G",H119="P"),D116,IF(AND(H119="G",H116="P"),D119,"Corregir ganador y perdedor")))))</f>
        <v/>
      </c>
      <c r="J118" s="423"/>
      <c r="K118" s="423"/>
      <c r="L118" s="423"/>
      <c r="M118" s="167"/>
      <c r="N118" s="192"/>
      <c r="O118" s="192"/>
      <c r="P118" s="192"/>
      <c r="Q118" s="192"/>
      <c r="R118" s="192"/>
      <c r="S118" s="192"/>
      <c r="T118" s="287"/>
      <c r="U118" s="192"/>
      <c r="V118" s="192"/>
      <c r="W118" s="192"/>
      <c r="X118" s="192"/>
      <c r="Y118" s="192"/>
      <c r="Z118" s="192"/>
      <c r="AA118" s="192"/>
      <c r="AB118" s="287"/>
      <c r="AC118" s="192"/>
      <c r="AD118" s="192"/>
      <c r="AE118" s="192"/>
      <c r="AF118" s="192"/>
      <c r="AG118" s="192"/>
      <c r="AH118" s="192"/>
      <c r="AI118" s="192"/>
      <c r="AJ118" s="192"/>
      <c r="AK118" s="192"/>
      <c r="AL118" s="192"/>
      <c r="AM118" s="192"/>
      <c r="AN118" s="192"/>
      <c r="AO118" s="289"/>
      <c r="AP118" s="192"/>
      <c r="AQ118" s="192"/>
      <c r="AR118" s="192"/>
      <c r="AS118" s="192"/>
      <c r="AT118" s="192"/>
      <c r="AU118" s="192"/>
      <c r="AV118" s="192"/>
      <c r="AW118" s="289"/>
      <c r="AX118" s="192"/>
      <c r="AY118" s="192"/>
      <c r="AZ118" s="192"/>
      <c r="BA118" s="192"/>
      <c r="BB118" s="192"/>
      <c r="BC118" s="192"/>
      <c r="BD118" s="166"/>
      <c r="BE118" s="423" t="str">
        <f>IF(BK119="Bye",BK116,IF(BK116="Bye",BK119,IF(AND(BI116="",BI119=""),"",IF(AND(BI116="G",BI119="P"),BK116,IF(AND(BI119="G",BI116="P"),BK119,"Corregir ganador y perdedor")))))</f>
        <v/>
      </c>
      <c r="BF118" s="423"/>
      <c r="BG118" s="423"/>
      <c r="BH118" s="426"/>
      <c r="BI118" s="286"/>
      <c r="BJ118" s="419"/>
      <c r="BK118" s="421"/>
      <c r="BL118" s="229" t="str">
        <f>IF(BK119&lt;&gt;"",IF(BK119="","",IF(BK119="BYE",0,IF(ISTEXT(BK119),VLOOKUP(BN119,Dist_Llav,6,FALSE),""))),"")</f>
        <v/>
      </c>
      <c r="BM118" s="280" t="str">
        <f>IF(BK119="","",IF(ISTEXT(BK119),IF(BK119="","",IF(BK119="Bye",0,VLOOKUP(BK119,Rank_Points,3,FALSE)))))</f>
        <v/>
      </c>
      <c r="BN118" s="422"/>
      <c r="BO118" s="422"/>
      <c r="BP118" s="181"/>
      <c r="BQ118" s="181">
        <f>IF(BS118="Bye",1,MAX(BQ$8:BQ117)+1)</f>
        <v>111</v>
      </c>
      <c r="BR118" s="314" t="str">
        <f t="shared" si="4"/>
        <v/>
      </c>
      <c r="BS118" s="181" t="str">
        <f>IF(Llave=128,IF(OR(BK86="Bye",BK89="Bye"),"Bye",IF(BI86="P",BK86,IF(BI89="P",BK89,""))),"")</f>
        <v/>
      </c>
      <c r="BT118" s="181" t="b">
        <f>IF(Llave&lt;128,"",IF(Llave=128,IF(OR(BK86="Bye",BK89="Bye"),"",IF(BI86="P",BJ86,IF(BI89="P",BJ89,"")))))</f>
        <v>0</v>
      </c>
    </row>
    <row r="119" spans="2:74" x14ac:dyDescent="0.3">
      <c r="B119" s="192">
        <f>B116+1</f>
        <v>40</v>
      </c>
      <c r="C119" s="192" t="str">
        <f>IF(Llave="","",IF(Llave&gt;1,IF(OR(Plyrs_val=Tot_Jug,Groups*2=Plyrs_val),HLOOKUP(Plyrs_val,Knockout,B119+1,FALSE)),""))</f>
        <v/>
      </c>
      <c r="D119" s="412" t="str">
        <f>IF(Llave="","",IF(Llave&gt;1,IF(C119="Bye","Bye",IF(OR(Plyrs_val=Tot_Jug,Groups*2=Plyrs_val),VLOOKUP(C119,Dist_Llav,4,FALSE),"")),""))</f>
        <v/>
      </c>
      <c r="E119" s="412"/>
      <c r="F119" s="412"/>
      <c r="G119" s="192" t="str">
        <f>IF(D119="","",IF(D119="Bye",0,IF(D116="Bye",E118,IF(H119="G",E118+G117,IF(H119="P",E118-G117,"")))))</f>
        <v/>
      </c>
      <c r="H119" s="166"/>
      <c r="I119" s="192"/>
      <c r="J119" s="192"/>
      <c r="K119" s="192"/>
      <c r="L119" s="192"/>
      <c r="M119" s="192"/>
      <c r="N119" s="192"/>
      <c r="O119" s="192"/>
      <c r="P119" s="192"/>
      <c r="Q119" s="192"/>
      <c r="R119" s="192"/>
      <c r="S119" s="192"/>
      <c r="T119" s="287"/>
      <c r="U119" s="192"/>
      <c r="V119" s="192"/>
      <c r="W119" s="192"/>
      <c r="X119" s="288" t="s">
        <v>251</v>
      </c>
      <c r="Y119" s="192"/>
      <c r="Z119" s="192"/>
      <c r="AA119" s="192"/>
      <c r="AB119" s="287"/>
      <c r="AC119" s="192"/>
      <c r="AD119" s="192"/>
      <c r="AE119" s="192"/>
      <c r="AF119" s="192"/>
      <c r="AG119" s="192"/>
      <c r="AH119" s="192"/>
      <c r="AI119" s="192"/>
      <c r="AJ119" s="192"/>
      <c r="AK119" s="192"/>
      <c r="AL119" s="192"/>
      <c r="AM119" s="192"/>
      <c r="AN119" s="192"/>
      <c r="AO119" s="289"/>
      <c r="AP119" s="192"/>
      <c r="AQ119" s="192"/>
      <c r="AR119" s="192"/>
      <c r="AS119" s="274" t="s">
        <v>252</v>
      </c>
      <c r="AT119" s="192"/>
      <c r="AU119" s="192"/>
      <c r="AV119" s="192"/>
      <c r="AW119" s="289"/>
      <c r="AX119" s="192"/>
      <c r="AY119" s="281"/>
      <c r="AZ119" s="181"/>
      <c r="BA119" s="192"/>
      <c r="BB119" s="192"/>
      <c r="BC119" s="192"/>
      <c r="BD119" s="192"/>
      <c r="BE119" s="192"/>
      <c r="BF119" s="192"/>
      <c r="BG119" s="192"/>
      <c r="BH119" s="192"/>
      <c r="BI119" s="166"/>
      <c r="BJ119" s="284" t="str">
        <f>IF(BK119="","",IF(BK119="Bye",0,IF(BK116="Bye",BL118,IF(BI119="G",BL118+BJ117,IF(BI119="P",BL118-BJ117,"")))))</f>
        <v/>
      </c>
      <c r="BK119" s="412" t="str">
        <f>IF(Llave="","",IF(Llave&gt;1,IF(BN119="Bye","Bye",IF(OR(Plyrs_val=Tot_Jug,Groups*2=Plyrs_val),VLOOKUP(BN119,Dist_Llav,4,FALSE),"")),""))</f>
        <v/>
      </c>
      <c r="BL119" s="412"/>
      <c r="BM119" s="412"/>
      <c r="BN119" s="229" t="str">
        <f>IF(Llave=128,IF(OR(Plyrs_val=Tot_Jug,Groups*2=Plyrs_val),HLOOKUP(Plyrs_val,Knockout,BO119+1,FALSE)),"")</f>
        <v/>
      </c>
      <c r="BO119" s="229">
        <f>BO116+1</f>
        <v>104</v>
      </c>
      <c r="BP119" s="181"/>
      <c r="BQ119" s="181">
        <f>IF(BS119="Bye",1,MAX(BQ$8:BQ118)+1)</f>
        <v>112</v>
      </c>
      <c r="BR119" s="314" t="str">
        <f t="shared" si="4"/>
        <v/>
      </c>
      <c r="BS119" s="181" t="str">
        <f>IF(Llave=128,IF(OR(BK92="Bye",BK95="Bye"),"Bye",IF(BI92="P",BK92,IF(BI95="P",BK95,""))),"")</f>
        <v/>
      </c>
      <c r="BT119" s="181" t="b">
        <f>IF(Llave&lt;128,"",IF(Llave=128,IF(OR(BK92="Bye",BK95="Bye"),"",IF(BI92="P",BJ92,IF(BI95="P",BJ95,"")))))</f>
        <v>0</v>
      </c>
    </row>
    <row r="120" spans="2:74" x14ac:dyDescent="0.3">
      <c r="B120" s="192"/>
      <c r="C120" s="192"/>
      <c r="D120" s="192"/>
      <c r="E120" s="192"/>
      <c r="F120" s="192"/>
      <c r="G120" s="192"/>
      <c r="H120" s="192"/>
      <c r="I120" s="192"/>
      <c r="J120" s="192"/>
      <c r="K120" s="192"/>
      <c r="L120" s="192"/>
      <c r="M120" s="192"/>
      <c r="N120" s="192"/>
      <c r="O120" s="192"/>
      <c r="P120" s="192"/>
      <c r="Q120" s="181"/>
      <c r="R120" s="413">
        <f>R72+1</f>
        <v>4</v>
      </c>
      <c r="S120" s="413" t="s">
        <v>170</v>
      </c>
      <c r="T120" s="415" t="str">
        <f>IF(OR(Q108="",Q133=""),"",IF(OR(Q108="Bye",Q133="Bye"),0,IF(AND(U108="",U133=""),"",IF(AND(U108="G",U133="P"),IF(Q109&gt;=Q132,VLOOKUP(ABS(Q109-Q132),Point_dif,2,TRUE),VLOOKUP(ABS(Q109-Q132),Point_dif,3,TRUE)),IF(AND(U108="P",U133="G"),IF(Q132&gt;=Q109,VLOOKUP(ABS(Q109-Q132),Point_dif,2,TRUE),VLOOKUP(ABS(Q109-Q132),Point_dif,3,TRUE)))))))</f>
        <v/>
      </c>
      <c r="U120" s="416" t="str">
        <f>IF(AND(U108="",U133=""),"",IF(AND(U108="G",U133="P"),Q108,IF(AND(U133="G",U108="P"),Q133,"Corregir ganador y perdedor")))</f>
        <v/>
      </c>
      <c r="V120" s="417"/>
      <c r="W120" s="417"/>
      <c r="X120" s="417"/>
      <c r="Y120" s="167"/>
      <c r="Z120" s="192"/>
      <c r="AA120" s="192"/>
      <c r="AB120" s="287"/>
      <c r="AC120" s="192"/>
      <c r="AD120" s="192"/>
      <c r="AE120" s="192"/>
      <c r="AF120" s="192"/>
      <c r="AG120" s="192"/>
      <c r="AH120" s="192"/>
      <c r="AI120" s="192"/>
      <c r="AJ120" s="192"/>
      <c r="AK120" s="192"/>
      <c r="AL120" s="192"/>
      <c r="AM120" s="192"/>
      <c r="AN120" s="192"/>
      <c r="AO120" s="289"/>
      <c r="AP120" s="192"/>
      <c r="AQ120" s="192"/>
      <c r="AR120" s="167"/>
      <c r="AS120" s="416" t="str">
        <f>IF(AND(AV108="",AV133=""),"",IF(AND(AV108="G",AV133="P"),AW108,IF(AND(AV133="G",AV108="P"),AW133,"Corregir ganador y perdedor")))</f>
        <v/>
      </c>
      <c r="AT120" s="417"/>
      <c r="AU120" s="417"/>
      <c r="AV120" s="417"/>
      <c r="AW120" s="424" t="str">
        <f>IF(OR(AW108="",AW133=""),"",IF(AND(AV108="",AV133=""),"",IF(AND(AV108="G",AV133="P"),IF(AZ109&gt;=AZ132,VLOOKUP(ABS(AZ109-AZ132),Point_dif,2,TRUE),VLOOKUP(ABS(AZ109-AZ132),Point_dif,3,TRUE)),IF(AND(AV108="P",AV133="G"),IF(AZ132&gt;=AZ109,VLOOKUP(ABS(AZ109-AZ132),Point_dif,2,TRUE),VLOOKUP(ABS(AZ109-AZ132),Point_dif,3,TRUE))))))</f>
        <v/>
      </c>
      <c r="AX120" s="414" t="s">
        <v>170</v>
      </c>
      <c r="AY120" s="413" t="str">
        <f>IF(Llave=128,AY71+1,"")</f>
        <v/>
      </c>
      <c r="AZ120" s="181"/>
      <c r="BA120" s="192"/>
      <c r="BB120" s="192"/>
      <c r="BC120" s="192"/>
      <c r="BD120" s="192"/>
      <c r="BE120" s="192"/>
      <c r="BF120" s="192"/>
      <c r="BG120" s="192"/>
      <c r="BH120" s="192"/>
      <c r="BI120" s="192"/>
      <c r="BJ120" s="192"/>
      <c r="BK120" s="192"/>
      <c r="BL120" s="192"/>
      <c r="BM120" s="192"/>
      <c r="BN120" s="192"/>
      <c r="BO120" s="192"/>
      <c r="BP120" s="181"/>
      <c r="BQ120" s="181">
        <f>IF(BS120="Bye",1,MAX(BQ$8:BQ119)+1)</f>
        <v>113</v>
      </c>
      <c r="BR120" s="314" t="str">
        <f t="shared" si="4"/>
        <v/>
      </c>
      <c r="BS120" s="181" t="str">
        <f>IF(Llave=128,IF(OR(BK98="Bye",BK101="Bye"),"Bye",IF(BI98="P",BK98,IF(BI101="P",BK101,""))),"")</f>
        <v/>
      </c>
      <c r="BT120" s="181" t="b">
        <f>IF(Llave&lt;128,"",IF(Llave=128,IF(OR(BK98="Bye",BK101="Bye"),"",IF(BI98="P",BJ98,IF(BI101="P",BJ101,"")))))</f>
        <v>0</v>
      </c>
    </row>
    <row r="121" spans="2:74" x14ac:dyDescent="0.3">
      <c r="B121" s="192"/>
      <c r="C121" s="192"/>
      <c r="D121" s="192"/>
      <c r="E121" s="192"/>
      <c r="F121" s="192"/>
      <c r="G121" s="272" t="s">
        <v>253</v>
      </c>
      <c r="H121" s="192"/>
      <c r="I121" s="192"/>
      <c r="J121" s="192"/>
      <c r="K121" s="192"/>
      <c r="L121" s="192"/>
      <c r="M121" s="192"/>
      <c r="N121" s="192"/>
      <c r="O121" s="192"/>
      <c r="P121" s="192"/>
      <c r="Q121" s="181"/>
      <c r="R121" s="413"/>
      <c r="S121" s="413"/>
      <c r="T121" s="415"/>
      <c r="U121" s="283" t="str">
        <f>IF(U120=Q108,Q109,IF(U120=Q133,Q132,""))</f>
        <v/>
      </c>
      <c r="V121" s="423" t="str">
        <f>IF(ISNUMBER(U121),VLOOKUP(U120,Siembra,2,FALSE),"")</f>
        <v/>
      </c>
      <c r="W121" s="423"/>
      <c r="X121" s="278" t="str">
        <f>IF(U120="","",IF(Y120="G",IF(U120=Q108,T109+X144,T132+X144),IF(Y120="P",IF(U120=Q108,T109-X144+4,T132-X144+4),"")))</f>
        <v/>
      </c>
      <c r="Y121" s="192"/>
      <c r="Z121" s="192"/>
      <c r="AA121" s="192"/>
      <c r="AB121" s="287"/>
      <c r="AC121" s="192"/>
      <c r="AD121" s="192"/>
      <c r="AE121" s="192"/>
      <c r="AF121" s="192"/>
      <c r="AG121" s="192"/>
      <c r="AH121" s="192"/>
      <c r="AI121" s="192"/>
      <c r="AJ121" s="192"/>
      <c r="AK121" s="192"/>
      <c r="AL121" s="192"/>
      <c r="AM121" s="192"/>
      <c r="AN121" s="192"/>
      <c r="AO121" s="289"/>
      <c r="AP121" s="192"/>
      <c r="AQ121" s="192"/>
      <c r="AR121" s="192"/>
      <c r="AS121" s="279" t="str">
        <f>IF(AS120="","",IF(AR120="G",IF(AS120=AW108,AW109+AS144,AW132+AS144),IF(AR120="P",IF(AS120=AW108,AW109-AS144,AW132-AS144),"")))</f>
        <v/>
      </c>
      <c r="AT121" s="423" t="str">
        <f>IF(ISNUMBER(AS121),VLOOKUP(AS120,Siembra,2,FALSE),"")</f>
        <v/>
      </c>
      <c r="AU121" s="423"/>
      <c r="AV121" s="285" t="str">
        <f>IF(AS120=AW108,AZ109,IF(AS120=AW133,AZ132,""))</f>
        <v/>
      </c>
      <c r="AW121" s="437"/>
      <c r="AX121" s="438"/>
      <c r="AY121" s="413"/>
      <c r="AZ121" s="192"/>
      <c r="BA121" s="192"/>
      <c r="BB121" s="192"/>
      <c r="BC121" s="192"/>
      <c r="BD121" s="192"/>
      <c r="BE121" s="192"/>
      <c r="BF121" s="192"/>
      <c r="BG121" s="192"/>
      <c r="BH121" s="192"/>
      <c r="BI121" s="273"/>
      <c r="BJ121" s="274" t="s">
        <v>254</v>
      </c>
      <c r="BK121" s="192"/>
      <c r="BL121" s="192"/>
      <c r="BM121" s="192"/>
      <c r="BN121" s="192"/>
      <c r="BO121" s="192"/>
      <c r="BP121" s="181"/>
      <c r="BQ121" s="181">
        <f>IF(BS121="Bye",1,MAX(BQ$8:BQ120)+1)</f>
        <v>114</v>
      </c>
      <c r="BR121" s="314" t="str">
        <f t="shared" si="4"/>
        <v/>
      </c>
      <c r="BS121" s="181" t="str">
        <f>IF(Llave=128,IF(OR(BK104="Bye",BK107="Bye"),"Bye",IF(BI104="P",BK104,IF(BI107="P",BK107,""))),"")</f>
        <v/>
      </c>
      <c r="BT121" s="181" t="b">
        <f>IF(Llave&lt;128,"",IF(Llave=128,IF(OR(BK104="Bye",BK107="Bye"),"",IF(BI104="P",BJ104,IF(BI107="P",BJ107,"")))))</f>
        <v>0</v>
      </c>
    </row>
    <row r="122" spans="2:74" x14ac:dyDescent="0.3">
      <c r="B122" s="192">
        <f>B119+1</f>
        <v>41</v>
      </c>
      <c r="C122" s="192" t="str">
        <f>IF(Llave="","",IF(Llave&gt;1,IF(OR(Plyrs_val=Tot_Jug,Groups*2=Plyrs_val),HLOOKUP(Plyrs_val,Knockout,B122+1,FALSE)),""))</f>
        <v/>
      </c>
      <c r="D122" s="411" t="str">
        <f>IF(Llave="","",IF(Llave&gt;1,IF(C122="Bye","Bye",IF(OR(Plyrs_val=Tot_Jug,Groups*2=Plyrs_val),VLOOKUP(C122,Dist_Llav,4,FALSE),"")),""))</f>
        <v/>
      </c>
      <c r="E122" s="411"/>
      <c r="F122" s="411"/>
      <c r="G122" s="192" t="str">
        <f>IF(D122="","",IF(D122="Bye",0,IF(D125="Bye",E123,IF(H122="G",E123+G123,IF(H122="P",E123-G123,"")))))</f>
        <v/>
      </c>
      <c r="H122" s="166"/>
      <c r="I122" s="192"/>
      <c r="J122" s="192"/>
      <c r="K122" s="192"/>
      <c r="L122" s="277" t="s">
        <v>255</v>
      </c>
      <c r="M122" s="192"/>
      <c r="N122" s="192"/>
      <c r="O122" s="192"/>
      <c r="P122" s="192"/>
      <c r="Q122" s="192"/>
      <c r="R122" s="192"/>
      <c r="S122" s="192"/>
      <c r="T122" s="287"/>
      <c r="U122" s="192"/>
      <c r="V122" s="192"/>
      <c r="W122" s="192"/>
      <c r="X122" s="287"/>
      <c r="Y122" s="192"/>
      <c r="Z122" s="192"/>
      <c r="AA122" s="192"/>
      <c r="AB122" s="287"/>
      <c r="AC122" s="192"/>
      <c r="AD122" s="192"/>
      <c r="AE122" s="192"/>
      <c r="AF122" s="192"/>
      <c r="AG122" s="192"/>
      <c r="AH122" s="192"/>
      <c r="AI122" s="192"/>
      <c r="AJ122" s="192"/>
      <c r="AK122" s="192"/>
      <c r="AL122" s="192"/>
      <c r="AM122" s="192"/>
      <c r="AN122" s="192"/>
      <c r="AO122" s="289"/>
      <c r="AP122" s="192"/>
      <c r="AQ122" s="192"/>
      <c r="AR122" s="192"/>
      <c r="AS122" s="289"/>
      <c r="AT122" s="192"/>
      <c r="AU122" s="192"/>
      <c r="AV122" s="192"/>
      <c r="AW122" s="289"/>
      <c r="AX122" s="192"/>
      <c r="AY122" s="192"/>
      <c r="AZ122" s="192"/>
      <c r="BA122" s="192"/>
      <c r="BB122" s="192"/>
      <c r="BC122" s="192"/>
      <c r="BD122" s="192"/>
      <c r="BE122" s="274" t="s">
        <v>256</v>
      </c>
      <c r="BF122" s="192"/>
      <c r="BG122" s="192"/>
      <c r="BH122" s="192"/>
      <c r="BI122" s="166"/>
      <c r="BJ122" s="192" t="str">
        <f>IF(BK122="","",IF(BK122="Bye",0,IF(BK125="Bye",BL123,IF(BI122="G",BL123+BJ123,IF(BI122="P",BL123-BJ123,"")))))</f>
        <v/>
      </c>
      <c r="BK122" s="411" t="str">
        <f>IF(Llave="","",IF(Llave&gt;1,IF(BN122="Bye","Bye",IF(OR(Plyrs_val=Tot_Jug,Groups*2=Plyrs_val),VLOOKUP(BN122,Dist_Llav,4,FALSE),"")),""))</f>
        <v/>
      </c>
      <c r="BL122" s="411"/>
      <c r="BM122" s="411"/>
      <c r="BN122" s="229" t="str">
        <f>IF(Llave=128,IF(OR(Plyrs_val=Tot_Jug,Groups*2=Plyrs_val),HLOOKUP(Plyrs_val,Knockout,BO122+1,FALSE)),"")</f>
        <v/>
      </c>
      <c r="BO122" s="229">
        <f>BO119+1</f>
        <v>105</v>
      </c>
      <c r="BP122" s="181"/>
      <c r="BQ122" s="181">
        <f>IF(BS122="Bye",1,MAX(BQ$8:BQ121)+1)</f>
        <v>115</v>
      </c>
      <c r="BR122" s="314" t="str">
        <f t="shared" si="4"/>
        <v/>
      </c>
      <c r="BS122" s="181" t="str">
        <f>IF(Llave=128,IF(OR(BK110="Bye",BK113="Bye"),"Bye",IF(BI110="P",BK110,IF(BI113="P",BK113,""))),"")</f>
        <v/>
      </c>
      <c r="BT122" s="181" t="b">
        <f>IF(Llave&lt;128,"",IF(Llave=128,IF(OR(BK110="Bye",BK113="Bye"),"",IF(BI110="P",BJ110,IF(BI113="P",BJ113,"")))))</f>
        <v>0</v>
      </c>
      <c r="BV122"/>
    </row>
    <row r="123" spans="2:74" x14ac:dyDescent="0.3">
      <c r="B123" s="413" t="str">
        <f>IF(Llave="","",B117+1)</f>
        <v/>
      </c>
      <c r="C123" s="192"/>
      <c r="D123" s="229" t="str">
        <f>IF(D122="","",IF(ISTEXT(D122),IF(D122="","",IF(D122="Bye",0,VLOOKUP(D122,Rank_Points,3,FALSE)))))</f>
        <v/>
      </c>
      <c r="E123" s="192" t="str">
        <f>IF(D122&lt;&gt;"",IF(D122="","",IF(D122="BYE",0,IF(ISTEXT(D122),VLOOKUP(C122,Dist_Llav,6,FALSE),""))),"")</f>
        <v/>
      </c>
      <c r="F123" s="414" t="s">
        <v>170</v>
      </c>
      <c r="G123" s="418" t="str">
        <f>IF(OR(D122="",D125=""),"",IF(OR(D122="Bye",D125="Bye"),0,IF(AND(H122="",H125=""),"",IF(AND(H122="G",H125="P"),IF(D123&gt;=D124,VLOOKUP(ABS(D123-D124),Point_dif,2,TRUE),VLOOKUP(ABS(D123-D124),Point_dif,3,TRUE)),IF(AND(H122="P",H125="G"),IF(D124&gt;=D123,VLOOKUP(ABS(D123-D124),Point_dif,2,TRUE),VLOOKUP(ABS(D123-D124),Point_dif,3,TRUE)))))))</f>
        <v/>
      </c>
      <c r="H123" s="278"/>
      <c r="I123" s="416" t="str">
        <f>IF(D122="Bye",D125,IF(D125="Bye",D122,IF(AND(H122="",H125=""),"",IF(AND(H122="G",H125="P"),D122,IF(AND(H125="G",H122="P"),D125,"Corregir ganador y perdedor")))))</f>
        <v/>
      </c>
      <c r="J123" s="417"/>
      <c r="K123" s="417"/>
      <c r="L123" s="417"/>
      <c r="M123" s="167"/>
      <c r="N123" s="192"/>
      <c r="O123" s="192"/>
      <c r="P123" s="192"/>
      <c r="Q123" s="192"/>
      <c r="R123" s="192"/>
      <c r="S123" s="192"/>
      <c r="T123" s="287"/>
      <c r="U123" s="192"/>
      <c r="V123" s="192"/>
      <c r="W123" s="192"/>
      <c r="X123" s="287"/>
      <c r="Y123" s="192"/>
      <c r="Z123" s="192"/>
      <c r="AA123" s="192"/>
      <c r="AB123" s="287"/>
      <c r="AC123" s="192"/>
      <c r="AD123" s="192"/>
      <c r="AE123" s="192"/>
      <c r="AF123" s="192"/>
      <c r="AG123" s="192"/>
      <c r="AH123" s="192"/>
      <c r="AI123" s="192"/>
      <c r="AJ123" s="192"/>
      <c r="AK123" s="192"/>
      <c r="AL123" s="192"/>
      <c r="AM123" s="192"/>
      <c r="AN123" s="192"/>
      <c r="AO123" s="289"/>
      <c r="AP123" s="192"/>
      <c r="AQ123" s="192"/>
      <c r="AR123" s="192"/>
      <c r="AS123" s="289"/>
      <c r="AT123" s="192"/>
      <c r="AU123" s="192"/>
      <c r="AV123" s="192"/>
      <c r="AW123" s="289"/>
      <c r="AX123" s="192"/>
      <c r="AY123" s="192"/>
      <c r="AZ123" s="192"/>
      <c r="BA123" s="192"/>
      <c r="BB123" s="192"/>
      <c r="BC123" s="192"/>
      <c r="BD123" s="166"/>
      <c r="BE123" s="416" t="str">
        <f>IF(BK125="Bye",BK122,IF(BK122="Bye",BK125,IF(AND(BI122="",BI125=""),"",IF(AND(BI122="G",BI125="P"),BK122,IF(AND(BI125="G",BI122="P"),BK125,"Corregir ganador y perdedor")))))</f>
        <v/>
      </c>
      <c r="BF123" s="417"/>
      <c r="BG123" s="417"/>
      <c r="BH123" s="417"/>
      <c r="BI123" s="279"/>
      <c r="BJ123" s="418" t="str">
        <f>IF(OR(BK122="",BK125=""),"",IF(OR(BK122="Bye",BK125="Bye"),0,IF(AND(BI122="",BI125=""),"",IF(AND(BI122="G",BI125="P"),IF(BM123&gt;=BM124,VLOOKUP(ABS(BM123-BM124),Point_dif,2,TRUE),VLOOKUP(ABS(BM123-BM124),Point_dif,3,TRUE)),IF(AND(BI122="P",BI125="G"),IF(BM124&gt;=BM123,VLOOKUP(ABS(BM123-BM124),Point_dif,2,TRUE),VLOOKUP(ABS(BM123-BM124),Point_dif,3,TRUE)))))))</f>
        <v/>
      </c>
      <c r="BK123" s="420" t="s">
        <v>170</v>
      </c>
      <c r="BL123" s="229" t="str">
        <f>IF(BK122&lt;&gt;"",IF(BK122="","",IF(BK122="BYE",0,IF(ISTEXT(BK122),VLOOKUP(BN122,Dist_Llav,6,FALSE),""))),"")</f>
        <v/>
      </c>
      <c r="BM123" s="280" t="str">
        <f>IF(BK122="","",IF(ISTEXT(BK122),IF(BK122="","",IF(BK122="Bye",0,VLOOKUP(BK122,Rank_Points,3,FALSE)))))</f>
        <v/>
      </c>
      <c r="BN123" s="422"/>
      <c r="BO123" s="422" t="str">
        <f>IF(Llave=128,BO117+1,"")</f>
        <v/>
      </c>
      <c r="BP123" s="181"/>
      <c r="BQ123" s="181">
        <f>IF(BS123="Bye",1,MAX(BQ$8:BQ122)+1)</f>
        <v>116</v>
      </c>
      <c r="BR123" s="314" t="str">
        <f t="shared" si="4"/>
        <v/>
      </c>
      <c r="BS123" s="181" t="str">
        <f>IF(Llave=128,IF(OR(BK116="Bye",BK119="Bye"),"Bye",IF(BI116="P",BK116,IF(BI119="P",BK119,""))),"")</f>
        <v/>
      </c>
      <c r="BT123" s="181" t="b">
        <f>IF(Llave&lt;128,"",IF(Llave=128,IF(OR(BK116="Bye",BK119="Bye"),"",IF(BI116="P",BJ116,IF(BI119="P",BJ119,"")))))</f>
        <v>0</v>
      </c>
    </row>
    <row r="124" spans="2:74" x14ac:dyDescent="0.3">
      <c r="B124" s="413"/>
      <c r="C124" s="192"/>
      <c r="D124" s="229" t="str">
        <f>IF(D125="","",IF(ISTEXT(D125),IF(D125="","",IF(D125="Bye",0,VLOOKUP(D125,Rank_Points,3,FALSE)))))</f>
        <v/>
      </c>
      <c r="E124" s="192" t="str">
        <f>IF(D125&lt;&gt;"",IF(D125="","",IF(D125="BYE",0,IF(ISTEXT(D125),VLOOKUP(C125,Dist_Llav,6,FALSE),""))),"")</f>
        <v/>
      </c>
      <c r="F124" s="414"/>
      <c r="G124" s="419"/>
      <c r="H124" s="282"/>
      <c r="I124" s="283" t="str">
        <f>IF(I123=D122,D123,IF(I123=D125,D124,""))</f>
        <v/>
      </c>
      <c r="J124" s="423" t="str">
        <f>IF(ISNUMBER(I124),VLOOKUP(I123,Siembra,2,FALSE),"")</f>
        <v/>
      </c>
      <c r="K124" s="423"/>
      <c r="L124" s="278" t="str">
        <f>IF(I123="","",IF(M123="G",IF(I123=D122,G122+L126,G125+L126),IF(M123="P",IF(I123=D122,G122-L126,G125-L126),"")))</f>
        <v/>
      </c>
      <c r="M124" s="192"/>
      <c r="N124" s="192"/>
      <c r="O124" s="192"/>
      <c r="P124" s="192"/>
      <c r="Q124" s="192"/>
      <c r="R124" s="192"/>
      <c r="S124" s="192"/>
      <c r="T124" s="287"/>
      <c r="U124" s="192"/>
      <c r="V124" s="192"/>
      <c r="W124" s="192"/>
      <c r="X124" s="287"/>
      <c r="Y124" s="192"/>
      <c r="Z124" s="192"/>
      <c r="AA124" s="192"/>
      <c r="AB124" s="287"/>
      <c r="AC124" s="192"/>
      <c r="AD124" s="192"/>
      <c r="AE124" s="192"/>
      <c r="AF124" s="192"/>
      <c r="AG124" s="192"/>
      <c r="AH124" s="192"/>
      <c r="AI124" s="192"/>
      <c r="AJ124" s="192"/>
      <c r="AK124" s="192"/>
      <c r="AL124" s="192"/>
      <c r="AM124" s="192"/>
      <c r="AN124" s="192"/>
      <c r="AO124" s="289"/>
      <c r="AP124" s="192"/>
      <c r="AQ124" s="192"/>
      <c r="AR124" s="192"/>
      <c r="AS124" s="289"/>
      <c r="AT124" s="192"/>
      <c r="AU124" s="192"/>
      <c r="AV124" s="192"/>
      <c r="AW124" s="289"/>
      <c r="AX124" s="192"/>
      <c r="AY124" s="192"/>
      <c r="AZ124" s="192"/>
      <c r="BA124" s="192"/>
      <c r="BB124" s="192"/>
      <c r="BC124" s="192"/>
      <c r="BD124" s="192"/>
      <c r="BE124" s="279" t="str">
        <f>IF(BE123="","",IF(BD123="G",IF(BE123=BK122,BJ122+BE126,BJ125+BE126),IF(BD123="P",IF(BE123=BK122,BJ122-BE126,BJ125-BE126),"")))</f>
        <v/>
      </c>
      <c r="BF124" s="423" t="str">
        <f>IF(ISNUMBER(BE124),VLOOKUP(BE123,Siembra,2,FALSE),"")</f>
        <v/>
      </c>
      <c r="BG124" s="423"/>
      <c r="BH124" s="285" t="str">
        <f>IF(BE123=BK122,BM123,IF(BE123=BK125,BM124,""))</f>
        <v/>
      </c>
      <c r="BI124" s="286"/>
      <c r="BJ124" s="419"/>
      <c r="BK124" s="421"/>
      <c r="BL124" s="229" t="str">
        <f>IF(BK125&lt;&gt;"",IF(BK125="","",IF(BK125="BYE",0,IF(ISTEXT(BK125),VLOOKUP(BN125,Dist_Llav,6,FALSE),""))),"")</f>
        <v/>
      </c>
      <c r="BM124" s="280" t="str">
        <f>IF(BK125="","",IF(ISTEXT(BK125),IF(BK125="","",IF(BK125="Bye",0,VLOOKUP(BK125,Rank_Points,3,FALSE)))))</f>
        <v/>
      </c>
      <c r="BN124" s="422"/>
      <c r="BO124" s="422"/>
      <c r="BP124" s="181"/>
      <c r="BQ124" s="181">
        <f>IF(BS124="Bye",1,MAX(BQ$8:BQ123)+1)</f>
        <v>117</v>
      </c>
      <c r="BR124" s="314" t="str">
        <f t="shared" si="4"/>
        <v/>
      </c>
      <c r="BS124" s="181" t="str">
        <f>IF(Llave=128,IF(OR(BK122="Bye",BK125="Bye"),"Bye",IF(BI122="P",BK122,IF(BI125="P",BK125,""))),"")</f>
        <v/>
      </c>
      <c r="BT124" s="181" t="b">
        <f>IF(Llave&lt;128,"",IF(Llave=128,IF(OR(BK122="Bye",BK125="Bye"),"",IF(BI122="P",BJ122,IF(BI125="P",BJ125,"")))))</f>
        <v>0</v>
      </c>
    </row>
    <row r="125" spans="2:74" x14ac:dyDescent="0.3">
      <c r="B125" s="192">
        <f>B122+1</f>
        <v>42</v>
      </c>
      <c r="C125" s="192" t="str">
        <f>IF(Llave="","",IF(Llave&gt;1,IF(OR(Plyrs_val=Tot_Jug,Groups*2=Plyrs_val),HLOOKUP(Plyrs_val,Knockout,B125+1,FALSE)),""))</f>
        <v/>
      </c>
      <c r="D125" s="412" t="str">
        <f>IF(Llave="","",IF(Llave&gt;1,IF(C125="Bye","Bye",IF(OR(Plyrs_val=Tot_Jug,Groups*2=Plyrs_val),VLOOKUP(C125,Dist_Llav,4,FALSE),"")),""))</f>
        <v/>
      </c>
      <c r="E125" s="412"/>
      <c r="F125" s="412"/>
      <c r="G125" s="192" t="str">
        <f>IF(D125="","",IF(D125="Bye",0,IF(D122="Bye",E124,IF(H125="G",E124+G123,IF(H125="P",E124-G123,"")))))</f>
        <v/>
      </c>
      <c r="H125" s="166"/>
      <c r="I125" s="192"/>
      <c r="J125" s="192"/>
      <c r="K125" s="192"/>
      <c r="L125" s="287"/>
      <c r="M125" s="192"/>
      <c r="N125" s="192"/>
      <c r="O125" s="192"/>
      <c r="P125" s="288" t="s">
        <v>257</v>
      </c>
      <c r="Q125" s="192"/>
      <c r="R125" s="192"/>
      <c r="S125" s="192"/>
      <c r="T125" s="287"/>
      <c r="U125" s="192"/>
      <c r="V125" s="192"/>
      <c r="W125" s="192"/>
      <c r="X125" s="287"/>
      <c r="Y125" s="192"/>
      <c r="Z125" s="192"/>
      <c r="AA125" s="192"/>
      <c r="AB125" s="287"/>
      <c r="AC125" s="192"/>
      <c r="AD125" s="192"/>
      <c r="AE125" s="192"/>
      <c r="AF125" s="192"/>
      <c r="AG125" s="192"/>
      <c r="AH125" s="192"/>
      <c r="AI125" s="192"/>
      <c r="AJ125" s="192"/>
      <c r="AK125" s="192"/>
      <c r="AL125" s="192"/>
      <c r="AM125" s="192"/>
      <c r="AN125" s="192"/>
      <c r="AO125" s="289"/>
      <c r="AP125" s="192"/>
      <c r="AQ125" s="192"/>
      <c r="AR125" s="192"/>
      <c r="AS125" s="289"/>
      <c r="AT125" s="192"/>
      <c r="AU125" s="192"/>
      <c r="AV125" s="192"/>
      <c r="AW125" s="289"/>
      <c r="AX125" s="192"/>
      <c r="AY125" s="192"/>
      <c r="AZ125" s="192"/>
      <c r="BA125" s="274" t="s">
        <v>258</v>
      </c>
      <c r="BB125" s="192"/>
      <c r="BC125" s="192"/>
      <c r="BD125" s="192"/>
      <c r="BE125" s="289"/>
      <c r="BF125" s="192"/>
      <c r="BG125" s="192"/>
      <c r="BH125" s="192"/>
      <c r="BI125" s="166"/>
      <c r="BJ125" s="284" t="str">
        <f>IF(BK125="","",IF(BK125="Bye",0,IF(BK122="Bye",BL124,IF(BI125="G",BL124+BJ123,IF(BI125="P",BL124-BJ123,"")))))</f>
        <v/>
      </c>
      <c r="BK125" s="412" t="str">
        <f>IF(Llave="","",IF(Llave&gt;1,IF(BN125="Bye","Bye",IF(OR(Plyrs_val=Tot_Jug,Groups*2=Plyrs_val),VLOOKUP(BN125,Dist_Llav,4,FALSE),"")),""))</f>
        <v/>
      </c>
      <c r="BL125" s="412"/>
      <c r="BM125" s="412"/>
      <c r="BN125" s="229" t="str">
        <f>IF(Llave=128,IF(OR(Plyrs_val=Tot_Jug,Groups*2=Plyrs_val),HLOOKUP(Plyrs_val,Knockout,BO125+1,FALSE)),"")</f>
        <v/>
      </c>
      <c r="BO125" s="229">
        <f>BO122+1</f>
        <v>106</v>
      </c>
      <c r="BP125" s="181"/>
      <c r="BQ125" s="181">
        <f>IF(BS125="Bye",1,MAX(BQ$8:BQ124)+1)</f>
        <v>118</v>
      </c>
      <c r="BR125" s="314" t="str">
        <f t="shared" si="4"/>
        <v/>
      </c>
      <c r="BS125" s="181" t="str">
        <f>IF(Llave=128,IF(OR(BK128="Bye",BK131="Bye"),"Bye",IF(BI128="P",BK128,IF(BI131="P",BK131,""))),"")</f>
        <v/>
      </c>
      <c r="BT125" s="181" t="b">
        <f>IF(Llave&lt;128,"",IF(Llave=128,IF(OR(BK128="Bye",BK131="Bye"),"",IF(BI128="P",BJ128,IF(BI131="P",BJ131,"")))))</f>
        <v>0</v>
      </c>
    </row>
    <row r="126" spans="2:74" x14ac:dyDescent="0.3">
      <c r="B126" s="192"/>
      <c r="C126" s="192"/>
      <c r="D126" s="192"/>
      <c r="E126" s="192"/>
      <c r="F126" s="192"/>
      <c r="G126" s="192"/>
      <c r="H126" s="192"/>
      <c r="I126" s="413" t="str">
        <f>IF(Llave="","",I114+1)</f>
        <v/>
      </c>
      <c r="J126" s="192"/>
      <c r="K126" s="414" t="s">
        <v>170</v>
      </c>
      <c r="L126" s="415" t="str">
        <f>IF(OR(I123="",I130=""),"",IF(OR(I123="Bye",I130="Bye"),0,IF(AND(M123="",M130=""),"",IF(AND(M123="G",M130="P"),IF(I124&gt;=I129,VLOOKUP(ABS(I124-I129),Point_dif,2,TRUE),VLOOKUP(ABS(I124-I129),Point_dif,3,TRUE)),IF(AND(M123="P",M130="G"),IF(I129&gt;=I124,VLOOKUP(ABS(I124-I129),Point_dif,2,TRUE),VLOOKUP(ABS(I124-I129),Point_dif,3,TRUE)))))))</f>
        <v/>
      </c>
      <c r="M126" s="416" t="str">
        <f>IF(AND(M123="",M130=""),"",IF(AND(M123="G",M130="P"),I123,IF(AND(M130="G",M123="P"),I130,"Corregir ganador y perdedor")))</f>
        <v/>
      </c>
      <c r="N126" s="417"/>
      <c r="O126" s="417"/>
      <c r="P126" s="417"/>
      <c r="Q126" s="167"/>
      <c r="R126" s="192"/>
      <c r="S126" s="192"/>
      <c r="T126" s="287"/>
      <c r="U126" s="192"/>
      <c r="V126" s="192"/>
      <c r="W126" s="192"/>
      <c r="X126" s="287"/>
      <c r="Y126" s="192"/>
      <c r="Z126" s="192"/>
      <c r="AA126" s="192"/>
      <c r="AB126" s="287"/>
      <c r="AC126" s="192"/>
      <c r="AD126" s="192"/>
      <c r="AE126" s="192"/>
      <c r="AF126" s="192"/>
      <c r="AG126" s="192"/>
      <c r="AH126" s="192"/>
      <c r="AI126" s="192"/>
      <c r="AJ126" s="192"/>
      <c r="AK126" s="192"/>
      <c r="AL126" s="192"/>
      <c r="AM126" s="192"/>
      <c r="AN126" s="192"/>
      <c r="AO126" s="289"/>
      <c r="AP126" s="192"/>
      <c r="AQ126" s="192"/>
      <c r="AR126" s="192"/>
      <c r="AS126" s="289"/>
      <c r="AT126" s="192"/>
      <c r="AU126" s="192"/>
      <c r="AV126" s="192"/>
      <c r="AW126" s="289"/>
      <c r="AX126" s="192"/>
      <c r="AY126" s="192"/>
      <c r="AZ126" s="166"/>
      <c r="BA126" s="416" t="str">
        <f>IF(AND(BD123="",BD130=""),"",IF(AND(BD123="G",BD130="P"),BE123,IF(AND(BD130="G",BD123="P"),BE130,"Corregir ganador y perdedor")))</f>
        <v/>
      </c>
      <c r="BB126" s="417"/>
      <c r="BC126" s="417"/>
      <c r="BD126" s="417"/>
      <c r="BE126" s="424" t="str">
        <f>IF(OR(BE123="",BE130=""),"",IF(OR(BE123="Bye",BE130="Bye"),0,IF(AND(BD123="",BD130=""),"",IF(AND(BD123="G",BD130="P"),IF(BH124&gt;=BH129,VLOOKUP(ABS(BH124-BH129),Point_dif,2,TRUE),VLOOKUP(ABS(BH124-BH129),Point_dif,3,TRUE)),IF(AND(BD123="P",BD130="G"),IF(BH129&gt;=BH124,VLOOKUP(ABS(BH124-BH129),Point_dif,2,TRUE),VLOOKUP(ABS(BH124-BH129),Point_dif,3,TRUE)))))))</f>
        <v/>
      </c>
      <c r="BF126" s="421" t="s">
        <v>170</v>
      </c>
      <c r="BG126" s="281"/>
      <c r="BH126" s="413" t="str">
        <f>IF(Llave=128,BH114+1,"")</f>
        <v/>
      </c>
      <c r="BI126" s="192"/>
      <c r="BJ126" s="192"/>
      <c r="BK126" s="192"/>
      <c r="BL126" s="192"/>
      <c r="BM126" s="192"/>
      <c r="BN126" s="192"/>
      <c r="BO126" s="192"/>
      <c r="BP126" s="181"/>
      <c r="BQ126" s="181">
        <f>IF(BS126="Bye",1,MAX(BQ$8:BQ125)+1)</f>
        <v>119</v>
      </c>
      <c r="BR126" s="314" t="str">
        <f t="shared" si="4"/>
        <v/>
      </c>
      <c r="BS126" s="181" t="str">
        <f>IF(Llave=128,IF(OR(BK134="Bye",BK137="Bye"),"Bye",IF(BI134="P",BK134,IF(BI137="P",BK137,""))),"")</f>
        <v/>
      </c>
      <c r="BT126" s="181" t="b">
        <f>IF(Llave&lt;128,"",IF(Llave=128,IF(OR(BK134="Bye",BK137="Bye"),"",IF(BI134="P",BJ134,IF(BI137="P",BJ137,"")))))</f>
        <v>0</v>
      </c>
    </row>
    <row r="127" spans="2:74" x14ac:dyDescent="0.3">
      <c r="B127" s="192"/>
      <c r="C127" s="192"/>
      <c r="D127" s="192"/>
      <c r="E127" s="192"/>
      <c r="F127" s="192"/>
      <c r="G127" s="272" t="s">
        <v>259</v>
      </c>
      <c r="H127" s="192"/>
      <c r="I127" s="413"/>
      <c r="J127" s="192"/>
      <c r="K127" s="414"/>
      <c r="L127" s="415"/>
      <c r="M127" s="283" t="str">
        <f>IF(M126=I123,I124,IF(M126=I130,I129,""))</f>
        <v/>
      </c>
      <c r="N127" s="423" t="str">
        <f>IF(ISNUMBER(M127),VLOOKUP(M126,Siembra,2,FALSE),"")</f>
        <v/>
      </c>
      <c r="O127" s="423"/>
      <c r="P127" s="278" t="str">
        <f>IF(Llave=4,IF(M123="G",L124,L129),IF(M126="","",IF(Q126="G",IF(M126=I123,L124+P132,L129+P132),IF(Q126="P",IF(M126=I123,L124-P132,L129-P132),""))))</f>
        <v/>
      </c>
      <c r="Q127" s="192"/>
      <c r="R127" s="192"/>
      <c r="S127" s="192"/>
      <c r="T127" s="287"/>
      <c r="U127" s="192"/>
      <c r="V127" s="192"/>
      <c r="W127" s="192"/>
      <c r="X127" s="287"/>
      <c r="Y127" s="192"/>
      <c r="Z127" s="192"/>
      <c r="AA127" s="192"/>
      <c r="AB127" s="287"/>
      <c r="AC127" s="192"/>
      <c r="AD127" s="192"/>
      <c r="AE127" s="192"/>
      <c r="AF127" s="192"/>
      <c r="AG127" s="192"/>
      <c r="AH127" s="192"/>
      <c r="AI127" s="192"/>
      <c r="AJ127" s="192"/>
      <c r="AK127" s="192"/>
      <c r="AL127" s="192"/>
      <c r="AM127" s="192"/>
      <c r="AN127" s="192"/>
      <c r="AO127" s="289"/>
      <c r="AP127" s="192"/>
      <c r="AQ127" s="192"/>
      <c r="AR127" s="192"/>
      <c r="AS127" s="289"/>
      <c r="AT127" s="192"/>
      <c r="AU127" s="192"/>
      <c r="AV127" s="192"/>
      <c r="AW127" s="289"/>
      <c r="AX127" s="192"/>
      <c r="AY127" s="192"/>
      <c r="AZ127" s="192"/>
      <c r="BA127" s="279" t="str">
        <f>IF(BA126="","",IF(AZ126="G",IF(BA126=BE123,BE124+BA132,BE129+BA132),IF(AZ126="P",IF(BA126=BE123,BE124-BA132,BE129-BA132),"")))</f>
        <v/>
      </c>
      <c r="BB127" s="423" t="str">
        <f>IF(ISNUMBER(BA127),VLOOKUP(BA126,Siembra,2,FALSE),"")</f>
        <v/>
      </c>
      <c r="BC127" s="423"/>
      <c r="BD127" s="285" t="str">
        <f>IF(BA126=BE123,BH124,IF(BA126=BE130,BH129,""))</f>
        <v/>
      </c>
      <c r="BE127" s="424"/>
      <c r="BF127" s="421"/>
      <c r="BG127" s="281"/>
      <c r="BH127" s="413"/>
      <c r="BI127" s="273"/>
      <c r="BJ127" s="274" t="s">
        <v>260</v>
      </c>
      <c r="BK127" s="192"/>
      <c r="BL127" s="192"/>
      <c r="BM127" s="192"/>
      <c r="BN127" s="192"/>
      <c r="BO127" s="192"/>
      <c r="BP127" s="181"/>
      <c r="BQ127" s="181">
        <f>IF(BS127="Bye",1,MAX(BQ$8:BQ126)+1)</f>
        <v>120</v>
      </c>
      <c r="BR127" s="314" t="str">
        <f t="shared" si="4"/>
        <v/>
      </c>
      <c r="BS127" s="181" t="str">
        <f>IF(Llave=128,IF(OR(BK140="Bye",BK143="Bye"),"Bye",IF(BI140="P",BK140,IF(BI143="P",BK143,""))),"")</f>
        <v/>
      </c>
      <c r="BT127" s="181" t="b">
        <f>IF(Llave&lt;128,"",IF(Llave=128,IF(OR(BK140="Bye",BK143="Bye"),"",IF(BI140="P",BJ140,IF(BI143="P",BJ143,"")))))</f>
        <v>0</v>
      </c>
    </row>
    <row r="128" spans="2:74" x14ac:dyDescent="0.3">
      <c r="B128" s="192">
        <f>B125+1</f>
        <v>43</v>
      </c>
      <c r="C128" s="192" t="str">
        <f>IF(Llave="","",IF(Llave&gt;1,IF(OR(Plyrs_val=Tot_Jug,Groups*2=Plyrs_val),HLOOKUP(Plyrs_val,Knockout,B128+1,FALSE)),""))</f>
        <v/>
      </c>
      <c r="D128" s="411" t="str">
        <f>IF(Llave="","",IF(Llave&gt;1,IF(C128="Bye","Bye",IF(OR(Plyrs_val=Tot_Jug,Groups*2=Plyrs_val),VLOOKUP(C128,Dist_Llav,4,FALSE),"")),""))</f>
        <v/>
      </c>
      <c r="E128" s="411"/>
      <c r="F128" s="411"/>
      <c r="G128" s="192" t="str">
        <f>IF(D128="","",IF(D128="Bye",0,IF(D131="Bye",E129,IF(H128="G",E129+G129,IF(H128="P",E129-G129,"")))))</f>
        <v/>
      </c>
      <c r="H128" s="166"/>
      <c r="I128" s="192"/>
      <c r="J128" s="192"/>
      <c r="K128" s="192"/>
      <c r="L128" s="287"/>
      <c r="M128" s="192"/>
      <c r="N128" s="192"/>
      <c r="O128" s="192"/>
      <c r="P128" s="287"/>
      <c r="Q128" s="192"/>
      <c r="R128" s="192"/>
      <c r="S128" s="192"/>
      <c r="T128" s="287"/>
      <c r="U128" s="192"/>
      <c r="V128" s="192"/>
      <c r="W128" s="192"/>
      <c r="X128" s="287"/>
      <c r="Y128" s="192"/>
      <c r="Z128" s="192"/>
      <c r="AA128" s="192"/>
      <c r="AB128" s="287"/>
      <c r="AC128" s="192"/>
      <c r="AD128" s="192"/>
      <c r="AE128" s="192"/>
      <c r="AF128" s="192"/>
      <c r="AG128" s="192"/>
      <c r="AH128" s="192"/>
      <c r="AI128" s="192"/>
      <c r="AJ128" s="192"/>
      <c r="AK128" s="192"/>
      <c r="AL128" s="192"/>
      <c r="AM128" s="192"/>
      <c r="AN128" s="192"/>
      <c r="AO128" s="289"/>
      <c r="AP128" s="192"/>
      <c r="AQ128" s="192"/>
      <c r="AR128" s="192"/>
      <c r="AS128" s="289"/>
      <c r="AT128" s="192"/>
      <c r="AU128" s="192"/>
      <c r="AV128" s="192"/>
      <c r="AW128" s="289"/>
      <c r="AX128" s="192"/>
      <c r="AY128" s="192"/>
      <c r="AZ128" s="192"/>
      <c r="BA128" s="289"/>
      <c r="BB128" s="192"/>
      <c r="BC128" s="192"/>
      <c r="BD128" s="192"/>
      <c r="BE128" s="289"/>
      <c r="BF128" s="192"/>
      <c r="BG128" s="192"/>
      <c r="BH128" s="192"/>
      <c r="BI128" s="166"/>
      <c r="BJ128" s="192" t="str">
        <f>IF(BK128="","",IF(BK128="Bye",0,IF(BK131="Bye",BL129,IF(BI128="G",BL129+BJ129,IF(BI128="P",BL129-BJ129,"")))))</f>
        <v/>
      </c>
      <c r="BK128" s="411" t="str">
        <f>IF(Llave="","",IF(Llave&gt;1,IF(BN128="Bye","Bye",IF(OR(Plyrs_val=Tot_Jug,Groups*2=Plyrs_val),VLOOKUP(BN128,Dist_Llav,4,FALSE),"")),""))</f>
        <v/>
      </c>
      <c r="BL128" s="411"/>
      <c r="BM128" s="411"/>
      <c r="BN128" s="229" t="str">
        <f>IF(Llave=128,IF(OR(Plyrs_val=Tot_Jug,Groups*2=Plyrs_val),HLOOKUP(Plyrs_val,Knockout,BO128+1,FALSE)),"")</f>
        <v/>
      </c>
      <c r="BO128" s="229">
        <f>BO125+1</f>
        <v>107</v>
      </c>
      <c r="BP128" s="181"/>
      <c r="BQ128" s="181">
        <f>IF(BS128="Bye",1,MAX(BQ$8:BQ127)+1)</f>
        <v>121</v>
      </c>
      <c r="BR128" s="314" t="str">
        <f t="shared" si="4"/>
        <v/>
      </c>
      <c r="BS128" s="181" t="str">
        <f>IF(Llave=128,IF(OR(BK146="Bye",BK149="Bye"),"Bye",IF(BI146="P",BK146,IF(BI149="P",BK149,""))),"")</f>
        <v/>
      </c>
      <c r="BT128" s="181" t="b">
        <f>IF(Llave&lt;128,"",IF(Llave=128,IF(OR(BK146="Bye",BK149="Bye"),"",IF(BI146="P",BJ146,IF(BI149="P",BJ149,"")))))</f>
        <v>0</v>
      </c>
    </row>
    <row r="129" spans="2:74" x14ac:dyDescent="0.3">
      <c r="B129" s="413" t="str">
        <f>IF(Llave="","",B123+1)</f>
        <v/>
      </c>
      <c r="C129" s="192"/>
      <c r="D129" s="229" t="str">
        <f>IF(D128="","",IF(ISTEXT(D128),IF(D128="","",IF(D128="Bye",0,VLOOKUP(D128,Rank_Points,3,FALSE)))))</f>
        <v/>
      </c>
      <c r="E129" s="192" t="str">
        <f>IF(D128&lt;&gt;"",IF(D128="","",IF(D128="BYE",0,IF(ISTEXT(D128),VLOOKUP(C128,Dist_Llav,6,FALSE),""))),"")</f>
        <v/>
      </c>
      <c r="F129" s="414" t="s">
        <v>170</v>
      </c>
      <c r="G129" s="418" t="str">
        <f>IF(OR(D128="",D131=""),"",IF(OR(D128="Bye",D131="Bye"),0,IF(AND(H128="",H131=""),"",IF(AND(H128="G",H131="P"),IF(D129&gt;=D130,VLOOKUP(ABS(D129-D130),Point_dif,2,TRUE),VLOOKUP(ABS(D129-D130),Point_dif,3,TRUE)),IF(AND(H128="P",H131="G"),IF(D130&gt;=D129,VLOOKUP(ABS(D129-D130),Point_dif,2,TRUE),VLOOKUP(ABS(D129-D130),Point_dif,3,TRUE)))))))</f>
        <v/>
      </c>
      <c r="H129" s="278"/>
      <c r="I129" s="275" t="str">
        <f>IF(I130=D128,D129,IF(I130=D131,D130,""))</f>
        <v/>
      </c>
      <c r="J129" s="417" t="str">
        <f>IF(ISNUMBER(I129),VLOOKUP(I130,Siembra,2,FALSE),"")</f>
        <v/>
      </c>
      <c r="K129" s="417"/>
      <c r="L129" s="282" t="str">
        <f>IF(I130="","",IF(M130="G",IF(I130=D128,G128+L126,G131+L126),IF(M130="P",IF(I130=D128,G128-L126,G131-L126),"")))</f>
        <v/>
      </c>
      <c r="M129" s="192"/>
      <c r="N129" s="192"/>
      <c r="O129" s="192"/>
      <c r="P129" s="287"/>
      <c r="Q129" s="192"/>
      <c r="R129" s="192"/>
      <c r="S129" s="192"/>
      <c r="T129" s="287"/>
      <c r="U129" s="192"/>
      <c r="V129" s="192"/>
      <c r="W129" s="192"/>
      <c r="X129" s="287"/>
      <c r="Y129" s="192"/>
      <c r="Z129" s="192"/>
      <c r="AA129" s="192"/>
      <c r="AB129" s="287"/>
      <c r="AC129" s="192"/>
      <c r="AD129" s="192"/>
      <c r="AE129" s="192"/>
      <c r="AF129" s="192"/>
      <c r="AG129" s="192"/>
      <c r="AH129" s="192"/>
      <c r="AI129" s="192"/>
      <c r="AJ129" s="192"/>
      <c r="AK129" s="192"/>
      <c r="AL129" s="192"/>
      <c r="AM129" s="192"/>
      <c r="AN129" s="192"/>
      <c r="AO129" s="289"/>
      <c r="AP129" s="192"/>
      <c r="AQ129" s="192"/>
      <c r="AR129" s="192"/>
      <c r="AS129" s="289"/>
      <c r="AT129" s="192"/>
      <c r="AU129" s="192"/>
      <c r="AV129" s="192"/>
      <c r="AW129" s="289"/>
      <c r="AX129" s="192"/>
      <c r="AY129" s="192"/>
      <c r="AZ129" s="192"/>
      <c r="BA129" s="289"/>
      <c r="BB129" s="192"/>
      <c r="BC129" s="192"/>
      <c r="BD129" s="192"/>
      <c r="BE129" s="286" t="str">
        <f>IF(BE130="","",IF(BD130="G",IF(BE130=BK128,BJ128+BE126,BJ131+BE126),IF(BD130="P",IF(BE130=BK128,BJ128-BE126,BJ131-BE126),"")))</f>
        <v/>
      </c>
      <c r="BF129" s="417" t="str">
        <f>IF(ISNUMBER(BE129),VLOOKUP(BE130,Siembra,2,FALSE),"")</f>
        <v/>
      </c>
      <c r="BG129" s="417"/>
      <c r="BH129" s="282" t="str">
        <f>IF(BE130=BK128,BM129,IF(BE130=BK131,BM130,""))</f>
        <v/>
      </c>
      <c r="BI129" s="279"/>
      <c r="BJ129" s="418" t="str">
        <f>IF(OR(BK128="",BK131=""),"",IF(OR(BK128="Bye",BK131="Bye"),0,IF(AND(BI128="",BI131=""),"",IF(AND(BI128="G",BI131="P"),IF(BM129&gt;=BM130,VLOOKUP(ABS(BM129-BM130),Point_dif,2,TRUE),VLOOKUP(ABS(BM129-BM130),Point_dif,3,TRUE)),IF(AND(BI128="P",BI131="G"),IF(BM130&gt;=BM129,VLOOKUP(ABS(BM129-BM130),Point_dif,2,TRUE),VLOOKUP(ABS(BM129-BM130),Point_dif,3,TRUE)))))))</f>
        <v/>
      </c>
      <c r="BK129" s="420" t="s">
        <v>170</v>
      </c>
      <c r="BL129" s="229" t="str">
        <f>IF(BK128&lt;&gt;"",IF(BK128="","",IF(BK128="BYE",0,IF(ISTEXT(BK128),VLOOKUP(BN128,Dist_Llav,6,FALSE),""))),"")</f>
        <v/>
      </c>
      <c r="BM129" s="280" t="str">
        <f>IF(BK128="","",IF(ISTEXT(BK128),IF(BK128="","",IF(BK128="Bye",0,VLOOKUP(BK128,Rank_Points,3,FALSE)))))</f>
        <v/>
      </c>
      <c r="BN129" s="422"/>
      <c r="BO129" s="422" t="str">
        <f>IF(Llave=128,BO123+1,"")</f>
        <v/>
      </c>
      <c r="BP129" s="181"/>
      <c r="BQ129" s="181">
        <f>IF(BS129="Bye",1,MAX(BQ$8:BQ128)+1)</f>
        <v>122</v>
      </c>
      <c r="BR129" s="314" t="str">
        <f t="shared" si="4"/>
        <v/>
      </c>
      <c r="BS129" s="181" t="str">
        <f>IF(Llave=128,IF(OR(BK152="Bye",BK155="Bye"),"Bye",IF(BI152="P",BK152,IF(BI155="P",BK155,""))),"")</f>
        <v/>
      </c>
      <c r="BT129" s="181" t="b">
        <f>IF(Llave&lt;128,"",IF(Llave=128,IF(OR(BK152="Bye",BK155="Bye"),"",IF(BI152="P",BJ152,IF(BI155="P",BJ155,"")))))</f>
        <v>0</v>
      </c>
    </row>
    <row r="130" spans="2:74" x14ac:dyDescent="0.3">
      <c r="B130" s="413"/>
      <c r="C130" s="192"/>
      <c r="D130" s="229" t="str">
        <f>IF(D131="","",IF(ISTEXT(D131),IF(D131="","",IF(D131="Bye",0,VLOOKUP(D131,Rank_Points,3,FALSE)))))</f>
        <v/>
      </c>
      <c r="E130" s="192" t="str">
        <f>IF(D131&lt;&gt;"",IF(D131="","",IF(D131="BYE",0,IF(ISTEXT(D131),VLOOKUP(C131,Dist_Llav,6,FALSE),""))),"")</f>
        <v/>
      </c>
      <c r="F130" s="414"/>
      <c r="G130" s="419"/>
      <c r="H130" s="282"/>
      <c r="I130" s="425" t="str">
        <f>IF(D128="Bye",D131,IF(D131="Bye",D128,IF(AND(H128="",H131=""),"",IF(AND(H128="G",H131="P"),D128,IF(AND(H131="G",H128="P"),D131,"Corregir ganador y perdedor")))))</f>
        <v/>
      </c>
      <c r="J130" s="423"/>
      <c r="K130" s="423"/>
      <c r="L130" s="423"/>
      <c r="M130" s="167"/>
      <c r="N130" s="192"/>
      <c r="O130" s="192"/>
      <c r="P130" s="287"/>
      <c r="Q130" s="192"/>
      <c r="R130" s="192"/>
      <c r="S130" s="192"/>
      <c r="T130" s="287"/>
      <c r="U130" s="192"/>
      <c r="V130" s="192"/>
      <c r="W130" s="192"/>
      <c r="X130" s="287"/>
      <c r="Y130" s="192"/>
      <c r="Z130" s="192"/>
      <c r="AA130" s="192"/>
      <c r="AB130" s="287"/>
      <c r="AC130" s="192"/>
      <c r="AD130" s="192"/>
      <c r="AE130" s="192"/>
      <c r="AF130" s="192"/>
      <c r="AG130" s="192"/>
      <c r="AH130" s="192"/>
      <c r="AI130" s="192"/>
      <c r="AJ130" s="192"/>
      <c r="AK130" s="192"/>
      <c r="AL130" s="192"/>
      <c r="AM130" s="192"/>
      <c r="AN130" s="192"/>
      <c r="AO130" s="289"/>
      <c r="AP130" s="192"/>
      <c r="AQ130" s="192"/>
      <c r="AR130" s="192"/>
      <c r="AS130" s="289"/>
      <c r="AT130" s="192"/>
      <c r="AU130" s="192"/>
      <c r="AV130" s="192"/>
      <c r="AW130" s="289"/>
      <c r="AX130" s="192"/>
      <c r="AY130" s="192"/>
      <c r="AZ130" s="192"/>
      <c r="BA130" s="289"/>
      <c r="BB130" s="192"/>
      <c r="BC130" s="192"/>
      <c r="BD130" s="166"/>
      <c r="BE130" s="423" t="str">
        <f>IF(BK131="Bye",BK128,IF(BK128="Bye",BK131,IF(AND(BI128="",BI131=""),"",IF(AND(BI128="G",BI131="P"),BK128,IF(AND(BI131="G",BI128="P"),BK131,"Corregir ganador y perdedor")))))</f>
        <v/>
      </c>
      <c r="BF130" s="423"/>
      <c r="BG130" s="423"/>
      <c r="BH130" s="426"/>
      <c r="BI130" s="286"/>
      <c r="BJ130" s="419"/>
      <c r="BK130" s="421"/>
      <c r="BL130" s="229" t="str">
        <f>IF(BK131&lt;&gt;"",IF(BK131="","",IF(BK131="BYE",0,IF(ISTEXT(BK131),VLOOKUP(BN131,Dist_Llav,6,FALSE),""))),"")</f>
        <v/>
      </c>
      <c r="BM130" s="280" t="str">
        <f>IF(BK131="","",IF(ISTEXT(BK131),IF(BK131="","",IF(BK131="Bye",0,VLOOKUP(BK131,Rank_Points,3,FALSE)))))</f>
        <v/>
      </c>
      <c r="BN130" s="422"/>
      <c r="BO130" s="422"/>
      <c r="BP130" s="181"/>
      <c r="BQ130" s="181">
        <f>IF(BS130="Bye",1,MAX(BQ$8:BQ129)+1)</f>
        <v>123</v>
      </c>
      <c r="BR130" s="314" t="str">
        <f t="shared" si="4"/>
        <v/>
      </c>
      <c r="BS130" s="181" t="str">
        <f>IF(Llave=128,IF(OR(BK158="Bye",BK161="Bye"),"Bye",IF(BI158="P",BK158,IF(BI161="P",BK161,""))),"")</f>
        <v/>
      </c>
      <c r="BT130" s="181" t="b">
        <f>IF(Llave&lt;128,"",IF(Llave=128,IF(OR(BK158="Bye",BK161="Bye"),"",IF(BI158="P",BJ158,IF(BI161="P",BJ161,"")))))</f>
        <v>0</v>
      </c>
    </row>
    <row r="131" spans="2:74" x14ac:dyDescent="0.3">
      <c r="B131" s="192">
        <f>B128+1</f>
        <v>44</v>
      </c>
      <c r="C131" s="192" t="str">
        <f>IF(Llave="","",IF(Llave&gt;1,IF(OR(Plyrs_val=Tot_Jug,Groups*2=Plyrs_val),HLOOKUP(Plyrs_val,Knockout,B131+1,FALSE)),""))</f>
        <v/>
      </c>
      <c r="D131" s="412" t="str">
        <f>IF(Llave="","",IF(Llave&gt;1,IF(C131="Bye","Bye",IF(OR(Plyrs_val=Tot_Jug,Groups*2=Plyrs_val),VLOOKUP(C131,Dist_Llav,4,FALSE),"")),""))</f>
        <v/>
      </c>
      <c r="E131" s="412"/>
      <c r="F131" s="412"/>
      <c r="G131" s="192" t="str">
        <f>IF(D131="","",IF(D131="Bye",0,IF(D128="Bye",E130,IF(H131="G",E130+G129,IF(H131="P",E130-G129,"")))))</f>
        <v/>
      </c>
      <c r="H131" s="166"/>
      <c r="I131" s="192"/>
      <c r="J131" s="192"/>
      <c r="K131" s="192"/>
      <c r="L131" s="192"/>
      <c r="M131" s="192"/>
      <c r="N131" s="192"/>
      <c r="O131" s="192"/>
      <c r="P131" s="287"/>
      <c r="Q131" s="192"/>
      <c r="R131" s="192"/>
      <c r="S131" s="192"/>
      <c r="T131" s="287"/>
      <c r="U131" s="192"/>
      <c r="V131" s="192"/>
      <c r="W131" s="192"/>
      <c r="X131" s="287"/>
      <c r="Y131" s="192"/>
      <c r="Z131" s="192"/>
      <c r="AA131" s="192"/>
      <c r="AB131" s="287"/>
      <c r="AC131" s="192"/>
      <c r="AD131" s="192"/>
      <c r="AE131" s="192"/>
      <c r="AF131" s="192"/>
      <c r="AG131" s="192"/>
      <c r="AH131" s="192"/>
      <c r="AI131" s="192"/>
      <c r="AJ131" s="192"/>
      <c r="AK131" s="192"/>
      <c r="AL131" s="192"/>
      <c r="AM131" s="192"/>
      <c r="AN131" s="192"/>
      <c r="AO131" s="289"/>
      <c r="AP131" s="192"/>
      <c r="AQ131" s="192"/>
      <c r="AR131" s="192"/>
      <c r="AS131" s="289"/>
      <c r="AT131" s="192"/>
      <c r="AU131" s="192"/>
      <c r="AV131" s="192"/>
      <c r="AW131" s="289"/>
      <c r="AX131" s="192"/>
      <c r="AY131" s="192"/>
      <c r="AZ131" s="192"/>
      <c r="BA131" s="289"/>
      <c r="BB131" s="192"/>
      <c r="BC131" s="192"/>
      <c r="BD131" s="192"/>
      <c r="BE131" s="192"/>
      <c r="BF131" s="192"/>
      <c r="BG131" s="192"/>
      <c r="BH131" s="192"/>
      <c r="BI131" s="166"/>
      <c r="BJ131" s="284" t="str">
        <f>IF(BK131="","",IF(BK131="Bye",0,IF(BK128="Bye",BL130,IF(BI131="G",BL130+BJ129,IF(BI131="P",BL130-BJ129,"")))))</f>
        <v/>
      </c>
      <c r="BK131" s="412" t="str">
        <f>IF(Llave="","",IF(Llave&gt;1,IF(BN131="Bye","Bye",IF(OR(Plyrs_val=Tot_Jug,Groups*2=Plyrs_val),VLOOKUP(BN131,Dist_Llav,4,FALSE),"")),""))</f>
        <v/>
      </c>
      <c r="BL131" s="412"/>
      <c r="BM131" s="412"/>
      <c r="BN131" s="229" t="str">
        <f>IF(Llave=128,IF(OR(Plyrs_val=Tot_Jug,Groups*2=Plyrs_val),HLOOKUP(Plyrs_val,Knockout,BO131+1,FALSE)),"")</f>
        <v/>
      </c>
      <c r="BO131" s="229">
        <f>BO128+1</f>
        <v>108</v>
      </c>
      <c r="BP131" s="181"/>
      <c r="BQ131" s="181">
        <f>IF(BS131="Bye",1,MAX(BQ$8:BQ130)+1)</f>
        <v>124</v>
      </c>
      <c r="BR131" s="314" t="str">
        <f t="shared" si="4"/>
        <v/>
      </c>
      <c r="BS131" s="181" t="str">
        <f>IF(Llave=128,IF(OR(BK164="Bye",BK167="Bye"),"Bye",IF(BI164="P",BK164,IF(BI167="P",BK167,""))),"")</f>
        <v/>
      </c>
      <c r="BT131" s="181" t="b">
        <f>IF(Llave&lt;128,"",IF(Llave=128,IF(OR(BK164="Bye",BK167="Bye"),"",IF(BI164="P",BJ164,IF(BI167="P",BJ167,"")))))</f>
        <v>0</v>
      </c>
    </row>
    <row r="132" spans="2:74" x14ac:dyDescent="0.3">
      <c r="B132" s="192"/>
      <c r="C132" s="192"/>
      <c r="D132" s="192"/>
      <c r="E132" s="192"/>
      <c r="F132" s="192"/>
      <c r="G132" s="192"/>
      <c r="H132" s="192"/>
      <c r="I132" s="192"/>
      <c r="J132" s="192"/>
      <c r="K132" s="192"/>
      <c r="L132" s="192"/>
      <c r="M132" s="181"/>
      <c r="N132" s="413" t="str">
        <f>IF(Llave="","",N108+1)</f>
        <v/>
      </c>
      <c r="O132" s="413" t="s">
        <v>170</v>
      </c>
      <c r="P132" s="415" t="str">
        <f>IF(OR(M126="",M139=""),"",IF(OR(M126="Bye",M139="Bye"),0,IF(AND(Q126="",Q139=""),"",IF(AND(Q126="G",Q139="P"),IF(M127&gt;=M138,VLOOKUP(ABS(M127-M138),Point_dif,2,TRUE),VLOOKUP(ABS(M127-M138),Point_dif,3,TRUE)),IF(AND(Q126="P",Q139="G"),IF(M138&gt;=M127,VLOOKUP(ABS(M127-M138),Point_dif,2,TRUE),VLOOKUP(ABS(M127-M138),Point_dif,3,TRUE)))))))</f>
        <v/>
      </c>
      <c r="Q132" s="275" t="str">
        <f>IF(Q133=M126,M127,IF(Q133=M139,M138,""))</f>
        <v/>
      </c>
      <c r="R132" s="417" t="str">
        <f>IF(ISNUMBER(Q132),VLOOKUP(Q133,Siembra,2,FALSE),"")</f>
        <v/>
      </c>
      <c r="S132" s="417"/>
      <c r="T132" s="282" t="str">
        <f>IF(Q133="","",IF(U133="G",IF(Q133=M126,P127+T120,P138+T120),IF(U133="P",IF(Q133=M126,P127-T120,P138-T120),"")))</f>
        <v/>
      </c>
      <c r="U132" s="192"/>
      <c r="V132" s="192"/>
      <c r="W132" s="192"/>
      <c r="X132" s="287"/>
      <c r="Y132" s="192"/>
      <c r="Z132" s="192"/>
      <c r="AA132" s="192"/>
      <c r="AB132" s="287"/>
      <c r="AC132" s="192"/>
      <c r="AD132" s="192"/>
      <c r="AE132" s="192"/>
      <c r="AF132" s="192"/>
      <c r="AG132" s="192"/>
      <c r="AH132" s="192"/>
      <c r="AI132" s="192"/>
      <c r="AJ132" s="192"/>
      <c r="AK132" s="192"/>
      <c r="AL132" s="192"/>
      <c r="AM132" s="192"/>
      <c r="AN132" s="192"/>
      <c r="AO132" s="289"/>
      <c r="AP132" s="192"/>
      <c r="AQ132" s="192"/>
      <c r="AR132" s="192"/>
      <c r="AS132" s="289"/>
      <c r="AT132" s="192"/>
      <c r="AU132" s="192"/>
      <c r="AV132" s="192"/>
      <c r="AW132" s="286" t="str">
        <f>IF(AW133="","",IF(AV133="G",IF(AW133=BA126,BA127+AW120,BA138+AW120),IF(AV133="P",IF(AW133=BA126,BA127-AW120,BA138-AW120),"")))</f>
        <v/>
      </c>
      <c r="AX132" s="417" t="str">
        <f>IF(ISNUMBER(AW132),VLOOKUP(AW133,Siembra,2,FALSE),"")</f>
        <v/>
      </c>
      <c r="AY132" s="417"/>
      <c r="AZ132" s="282" t="str">
        <f>IF(AW133=BA126,BD127,IF(AW133=BA139,BD138,""))</f>
        <v/>
      </c>
      <c r="BA132" s="424" t="str">
        <f>IF(OR(BA126="",BA139=""),"",IF(OR(BA126="Bye",BA139="Bye"),0,IF(AND(AZ126="",AZ139=""),"",IF(AND(AZ126="G",AZ139="P"),IF(BD127&gt;=BD138,VLOOKUP(ABS(BD127-BD138),Point_dif,2,TRUE),VLOOKUP(ABS(BD127-BD138),Point_dif,3,TRUE)),IF(AND(AZ126="P",AZ139="G"),IF(BD138&gt;=BD127,VLOOKUP(ABS(BD127-BD138),Point_dif,2,TRUE),VLOOKUP(ABS(BD127-BD138),Point_dif,3,TRUE)))))))</f>
        <v/>
      </c>
      <c r="BB132" s="421" t="s">
        <v>170</v>
      </c>
      <c r="BC132" s="413" t="str">
        <f>IF(Llave=128,BC108+1,"")</f>
        <v/>
      </c>
      <c r="BD132" s="181"/>
      <c r="BE132" s="192"/>
      <c r="BF132" s="192"/>
      <c r="BG132" s="192"/>
      <c r="BH132" s="192"/>
      <c r="BI132" s="192"/>
      <c r="BJ132" s="192"/>
      <c r="BK132" s="192"/>
      <c r="BL132" s="192"/>
      <c r="BM132" s="192"/>
      <c r="BN132" s="192"/>
      <c r="BO132" s="192"/>
      <c r="BP132" s="181"/>
      <c r="BQ132" s="181">
        <f>IF(BS132="Bye",1,MAX(BQ$8:BQ131)+1)</f>
        <v>125</v>
      </c>
      <c r="BR132" s="314" t="str">
        <f t="shared" si="4"/>
        <v/>
      </c>
      <c r="BS132" s="181" t="str">
        <f>IF(Llave=128,IF(OR(BK170="Bye",BK173="Bye"),"Bye",IF(BI170="P",BK170,IF(BI173="P",BK173,""))),"")</f>
        <v/>
      </c>
      <c r="BT132" s="181" t="b">
        <f>IF(Llave&lt;128,"",IF(Llave=128,IF(OR(BK170="Bye",BK173="Bye"),"",IF(BI170="P",BJ170,IF(BI173="P",BJ173,"")))))</f>
        <v>0</v>
      </c>
    </row>
    <row r="133" spans="2:74" x14ac:dyDescent="0.3">
      <c r="B133" s="192"/>
      <c r="C133" s="192"/>
      <c r="D133" s="192"/>
      <c r="E133" s="192"/>
      <c r="F133" s="192"/>
      <c r="G133" s="272" t="s">
        <v>261</v>
      </c>
      <c r="H133" s="192"/>
      <c r="I133" s="192"/>
      <c r="J133" s="192"/>
      <c r="K133" s="192"/>
      <c r="L133" s="192"/>
      <c r="M133" s="181"/>
      <c r="N133" s="413"/>
      <c r="O133" s="413"/>
      <c r="P133" s="415"/>
      <c r="Q133" s="425" t="str">
        <f>IF(AND(Q126="",Q139=""),"",IF(AND(Q126="G",Q139="P"),M126,IF(AND(Q139="G",Q126="P"),M139,"Corregir ganador y perdedor")))</f>
        <v/>
      </c>
      <c r="R133" s="423"/>
      <c r="S133" s="423"/>
      <c r="T133" s="423"/>
      <c r="U133" s="167"/>
      <c r="V133" s="192"/>
      <c r="W133" s="192"/>
      <c r="X133" s="287"/>
      <c r="Y133" s="192"/>
      <c r="Z133" s="192"/>
      <c r="AA133" s="192"/>
      <c r="AB133" s="287"/>
      <c r="AC133" s="192"/>
      <c r="AD133" s="192"/>
      <c r="AE133" s="192"/>
      <c r="AF133" s="192"/>
      <c r="AG133" s="192"/>
      <c r="AH133" s="192"/>
      <c r="AI133" s="192"/>
      <c r="AJ133" s="192"/>
      <c r="AK133" s="192"/>
      <c r="AL133" s="192"/>
      <c r="AM133" s="192"/>
      <c r="AN133" s="192"/>
      <c r="AO133" s="289"/>
      <c r="AP133" s="192"/>
      <c r="AQ133" s="192"/>
      <c r="AR133" s="192"/>
      <c r="AS133" s="289"/>
      <c r="AT133" s="192"/>
      <c r="AU133" s="192"/>
      <c r="AV133" s="167"/>
      <c r="AW133" s="423" t="str">
        <f>IF(AND(AZ126="",AZ139=""),"",IF(AND(AZ126="G",AZ139="P"),BA126,IF(AND(AZ139="G",AZ126="P"),BA139,"Corregir ganador y perdedor")))</f>
        <v/>
      </c>
      <c r="AX133" s="423"/>
      <c r="AY133" s="423"/>
      <c r="AZ133" s="426"/>
      <c r="BA133" s="424"/>
      <c r="BB133" s="421"/>
      <c r="BC133" s="413"/>
      <c r="BD133" s="181"/>
      <c r="BE133" s="192"/>
      <c r="BF133" s="192"/>
      <c r="BG133" s="192"/>
      <c r="BH133" s="192"/>
      <c r="BI133" s="273"/>
      <c r="BJ133" s="274" t="s">
        <v>262</v>
      </c>
      <c r="BK133" s="192"/>
      <c r="BL133" s="192"/>
      <c r="BM133" s="192"/>
      <c r="BN133" s="192"/>
      <c r="BO133" s="192"/>
      <c r="BP133" s="181"/>
      <c r="BQ133" s="181">
        <f>IF(BS133="Bye",1,MAX(BQ$8:BQ132)+1)</f>
        <v>126</v>
      </c>
      <c r="BR133" s="314" t="str">
        <f t="shared" si="4"/>
        <v/>
      </c>
      <c r="BS133" s="181" t="str">
        <f>IF(Llave=128,IF(OR(BK176="Bye",BK179="Bye"),"Bye",IF(BI176="P",BK176,IF(BI179="P",BK179,""))),"")</f>
        <v/>
      </c>
      <c r="BT133" s="181" t="b">
        <f>IF(Llave&lt;128,"",IF(Llave=128,IF(OR(BK176="Bye",BK179="Bye"),"",IF(BI176="P",BJ176,IF(BI179="P",BJ179,"")))))</f>
        <v>0</v>
      </c>
    </row>
    <row r="134" spans="2:74" x14ac:dyDescent="0.3">
      <c r="B134" s="192">
        <f>B131+1</f>
        <v>45</v>
      </c>
      <c r="C134" s="192" t="str">
        <f>IF(Llave="","",IF(Llave&gt;1,IF(OR(Plyrs_val=Tot_Jug,Groups*2=Plyrs_val),HLOOKUP(Plyrs_val,Knockout,B134+1,FALSE)),""))</f>
        <v/>
      </c>
      <c r="D134" s="411" t="str">
        <f>IF(Llave="","",IF(Llave&gt;1,IF(C134="Bye","Bye",IF(OR(Plyrs_val=Tot_Jug,Groups*2=Plyrs_val),VLOOKUP(C134,Dist_Llav,4,FALSE),"")),""))</f>
        <v/>
      </c>
      <c r="E134" s="411"/>
      <c r="F134" s="411"/>
      <c r="G134" s="192" t="str">
        <f>IF(D134="","",IF(D134="Bye",0,IF(D137="Bye",E135,IF(H134="G",E135+G135,IF(H134="P",E135-G135,"")))))</f>
        <v/>
      </c>
      <c r="H134" s="166"/>
      <c r="I134" s="192"/>
      <c r="J134" s="192"/>
      <c r="K134" s="192"/>
      <c r="L134" s="277" t="s">
        <v>263</v>
      </c>
      <c r="M134" s="192"/>
      <c r="N134" s="192"/>
      <c r="O134" s="192"/>
      <c r="P134" s="287"/>
      <c r="Q134" s="192"/>
      <c r="R134" s="192"/>
      <c r="S134" s="192"/>
      <c r="T134" s="192"/>
      <c r="U134" s="192"/>
      <c r="V134" s="192"/>
      <c r="W134" s="192"/>
      <c r="X134" s="287"/>
      <c r="Y134" s="192"/>
      <c r="Z134" s="192"/>
      <c r="AA134" s="192"/>
      <c r="AB134" s="287"/>
      <c r="AC134" s="192"/>
      <c r="AD134" s="192"/>
      <c r="AE134" s="192"/>
      <c r="AF134" s="192"/>
      <c r="AG134" s="192"/>
      <c r="AH134" s="192"/>
      <c r="AI134" s="192"/>
      <c r="AJ134" s="192"/>
      <c r="AK134" s="192"/>
      <c r="AL134" s="192"/>
      <c r="AM134" s="192"/>
      <c r="AN134" s="192"/>
      <c r="AO134" s="289"/>
      <c r="AP134" s="192"/>
      <c r="AQ134" s="192"/>
      <c r="AR134" s="192"/>
      <c r="AS134" s="289"/>
      <c r="AT134" s="192"/>
      <c r="AU134" s="192"/>
      <c r="AV134" s="192"/>
      <c r="AW134" s="192"/>
      <c r="AX134" s="192"/>
      <c r="AY134" s="192"/>
      <c r="AZ134" s="192"/>
      <c r="BA134" s="289"/>
      <c r="BB134" s="192"/>
      <c r="BC134" s="192"/>
      <c r="BD134" s="192"/>
      <c r="BE134" s="274" t="s">
        <v>264</v>
      </c>
      <c r="BF134" s="192"/>
      <c r="BG134" s="192"/>
      <c r="BH134" s="192"/>
      <c r="BI134" s="166"/>
      <c r="BJ134" s="192" t="str">
        <f>IF(BK134="","",IF(BK134="Bye",0,IF(BK137="Bye",BL135,IF(BI134="G",BL135+BJ135,IF(BI134="P",BL135-BJ135,"")))))</f>
        <v/>
      </c>
      <c r="BK134" s="411" t="str">
        <f>IF(Llave="","",IF(Llave&gt;1,IF(BN134="Bye","Bye",IF(OR(Plyrs_val=Tot_Jug,Groups*2=Plyrs_val),VLOOKUP(BN134,Dist_Llav,4,FALSE),"")),""))</f>
        <v/>
      </c>
      <c r="BL134" s="411"/>
      <c r="BM134" s="411"/>
      <c r="BN134" s="229" t="str">
        <f>IF(Llave=128,IF(OR(Plyrs_val=Tot_Jug,Groups*2=Plyrs_val),HLOOKUP(Plyrs_val,Knockout,BO134+1,FALSE)),"")</f>
        <v/>
      </c>
      <c r="BO134" s="229">
        <f>BO131+1</f>
        <v>109</v>
      </c>
      <c r="BP134" s="181"/>
      <c r="BQ134" s="181">
        <f>IF(BS134="Bye",1,MAX(BQ$8:BQ133)+1)</f>
        <v>127</v>
      </c>
      <c r="BR134" s="314" t="str">
        <f t="shared" si="4"/>
        <v/>
      </c>
      <c r="BS134" s="181" t="str">
        <f>IF(Llave=128,IF(OR(BK182="Bye",BK185="Bye"),"Bye",IF(BI182="P",BK182,IF(BI185="P",BK185,""))),"")</f>
        <v/>
      </c>
      <c r="BT134" s="181" t="b">
        <f>IF(Llave&lt;128,"",IF(Llave=128,IF(OR(BK182="Bye",BK185="Bye"),"",IF(BI182="P",BJ182,IF(BI185="P",BJ185,"")))))</f>
        <v>0</v>
      </c>
    </row>
    <row r="135" spans="2:74" x14ac:dyDescent="0.3">
      <c r="B135" s="413" t="str">
        <f>IF(Llave="","",B129+1)</f>
        <v/>
      </c>
      <c r="C135" s="192"/>
      <c r="D135" s="229" t="str">
        <f>IF(D134="","",IF(ISTEXT(D134),IF(D134="","",IF(D134="Bye",0,VLOOKUP(D134,Rank_Points,3,FALSE)))))</f>
        <v/>
      </c>
      <c r="E135" s="192" t="str">
        <f>IF(D134&lt;&gt;"",IF(D134="","",IF(D134="BYE",0,IF(ISTEXT(D134),VLOOKUP(C134,Dist_Llav,6,FALSE),""))),"")</f>
        <v/>
      </c>
      <c r="F135" s="414" t="s">
        <v>170</v>
      </c>
      <c r="G135" s="418" t="str">
        <f>IF(OR(D134="",D137=""),"",IF(OR(D134="Bye",D137="Bye"),0,IF(AND(H134="",H137=""),"",IF(AND(H134="G",H137="P"),IF(D135&gt;=D136,VLOOKUP(ABS(D135-D136),Point_dif,2,TRUE),VLOOKUP(ABS(D135-D136),Point_dif,3,TRUE)),IF(AND(H134="P",H137="G"),IF(D136&gt;=D135,VLOOKUP(ABS(D135-D136),Point_dif,2,TRUE),VLOOKUP(ABS(D135-D136),Point_dif,3,TRUE)))))))</f>
        <v/>
      </c>
      <c r="H135" s="278"/>
      <c r="I135" s="416" t="str">
        <f>IF(D134="Bye",D137,IF(D137="Bye",D134,IF(AND(H134="",H137=""),"",IF(AND(H134="G",H137="P"),D134,IF(AND(H137="G",H134="P"),D137,"Corregir ganador y perdedor")))))</f>
        <v/>
      </c>
      <c r="J135" s="417"/>
      <c r="K135" s="417"/>
      <c r="L135" s="417"/>
      <c r="M135" s="167"/>
      <c r="N135" s="192"/>
      <c r="O135" s="192"/>
      <c r="P135" s="287"/>
      <c r="Q135" s="192"/>
      <c r="R135" s="192"/>
      <c r="S135" s="192"/>
      <c r="T135" s="192"/>
      <c r="U135" s="192"/>
      <c r="V135" s="192"/>
      <c r="W135" s="192"/>
      <c r="X135" s="287"/>
      <c r="Y135" s="192"/>
      <c r="Z135" s="192"/>
      <c r="AA135" s="192"/>
      <c r="AB135" s="287"/>
      <c r="AC135" s="192"/>
      <c r="AD135" s="192"/>
      <c r="AE135" s="192"/>
      <c r="AF135" s="192"/>
      <c r="AG135" s="192"/>
      <c r="AH135" s="192"/>
      <c r="AI135" s="192"/>
      <c r="AJ135" s="192"/>
      <c r="AK135" s="192"/>
      <c r="AL135" s="192"/>
      <c r="AM135" s="192"/>
      <c r="AN135" s="192"/>
      <c r="AO135" s="289"/>
      <c r="AP135" s="192"/>
      <c r="AQ135" s="192"/>
      <c r="AR135" s="192"/>
      <c r="AS135" s="289"/>
      <c r="AT135" s="192"/>
      <c r="AU135" s="192"/>
      <c r="AV135" s="192"/>
      <c r="AW135" s="192"/>
      <c r="AX135" s="192"/>
      <c r="AY135" s="192"/>
      <c r="AZ135" s="192"/>
      <c r="BA135" s="289"/>
      <c r="BB135" s="192"/>
      <c r="BC135" s="192"/>
      <c r="BD135" s="166"/>
      <c r="BE135" s="416" t="str">
        <f>IF(BK137="Bye",BK134,IF(BK134="Bye",BK137,IF(AND(BI134="",BI137=""),"",IF(AND(BI134="G",BI137="P"),BK134,IF(AND(BI137="G",BI134="P"),BK137,"Corregir ganador y perdedor")))))</f>
        <v/>
      </c>
      <c r="BF135" s="417"/>
      <c r="BG135" s="417"/>
      <c r="BH135" s="417"/>
      <c r="BI135" s="279"/>
      <c r="BJ135" s="418" t="str">
        <f>IF(OR(BK134="",BK137=""),"",IF(OR(BK134="Bye",BK137="Bye"),0,IF(AND(BI134="",BI137=""),"",IF(AND(BI134="G",BI137="P"),IF(BM135&gt;=BM136,VLOOKUP(ABS(BM135-BM136),Point_dif,2,TRUE),VLOOKUP(ABS(BM135-BM136),Point_dif,3,TRUE)),IF(AND(BI134="P",BI137="G"),IF(BM136&gt;=BM135,VLOOKUP(ABS(BM135-BM136),Point_dif,2,TRUE),VLOOKUP(ABS(BM135-BM136),Point_dif,3,TRUE)))))))</f>
        <v/>
      </c>
      <c r="BK135" s="420" t="s">
        <v>170</v>
      </c>
      <c r="BL135" s="229" t="str">
        <f>IF(BK134&lt;&gt;"",IF(BK134="","",IF(BK134="BYE",0,IF(ISTEXT(BK134),VLOOKUP(BN134,Dist_Llav,6,FALSE),""))),"")</f>
        <v/>
      </c>
      <c r="BM135" s="280" t="str">
        <f>IF(BK134="","",IF(ISTEXT(BK134),IF(BK134="","",IF(BK134="Bye",0,VLOOKUP(BK134,Rank_Points,3,FALSE)))))</f>
        <v/>
      </c>
      <c r="BN135" s="422"/>
      <c r="BO135" s="422" t="str">
        <f>IF(Llave=128,BO129+1,"")</f>
        <v/>
      </c>
      <c r="BP135" s="181"/>
      <c r="BQ135" s="181">
        <f>IF(BS135="Bye",1,MAX(BQ$8:BQ134)+1)</f>
        <v>128</v>
      </c>
      <c r="BR135" s="314" t="str">
        <f t="shared" si="4"/>
        <v/>
      </c>
      <c r="BS135" s="181" t="str">
        <f>IF(Llave=128,IF(OR(BK188="Bye",BK191="Bye"),"Bye",IF(BI188="P",BK188,IF(BI191="P",BK191,""))),"")</f>
        <v/>
      </c>
      <c r="BT135" s="181" t="b">
        <f>IF(Llave&lt;128,"",IF(Llave=128,IF(OR(BK188="Bye",BK191="Bye"),"",IF(BI188="P",BJ188,IF(BI191="P",BJ191,"")))))</f>
        <v>0</v>
      </c>
      <c r="BV135" t="s">
        <v>9841</v>
      </c>
    </row>
    <row r="136" spans="2:74" x14ac:dyDescent="0.3">
      <c r="B136" s="413"/>
      <c r="C136" s="192"/>
      <c r="D136" s="229" t="str">
        <f>IF(D137="","",IF(ISTEXT(D137),IF(D137="","",IF(D137="Bye",0,VLOOKUP(D137,Rank_Points,3,FALSE)))))</f>
        <v/>
      </c>
      <c r="E136" s="192" t="str">
        <f>IF(D137&lt;&gt;"",IF(D137="","",IF(D137="BYE",0,IF(ISTEXT(D137),VLOOKUP(C137,Dist_Llav,6,FALSE),""))),"")</f>
        <v/>
      </c>
      <c r="F136" s="414"/>
      <c r="G136" s="419"/>
      <c r="H136" s="282"/>
      <c r="I136" s="283" t="str">
        <f>IF(I135=D134,D135,IF(I135=D137,D136,""))</f>
        <v/>
      </c>
      <c r="J136" s="423" t="str">
        <f>IF(ISNUMBER(I136),VLOOKUP(I135,Siembra,2,FALSE),"")</f>
        <v/>
      </c>
      <c r="K136" s="423"/>
      <c r="L136" s="278" t="str">
        <f>IF(I135="","",IF(M135="G",IF(I135=D134,G134+L138,G137+L138),IF(M135="P",IF(I135=D134,G134-L138,G137-L138),"")))</f>
        <v/>
      </c>
      <c r="M136" s="192"/>
      <c r="N136" s="192"/>
      <c r="O136" s="192"/>
      <c r="P136" s="287"/>
      <c r="Q136" s="192"/>
      <c r="R136" s="192"/>
      <c r="S136" s="192"/>
      <c r="T136" s="192"/>
      <c r="U136" s="192"/>
      <c r="V136" s="192"/>
      <c r="W136" s="192"/>
      <c r="X136" s="287"/>
      <c r="Y136" s="192"/>
      <c r="Z136" s="192"/>
      <c r="AA136" s="192"/>
      <c r="AB136" s="287"/>
      <c r="AC136" s="192"/>
      <c r="AD136" s="192"/>
      <c r="AE136" s="192"/>
      <c r="AF136" s="192"/>
      <c r="AG136" s="192"/>
      <c r="AH136" s="192"/>
      <c r="AI136" s="192"/>
      <c r="AJ136" s="192"/>
      <c r="AK136" s="192"/>
      <c r="AL136" s="192"/>
      <c r="AM136" s="192"/>
      <c r="AN136" s="192"/>
      <c r="AO136" s="289"/>
      <c r="AP136" s="192"/>
      <c r="AQ136" s="192"/>
      <c r="AR136" s="192"/>
      <c r="AS136" s="289"/>
      <c r="AT136" s="192"/>
      <c r="AU136" s="192"/>
      <c r="AV136" s="192"/>
      <c r="AW136" s="192"/>
      <c r="AX136" s="192"/>
      <c r="AY136" s="192"/>
      <c r="AZ136" s="192"/>
      <c r="BA136" s="289"/>
      <c r="BB136" s="192"/>
      <c r="BC136" s="192"/>
      <c r="BD136" s="192"/>
      <c r="BE136" s="279" t="str">
        <f>IF(BE135="","",IF(BD135="G",IF(BE135=BK134,BJ134+BE138,BJ137+BE138),IF(BD135="P",IF(BE135=BK134,BJ134-BE138,BJ137-BE138),"")))</f>
        <v/>
      </c>
      <c r="BF136" s="423" t="str">
        <f>IF(ISNUMBER(BE136),VLOOKUP(BE135,Siembra,2,FALSE),"")</f>
        <v/>
      </c>
      <c r="BG136" s="423"/>
      <c r="BH136" s="285" t="str">
        <f>IF(BE135=BK134,BM135,IF(BE135=BK137,BM136,""))</f>
        <v/>
      </c>
      <c r="BI136" s="286"/>
      <c r="BJ136" s="419"/>
      <c r="BK136" s="421"/>
      <c r="BL136" s="229" t="str">
        <f>IF(BK137&lt;&gt;"",IF(BK137="","",IF(BK137="BYE",0,IF(ISTEXT(BK137),VLOOKUP(BN137,Dist_Llav,6,FALSE),""))),"")</f>
        <v/>
      </c>
      <c r="BM136" s="280" t="str">
        <f>IF(BK137="","",IF(ISTEXT(BK137),IF(BK137="","",IF(BK137="Bye",0,VLOOKUP(BK137,Rank_Points,3,FALSE)))))</f>
        <v/>
      </c>
      <c r="BN136" s="422"/>
      <c r="BO136" s="422"/>
      <c r="BP136" s="181"/>
      <c r="BQ136" s="181"/>
      <c r="BR136" s="312"/>
      <c r="BS136" s="181"/>
      <c r="BT136" s="181"/>
    </row>
    <row r="137" spans="2:74" x14ac:dyDescent="0.3">
      <c r="B137" s="192">
        <f>B134+1</f>
        <v>46</v>
      </c>
      <c r="C137" s="192" t="str">
        <f>IF(Llave="","",IF(Llave&gt;1,IF(OR(Plyrs_val=Tot_Jug,Groups*2=Plyrs_val),HLOOKUP(Plyrs_val,Knockout,B137+1,FALSE)),""))</f>
        <v/>
      </c>
      <c r="D137" s="412" t="str">
        <f>IF(Llave="","",IF(Llave&gt;1,IF(C137="Bye","Bye",IF(OR(Plyrs_val=Tot_Jug,Groups*2=Plyrs_val),VLOOKUP(C137,Dist_Llav,4,FALSE),"")),""))</f>
        <v/>
      </c>
      <c r="E137" s="412"/>
      <c r="F137" s="412"/>
      <c r="G137" s="192" t="str">
        <f>IF(D137="","",IF(D137="Bye",0,IF(D134="Bye",E136,IF(H137="G",E136+G135,IF(H137="P",E136-G135,"")))))</f>
        <v/>
      </c>
      <c r="H137" s="166"/>
      <c r="I137" s="192"/>
      <c r="J137" s="192"/>
      <c r="K137" s="192"/>
      <c r="L137" s="287"/>
      <c r="M137" s="192"/>
      <c r="N137" s="192"/>
      <c r="O137" s="192"/>
      <c r="P137" s="287"/>
      <c r="Q137" s="192"/>
      <c r="R137" s="192"/>
      <c r="S137" s="192"/>
      <c r="T137" s="192"/>
      <c r="U137" s="192"/>
      <c r="V137" s="192"/>
      <c r="W137" s="192"/>
      <c r="X137" s="287"/>
      <c r="Y137" s="192"/>
      <c r="Z137" s="192"/>
      <c r="AA137" s="192"/>
      <c r="AB137" s="287"/>
      <c r="AC137" s="192"/>
      <c r="AD137" s="192"/>
      <c r="AE137" s="192"/>
      <c r="AF137" s="192"/>
      <c r="AG137" s="192"/>
      <c r="AH137" s="192"/>
      <c r="AI137" s="192"/>
      <c r="AJ137" s="192"/>
      <c r="AK137" s="192"/>
      <c r="AL137" s="192"/>
      <c r="AM137" s="192"/>
      <c r="AN137" s="192"/>
      <c r="AO137" s="289"/>
      <c r="AP137" s="192"/>
      <c r="AQ137" s="192"/>
      <c r="AR137" s="192"/>
      <c r="AS137" s="289"/>
      <c r="AT137" s="192"/>
      <c r="AU137" s="192"/>
      <c r="AV137" s="192"/>
      <c r="AW137" s="192"/>
      <c r="AX137" s="192"/>
      <c r="AY137" s="192"/>
      <c r="AZ137" s="192"/>
      <c r="BA137" s="289"/>
      <c r="BB137" s="192"/>
      <c r="BC137" s="192"/>
      <c r="BD137" s="192"/>
      <c r="BE137" s="289"/>
      <c r="BF137" s="192"/>
      <c r="BG137" s="192"/>
      <c r="BH137" s="192"/>
      <c r="BI137" s="166"/>
      <c r="BJ137" s="284" t="str">
        <f>IF(BK137="","",IF(BK137="Bye",0,IF(BK134="Bye",BL136,IF(BI137="G",BL136+BJ135,IF(BI137="P",BL136-BJ135,"")))))</f>
        <v/>
      </c>
      <c r="BK137" s="412" t="str">
        <f>IF(Llave="","",IF(Llave&gt;1,IF(BN137="Bye","Bye",IF(OR(Plyrs_val=Tot_Jug,Groups*2=Plyrs_val),VLOOKUP(BN137,Dist_Llav,4,FALSE),"")),""))</f>
        <v/>
      </c>
      <c r="BL137" s="412"/>
      <c r="BM137" s="412"/>
      <c r="BN137" s="229" t="str">
        <f>IF(Llave=128,IF(OR(Plyrs_val=Tot_Jug,Groups*2=Plyrs_val),HLOOKUP(Plyrs_val,Knockout,BO137+1,FALSE)),"")</f>
        <v/>
      </c>
      <c r="BO137" s="229">
        <f>BO134+1</f>
        <v>110</v>
      </c>
      <c r="BP137" s="181"/>
      <c r="BQ137" s="181"/>
      <c r="BR137" s="312"/>
      <c r="BS137" s="181"/>
      <c r="BT137" s="181"/>
    </row>
    <row r="138" spans="2:74" x14ac:dyDescent="0.3">
      <c r="B138" s="192"/>
      <c r="C138" s="192"/>
      <c r="D138" s="192"/>
      <c r="E138" s="192"/>
      <c r="F138" s="192"/>
      <c r="G138" s="192"/>
      <c r="H138" s="192"/>
      <c r="I138" s="413" t="str">
        <f>IF(Llave="","",I126+1)</f>
        <v/>
      </c>
      <c r="J138" s="192"/>
      <c r="K138" s="414" t="s">
        <v>170</v>
      </c>
      <c r="L138" s="415" t="str">
        <f>IF(OR(I135="",I142=""),"",IF(OR(I135="Bye",I142="Bye"),0,IF(AND(M135="",M142=""),"",IF(AND(M135="G",M142="P"),IF(I136&gt;=I141,VLOOKUP(ABS(I136-I141),Point_dif,2,TRUE),VLOOKUP(ABS(I136-I141),Point_dif,3,TRUE)),IF(AND(M135="P",M142="G"),IF(I141&gt;=I136,VLOOKUP(ABS(I136-I141),Point_dif,2,TRUE),VLOOKUP(ABS(I136-I141),Point_dif,3,TRUE)))))))</f>
        <v/>
      </c>
      <c r="M138" s="275" t="str">
        <f>IF(M139=I135,I136,IF(M139=I142,I141,""))</f>
        <v/>
      </c>
      <c r="N138" s="417" t="str">
        <f>IF(ISNUMBER(M138),VLOOKUP(M139,Siembra,2,FALSE),"")</f>
        <v/>
      </c>
      <c r="O138" s="417"/>
      <c r="P138" s="282" t="str">
        <f>IF(M139="","",IF(Q139="G",IF(M139=I135,L136+P132,L141+P132),IF(Q139="P",IF(M139=I135,L136-P132,L141-P132),"")))</f>
        <v/>
      </c>
      <c r="Q138" s="192"/>
      <c r="R138" s="192"/>
      <c r="S138" s="192"/>
      <c r="T138" s="192"/>
      <c r="U138" s="192"/>
      <c r="V138" s="192"/>
      <c r="W138" s="192"/>
      <c r="X138" s="287"/>
      <c r="Y138" s="192"/>
      <c r="Z138" s="192"/>
      <c r="AA138" s="192"/>
      <c r="AB138" s="287"/>
      <c r="AC138" s="192"/>
      <c r="AD138" s="192"/>
      <c r="AE138" s="192"/>
      <c r="AF138" s="192"/>
      <c r="AG138" s="192"/>
      <c r="AH138" s="192"/>
      <c r="AI138" s="192"/>
      <c r="AJ138" s="192"/>
      <c r="AK138" s="192"/>
      <c r="AL138" s="192"/>
      <c r="AM138" s="192"/>
      <c r="AN138" s="192"/>
      <c r="AO138" s="289"/>
      <c r="AP138" s="192"/>
      <c r="AQ138" s="192"/>
      <c r="AR138" s="192"/>
      <c r="AS138" s="289"/>
      <c r="AT138" s="192"/>
      <c r="AU138" s="192"/>
      <c r="AV138" s="192"/>
      <c r="AW138" s="192"/>
      <c r="AX138" s="192"/>
      <c r="AY138" s="192"/>
      <c r="AZ138" s="192"/>
      <c r="BA138" s="286" t="str">
        <f>IF(BA139="","",IF(AZ139="G",IF(BA139=BE135,BE136+BA132,BE141+BA132),IF(AZ139="P",IF(BA139=BE135,BE136-BA132,BE141-BA132),"")))</f>
        <v/>
      </c>
      <c r="BB138" s="417" t="str">
        <f>IF(ISNUMBER(BA138),VLOOKUP(BA139,Siembra,2,FALSE),"")</f>
        <v/>
      </c>
      <c r="BC138" s="417"/>
      <c r="BD138" s="282" t="str">
        <f>IF(BA139=BE135,BH136,IF(BA139=BE142,BH141,""))</f>
        <v/>
      </c>
      <c r="BE138" s="424" t="str">
        <f>IF(OR(BE135="",BE142=""),"",IF(OR(BE135="Bye",BE142="Bye"),0,IF(AND(BD135="",BD142=""),"",IF(AND(BD135="G",BD142="P"),IF(BH136&gt;=BH141,VLOOKUP(ABS(BH136-BH141),Point_dif,2,TRUE),VLOOKUP(ABS(BH136-BH141),Point_dif,3,TRUE)),IF(AND(BD135="P",BD142="G"),IF(BH141&gt;=BH136,VLOOKUP(ABS(BH136-BH141),Point_dif,2,TRUE),VLOOKUP(ABS(BH136-BH141),Point_dif,3,TRUE)))))))</f>
        <v/>
      </c>
      <c r="BF138" s="421" t="s">
        <v>170</v>
      </c>
      <c r="BG138" s="281"/>
      <c r="BH138" s="413" t="str">
        <f>IF(Llave=128,BH126+1,"")</f>
        <v/>
      </c>
      <c r="BI138" s="192"/>
      <c r="BJ138" s="192"/>
      <c r="BK138" s="192"/>
      <c r="BL138" s="192"/>
      <c r="BM138" s="192"/>
      <c r="BN138" s="192"/>
      <c r="BO138" s="192"/>
      <c r="BP138" s="181"/>
      <c r="BQ138" s="181"/>
      <c r="BR138" s="312"/>
      <c r="BS138" s="181"/>
      <c r="BT138" s="181"/>
    </row>
    <row r="139" spans="2:74" ht="14.4" customHeight="1" x14ac:dyDescent="0.3">
      <c r="B139" s="192"/>
      <c r="C139" s="192"/>
      <c r="D139" s="192"/>
      <c r="E139" s="192"/>
      <c r="F139" s="192"/>
      <c r="G139" s="272" t="s">
        <v>265</v>
      </c>
      <c r="H139" s="192"/>
      <c r="I139" s="413"/>
      <c r="J139" s="192"/>
      <c r="K139" s="414"/>
      <c r="L139" s="415"/>
      <c r="M139" s="425" t="str">
        <f>IF(AND(M135="",M142=""),"",IF(AND(M135="G",M142="P"),I135,IF(AND(M142="G",M135="P"),I142,"Corregir ganador y perdedor")))</f>
        <v/>
      </c>
      <c r="N139" s="439"/>
      <c r="O139" s="439"/>
      <c r="P139" s="440"/>
      <c r="Q139" s="167"/>
      <c r="R139" s="192"/>
      <c r="S139" s="310"/>
      <c r="T139" s="311"/>
      <c r="U139" s="311"/>
      <c r="V139" s="192"/>
      <c r="W139" s="192"/>
      <c r="X139" s="287"/>
      <c r="Y139" s="192"/>
      <c r="Z139" s="192"/>
      <c r="AA139" s="192"/>
      <c r="AB139" s="287"/>
      <c r="AC139" s="192"/>
      <c r="AD139" s="192"/>
      <c r="AE139" s="192"/>
      <c r="AF139" s="192"/>
      <c r="AG139" s="192"/>
      <c r="AH139" s="192"/>
      <c r="AI139" s="192"/>
      <c r="AJ139" s="192"/>
      <c r="AK139" s="192"/>
      <c r="AL139" s="192"/>
      <c r="AM139" s="192"/>
      <c r="AN139" s="192"/>
      <c r="AO139" s="289"/>
      <c r="AP139" s="192"/>
      <c r="AQ139" s="192"/>
      <c r="AR139" s="192"/>
      <c r="AS139" s="289"/>
      <c r="AT139" s="192"/>
      <c r="AU139" s="192"/>
      <c r="AV139" s="192"/>
      <c r="AW139" s="192"/>
      <c r="AX139" s="192"/>
      <c r="AY139" s="192"/>
      <c r="AZ139" s="166"/>
      <c r="BA139" s="423" t="str">
        <f>IF(AND(BD135="",BD142=""),"",IF(AND(BD135="G",BD142="P"),BE135,IF(AND(BD142="G",BD135="P"),BE142,"Corregir ganador y perdedor")))</f>
        <v/>
      </c>
      <c r="BB139" s="423"/>
      <c r="BC139" s="423"/>
      <c r="BD139" s="426"/>
      <c r="BE139" s="424"/>
      <c r="BF139" s="421"/>
      <c r="BG139" s="281"/>
      <c r="BH139" s="413"/>
      <c r="BI139" s="273"/>
      <c r="BJ139" s="274" t="s">
        <v>266</v>
      </c>
      <c r="BK139" s="192"/>
      <c r="BL139" s="192"/>
      <c r="BM139" s="192"/>
      <c r="BN139" s="192"/>
      <c r="BO139" s="192"/>
      <c r="BP139" s="181"/>
      <c r="BQ139" s="181"/>
      <c r="BR139" s="312"/>
      <c r="BS139" s="181"/>
      <c r="BT139" s="181"/>
    </row>
    <row r="140" spans="2:74" ht="14.4" customHeight="1" x14ac:dyDescent="0.3">
      <c r="B140" s="192">
        <f>B137+1</f>
        <v>47</v>
      </c>
      <c r="C140" s="192" t="str">
        <f>IF(Llave="","",IF(Llave&gt;1,IF(OR(Plyrs_val=Tot_Jug,Groups*2=Plyrs_val),HLOOKUP(Plyrs_val,Knockout,B140+1,FALSE)),""))</f>
        <v/>
      </c>
      <c r="D140" s="411" t="str">
        <f>IF(Llave="","",IF(Llave&gt;1,IF(C140="Bye","Bye",IF(OR(Plyrs_val=Tot_Jug,Groups*2=Plyrs_val),VLOOKUP(C140,Dist_Llav,4,FALSE),"")),""))</f>
        <v/>
      </c>
      <c r="E140" s="411"/>
      <c r="F140" s="411"/>
      <c r="G140" s="192" t="str">
        <f>IF(D140="","",IF(D140="Bye",0,IF(D143="Bye",E141,IF(H140="G",E141+G141,IF(H140="P",E141-G141,"")))))</f>
        <v/>
      </c>
      <c r="H140" s="166"/>
      <c r="I140" s="192"/>
      <c r="J140" s="192"/>
      <c r="K140" s="192"/>
      <c r="L140" s="287"/>
      <c r="M140" s="192"/>
      <c r="N140" s="192"/>
      <c r="O140" s="192"/>
      <c r="P140" s="192"/>
      <c r="Q140" s="192"/>
      <c r="R140" s="192"/>
      <c r="S140" s="427">
        <f>IF(Sorteo!J11&gt;32,2,"")</f>
        <v>2</v>
      </c>
      <c r="T140" s="429"/>
      <c r="U140" s="311"/>
      <c r="V140" s="192"/>
      <c r="W140" s="192"/>
      <c r="X140" s="287"/>
      <c r="Y140" s="192"/>
      <c r="Z140" s="192"/>
      <c r="AA140" s="192"/>
      <c r="AB140" s="287"/>
      <c r="AC140" s="192"/>
      <c r="AD140" s="192"/>
      <c r="AE140" s="192"/>
      <c r="AF140" s="192"/>
      <c r="AG140" s="192"/>
      <c r="AH140" s="192"/>
      <c r="AI140" s="192"/>
      <c r="AJ140" s="192"/>
      <c r="AK140" s="192"/>
      <c r="AL140" s="192"/>
      <c r="AM140" s="192"/>
      <c r="AN140" s="192"/>
      <c r="AO140" s="289"/>
      <c r="AP140" s="192"/>
      <c r="AQ140" s="192"/>
      <c r="AR140" s="192"/>
      <c r="AS140" s="289"/>
      <c r="AT140" s="192"/>
      <c r="AU140" s="192"/>
      <c r="AV140" s="192"/>
      <c r="AW140" s="192"/>
      <c r="AX140" s="192"/>
      <c r="AY140" s="192"/>
      <c r="AZ140" s="192"/>
      <c r="BA140" s="192"/>
      <c r="BB140" s="192"/>
      <c r="BC140" s="192"/>
      <c r="BD140" s="192"/>
      <c r="BE140" s="289"/>
      <c r="BF140" s="192"/>
      <c r="BG140" s="192"/>
      <c r="BH140" s="192"/>
      <c r="BI140" s="166"/>
      <c r="BJ140" s="192" t="str">
        <f>IF(BK140="","",IF(BK140="Bye",0,IF(BK143="Bye",BL141,IF(BI140="G",BL141+BJ141,IF(BI140="P",BL141-BJ141,"")))))</f>
        <v/>
      </c>
      <c r="BK140" s="411" t="str">
        <f>IF(Llave="","",IF(Llave&gt;1,IF(BN140="Bye","Bye",IF(OR(Plyrs_val=Tot_Jug,Groups*2=Plyrs_val),VLOOKUP(BN140,Dist_Llav,4,FALSE),"")),""))</f>
        <v/>
      </c>
      <c r="BL140" s="411"/>
      <c r="BM140" s="411"/>
      <c r="BN140" s="229" t="str">
        <f>IF(Llave=128,IF(OR(Plyrs_val=Tot_Jug,Groups*2=Plyrs_val),HLOOKUP(Plyrs_val,Knockout,BO140+1,FALSE)),"")</f>
        <v/>
      </c>
      <c r="BO140" s="229">
        <f>BO137+1</f>
        <v>111</v>
      </c>
      <c r="BP140" s="181"/>
      <c r="BQ140" s="181"/>
      <c r="BR140" s="312"/>
      <c r="BS140" s="181"/>
      <c r="BT140" s="181"/>
    </row>
    <row r="141" spans="2:74" ht="14.4" customHeight="1" x14ac:dyDescent="0.3">
      <c r="B141" s="413" t="str">
        <f>IF(Llave="","",B135+1)</f>
        <v/>
      </c>
      <c r="C141" s="192"/>
      <c r="D141" s="229" t="str">
        <f>IF(D140="","",IF(ISTEXT(D140),IF(D140="","",IF(D140="Bye",0,VLOOKUP(D140,Rank_Points,3,FALSE)))))</f>
        <v/>
      </c>
      <c r="E141" s="192" t="str">
        <f>IF(D140&lt;&gt;"",IF(D140="","",IF(D140="BYE",0,IF(ISTEXT(D140),VLOOKUP(C140,Dist_Llav,6,FALSE),""))),"")</f>
        <v/>
      </c>
      <c r="F141" s="414" t="s">
        <v>170</v>
      </c>
      <c r="G141" s="418" t="str">
        <f>IF(OR(D140="",D143=""),"",IF(OR(D140="Bye",D143="Bye"),0,IF(AND(H140="",H143=""),"",IF(AND(H140="G",H143="P"),IF(D141&gt;=D142,VLOOKUP(ABS(D141-D142),Point_dif,2,TRUE),VLOOKUP(ABS(D141-D142),Point_dif,3,TRUE)),IF(AND(H140="P",H143="G"),IF(D142&gt;=D141,VLOOKUP(ABS(D141-D142),Point_dif,2,TRUE),VLOOKUP(ABS(D141-D142),Point_dif,3,TRUE)))))))</f>
        <v/>
      </c>
      <c r="H141" s="278"/>
      <c r="I141" s="275" t="str">
        <f>IF(I142=D140,D141,IF(I142=D143,D142,""))</f>
        <v/>
      </c>
      <c r="J141" s="417" t="str">
        <f>IF(ISNUMBER(I141),VLOOKUP(I142,Siembra,2,FALSE),"")</f>
        <v/>
      </c>
      <c r="K141" s="417"/>
      <c r="L141" s="282" t="str">
        <f>IF(I142="","",IF(M142="G",IF(I142=D140,G140+L138,G143+L138),IF(M142="P",IF(I142=D140,G140-L138,G143-L138),"")))</f>
        <v/>
      </c>
      <c r="M141" s="192"/>
      <c r="N141" s="192"/>
      <c r="O141" s="192"/>
      <c r="P141" s="192"/>
      <c r="Q141" s="192"/>
      <c r="R141" s="192"/>
      <c r="S141" s="429"/>
      <c r="T141" s="429"/>
      <c r="U141" s="311"/>
      <c r="V141" s="192"/>
      <c r="W141" s="192"/>
      <c r="X141" s="287"/>
      <c r="Y141" s="192"/>
      <c r="Z141" s="192"/>
      <c r="AA141" s="192"/>
      <c r="AB141" s="287"/>
      <c r="AC141" s="192"/>
      <c r="AD141" s="192"/>
      <c r="AE141" s="192"/>
      <c r="AF141" s="192"/>
      <c r="AG141" s="192"/>
      <c r="AH141" s="192"/>
      <c r="AI141" s="192"/>
      <c r="AJ141" s="192"/>
      <c r="AK141" s="192"/>
      <c r="AL141" s="192"/>
      <c r="AM141" s="192"/>
      <c r="AN141" s="192"/>
      <c r="AO141" s="289"/>
      <c r="AP141" s="192"/>
      <c r="AQ141" s="192"/>
      <c r="AR141" s="192"/>
      <c r="AS141" s="289"/>
      <c r="AT141" s="192"/>
      <c r="AU141" s="192"/>
      <c r="AV141" s="192"/>
      <c r="AW141" s="192"/>
      <c r="AX141" s="192"/>
      <c r="AY141" s="192"/>
      <c r="AZ141" s="192"/>
      <c r="BA141" s="192"/>
      <c r="BB141" s="192"/>
      <c r="BC141" s="192"/>
      <c r="BD141" s="192"/>
      <c r="BE141" s="286" t="str">
        <f>IF(BE142="","",IF(BD142="G",IF(BE142=BK140,BJ140+BE138,BJ143+BE138),IF(BD142="P",IF(BE142=BK140,BJ140-BE138,BJ143-BE138),"")))</f>
        <v/>
      </c>
      <c r="BF141" s="417" t="str">
        <f>IF(ISNUMBER(BE141),VLOOKUP(BE142,Siembra,2,FALSE),"")</f>
        <v/>
      </c>
      <c r="BG141" s="417"/>
      <c r="BH141" s="282" t="str">
        <f>IF(BE142=BK140,BM141,IF(BE142=BK143,BM142,""))</f>
        <v/>
      </c>
      <c r="BI141" s="279"/>
      <c r="BJ141" s="418" t="str">
        <f>IF(OR(BK140="",BK143=""),"",IF(OR(BK140="Bye",BK143="Bye"),0,IF(AND(BI140="",BI143=""),"",IF(AND(BI140="G",BI143="P"),IF(BM141&gt;=BM142,VLOOKUP(ABS(BM141-BM142),Point_dif,2,TRUE),VLOOKUP(ABS(BM141-BM142),Point_dif,3,TRUE)),IF(AND(BI140="P",BI143="G"),IF(BM142&gt;=BM141,VLOOKUP(ABS(BM141-BM142),Point_dif,2,TRUE),VLOOKUP(ABS(BM141-BM142),Point_dif,3,TRUE)))))))</f>
        <v/>
      </c>
      <c r="BK141" s="420" t="s">
        <v>170</v>
      </c>
      <c r="BL141" s="229" t="str">
        <f>IF(BK140&lt;&gt;"",IF(BK140="","",IF(BK140="BYE",0,IF(ISTEXT(BK140),VLOOKUP(BN140,Dist_Llav,6,FALSE),""))),"")</f>
        <v/>
      </c>
      <c r="BM141" s="280" t="str">
        <f>IF(BK140="","",IF(ISTEXT(BK140),IF(BK140="","",IF(BK140="Bye",0,VLOOKUP(BK140,Rank_Points,3,FALSE)))))</f>
        <v/>
      </c>
      <c r="BN141" s="422"/>
      <c r="BO141" s="422" t="str">
        <f>IF(Llave=128,BO135+1,"")</f>
        <v/>
      </c>
      <c r="BP141" s="181"/>
      <c r="BQ141" s="181"/>
      <c r="BR141" s="312"/>
      <c r="BS141" s="181"/>
      <c r="BT141" s="181"/>
    </row>
    <row r="142" spans="2:74" ht="14.4" customHeight="1" x14ac:dyDescent="0.3">
      <c r="B142" s="413"/>
      <c r="C142" s="192"/>
      <c r="D142" s="229" t="str">
        <f>IF(D143="","",IF(ISTEXT(D143),IF(D143="","",IF(D143="Bye",0,VLOOKUP(D143,Rank_Points,3,FALSE)))))</f>
        <v/>
      </c>
      <c r="E142" s="192" t="str">
        <f>IF(D143&lt;&gt;"",IF(D143="","",IF(D143="BYE",0,IF(ISTEXT(D143),VLOOKUP(C143,Dist_Llav,6,FALSE),""))),"")</f>
        <v/>
      </c>
      <c r="F142" s="414"/>
      <c r="G142" s="419"/>
      <c r="H142" s="282"/>
      <c r="I142" s="425" t="str">
        <f>IF(D140="Bye",D143,IF(D143="Bye",D140,IF(AND(H140="",H143=""),"",IF(AND(H140="G",H143="P"),D140,IF(AND(H143="G",H140="P"),D143,"Corregir ganador y perdedor")))))</f>
        <v/>
      </c>
      <c r="J142" s="423"/>
      <c r="K142" s="423"/>
      <c r="L142" s="423"/>
      <c r="M142" s="167"/>
      <c r="N142" s="192"/>
      <c r="O142" s="192"/>
      <c r="P142" s="192"/>
      <c r="Q142" s="192"/>
      <c r="R142" s="192"/>
      <c r="S142" s="429"/>
      <c r="T142" s="429"/>
      <c r="U142" s="311"/>
      <c r="V142" s="192"/>
      <c r="W142" s="192"/>
      <c r="X142" s="287"/>
      <c r="Y142" s="192"/>
      <c r="Z142" s="192"/>
      <c r="AA142" s="192"/>
      <c r="AB142" s="287"/>
      <c r="AC142" s="192"/>
      <c r="AD142" s="192"/>
      <c r="AE142" s="192"/>
      <c r="AF142" s="192"/>
      <c r="AG142" s="192"/>
      <c r="AH142" s="192"/>
      <c r="AI142" s="192"/>
      <c r="AJ142" s="192"/>
      <c r="AK142" s="192"/>
      <c r="AL142" s="192"/>
      <c r="AM142" s="192"/>
      <c r="AN142" s="192"/>
      <c r="AO142" s="289"/>
      <c r="AP142" s="192" t="s">
        <v>9781</v>
      </c>
      <c r="AQ142" s="192"/>
      <c r="AR142" s="192"/>
      <c r="AS142" s="289"/>
      <c r="AT142" s="192"/>
      <c r="AU142" s="192"/>
      <c r="AV142" s="427">
        <f>IF(Llave&gt;64,4,"")</f>
        <v>4</v>
      </c>
      <c r="AW142" s="428"/>
      <c r="AX142" s="428"/>
      <c r="AY142" s="192"/>
      <c r="AZ142" s="192"/>
      <c r="BA142" s="192"/>
      <c r="BB142" s="192"/>
      <c r="BC142" s="192"/>
      <c r="BD142" s="166"/>
      <c r="BE142" s="423" t="str">
        <f>IF(BK143="Bye",BK140,IF(BK140="Bye",BK143,IF(AND(BI140="",BI143=""),"",IF(AND(BI140="G",BI143="P"),BK140,IF(AND(BI143="G",BI140="P"),BK143,"Corregir ganador y perdedor")))))</f>
        <v/>
      </c>
      <c r="BF142" s="423"/>
      <c r="BG142" s="423"/>
      <c r="BH142" s="426"/>
      <c r="BI142" s="286"/>
      <c r="BJ142" s="419"/>
      <c r="BK142" s="421"/>
      <c r="BL142" s="229" t="str">
        <f>IF(BK143&lt;&gt;"",IF(BK143="","",IF(BK143="BYE",0,IF(ISTEXT(BK143),VLOOKUP(BN143,Dist_Llav,6,FALSE),""))),"")</f>
        <v/>
      </c>
      <c r="BM142" s="280" t="str">
        <f>IF(BK143="","",IF(ISTEXT(BK143),IF(BK143="","",IF(BK143="Bye",0,VLOOKUP(BK143,Rank_Points,3,FALSE)))))</f>
        <v/>
      </c>
      <c r="BN142" s="422"/>
      <c r="BO142" s="422"/>
      <c r="BP142" s="181"/>
      <c r="BQ142" s="181"/>
      <c r="BR142" s="312"/>
      <c r="BS142" s="181"/>
      <c r="BT142" s="181"/>
    </row>
    <row r="143" spans="2:74" ht="14.4" customHeight="1" x14ac:dyDescent="0.3">
      <c r="B143" s="192">
        <f>B140+1</f>
        <v>48</v>
      </c>
      <c r="C143" s="192" t="str">
        <f>IF(Llave="","",IF(Llave&gt;1,IF(OR(Plyrs_val=Tot_Jug,Groups*2=Plyrs_val),HLOOKUP(Plyrs_val,Knockout,B143+1,FALSE)),""))</f>
        <v/>
      </c>
      <c r="D143" s="412" t="str">
        <f>IF(Llave="","",IF(Llave&gt;1,IF(C143="Bye","Bye",IF(OR(Plyrs_val=Tot_Jug,Groups*2=Plyrs_val),VLOOKUP(C143,Dist_Llav,4,FALSE),"")),""))</f>
        <v/>
      </c>
      <c r="E143" s="412"/>
      <c r="F143" s="412"/>
      <c r="G143" s="192" t="str">
        <f>IF(D143="","",IF(D143="Bye",0,IF(D140="Bye",E142,IF(H143="G",E142+G141,IF(H143="P",E142-G141,"")))))</f>
        <v/>
      </c>
      <c r="H143" s="166"/>
      <c r="I143" s="192"/>
      <c r="J143" s="192"/>
      <c r="K143" s="192"/>
      <c r="L143" s="192"/>
      <c r="M143" s="192"/>
      <c r="N143" s="192"/>
      <c r="O143" s="192"/>
      <c r="P143" s="192"/>
      <c r="Q143" s="192"/>
      <c r="R143" s="192"/>
      <c r="S143" s="429"/>
      <c r="T143" s="429"/>
      <c r="U143" s="311"/>
      <c r="V143" s="192"/>
      <c r="W143" s="192"/>
      <c r="X143" s="287"/>
      <c r="Y143" s="192"/>
      <c r="Z143" s="192"/>
      <c r="AA143" s="192"/>
      <c r="AB143" s="287"/>
      <c r="AC143" s="192"/>
      <c r="AD143" s="192"/>
      <c r="AE143" s="192"/>
      <c r="AF143" s="192"/>
      <c r="AG143" s="192"/>
      <c r="AH143" s="192"/>
      <c r="AI143" s="192"/>
      <c r="AJ143" s="192"/>
      <c r="AK143" s="192"/>
      <c r="AL143" s="192"/>
      <c r="AM143" s="192"/>
      <c r="AN143" s="192"/>
      <c r="AO143" s="289"/>
      <c r="AP143" s="192"/>
      <c r="AQ143" s="192"/>
      <c r="AR143" s="192"/>
      <c r="AS143" s="289"/>
      <c r="AT143" s="192"/>
      <c r="AU143" s="192"/>
      <c r="AV143" s="428"/>
      <c r="AW143" s="428"/>
      <c r="AX143" s="428"/>
      <c r="AY143" s="192"/>
      <c r="AZ143" s="192"/>
      <c r="BA143" s="192"/>
      <c r="BB143" s="192"/>
      <c r="BC143" s="192"/>
      <c r="BD143" s="192"/>
      <c r="BE143" s="192"/>
      <c r="BF143" s="192"/>
      <c r="BG143" s="192"/>
      <c r="BH143" s="192"/>
      <c r="BI143" s="166"/>
      <c r="BJ143" s="284" t="str">
        <f>IF(BK143="","",IF(BK143="Bye",0,IF(BK140="Bye",BL142,IF(BI143="G",BL142+BJ141,IF(BI143="P",BL142-BJ141,"")))))</f>
        <v/>
      </c>
      <c r="BK143" s="412" t="str">
        <f>IF(Llave="","",IF(Llave&gt;1,IF(BN143="Bye","Bye",IF(OR(Plyrs_val=Tot_Jug,Groups*2=Plyrs_val),VLOOKUP(BN143,Dist_Llav,4,FALSE),"")),""))</f>
        <v/>
      </c>
      <c r="BL143" s="412"/>
      <c r="BM143" s="412"/>
      <c r="BN143" s="229" t="str">
        <f>IF(Llave=128,IF(OR(Plyrs_val=Tot_Jug,Groups*2=Plyrs_val),HLOOKUP(Plyrs_val,Knockout,BO143+1,FALSE)),"")</f>
        <v/>
      </c>
      <c r="BO143" s="229">
        <f>BO140+1</f>
        <v>112</v>
      </c>
      <c r="BP143" s="181"/>
      <c r="BQ143" s="181"/>
      <c r="BR143" s="312"/>
      <c r="BS143" s="181"/>
      <c r="BT143" s="181"/>
    </row>
    <row r="144" spans="2:74" ht="14.4" customHeight="1" x14ac:dyDescent="0.3">
      <c r="B144" s="192"/>
      <c r="C144" s="192"/>
      <c r="D144" s="192"/>
      <c r="E144" s="192"/>
      <c r="F144" s="192"/>
      <c r="G144" s="192"/>
      <c r="H144" s="192"/>
      <c r="I144" s="192"/>
      <c r="J144" s="192"/>
      <c r="K144" s="192"/>
      <c r="L144" s="192"/>
      <c r="M144" s="192"/>
      <c r="N144" s="192"/>
      <c r="O144" s="192"/>
      <c r="P144" s="192"/>
      <c r="Q144" s="192"/>
      <c r="R144" s="192"/>
      <c r="S144" s="311"/>
      <c r="T144" s="311"/>
      <c r="U144" s="311"/>
      <c r="V144" s="413">
        <f>V48+1</f>
        <v>3</v>
      </c>
      <c r="W144" s="413" t="s">
        <v>170</v>
      </c>
      <c r="X144" s="415" t="str">
        <f>IF(OR(U120="",U169=""),"",IF(OR(U120="Bye",U169="Bye"),0,IF(AND(Y120="",Y169=""),"",IF(AND(Y120="G",Y169="P"),IF(U121&gt;=U168,VLOOKUP(ABS(U121-U168),Point_dif,2,TRUE),VLOOKUP(ABS(U121-U168),Point_dif,3,TRUE)),IF(AND(Y120="P",Y169="G"),IF(U168&gt;=U121,VLOOKUP(ABS(U121-U168),Point_dif,2,TRUE),VLOOKUP(ABS(U121-U168),Point_dif,3,TRUE)))))))</f>
        <v/>
      </c>
      <c r="Y144" s="275" t="str">
        <f>IF(Y145=U120,U121,IF(Y145=U169,U168,""))</f>
        <v/>
      </c>
      <c r="Z144" s="417" t="str">
        <f>IF(ISNUMBER(Y144),VLOOKUP(Y145,Siembra,2,FALSE),"")</f>
        <v/>
      </c>
      <c r="AA144" s="417"/>
      <c r="AB144" s="282" t="str">
        <f>IF(Y145="","",IF(AC145="G",IF(Y145=U120,X121+AB96,X168+AB96),IF(AC145="P",IF(Y145=U120,X121-AB96,X168-AB96),"")))</f>
        <v/>
      </c>
      <c r="AC144" s="192"/>
      <c r="AD144" s="192"/>
      <c r="AE144" s="192"/>
      <c r="AF144" s="192"/>
      <c r="AG144" s="192"/>
      <c r="AH144" s="192"/>
      <c r="AI144" s="192"/>
      <c r="AJ144" s="192"/>
      <c r="AK144" s="192"/>
      <c r="AL144" s="192"/>
      <c r="AM144" s="192"/>
      <c r="AN144" s="192"/>
      <c r="AO144" s="286" t="str">
        <f>IF(AO145="","",IF(AN145="G",IF(AO145=AS120,AS121+AO96,AS168+AO96),IF(AN145="P",IF(AO145=AS120,AS121-AO96,AS168-AO96),"")))</f>
        <v/>
      </c>
      <c r="AP144" s="417" t="str">
        <f>IF(ISNUMBER(AO144),VLOOKUP(AO145,Siembra,2,FALSE),"")</f>
        <v/>
      </c>
      <c r="AQ144" s="417"/>
      <c r="AR144" s="282" t="str">
        <f>IF(AO145=AS120,AV121,IF(AO145=AS169,AV168,""))</f>
        <v/>
      </c>
      <c r="AS144" s="424" t="str">
        <f>IF(OR(AS120="",AS169=""),"",IF(AND(AR120="",AR169=""),"",IF(AND(AR120="G",AR169="P"),IF(AV121&gt;=AV168,VLOOKUP(ABS(AV121-AV168),Point_dif,2,TRUE),VLOOKUP(ABS(AV121-AV168),Point_dif,3,TRUE)),IF(AND(AR120="P",AR169="G"),IF(AV168&gt;=AV121,VLOOKUP(ABS(AV121-AV168),Point_dif,2,TRUE),VLOOKUP(ABS(AV121-AV168),Point_dif,3,TRUE))))))</f>
        <v/>
      </c>
      <c r="AT144" s="421" t="s">
        <v>170</v>
      </c>
      <c r="AU144" s="413" t="str">
        <f>IF(Llave=128,7,"")</f>
        <v/>
      </c>
      <c r="AV144" s="428"/>
      <c r="AW144" s="428"/>
      <c r="AX144" s="428"/>
      <c r="AY144" s="192"/>
      <c r="AZ144" s="192"/>
      <c r="BA144" s="192"/>
      <c r="BB144" s="192"/>
      <c r="BC144" s="192"/>
      <c r="BD144" s="192"/>
      <c r="BE144" s="192"/>
      <c r="BF144" s="192"/>
      <c r="BG144" s="192"/>
      <c r="BH144" s="192"/>
      <c r="BI144" s="192"/>
      <c r="BJ144" s="192"/>
      <c r="BK144" s="192"/>
      <c r="BL144" s="192"/>
      <c r="BM144" s="192"/>
      <c r="BN144" s="192"/>
      <c r="BO144" s="192"/>
      <c r="BP144" s="181"/>
      <c r="BQ144" s="181"/>
      <c r="BR144" s="312"/>
      <c r="BS144" s="181"/>
      <c r="BT144" s="181"/>
    </row>
    <row r="145" spans="2:67" ht="14.4" customHeight="1" x14ac:dyDescent="0.3">
      <c r="B145" s="192"/>
      <c r="C145" s="192"/>
      <c r="D145" s="192"/>
      <c r="E145" s="192"/>
      <c r="F145" s="192"/>
      <c r="G145" s="272" t="s">
        <v>267</v>
      </c>
      <c r="H145" s="192"/>
      <c r="I145" s="192"/>
      <c r="J145" s="192"/>
      <c r="K145" s="192"/>
      <c r="L145" s="192"/>
      <c r="M145" s="192"/>
      <c r="N145" s="192"/>
      <c r="O145" s="192"/>
      <c r="P145" s="192"/>
      <c r="Q145" s="192"/>
      <c r="R145" s="192"/>
      <c r="S145" s="311"/>
      <c r="T145" s="311"/>
      <c r="U145" s="311"/>
      <c r="V145" s="413"/>
      <c r="W145" s="413"/>
      <c r="X145" s="415"/>
      <c r="Y145" s="425" t="str">
        <f>IF(AND(Y120="",Y169=""),"",IF(AND(Y120="G",Y169="P"),U120,IF(AND(Y169="G",Y120="P"),U169,"Corregir ganador y perdedor")))</f>
        <v/>
      </c>
      <c r="Z145" s="423"/>
      <c r="AA145" s="423"/>
      <c r="AB145" s="423"/>
      <c r="AC145" s="167" t="s">
        <v>183</v>
      </c>
      <c r="AD145" s="192"/>
      <c r="AE145" s="192"/>
      <c r="AF145" s="192"/>
      <c r="AG145" s="192"/>
      <c r="AH145" s="192"/>
      <c r="AI145" s="192"/>
      <c r="AJ145" s="192"/>
      <c r="AK145" s="192"/>
      <c r="AL145" s="192"/>
      <c r="AM145" s="192"/>
      <c r="AN145" s="166"/>
      <c r="AO145" s="423" t="str">
        <f>IF(AND(AR120="",AR169=""),"",IF(AND(AR120="G",AR169="P"),AS120,IF(AND(AR169="G",AR120="P"),AS169,"Corregir ganador y perdedor")))</f>
        <v/>
      </c>
      <c r="AP145" s="423"/>
      <c r="AQ145" s="423"/>
      <c r="AR145" s="426"/>
      <c r="AS145" s="424"/>
      <c r="AT145" s="421"/>
      <c r="AU145" s="413"/>
      <c r="AV145" s="428"/>
      <c r="AW145" s="428"/>
      <c r="AX145" s="428"/>
      <c r="AY145" s="192"/>
      <c r="AZ145" s="192"/>
      <c r="BA145" s="192"/>
      <c r="BB145" s="192"/>
      <c r="BC145" s="192"/>
      <c r="BD145" s="192"/>
      <c r="BE145" s="192"/>
      <c r="BF145" s="192"/>
      <c r="BG145" s="192"/>
      <c r="BH145" s="192"/>
      <c r="BI145" s="273"/>
      <c r="BJ145" s="274" t="s">
        <v>268</v>
      </c>
      <c r="BK145" s="192"/>
      <c r="BL145" s="192"/>
      <c r="BM145" s="192"/>
      <c r="BN145" s="192"/>
      <c r="BO145" s="192"/>
    </row>
    <row r="146" spans="2:67" ht="14.4" customHeight="1" x14ac:dyDescent="0.3">
      <c r="B146" s="192">
        <f>B143+1</f>
        <v>49</v>
      </c>
      <c r="C146" s="192" t="str">
        <f>IF(Llave="","",IF(Llave&gt;1,IF(OR(Plyrs_val=Tot_Jug,Groups*2=Plyrs_val),HLOOKUP(Plyrs_val,Knockout,B146+1,FALSE)),""))</f>
        <v/>
      </c>
      <c r="D146" s="411" t="str">
        <f>IF(Llave="","",IF(Llave&gt;1,IF(C146="Bye","Bye",IF(OR(Plyrs_val=Tot_Jug,Groups*2=Plyrs_val),VLOOKUP(C146,Dist_Llav,4,FALSE),"")),""))</f>
        <v/>
      </c>
      <c r="E146" s="411"/>
      <c r="F146" s="411"/>
      <c r="G146" s="192" t="str">
        <f>IF(D146="","",IF(D146="Bye",0,IF(D149="Bye",E147,IF(H146="G",E147+G147,IF(H146="P",E147-G147,"")))))</f>
        <v/>
      </c>
      <c r="H146" s="166"/>
      <c r="I146" s="192"/>
      <c r="J146" s="276"/>
      <c r="K146" s="192"/>
      <c r="L146" s="277" t="s">
        <v>269</v>
      </c>
      <c r="M146" s="192"/>
      <c r="N146" s="192"/>
      <c r="O146" s="192"/>
      <c r="P146" s="192"/>
      <c r="Q146" s="192"/>
      <c r="R146" s="192"/>
      <c r="S146" s="311"/>
      <c r="T146" s="311"/>
      <c r="U146" s="311"/>
      <c r="V146" s="192"/>
      <c r="W146" s="192"/>
      <c r="X146" s="287"/>
      <c r="Y146" s="192"/>
      <c r="Z146" s="192"/>
      <c r="AA146" s="192"/>
      <c r="AB146" s="192"/>
      <c r="AC146" s="192"/>
      <c r="AD146" s="192"/>
      <c r="AE146" s="192"/>
      <c r="AF146" s="192"/>
      <c r="AG146" s="192"/>
      <c r="AH146" s="192"/>
      <c r="AI146" s="192"/>
      <c r="AJ146" s="192"/>
      <c r="AK146" s="192"/>
      <c r="AL146" s="192"/>
      <c r="AM146" s="192"/>
      <c r="AN146" s="192"/>
      <c r="AO146" s="192"/>
      <c r="AP146" s="192"/>
      <c r="AQ146" s="192"/>
      <c r="AR146" s="192"/>
      <c r="AS146" s="289"/>
      <c r="AT146" s="192"/>
      <c r="AU146" s="192"/>
      <c r="AV146" s="428"/>
      <c r="AW146" s="428"/>
      <c r="AX146" s="428"/>
      <c r="AY146" s="192"/>
      <c r="AZ146" s="192"/>
      <c r="BA146" s="192"/>
      <c r="BB146" s="192"/>
      <c r="BC146" s="192"/>
      <c r="BD146" s="192"/>
      <c r="BE146" s="274" t="s">
        <v>270</v>
      </c>
      <c r="BF146" s="192"/>
      <c r="BG146" s="192"/>
      <c r="BH146" s="192"/>
      <c r="BI146" s="166"/>
      <c r="BJ146" s="192" t="str">
        <f>IF(BK146="","",IF(BK146="Bye",0,IF(BK149="Bye",BL147,IF(BI146="G",BL147+BJ147,IF(BI146="P",BL147-BJ147,"")))))</f>
        <v/>
      </c>
      <c r="BK146" s="411" t="str">
        <f>IF(Llave="","",IF(Llave&gt;1,IF(BN146="Bye","Bye",IF(OR(Plyrs_val=Tot_Jug,Groups*2=Plyrs_val),VLOOKUP(BN146,Dist_Llav,4,FALSE),"")),""))</f>
        <v/>
      </c>
      <c r="BL146" s="411"/>
      <c r="BM146" s="411"/>
      <c r="BN146" s="229" t="str">
        <f>IF(Llave=128,IF(OR(Plyrs_val=Tot_Jug,Groups*2=Plyrs_val),HLOOKUP(Plyrs_val,Knockout,BO146+1,FALSE)),"")</f>
        <v/>
      </c>
      <c r="BO146" s="229">
        <f>BO143+1</f>
        <v>113</v>
      </c>
    </row>
    <row r="147" spans="2:67" x14ac:dyDescent="0.3">
      <c r="B147" s="413" t="str">
        <f>IF(Llave="","",B141+1)</f>
        <v/>
      </c>
      <c r="C147" s="192"/>
      <c r="D147" s="229" t="str">
        <f>IF(D146="","",IF(ISTEXT(D146),IF(D146="","",IF(D146="Bye",0,VLOOKUP(D146,Rank_Points,3,FALSE)))))</f>
        <v/>
      </c>
      <c r="E147" s="192" t="str">
        <f>IF(D146&lt;&gt;"",IF(D146="","",IF(D146="BYE",0,IF(ISTEXT(D146),VLOOKUP(C146,Dist_Llav,6,FALSE),""))),"")</f>
        <v/>
      </c>
      <c r="F147" s="414" t="s">
        <v>170</v>
      </c>
      <c r="G147" s="418" t="str">
        <f>IF(OR(D146="",D149=""),"",IF(OR(D146="Bye",D149="Bye"),0,IF(AND(H146="",H149=""),"",IF(AND(H146="G",H149="P"),IF(D147&gt;=D148,VLOOKUP(ABS(D147-D148),Point_dif,2,TRUE),VLOOKUP(ABS(D147-D148),Point_dif,3,TRUE)),IF(AND(H146="P",H149="G"),IF(D148&gt;=D147,VLOOKUP(ABS(D147-D148),Point_dif,2,TRUE),VLOOKUP(ABS(D147-D148),Point_dif,3,TRUE)))))))</f>
        <v/>
      </c>
      <c r="H147" s="278"/>
      <c r="I147" s="416" t="str">
        <f>IF(D146="Bye",D149,IF(D149="Bye",D146,IF(AND(H146="",H149=""),"",IF(AND(H146="G",H149="P"),D146,IF(AND(H149="G",H146="P"),D149,"Corregir ganador y perdedor")))))</f>
        <v/>
      </c>
      <c r="J147" s="417"/>
      <c r="K147" s="417"/>
      <c r="L147" s="417"/>
      <c r="M147" s="167"/>
      <c r="N147" s="192"/>
      <c r="O147" s="192"/>
      <c r="P147" s="192"/>
      <c r="Q147" s="192"/>
      <c r="R147" s="192"/>
      <c r="S147" s="192"/>
      <c r="T147" s="192"/>
      <c r="U147" s="192"/>
      <c r="V147" s="192"/>
      <c r="W147" s="192"/>
      <c r="X147" s="287"/>
      <c r="Y147" s="192"/>
      <c r="Z147" s="192"/>
      <c r="AA147" s="192"/>
      <c r="AB147" s="192"/>
      <c r="AC147" s="192"/>
      <c r="AD147" s="192"/>
      <c r="AE147" s="192"/>
      <c r="AF147" s="192"/>
      <c r="AG147" s="192"/>
      <c r="AH147" s="192"/>
      <c r="AI147" s="192"/>
      <c r="AJ147" s="192"/>
      <c r="AK147" s="192"/>
      <c r="AL147" s="192"/>
      <c r="AM147" s="192"/>
      <c r="AN147" s="192"/>
      <c r="AO147" s="192"/>
      <c r="AP147" s="192"/>
      <c r="AQ147" s="192"/>
      <c r="AR147" s="192"/>
      <c r="AS147" s="289"/>
      <c r="AT147" s="192"/>
      <c r="AU147" s="192"/>
      <c r="AV147" s="428"/>
      <c r="AW147" s="428"/>
      <c r="AX147" s="428"/>
      <c r="AY147" s="192"/>
      <c r="AZ147" s="192"/>
      <c r="BA147" s="192"/>
      <c r="BB147" s="192"/>
      <c r="BC147" s="192"/>
      <c r="BD147" s="166"/>
      <c r="BE147" s="416" t="str">
        <f>IF(BK149="Bye",BK146,IF(BK146="Bye",BK149,IF(AND(BI146="",BI149=""),"",IF(AND(BI146="G",BI149="P"),BK146,IF(AND(BI149="G",BI146="P"),BK149,"Corregir ganador y perdedor")))))</f>
        <v/>
      </c>
      <c r="BF147" s="417"/>
      <c r="BG147" s="417"/>
      <c r="BH147" s="417"/>
      <c r="BI147" s="279"/>
      <c r="BJ147" s="418" t="str">
        <f>IF(OR(BK146="",BK149=""),"",IF(OR(BK146="Bye",BK149="Bye"),0,IF(AND(BI146="",BI149=""),"",IF(AND(BI146="G",BI149="P"),IF(BM147&gt;=BM148,VLOOKUP(ABS(BM147-BM148),Point_dif,2,TRUE),VLOOKUP(ABS(BM147-BM148),Point_dif,3,TRUE)),IF(AND(BI146="P",BI149="G"),IF(BM148&gt;=BM147,VLOOKUP(ABS(BM147-BM148),Point_dif,2,TRUE),VLOOKUP(ABS(BM147-BM148),Point_dif,3,TRUE)))))))</f>
        <v/>
      </c>
      <c r="BK147" s="420" t="s">
        <v>170</v>
      </c>
      <c r="BL147" s="229" t="str">
        <f>IF(BK146&lt;&gt;"",IF(BK146="","",IF(BK146="BYE",0,IF(ISTEXT(BK146),VLOOKUP(BN146,Dist_Llav,6,FALSE),""))),"")</f>
        <v/>
      </c>
      <c r="BM147" s="280" t="str">
        <f>IF(BK146="","",IF(ISTEXT(BK146),IF(BK146="","",IF(BK146="Bye",0,VLOOKUP(BK146,Rank_Points,3,FALSE)))))</f>
        <v/>
      </c>
      <c r="BN147" s="422"/>
      <c r="BO147" s="422" t="str">
        <f>IF(Llave=128,BO141+1,"")</f>
        <v/>
      </c>
    </row>
    <row r="148" spans="2:67" x14ac:dyDescent="0.3">
      <c r="B148" s="413"/>
      <c r="C148" s="192"/>
      <c r="D148" s="229" t="str">
        <f>IF(D149="","",IF(ISTEXT(D149),IF(D149="","",IF(D149="Bye",0,VLOOKUP(D149,Rank_Points,3,FALSE)))))</f>
        <v/>
      </c>
      <c r="E148" s="192" t="str">
        <f>IF(D149&lt;&gt;"",IF(D149="","",IF(D149="BYE",0,IF(ISTEXT(D149),VLOOKUP(C149,Dist_Llav,6,FALSE),""))),"")</f>
        <v/>
      </c>
      <c r="F148" s="414"/>
      <c r="G148" s="419"/>
      <c r="H148" s="282"/>
      <c r="I148" s="283" t="str">
        <f>IF(I147=D146,D147,IF(I147=D149,D148,""))</f>
        <v/>
      </c>
      <c r="J148" s="423" t="str">
        <f>IF(ISNUMBER(I148),VLOOKUP(I147,Siembra,2,FALSE),"")</f>
        <v/>
      </c>
      <c r="K148" s="423"/>
      <c r="L148" s="278" t="str">
        <f>IF(I147="","",IF(M147="G",IF(I147=D146,G146+L150,G149+L150),IF(M147="P",IF(I147=D146,G146-L150,G149-L150),"")))</f>
        <v/>
      </c>
      <c r="M148" s="192"/>
      <c r="N148" s="192"/>
      <c r="O148" s="192"/>
      <c r="P148" s="192"/>
      <c r="Q148" s="192"/>
      <c r="R148" s="192"/>
      <c r="S148" s="192"/>
      <c r="T148" s="192"/>
      <c r="U148" s="192"/>
      <c r="V148" s="192"/>
      <c r="W148" s="192"/>
      <c r="X148" s="287"/>
      <c r="Y148" s="192"/>
      <c r="Z148" s="192"/>
      <c r="AA148" s="192"/>
      <c r="AB148" s="192"/>
      <c r="AC148" s="192"/>
      <c r="AD148" s="192"/>
      <c r="AE148" s="192"/>
      <c r="AF148" s="192"/>
      <c r="AG148" s="192"/>
      <c r="AH148" s="192"/>
      <c r="AI148" s="192"/>
      <c r="AJ148" s="192"/>
      <c r="AK148" s="192"/>
      <c r="AL148" s="192"/>
      <c r="AM148" s="192"/>
      <c r="AN148" s="192"/>
      <c r="AO148" s="192"/>
      <c r="AP148" s="192"/>
      <c r="AQ148" s="192"/>
      <c r="AR148" s="192"/>
      <c r="AS148" s="289"/>
      <c r="AT148" s="192"/>
      <c r="AU148" s="192"/>
      <c r="AV148" s="428"/>
      <c r="AW148" s="428"/>
      <c r="AX148" s="428"/>
      <c r="AY148" s="192"/>
      <c r="AZ148" s="192"/>
      <c r="BA148" s="192"/>
      <c r="BB148" s="192"/>
      <c r="BC148" s="192"/>
      <c r="BD148" s="192"/>
      <c r="BE148" s="279" t="str">
        <f>IF(BE147="","",IF(BD147="G",IF(BE147=BK146,BJ146+BE150,BJ149+BE150),IF(BD147="P",IF(BE147=BK146,BJ146-BE150,BJ149-BE150),"")))</f>
        <v/>
      </c>
      <c r="BF148" s="423" t="str">
        <f>IF(ISNUMBER(BE148),VLOOKUP(BE147,Siembra,2,FALSE),"")</f>
        <v/>
      </c>
      <c r="BG148" s="423"/>
      <c r="BH148" s="285" t="str">
        <f>IF(BE147=BK146,BM147,IF(BE147=BK149,BM148,""))</f>
        <v/>
      </c>
      <c r="BI148" s="286"/>
      <c r="BJ148" s="419"/>
      <c r="BK148" s="421"/>
      <c r="BL148" s="229" t="str">
        <f>IF(BK149&lt;&gt;"",IF(BK149="","",IF(BK149="BYE",0,IF(ISTEXT(BK149),VLOOKUP(BN149,Dist_Llav,6,FALSE),""))),"")</f>
        <v/>
      </c>
      <c r="BM148" s="280" t="str">
        <f>IF(BK149="","",IF(ISTEXT(BK149),IF(BK149="","",IF(BK149="Bye",0,VLOOKUP(BK149,Rank_Points,3,FALSE)))))</f>
        <v/>
      </c>
      <c r="BN148" s="422"/>
      <c r="BO148" s="422"/>
    </row>
    <row r="149" spans="2:67" x14ac:dyDescent="0.3">
      <c r="B149" s="192">
        <f>B146+1</f>
        <v>50</v>
      </c>
      <c r="C149" s="192" t="str">
        <f>IF(Llave="","",IF(Llave&gt;1,IF(OR(Plyrs_val=Tot_Jug,Groups*2=Plyrs_val),HLOOKUP(Plyrs_val,Knockout,B149+1,FALSE)),""))</f>
        <v/>
      </c>
      <c r="D149" s="412" t="str">
        <f>IF(Llave="","",IF(Llave&gt;1,IF(C149="Bye","Bye",IF(OR(Plyrs_val=Tot_Jug,Groups*2=Plyrs_val),VLOOKUP(C149,Dist_Llav,4,FALSE),"")),""))</f>
        <v/>
      </c>
      <c r="E149" s="412"/>
      <c r="F149" s="412"/>
      <c r="G149" s="192" t="str">
        <f>IF(D149="","",IF(D149="Bye",0,IF(D146="Bye",E148,IF(H149="G",E148+G147,IF(H149="P",E148-G147,"")))))</f>
        <v/>
      </c>
      <c r="H149" s="166"/>
      <c r="I149" s="192"/>
      <c r="J149" s="192"/>
      <c r="K149" s="192"/>
      <c r="L149" s="287"/>
      <c r="M149" s="192"/>
      <c r="N149" s="192"/>
      <c r="O149" s="192"/>
      <c r="P149" s="288" t="s">
        <v>271</v>
      </c>
      <c r="Q149" s="192"/>
      <c r="R149" s="192"/>
      <c r="S149" s="192"/>
      <c r="T149" s="192"/>
      <c r="U149" s="192"/>
      <c r="V149" s="192"/>
      <c r="W149" s="192"/>
      <c r="X149" s="287"/>
      <c r="Y149" s="192"/>
      <c r="Z149" s="192"/>
      <c r="AA149" s="192"/>
      <c r="AB149" s="192"/>
      <c r="AC149" s="192"/>
      <c r="AD149" s="192"/>
      <c r="AE149" s="192"/>
      <c r="AF149" s="192"/>
      <c r="AG149" s="192"/>
      <c r="AH149" s="192"/>
      <c r="AI149" s="192"/>
      <c r="AJ149" s="192"/>
      <c r="AK149" s="192"/>
      <c r="AL149" s="192"/>
      <c r="AM149" s="192"/>
      <c r="AN149" s="192"/>
      <c r="AO149" s="192"/>
      <c r="AP149" s="192"/>
      <c r="AQ149" s="192"/>
      <c r="AR149" s="192"/>
      <c r="AS149" s="289"/>
      <c r="AT149" s="192"/>
      <c r="AU149" s="192"/>
      <c r="AV149" s="428"/>
      <c r="AW149" s="428"/>
      <c r="AX149" s="428"/>
      <c r="AY149" s="192"/>
      <c r="AZ149" s="192"/>
      <c r="BA149" s="274" t="s">
        <v>272</v>
      </c>
      <c r="BB149" s="192"/>
      <c r="BC149" s="192"/>
      <c r="BD149" s="192"/>
      <c r="BE149" s="289"/>
      <c r="BF149" s="192"/>
      <c r="BG149" s="192"/>
      <c r="BH149" s="192"/>
      <c r="BI149" s="166"/>
      <c r="BJ149" s="284" t="str">
        <f>IF(BK149="","",IF(BK149="Bye",0,IF(BK146="Bye",BL148,IF(BI149="G",BL148+BJ147,IF(BI149="P",BL148-BJ147,"")))))</f>
        <v/>
      </c>
      <c r="BK149" s="412" t="str">
        <f>IF(Llave="","",IF(Llave&gt;1,IF(BN149="Bye","Bye",IF(OR(Plyrs_val=Tot_Jug,Groups*2=Plyrs_val),VLOOKUP(BN149,Dist_Llav,4,FALSE),"")),""))</f>
        <v/>
      </c>
      <c r="BL149" s="412"/>
      <c r="BM149" s="412"/>
      <c r="BN149" s="229" t="str">
        <f>IF(Llave=128,IF(OR(Plyrs_val=Tot_Jug,Groups*2=Plyrs_val),HLOOKUP(Plyrs_val,Knockout,BO149+1,FALSE)),"")</f>
        <v/>
      </c>
      <c r="BO149" s="229">
        <f>BO146+1</f>
        <v>114</v>
      </c>
    </row>
    <row r="150" spans="2:67" x14ac:dyDescent="0.3">
      <c r="B150" s="192"/>
      <c r="C150" s="192"/>
      <c r="D150" s="192"/>
      <c r="E150" s="192"/>
      <c r="F150" s="192"/>
      <c r="G150" s="192"/>
      <c r="H150" s="192"/>
      <c r="I150" s="413" t="str">
        <f>IF(Llave="","",I138+1)</f>
        <v/>
      </c>
      <c r="J150" s="192"/>
      <c r="K150" s="414" t="s">
        <v>170</v>
      </c>
      <c r="L150" s="415" t="str">
        <f>IF(OR(I147="",I154=""),"",IF(OR(I147="Bye",I154="Bye"),0,IF(AND(M147="",M154=""),"",IF(AND(M147="G",M154="P"),IF(I148&gt;=I153,VLOOKUP(ABS(I148-I153),Point_dif,2,TRUE),VLOOKUP(ABS(I148-I153),Point_dif,3,TRUE)),IF(AND(M147="P",M154="G"),IF(I153&gt;=I148,VLOOKUP(ABS(I148-I153),Point_dif,2,TRUE),VLOOKUP(ABS(I148-I153),Point_dif,3,TRUE)))))))</f>
        <v/>
      </c>
      <c r="M150" s="416" t="str">
        <f>IF(AND(M147="",M154=""),"",IF(AND(M147="G",M154="P"),I147,IF(AND(M154="G",M147="P"),I154,"Corregir ganador y perdedor")))</f>
        <v/>
      </c>
      <c r="N150" s="417"/>
      <c r="O150" s="417"/>
      <c r="P150" s="417"/>
      <c r="Q150" s="167"/>
      <c r="R150" s="192"/>
      <c r="S150" s="192"/>
      <c r="T150" s="192"/>
      <c r="U150" s="192"/>
      <c r="V150" s="192"/>
      <c r="W150" s="192"/>
      <c r="X150" s="287"/>
      <c r="Y150" s="192"/>
      <c r="Z150" s="192"/>
      <c r="AA150" s="192"/>
      <c r="AB150" s="192"/>
      <c r="AC150" s="192"/>
      <c r="AD150" s="192"/>
      <c r="AE150" s="192"/>
      <c r="AF150" s="192"/>
      <c r="AG150" s="192"/>
      <c r="AH150" s="192"/>
      <c r="AI150" s="192"/>
      <c r="AJ150" s="192"/>
      <c r="AK150" s="192"/>
      <c r="AL150" s="192"/>
      <c r="AM150" s="192"/>
      <c r="AN150" s="192"/>
      <c r="AO150" s="192"/>
      <c r="AP150" s="192"/>
      <c r="AQ150" s="192"/>
      <c r="AR150" s="192"/>
      <c r="AS150" s="289"/>
      <c r="AT150" s="192"/>
      <c r="AU150" s="192"/>
      <c r="AV150" s="192"/>
      <c r="AW150" s="192"/>
      <c r="AX150" s="192"/>
      <c r="AY150" s="192"/>
      <c r="AZ150" s="166"/>
      <c r="BA150" s="416" t="str">
        <f>IF(AND(BD147="",BD154=""),"",IF(AND(BD147="G",BD154="P"),BE147,IF(AND(BD154="G",BD147="P"),BE154,"Corregir ganador y perdedor")))</f>
        <v/>
      </c>
      <c r="BB150" s="417"/>
      <c r="BC150" s="417"/>
      <c r="BD150" s="417"/>
      <c r="BE150" s="424" t="str">
        <f>IF(OR(BE147="",BE154=""),"",IF(OR(BE147="Bye",BE154="Bye"),0,IF(AND(BD147="",BD154=""),"",IF(AND(BD147="G",BD154="P"),IF(BH148&gt;=BH153,VLOOKUP(ABS(BH148-BH153),Point_dif,2,TRUE),VLOOKUP(ABS(BH148-BH153),Point_dif,3,TRUE)),IF(AND(BD147="P",BD154="G"),IF(BH153&gt;=BH148,VLOOKUP(ABS(BH148-BH153),Point_dif,2,TRUE),VLOOKUP(ABS(BH148-BH153),Point_dif,3,TRUE)))))))</f>
        <v/>
      </c>
      <c r="BF150" s="421" t="s">
        <v>170</v>
      </c>
      <c r="BG150" s="281"/>
      <c r="BH150" s="413" t="str">
        <f>IF(Llave=128,BH138+1,"")</f>
        <v/>
      </c>
      <c r="BI150" s="192"/>
      <c r="BJ150" s="192"/>
      <c r="BK150" s="192"/>
      <c r="BL150" s="192"/>
      <c r="BM150" s="192"/>
      <c r="BN150" s="192"/>
      <c r="BO150" s="192"/>
    </row>
    <row r="151" spans="2:67" x14ac:dyDescent="0.3">
      <c r="B151" s="192"/>
      <c r="C151" s="192"/>
      <c r="D151" s="192"/>
      <c r="E151" s="192"/>
      <c r="F151" s="192"/>
      <c r="G151" s="272" t="s">
        <v>273</v>
      </c>
      <c r="H151" s="192"/>
      <c r="I151" s="413"/>
      <c r="J151" s="192"/>
      <c r="K151" s="414"/>
      <c r="L151" s="415"/>
      <c r="M151" s="283" t="str">
        <f>IF(M150=I147,I148,IF(M150=I154,I153,""))</f>
        <v/>
      </c>
      <c r="N151" s="423" t="str">
        <f>IF(ISNUMBER(M151),VLOOKUP(M150,Siembra,2,FALSE),"")</f>
        <v/>
      </c>
      <c r="O151" s="423"/>
      <c r="P151" s="278" t="str">
        <f>IF(Llave=4,IF(M147="G",L148,L153),IF(M150="","",IF(Q150="G",IF(M150=I147,L148+P156,L153+P156),IF(Q150="P",IF(M150=I147,L148-P156,L153-P156),""))))</f>
        <v/>
      </c>
      <c r="Q151" s="192"/>
      <c r="R151" s="192"/>
      <c r="S151" s="192"/>
      <c r="T151" s="192"/>
      <c r="U151" s="192"/>
      <c r="V151" s="192"/>
      <c r="W151" s="192"/>
      <c r="X151" s="287"/>
      <c r="Y151" s="192"/>
      <c r="Z151" s="192"/>
      <c r="AA151" s="192"/>
      <c r="AB151" s="192"/>
      <c r="AC151" s="192"/>
      <c r="AD151" s="192"/>
      <c r="AE151" s="192"/>
      <c r="AF151" s="192"/>
      <c r="AG151" s="192"/>
      <c r="AH151" s="192"/>
      <c r="AI151" s="192"/>
      <c r="AJ151" s="192"/>
      <c r="AK151" s="192"/>
      <c r="AL151" s="192"/>
      <c r="AM151" s="192"/>
      <c r="AN151" s="192"/>
      <c r="AO151" s="192"/>
      <c r="AP151" s="192"/>
      <c r="AQ151" s="192"/>
      <c r="AR151" s="192"/>
      <c r="AS151" s="289"/>
      <c r="AT151" s="192"/>
      <c r="AU151" s="192"/>
      <c r="AV151" s="192"/>
      <c r="AW151" s="192"/>
      <c r="AX151" s="192"/>
      <c r="AY151" s="192"/>
      <c r="AZ151" s="192"/>
      <c r="BA151" s="279" t="str">
        <f>IF(BA150="","",IF(AZ150="G",IF(BA150=BE147,BE148+BA156,BE153+BA156),IF(AZ150="P",IF(BA150=BE147,BE148-BA156,BE153-BA156),"")))</f>
        <v/>
      </c>
      <c r="BB151" s="423" t="str">
        <f>IF(ISNUMBER(BA151),VLOOKUP(BA150,Siembra,2,FALSE),"")</f>
        <v/>
      </c>
      <c r="BC151" s="423"/>
      <c r="BD151" s="285" t="str">
        <f>IF(BA150=BE147,BH148,IF(BA150=BE154,BH153,""))</f>
        <v/>
      </c>
      <c r="BE151" s="424"/>
      <c r="BF151" s="421"/>
      <c r="BG151" s="281"/>
      <c r="BH151" s="413"/>
      <c r="BI151" s="273"/>
      <c r="BJ151" s="274" t="s">
        <v>274</v>
      </c>
      <c r="BK151" s="192"/>
      <c r="BL151" s="192"/>
      <c r="BM151" s="192"/>
      <c r="BN151" s="192"/>
      <c r="BO151" s="192"/>
    </row>
    <row r="152" spans="2:67" x14ac:dyDescent="0.3">
      <c r="B152" s="192">
        <f>B149+1</f>
        <v>51</v>
      </c>
      <c r="C152" s="192" t="str">
        <f>IF(Llave="","",IF(Llave&gt;1,IF(OR(Plyrs_val=Tot_Jug,Groups*2=Plyrs_val),HLOOKUP(Plyrs_val,Knockout,B152+1,FALSE)),""))</f>
        <v/>
      </c>
      <c r="D152" s="411" t="str">
        <f>IF(Llave="","",IF(Llave&gt;1,IF(C152="Bye","Bye",IF(OR(Plyrs_val=Tot_Jug,Groups*2=Plyrs_val),VLOOKUP(C152,Dist_Llav,4,FALSE),"")),""))</f>
        <v/>
      </c>
      <c r="E152" s="411"/>
      <c r="F152" s="411"/>
      <c r="G152" s="192" t="str">
        <f>IF(D152="","",IF(D152="Bye",0,IF(D155="Bye",E153,IF(H152="G",E153+G153,IF(H152="P",E153-G153,"")))))</f>
        <v/>
      </c>
      <c r="H152" s="166"/>
      <c r="I152" s="192"/>
      <c r="J152" s="192"/>
      <c r="K152" s="192"/>
      <c r="L152" s="287"/>
      <c r="M152" s="192"/>
      <c r="N152" s="192"/>
      <c r="O152" s="192"/>
      <c r="P152" s="287"/>
      <c r="Q152" s="192"/>
      <c r="R152" s="192"/>
      <c r="S152" s="192"/>
      <c r="T152" s="192"/>
      <c r="U152" s="192"/>
      <c r="V152" s="192"/>
      <c r="W152" s="192"/>
      <c r="X152" s="287"/>
      <c r="Y152" s="192"/>
      <c r="Z152" s="192"/>
      <c r="AA152" s="192"/>
      <c r="AB152" s="192"/>
      <c r="AC152" s="192"/>
      <c r="AD152" s="192"/>
      <c r="AE152" s="192"/>
      <c r="AF152" s="192"/>
      <c r="AG152" s="192"/>
      <c r="AH152" s="192"/>
      <c r="AI152" s="192"/>
      <c r="AJ152" s="192"/>
      <c r="AK152" s="192"/>
      <c r="AL152" s="192"/>
      <c r="AM152" s="192"/>
      <c r="AN152" s="192"/>
      <c r="AO152" s="192"/>
      <c r="AP152" s="192"/>
      <c r="AQ152" s="192"/>
      <c r="AR152" s="192"/>
      <c r="AS152" s="289"/>
      <c r="AT152" s="192"/>
      <c r="AU152" s="192"/>
      <c r="AV152" s="192"/>
      <c r="AW152" s="192"/>
      <c r="AX152" s="192"/>
      <c r="AY152" s="192"/>
      <c r="AZ152" s="192"/>
      <c r="BA152" s="289"/>
      <c r="BB152" s="192"/>
      <c r="BC152" s="192"/>
      <c r="BD152" s="192"/>
      <c r="BE152" s="289"/>
      <c r="BF152" s="192"/>
      <c r="BG152" s="192"/>
      <c r="BH152" s="192"/>
      <c r="BI152" s="166"/>
      <c r="BJ152" s="192" t="str">
        <f>IF(BK152="","",IF(BK152="Bye",0,IF(BK155="Bye",BL153,IF(BI152="G",BL153+BJ153,IF(BI152="P",BL153-BJ153,"")))))</f>
        <v/>
      </c>
      <c r="BK152" s="411" t="str">
        <f>IF(Llave="","",IF(Llave&gt;1,IF(BN152="Bye","Bye",IF(OR(Plyrs_val=Tot_Jug,Groups*2=Plyrs_val),VLOOKUP(BN152,Dist_Llav,4,FALSE),"")),""))</f>
        <v/>
      </c>
      <c r="BL152" s="411"/>
      <c r="BM152" s="411"/>
      <c r="BN152" s="229" t="str">
        <f>IF(Llave=128,IF(OR(Plyrs_val=Tot_Jug,Groups*2=Plyrs_val),HLOOKUP(Plyrs_val,Knockout,BO152+1,FALSE)),"")</f>
        <v/>
      </c>
      <c r="BO152" s="229">
        <f>BO149+1</f>
        <v>115</v>
      </c>
    </row>
    <row r="153" spans="2:67" x14ac:dyDescent="0.3">
      <c r="B153" s="413" t="str">
        <f>IF(Llave="","",B147+1)</f>
        <v/>
      </c>
      <c r="C153" s="192"/>
      <c r="D153" s="229" t="str">
        <f>IF(D152="","",IF(ISTEXT(D152),IF(D152="","",IF(D152="Bye",0,VLOOKUP(D152,Rank_Points,3,FALSE)))))</f>
        <v/>
      </c>
      <c r="E153" s="192" t="str">
        <f>IF(D152&lt;&gt;"",IF(D152="","",IF(D152="BYE",0,IF(ISTEXT(D152),VLOOKUP(C152,Dist_Llav,6,FALSE),""))),"")</f>
        <v/>
      </c>
      <c r="F153" s="414" t="s">
        <v>170</v>
      </c>
      <c r="G153" s="418" t="str">
        <f>IF(OR(D152="",D155=""),"",IF(OR(D152="Bye",D155="Bye"),0,IF(AND(H152="",H155=""),"",IF(AND(H152="G",H155="P"),IF(D153&gt;=D154,VLOOKUP(ABS(D153-D154),Point_dif,2,TRUE),VLOOKUP(ABS(D153-D154),Point_dif,3,TRUE)),IF(AND(H152="P",H155="G"),IF(D154&gt;=D153,VLOOKUP(ABS(D153-D154),Point_dif,2,TRUE),VLOOKUP(ABS(D153-D154),Point_dif,3,TRUE)))))))</f>
        <v/>
      </c>
      <c r="H153" s="278"/>
      <c r="I153" s="275" t="str">
        <f>IF(I154=D152,D153,IF(I154=D155,D154,""))</f>
        <v/>
      </c>
      <c r="J153" s="417" t="str">
        <f>IF(ISNUMBER(I153),VLOOKUP(I154,Siembra,2,FALSE),"")</f>
        <v/>
      </c>
      <c r="K153" s="417"/>
      <c r="L153" s="282" t="str">
        <f>IF(I154="","",IF(M154="G",IF(I154=D152,G152+L150,G155+L150),IF(M154="P",IF(I154=D152,G152-L150,G155-L150),"")))</f>
        <v/>
      </c>
      <c r="M153" s="192"/>
      <c r="N153" s="192"/>
      <c r="O153" s="192"/>
      <c r="P153" s="287"/>
      <c r="Q153" s="192"/>
      <c r="R153" s="192"/>
      <c r="S153" s="192"/>
      <c r="T153" s="192"/>
      <c r="U153" s="192"/>
      <c r="V153" s="192"/>
      <c r="W153" s="192"/>
      <c r="X153" s="287"/>
      <c r="Y153" s="192"/>
      <c r="Z153" s="192"/>
      <c r="AA153" s="192"/>
      <c r="AB153" s="192"/>
      <c r="AC153" s="192"/>
      <c r="AD153" s="192"/>
      <c r="AE153" s="192"/>
      <c r="AF153" s="192"/>
      <c r="AG153" s="192"/>
      <c r="AH153" s="192"/>
      <c r="AI153" s="192"/>
      <c r="AJ153" s="192"/>
      <c r="AK153" s="192"/>
      <c r="AL153" s="192"/>
      <c r="AM153" s="192"/>
      <c r="AN153" s="192"/>
      <c r="AO153" s="192"/>
      <c r="AP153" s="192"/>
      <c r="AQ153" s="192"/>
      <c r="AR153" s="192"/>
      <c r="AS153" s="289"/>
      <c r="AT153" s="192"/>
      <c r="AU153" s="192"/>
      <c r="AV153" s="192"/>
      <c r="AW153" s="192"/>
      <c r="AX153" s="192"/>
      <c r="AY153" s="192"/>
      <c r="AZ153" s="192"/>
      <c r="BA153" s="289"/>
      <c r="BB153" s="192"/>
      <c r="BC153" s="192"/>
      <c r="BD153" s="192"/>
      <c r="BE153" s="286" t="str">
        <f>IF(BE154="","",IF(BD154="G",IF(BE154=BK152,BJ152+BE150,BJ155+BE150),IF(BD154="P",IF(BE154=BK152,BJ152-BE150,BJ155-BE150),"")))</f>
        <v/>
      </c>
      <c r="BF153" s="417" t="str">
        <f>IF(ISNUMBER(BE153),VLOOKUP(BE154,Siembra,2,FALSE),"")</f>
        <v/>
      </c>
      <c r="BG153" s="417"/>
      <c r="BH153" s="282" t="str">
        <f>IF(BE154=BK152,BM153,IF(BE154=BK155,BM154,""))</f>
        <v/>
      </c>
      <c r="BI153" s="279"/>
      <c r="BJ153" s="418" t="str">
        <f>IF(OR(BK152="",BK155=""),"",IF(OR(BK152="Bye",BK155="Bye"),0,IF(AND(BI152="",BI155=""),"",IF(AND(BI152="G",BI155="P"),IF(BM153&gt;=BM154,VLOOKUP(ABS(BM153-BM154),Point_dif,2,TRUE),VLOOKUP(ABS(BM153-BM154),Point_dif,3,TRUE)),IF(AND(BI152="P",BI155="G"),IF(BM154&gt;=BM153,VLOOKUP(ABS(BM153-BM154),Point_dif,2,TRUE),VLOOKUP(ABS(BM153-BM154),Point_dif,3,TRUE)))))))</f>
        <v/>
      </c>
      <c r="BK153" s="420" t="s">
        <v>170</v>
      </c>
      <c r="BL153" s="229" t="str">
        <f>IF(BK152&lt;&gt;"",IF(BK152="","",IF(BK152="BYE",0,IF(ISTEXT(BK152),VLOOKUP(BN152,Dist_Llav,6,FALSE),""))),"")</f>
        <v/>
      </c>
      <c r="BM153" s="280" t="str">
        <f>IF(BK152="","",IF(ISTEXT(BK152),IF(BK152="","",IF(BK152="Bye",0,VLOOKUP(BK152,Rank_Points,3,FALSE)))))</f>
        <v/>
      </c>
      <c r="BN153" s="422"/>
      <c r="BO153" s="422" t="str">
        <f>IF(Llave=128,BO147+1,"")</f>
        <v/>
      </c>
    </row>
    <row r="154" spans="2:67" x14ac:dyDescent="0.3">
      <c r="B154" s="413"/>
      <c r="C154" s="192"/>
      <c r="D154" s="229" t="str">
        <f>IF(D155="","",IF(ISTEXT(D155),IF(D155="","",IF(D155="Bye",0,VLOOKUP(D155,Rank_Points,3,FALSE)))))</f>
        <v/>
      </c>
      <c r="E154" s="192" t="str">
        <f>IF(D155&lt;&gt;"",IF(D155="","",IF(D155="BYE",0,IF(ISTEXT(D155),VLOOKUP(C155,Dist_Llav,6,FALSE),""))),"")</f>
        <v/>
      </c>
      <c r="F154" s="414"/>
      <c r="G154" s="419"/>
      <c r="H154" s="282"/>
      <c r="I154" s="425" t="str">
        <f>IF(D152="Bye",D155,IF(D155="Bye",D152,IF(AND(H152="",H155=""),"",IF(AND(H152="G",H155="P"),D152,IF(AND(H155="G",H152="P"),D155,"Corregir ganador y perdedor")))))</f>
        <v/>
      </c>
      <c r="J154" s="423"/>
      <c r="K154" s="423"/>
      <c r="L154" s="423"/>
      <c r="M154" s="167"/>
      <c r="N154" s="192"/>
      <c r="O154" s="192"/>
      <c r="P154" s="287"/>
      <c r="Q154" s="192"/>
      <c r="R154" s="192"/>
      <c r="S154" s="192"/>
      <c r="T154" s="192"/>
      <c r="U154" s="192"/>
      <c r="V154" s="192"/>
      <c r="W154" s="192"/>
      <c r="X154" s="287"/>
      <c r="Y154" s="192"/>
      <c r="Z154" s="192"/>
      <c r="AA154" s="192"/>
      <c r="AB154" s="192"/>
      <c r="AC154" s="192"/>
      <c r="AD154" s="192"/>
      <c r="AE154" s="192"/>
      <c r="AF154" s="192"/>
      <c r="AG154" s="192"/>
      <c r="AH154" s="192"/>
      <c r="AI154" s="192"/>
      <c r="AJ154" s="192"/>
      <c r="AK154" s="192"/>
      <c r="AL154" s="192"/>
      <c r="AM154" s="192"/>
      <c r="AN154" s="192"/>
      <c r="AO154" s="192"/>
      <c r="AP154" s="192"/>
      <c r="AQ154" s="192"/>
      <c r="AR154" s="192"/>
      <c r="AS154" s="289"/>
      <c r="AT154" s="192"/>
      <c r="AU154" s="192"/>
      <c r="AV154" s="192"/>
      <c r="AW154" s="192"/>
      <c r="AX154" s="192"/>
      <c r="AY154" s="192"/>
      <c r="AZ154" s="192"/>
      <c r="BA154" s="289"/>
      <c r="BB154" s="192"/>
      <c r="BC154" s="192"/>
      <c r="BD154" s="166"/>
      <c r="BE154" s="423" t="str">
        <f>IF(BK155="Bye",BK152,IF(BK152="Bye",BK155,IF(AND(BI152="",BI155=""),"",IF(AND(BI152="G",BI155="P"),BK152,IF(AND(BI155="G",BI152="P"),BK155,"Corregir ganador y perdedor")))))</f>
        <v/>
      </c>
      <c r="BF154" s="423"/>
      <c r="BG154" s="423"/>
      <c r="BH154" s="426"/>
      <c r="BI154" s="286"/>
      <c r="BJ154" s="419"/>
      <c r="BK154" s="421"/>
      <c r="BL154" s="229" t="str">
        <f>IF(BK155&lt;&gt;"",IF(BK155="","",IF(BK155="BYE",0,IF(ISTEXT(BK155),VLOOKUP(BN155,Dist_Llav,6,FALSE),""))),"")</f>
        <v/>
      </c>
      <c r="BM154" s="280" t="str">
        <f>IF(BK155="","",IF(ISTEXT(BK155),IF(BK155="","",IF(BK155="Bye",0,VLOOKUP(BK155,Rank_Points,3,FALSE)))))</f>
        <v/>
      </c>
      <c r="BN154" s="422"/>
      <c r="BO154" s="422"/>
    </row>
    <row r="155" spans="2:67" x14ac:dyDescent="0.3">
      <c r="B155" s="192">
        <f>B152+1</f>
        <v>52</v>
      </c>
      <c r="C155" s="192" t="str">
        <f>IF(Llave="","",IF(Llave&gt;1,IF(OR(Plyrs_val=Tot_Jug,Groups*2=Plyrs_val),HLOOKUP(Plyrs_val,Knockout,B155+1,FALSE)),""))</f>
        <v/>
      </c>
      <c r="D155" s="412" t="str">
        <f>IF(Llave="","",IF(Llave&gt;1,IF(C155="Bye","Bye",IF(OR(Plyrs_val=Tot_Jug,Groups*2=Plyrs_val),VLOOKUP(C155,Dist_Llav,4,FALSE),"")),""))</f>
        <v/>
      </c>
      <c r="E155" s="412"/>
      <c r="F155" s="412"/>
      <c r="G155" s="192" t="str">
        <f>IF(D155="","",IF(D155="Bye",0,IF(D152="Bye",E154,IF(H155="G",E154+G153,IF(H155="P",E154-G153,"")))))</f>
        <v/>
      </c>
      <c r="H155" s="166"/>
      <c r="I155" s="192"/>
      <c r="J155" s="192"/>
      <c r="K155" s="192"/>
      <c r="L155" s="192"/>
      <c r="M155" s="192"/>
      <c r="N155" s="192"/>
      <c r="O155" s="192"/>
      <c r="P155" s="287"/>
      <c r="Q155" s="192"/>
      <c r="R155" s="192"/>
      <c r="S155" s="192"/>
      <c r="T155" s="288" t="s">
        <v>275</v>
      </c>
      <c r="U155" s="192"/>
      <c r="V155" s="192"/>
      <c r="W155" s="192"/>
      <c r="X155" s="287"/>
      <c r="Y155" s="192"/>
      <c r="Z155" s="192"/>
      <c r="AA155" s="192"/>
      <c r="AB155" s="192"/>
      <c r="AC155" s="192"/>
      <c r="AD155" s="192"/>
      <c r="AE155" s="192"/>
      <c r="AF155" s="192"/>
      <c r="AG155" s="192"/>
      <c r="AH155" s="192"/>
      <c r="AI155" s="192"/>
      <c r="AJ155" s="192"/>
      <c r="AK155" s="192"/>
      <c r="AL155" s="192"/>
      <c r="AM155" s="192"/>
      <c r="AN155" s="192"/>
      <c r="AO155" s="192"/>
      <c r="AP155" s="192"/>
      <c r="AQ155" s="192"/>
      <c r="AR155" s="192"/>
      <c r="AS155" s="289"/>
      <c r="AT155" s="192"/>
      <c r="AU155" s="192"/>
      <c r="AV155" s="192"/>
      <c r="AW155" s="274" t="s">
        <v>276</v>
      </c>
      <c r="AX155" s="192"/>
      <c r="AY155" s="192"/>
      <c r="AZ155" s="192"/>
      <c r="BA155" s="289"/>
      <c r="BB155" s="192"/>
      <c r="BC155" s="192"/>
      <c r="BD155" s="192"/>
      <c r="BE155" s="192"/>
      <c r="BF155" s="192"/>
      <c r="BG155" s="192"/>
      <c r="BH155" s="192"/>
      <c r="BI155" s="166"/>
      <c r="BJ155" s="284" t="str">
        <f>IF(BK155="","",IF(BK155="Bye",0,IF(BK152="Bye",BL154,IF(BI155="G",BL154+BJ153,IF(BI155="P",BL154-BJ153,"")))))</f>
        <v/>
      </c>
      <c r="BK155" s="412" t="str">
        <f>IF(Llave="","",IF(Llave&gt;1,IF(BN155="Bye","Bye",IF(OR(Plyrs_val=Tot_Jug,Groups*2=Plyrs_val),VLOOKUP(BN155,Dist_Llav,4,FALSE),"")),""))</f>
        <v/>
      </c>
      <c r="BL155" s="412"/>
      <c r="BM155" s="412"/>
      <c r="BN155" s="229" t="str">
        <f>IF(Llave=128,IF(OR(Plyrs_val=Tot_Jug,Groups*2=Plyrs_val),HLOOKUP(Plyrs_val,Knockout,BO155+1,FALSE)),"")</f>
        <v/>
      </c>
      <c r="BO155" s="229">
        <f>BO152+1</f>
        <v>116</v>
      </c>
    </row>
    <row r="156" spans="2:67" x14ac:dyDescent="0.3">
      <c r="B156" s="192"/>
      <c r="C156" s="192"/>
      <c r="D156" s="192"/>
      <c r="E156" s="192"/>
      <c r="F156" s="192"/>
      <c r="G156" s="192"/>
      <c r="H156" s="192"/>
      <c r="I156" s="192"/>
      <c r="J156" s="192"/>
      <c r="K156" s="192"/>
      <c r="L156" s="192"/>
      <c r="M156" s="181"/>
      <c r="N156" s="413" t="str">
        <f>IF(Llave="","",N132+1)</f>
        <v/>
      </c>
      <c r="O156" s="413" t="s">
        <v>170</v>
      </c>
      <c r="P156" s="415" t="str">
        <f>IF(OR(M150="",M163=""),"",IF(OR(M150="Bye",M163="Bye"),0,IF(AND(Q150="",Q163=""),"",IF(AND(Q150="G",Q163="P"),IF(M151&gt;=M162,VLOOKUP(ABS(M151-M162),Point_dif,2,TRUE),VLOOKUP(ABS(M151-M162),Point_dif,3,TRUE)),IF(AND(Q150="P",Q163="G"),IF(M162&gt;=M151,VLOOKUP(ABS(M151-M162),Point_dif,2,TRUE),VLOOKUP(ABS(M151-M162),Point_dif,3,TRUE)))))))</f>
        <v/>
      </c>
      <c r="Q156" s="416" t="str">
        <f>IF(AND(Q150="",Q163=""),"",IF(AND(Q150="G",Q163="P"),M150,IF(AND(Q163="G",Q150="P"),M163,"Corregir ganador y perdedor")))</f>
        <v/>
      </c>
      <c r="R156" s="417"/>
      <c r="S156" s="417"/>
      <c r="T156" s="417"/>
      <c r="U156" s="167"/>
      <c r="V156" s="192"/>
      <c r="W156" s="192"/>
      <c r="X156" s="287"/>
      <c r="Y156" s="192"/>
      <c r="Z156" s="192"/>
      <c r="AA156" s="192"/>
      <c r="AB156" s="192"/>
      <c r="AC156" s="192"/>
      <c r="AD156" s="192"/>
      <c r="AE156" s="192"/>
      <c r="AF156" s="192"/>
      <c r="AG156" s="192"/>
      <c r="AH156" s="192"/>
      <c r="AI156" s="192"/>
      <c r="AJ156" s="192"/>
      <c r="AK156" s="192"/>
      <c r="AL156" s="192"/>
      <c r="AM156" s="192"/>
      <c r="AN156" s="192"/>
      <c r="AO156" s="192"/>
      <c r="AP156" s="192"/>
      <c r="AQ156" s="192"/>
      <c r="AR156" s="192"/>
      <c r="AS156" s="289"/>
      <c r="AT156" s="192"/>
      <c r="AU156" s="192"/>
      <c r="AV156" s="167"/>
      <c r="AW156" s="416" t="str">
        <f>IF(AND(BA150="",BA163=""),"",IF(AND(AZ150="G",AZ163="P"),BA150,IF(AND(AZ163="G",AZ150="P"),BA163,"Corregir ganador y perdedor")))</f>
        <v/>
      </c>
      <c r="AX156" s="417"/>
      <c r="AY156" s="417"/>
      <c r="AZ156" s="417"/>
      <c r="BA156" s="424" t="str">
        <f>IF(OR(BA150="",BA163=""),"",IF(OR(BA150="Bye",BA163="Bye"),0,IF(AND(AZ150="",AZ163=""),"",IF(AND(AZ150="G",AZ163="P"),IF(BD151&gt;=BD162,VLOOKUP(ABS(BD151-BD162),Point_dif,2,TRUE),VLOOKUP(ABS(BD151-BD162),Point_dif,3,TRUE)),IF(AND(AZ150="P",AZ163="G"),IF(BD162&gt;=BD151,VLOOKUP(ABS(BD151-BD162),Point_dif,2,TRUE),VLOOKUP(ABS(BD151-BD162),Point_dif,3,TRUE)))))))</f>
        <v/>
      </c>
      <c r="BB156" s="421" t="s">
        <v>170</v>
      </c>
      <c r="BC156" s="413" t="str">
        <f>IF(Llave=128,BC132+1,"")</f>
        <v/>
      </c>
      <c r="BD156" s="181"/>
      <c r="BE156" s="192"/>
      <c r="BF156" s="192"/>
      <c r="BG156" s="192"/>
      <c r="BH156" s="192"/>
      <c r="BI156" s="192"/>
      <c r="BJ156" s="192"/>
      <c r="BK156" s="192"/>
      <c r="BL156" s="192"/>
      <c r="BM156" s="192"/>
      <c r="BN156" s="192"/>
      <c r="BO156" s="192"/>
    </row>
    <row r="157" spans="2:67" x14ac:dyDescent="0.3">
      <c r="B157" s="192"/>
      <c r="C157" s="192"/>
      <c r="D157" s="192"/>
      <c r="E157" s="192"/>
      <c r="F157" s="192"/>
      <c r="G157" s="272" t="s">
        <v>277</v>
      </c>
      <c r="H157" s="192"/>
      <c r="I157" s="192"/>
      <c r="J157" s="192"/>
      <c r="K157" s="192"/>
      <c r="L157" s="192"/>
      <c r="M157" s="181"/>
      <c r="N157" s="413"/>
      <c r="O157" s="413"/>
      <c r="P157" s="415"/>
      <c r="Q157" s="283" t="str">
        <f>IF(Q156=M150,M151,IF(Q156=M163,M162,""))</f>
        <v/>
      </c>
      <c r="R157" s="423" t="str">
        <f>IF(ISNUMBER(Q157),VLOOKUP(Q156,Siembra,2,FALSE),"")</f>
        <v/>
      </c>
      <c r="S157" s="423"/>
      <c r="T157" s="278" t="str">
        <f>IF(Q156="","",IF(U156="G",IF(Q156=M150,P151+T168,P162+T168),IF(U156="P",IF(Q156=M150,P151-T168,P162-T168),"")))</f>
        <v/>
      </c>
      <c r="U157" s="192"/>
      <c r="V157" s="192"/>
      <c r="W157" s="192"/>
      <c r="X157" s="287"/>
      <c r="Y157" s="192"/>
      <c r="Z157" s="192"/>
      <c r="AA157" s="192"/>
      <c r="AB157" s="192"/>
      <c r="AC157" s="192"/>
      <c r="AD157" s="192"/>
      <c r="AE157" s="192"/>
      <c r="AF157" s="192"/>
      <c r="AG157" s="192"/>
      <c r="AH157" s="192"/>
      <c r="AI157" s="192"/>
      <c r="AJ157" s="192"/>
      <c r="AK157" s="192"/>
      <c r="AL157" s="192"/>
      <c r="AM157" s="192"/>
      <c r="AN157" s="192"/>
      <c r="AO157" s="192"/>
      <c r="AP157" s="192"/>
      <c r="AQ157" s="192"/>
      <c r="AR157" s="192"/>
      <c r="AS157" s="289"/>
      <c r="AT157" s="192"/>
      <c r="AU157" s="192"/>
      <c r="AV157" s="192"/>
      <c r="AW157" s="279" t="str">
        <f>IF(AW156="","",IF(AV156="G",IF(AW156=BA150,BA151+AW168,BA162+AW168),IF(AV156="P",IF(AW156=BA150,BA151-AW168,BA162-AW168),"")))</f>
        <v/>
      </c>
      <c r="AX157" s="423" t="str">
        <f>IF(ISNUMBER(AW157),VLOOKUP(AW156,Siembra,2,FALSE),"")</f>
        <v/>
      </c>
      <c r="AY157" s="423"/>
      <c r="AZ157" s="285" t="str">
        <f>IF(AW156=BA150,BD151,IF(AW156=BA163,BD162,""))</f>
        <v/>
      </c>
      <c r="BA157" s="424"/>
      <c r="BB157" s="421"/>
      <c r="BC157" s="413"/>
      <c r="BD157" s="181"/>
      <c r="BE157" s="192"/>
      <c r="BF157" s="192"/>
      <c r="BG157" s="192"/>
      <c r="BH157" s="192"/>
      <c r="BI157" s="273"/>
      <c r="BJ157" s="274" t="s">
        <v>278</v>
      </c>
      <c r="BK157" s="192"/>
      <c r="BL157" s="192"/>
      <c r="BM157" s="192"/>
      <c r="BN157" s="192"/>
      <c r="BO157" s="192"/>
    </row>
    <row r="158" spans="2:67" x14ac:dyDescent="0.3">
      <c r="B158" s="192">
        <f>B155+1</f>
        <v>53</v>
      </c>
      <c r="C158" s="192" t="str">
        <f>IF(Llave="","",IF(Llave&gt;1,IF(OR(Plyrs_val=Tot_Jug,Groups*2=Plyrs_val),HLOOKUP(Plyrs_val,Knockout,B158+1,FALSE)),""))</f>
        <v/>
      </c>
      <c r="D158" s="411" t="str">
        <f>IF(Llave="","",IF(Llave&gt;1,IF(C158="Bye","Bye",IF(OR(Plyrs_val=Tot_Jug,Groups*2=Plyrs_val),VLOOKUP(C158,Dist_Llav,4,FALSE),"")),""))</f>
        <v/>
      </c>
      <c r="E158" s="411"/>
      <c r="F158" s="411"/>
      <c r="G158" s="192" t="str">
        <f>IF(D158="","",IF(D158="Bye",0,IF(D161="Bye",E159,IF(H158="G",E159+G159,IF(H158="P",E159-G159,"")))))</f>
        <v/>
      </c>
      <c r="H158" s="166"/>
      <c r="I158" s="192"/>
      <c r="J158" s="192"/>
      <c r="K158" s="192"/>
      <c r="L158" s="277" t="s">
        <v>279</v>
      </c>
      <c r="M158" s="192"/>
      <c r="N158" s="192"/>
      <c r="O158" s="192"/>
      <c r="P158" s="287"/>
      <c r="Q158" s="192"/>
      <c r="R158" s="192"/>
      <c r="S158" s="192"/>
      <c r="T158" s="287"/>
      <c r="U158" s="192"/>
      <c r="V158" s="192"/>
      <c r="W158" s="192"/>
      <c r="X158" s="287"/>
      <c r="Y158" s="192"/>
      <c r="Z158" s="192"/>
      <c r="AA158" s="192"/>
      <c r="AB158" s="192"/>
      <c r="AC158" s="192"/>
      <c r="AD158" s="192"/>
      <c r="AE158" s="192"/>
      <c r="AF158" s="192"/>
      <c r="AG158" s="192"/>
      <c r="AH158" s="192"/>
      <c r="AI158" s="192"/>
      <c r="AJ158" s="192"/>
      <c r="AK158" s="192"/>
      <c r="AL158" s="192"/>
      <c r="AM158" s="192"/>
      <c r="AN158" s="192"/>
      <c r="AO158" s="192"/>
      <c r="AP158" s="192"/>
      <c r="AQ158" s="192"/>
      <c r="AR158" s="192"/>
      <c r="AS158" s="289"/>
      <c r="AT158" s="192"/>
      <c r="AU158" s="192"/>
      <c r="AV158" s="192"/>
      <c r="AW158" s="289"/>
      <c r="AX158" s="192"/>
      <c r="AY158" s="192"/>
      <c r="AZ158" s="192"/>
      <c r="BA158" s="289"/>
      <c r="BB158" s="192"/>
      <c r="BC158" s="192"/>
      <c r="BD158" s="192"/>
      <c r="BE158" s="274" t="s">
        <v>280</v>
      </c>
      <c r="BF158" s="192"/>
      <c r="BG158" s="192"/>
      <c r="BH158" s="192"/>
      <c r="BI158" s="166"/>
      <c r="BJ158" s="192" t="str">
        <f>IF(BK158="","",IF(BK158="Bye",0,IF(BK161="Bye",BL159,IF(BI158="G",BL159+BJ159,IF(BI158="P",BL159-BJ159,"")))))</f>
        <v/>
      </c>
      <c r="BK158" s="411" t="str">
        <f>IF(Llave="","",IF(Llave&gt;1,IF(BN158="Bye","Bye",IF(OR(Plyrs_val=Tot_Jug,Groups*2=Plyrs_val),VLOOKUP(BN158,Dist_Llav,4,FALSE),"")),""))</f>
        <v/>
      </c>
      <c r="BL158" s="411"/>
      <c r="BM158" s="411"/>
      <c r="BN158" s="229" t="str">
        <f>IF(Llave=128,IF(OR(Plyrs_val=Tot_Jug,Groups*2=Plyrs_val),HLOOKUP(Plyrs_val,Knockout,BO158+1,FALSE)),"")</f>
        <v/>
      </c>
      <c r="BO158" s="229">
        <f>BO155+1</f>
        <v>117</v>
      </c>
    </row>
    <row r="159" spans="2:67" x14ac:dyDescent="0.3">
      <c r="B159" s="413" t="str">
        <f>IF(Llave="","",B153+1)</f>
        <v/>
      </c>
      <c r="C159" s="192"/>
      <c r="D159" s="229" t="str">
        <f>IF(D158="","",IF(ISTEXT(D158),IF(D158="","",IF(D158="Bye",0,VLOOKUP(D158,Rank_Points,3,FALSE)))))</f>
        <v/>
      </c>
      <c r="E159" s="192" t="str">
        <f>IF(D158&lt;&gt;"",IF(D158="","",IF(D158="BYE",0,IF(ISTEXT(D158),VLOOKUP(C158,Dist_Llav,6,FALSE),""))),"")</f>
        <v/>
      </c>
      <c r="F159" s="414" t="s">
        <v>170</v>
      </c>
      <c r="G159" s="418" t="str">
        <f>IF(OR(D158="",D161=""),"",IF(OR(D158="Bye",D161="Bye"),0,IF(AND(H158="",H161=""),"",IF(AND(H158="G",H161="P"),IF(D159&gt;=D160,VLOOKUP(ABS(D159-D160),Point_dif,2,TRUE),VLOOKUP(ABS(D159-D160),Point_dif,3,TRUE)),IF(AND(H158="P",H161="G"),IF(D160&gt;=D159,VLOOKUP(ABS(D159-D160),Point_dif,2,TRUE),VLOOKUP(ABS(D159-D160),Point_dif,3,TRUE)))))))</f>
        <v/>
      </c>
      <c r="H159" s="278"/>
      <c r="I159" s="416" t="str">
        <f>IF(D158="Bye",D161,IF(D161="Bye",D158,IF(AND(H158="",H161=""),"",IF(AND(H158="G",H161="P"),D158,IF(AND(H161="G",H158="P"),D161,"Corregir ganador y perdedor")))))</f>
        <v/>
      </c>
      <c r="J159" s="417"/>
      <c r="K159" s="417"/>
      <c r="L159" s="417"/>
      <c r="M159" s="167"/>
      <c r="N159" s="192"/>
      <c r="O159" s="192"/>
      <c r="P159" s="287"/>
      <c r="Q159" s="192"/>
      <c r="R159" s="192"/>
      <c r="S159" s="192"/>
      <c r="T159" s="287"/>
      <c r="U159" s="192"/>
      <c r="V159" s="192"/>
      <c r="W159" s="192"/>
      <c r="X159" s="287"/>
      <c r="Y159" s="192"/>
      <c r="Z159" s="192"/>
      <c r="AA159" s="192"/>
      <c r="AB159" s="192"/>
      <c r="AC159" s="192"/>
      <c r="AD159" s="192"/>
      <c r="AE159" s="192"/>
      <c r="AF159" s="192"/>
      <c r="AG159" s="192"/>
      <c r="AH159" s="192"/>
      <c r="AI159" s="192"/>
      <c r="AJ159" s="192"/>
      <c r="AK159" s="192"/>
      <c r="AL159" s="192"/>
      <c r="AM159" s="192"/>
      <c r="AN159" s="192"/>
      <c r="AO159" s="192"/>
      <c r="AP159" s="192"/>
      <c r="AQ159" s="192"/>
      <c r="AR159" s="192"/>
      <c r="AS159" s="289"/>
      <c r="AT159" s="192"/>
      <c r="AU159" s="192"/>
      <c r="AV159" s="192"/>
      <c r="AW159" s="289"/>
      <c r="AX159" s="192"/>
      <c r="AY159" s="192"/>
      <c r="AZ159" s="192"/>
      <c r="BA159" s="289"/>
      <c r="BB159" s="192"/>
      <c r="BC159" s="192"/>
      <c r="BD159" s="166"/>
      <c r="BE159" s="416" t="str">
        <f>IF(BK161="Bye",BK158,IF(BK158="Bye",BK161,IF(AND(BI158="",BI161=""),"",IF(AND(BI158="G",BI161="P"),BK158,IF(AND(BI161="G",BI158="P"),BK161,"Corregir ganador y perdedor")))))</f>
        <v/>
      </c>
      <c r="BF159" s="417"/>
      <c r="BG159" s="417"/>
      <c r="BH159" s="417"/>
      <c r="BI159" s="279"/>
      <c r="BJ159" s="418" t="str">
        <f>IF(OR(BK158="",BK161=""),"",IF(OR(BK158="Bye",BK161="Bye"),0,IF(AND(BI158="",BI161=""),"",IF(AND(BI158="G",BI161="P"),IF(BM159&gt;=BM160,VLOOKUP(ABS(BM159-BM160),Point_dif,2,TRUE),VLOOKUP(ABS(BM159-BM160),Point_dif,3,TRUE)),IF(AND(BI158="P",BI161="G"),IF(BM160&gt;=BM159,VLOOKUP(ABS(BM159-BM160),Point_dif,2,TRUE),VLOOKUP(ABS(BM159-BM160),Point_dif,3,TRUE)))))))</f>
        <v/>
      </c>
      <c r="BK159" s="420" t="s">
        <v>170</v>
      </c>
      <c r="BL159" s="229" t="str">
        <f>IF(BK158&lt;&gt;"",IF(BK158="","",IF(BK158="BYE",0,IF(ISTEXT(BK158),VLOOKUP(BN158,Dist_Llav,6,FALSE),""))),"")</f>
        <v/>
      </c>
      <c r="BM159" s="280" t="str">
        <f>IF(BK158="","",IF(ISTEXT(BK158),IF(BK158="","",IF(BK158="Bye",0,VLOOKUP(BK158,Rank_Points,3,FALSE)))))</f>
        <v/>
      </c>
      <c r="BN159" s="422"/>
      <c r="BO159" s="422" t="str">
        <f>IF(Llave=128,BO153+1,"")</f>
        <v/>
      </c>
    </row>
    <row r="160" spans="2:67" x14ac:dyDescent="0.3">
      <c r="B160" s="413"/>
      <c r="C160" s="192"/>
      <c r="D160" s="229" t="str">
        <f>IF(D161="","",IF(ISTEXT(D161),IF(D161="","",IF(D161="Bye",0,VLOOKUP(D161,Rank_Points,3,FALSE)))))</f>
        <v/>
      </c>
      <c r="E160" s="192" t="str">
        <f>IF(D161&lt;&gt;"",IF(D161="","",IF(D161="BYE",0,IF(ISTEXT(D161),VLOOKUP(C161,Dist_Llav,6,FALSE),""))),"")</f>
        <v/>
      </c>
      <c r="F160" s="414"/>
      <c r="G160" s="419"/>
      <c r="H160" s="282"/>
      <c r="I160" s="283" t="str">
        <f>IF(I159=D158,D159,IF(I159=D161,D160,""))</f>
        <v/>
      </c>
      <c r="J160" s="423" t="str">
        <f>IF(ISNUMBER(I160),VLOOKUP(I159,Siembra,2,FALSE),"")</f>
        <v/>
      </c>
      <c r="K160" s="423"/>
      <c r="L160" s="278" t="str">
        <f>IF(I159="","",IF(M159="G",IF(I159=D158,G158+L162,G161+L162),IF(M159="P",IF(I159=D158,G158-L162,G161-L162),"")))</f>
        <v/>
      </c>
      <c r="M160" s="192"/>
      <c r="N160" s="192"/>
      <c r="O160" s="192"/>
      <c r="P160" s="287"/>
      <c r="Q160" s="192"/>
      <c r="R160" s="192"/>
      <c r="S160" s="192"/>
      <c r="T160" s="287"/>
      <c r="U160" s="192"/>
      <c r="V160" s="192"/>
      <c r="W160" s="192"/>
      <c r="X160" s="287"/>
      <c r="Y160" s="192"/>
      <c r="Z160" s="192"/>
      <c r="AA160" s="192"/>
      <c r="AB160" s="192"/>
      <c r="AC160" s="192"/>
      <c r="AD160" s="192"/>
      <c r="AE160" s="192"/>
      <c r="AF160" s="192"/>
      <c r="AG160" s="192"/>
      <c r="AH160" s="192"/>
      <c r="AI160" s="192"/>
      <c r="AJ160" s="192"/>
      <c r="AK160" s="192"/>
      <c r="AL160" s="192"/>
      <c r="AM160" s="192"/>
      <c r="AN160" s="192"/>
      <c r="AO160" s="192"/>
      <c r="AP160" s="192"/>
      <c r="AQ160" s="192"/>
      <c r="AR160" s="192"/>
      <c r="AS160" s="289"/>
      <c r="AT160" s="192"/>
      <c r="AU160" s="192"/>
      <c r="AV160" s="192"/>
      <c r="AW160" s="289"/>
      <c r="AX160" s="192"/>
      <c r="AY160" s="192"/>
      <c r="AZ160" s="192"/>
      <c r="BA160" s="289"/>
      <c r="BB160" s="192"/>
      <c r="BC160" s="192"/>
      <c r="BD160" s="192"/>
      <c r="BE160" s="279" t="str">
        <f>IF(BE159="","",IF(BD159="G",IF(BE159=BK158,BJ158+BE162,BJ161+BE162),IF(BD159="P",IF(BE159=BK158,BJ158-BE162,BJ161-BE162),"")))</f>
        <v/>
      </c>
      <c r="BF160" s="423" t="str">
        <f>IF(ISNUMBER(BE160),VLOOKUP(BE159,Siembra,2,FALSE),"")</f>
        <v/>
      </c>
      <c r="BG160" s="423"/>
      <c r="BH160" s="285" t="str">
        <f>IF(BE159=BK158,BM159,IF(BE159=BK161,BM160,""))</f>
        <v/>
      </c>
      <c r="BI160" s="286"/>
      <c r="BJ160" s="419"/>
      <c r="BK160" s="421"/>
      <c r="BL160" s="229" t="str">
        <f>IF(BK161&lt;&gt;"",IF(BK161="","",IF(BK161="BYE",0,IF(ISTEXT(BK161),VLOOKUP(BN161,Dist_Llav,6,FALSE),""))),"")</f>
        <v/>
      </c>
      <c r="BM160" s="280" t="str">
        <f>IF(BK161="","",IF(ISTEXT(BK161),IF(BK161="","",IF(BK161="Bye",0,VLOOKUP(BK161,Rank_Points,3,FALSE)))))</f>
        <v/>
      </c>
      <c r="BN160" s="422"/>
      <c r="BO160" s="422"/>
    </row>
    <row r="161" spans="2:67" x14ac:dyDescent="0.3">
      <c r="B161" s="192">
        <f>B158+1</f>
        <v>54</v>
      </c>
      <c r="C161" s="192" t="str">
        <f>IF(Llave="","",IF(Llave&gt;1,IF(OR(Plyrs_val=Tot_Jug,Groups*2=Plyrs_val),HLOOKUP(Plyrs_val,Knockout,B161+1,FALSE)),""))</f>
        <v/>
      </c>
      <c r="D161" s="412" t="str">
        <f>IF(Llave="","",IF(Llave&gt;1,IF(C161="Bye","Bye",IF(OR(Plyrs_val=Tot_Jug,Groups*2=Plyrs_val),VLOOKUP(C161,Dist_Llav,4,FALSE),"")),""))</f>
        <v/>
      </c>
      <c r="E161" s="412"/>
      <c r="F161" s="412"/>
      <c r="G161" s="192" t="str">
        <f>IF(D161="","",IF(D161="Bye",0,IF(D158="Bye",E160,IF(H161="G",E160+G159,IF(H161="P",E160-G159,"")))))</f>
        <v/>
      </c>
      <c r="H161" s="166"/>
      <c r="I161" s="192"/>
      <c r="J161" s="192"/>
      <c r="K161" s="192"/>
      <c r="L161" s="287"/>
      <c r="M161" s="192"/>
      <c r="N161" s="192"/>
      <c r="O161" s="192"/>
      <c r="P161" s="287"/>
      <c r="Q161" s="192"/>
      <c r="R161" s="192"/>
      <c r="S161" s="192"/>
      <c r="T161" s="287"/>
      <c r="U161" s="192"/>
      <c r="V161" s="192"/>
      <c r="W161" s="192"/>
      <c r="X161" s="287"/>
      <c r="Y161" s="192"/>
      <c r="Z161" s="192"/>
      <c r="AA161" s="192"/>
      <c r="AB161" s="192"/>
      <c r="AC161" s="192"/>
      <c r="AD161" s="192"/>
      <c r="AE161" s="192"/>
      <c r="AF161" s="192"/>
      <c r="AG161" s="192"/>
      <c r="AH161" s="192"/>
      <c r="AI161" s="192"/>
      <c r="AJ161" s="192"/>
      <c r="AK161" s="192"/>
      <c r="AL161" s="192"/>
      <c r="AM161" s="192"/>
      <c r="AN161" s="192"/>
      <c r="AO161" s="192"/>
      <c r="AP161" s="192"/>
      <c r="AQ161" s="192"/>
      <c r="AR161" s="192"/>
      <c r="AS161" s="289"/>
      <c r="AT161" s="192"/>
      <c r="AU161" s="192"/>
      <c r="AV161" s="192"/>
      <c r="AW161" s="289"/>
      <c r="AX161" s="192"/>
      <c r="AY161" s="192"/>
      <c r="AZ161" s="192"/>
      <c r="BA161" s="289"/>
      <c r="BB161" s="192"/>
      <c r="BC161" s="192"/>
      <c r="BD161" s="192"/>
      <c r="BE161" s="289"/>
      <c r="BF161" s="192"/>
      <c r="BG161" s="192"/>
      <c r="BH161" s="192"/>
      <c r="BI161" s="166"/>
      <c r="BJ161" s="284" t="str">
        <f>IF(BK161="","",IF(BK161="Bye",0,IF(BK158="Bye",BL160,IF(BI161="G",BL160+BJ159,IF(BI161="P",BL160-BJ159,"")))))</f>
        <v/>
      </c>
      <c r="BK161" s="412" t="str">
        <f>IF(Llave="","",IF(Llave&gt;1,IF(BN161="Bye","Bye",IF(OR(Plyrs_val=Tot_Jug,Groups*2=Plyrs_val),VLOOKUP(BN161,Dist_Llav,4,FALSE),"")),""))</f>
        <v/>
      </c>
      <c r="BL161" s="412"/>
      <c r="BM161" s="412"/>
      <c r="BN161" s="229" t="str">
        <f>IF(Llave=128,IF(OR(Plyrs_val=Tot_Jug,Groups*2=Plyrs_val),HLOOKUP(Plyrs_val,Knockout,BO161+1,FALSE)),"")</f>
        <v/>
      </c>
      <c r="BO161" s="229">
        <f>BO158+1</f>
        <v>118</v>
      </c>
    </row>
    <row r="162" spans="2:67" x14ac:dyDescent="0.3">
      <c r="B162" s="192"/>
      <c r="C162" s="192"/>
      <c r="D162" s="192"/>
      <c r="E162" s="192"/>
      <c r="F162" s="192"/>
      <c r="G162" s="192"/>
      <c r="H162" s="192"/>
      <c r="I162" s="413" t="str">
        <f>IF(Llave="","",I150+1)</f>
        <v/>
      </c>
      <c r="J162" s="192"/>
      <c r="K162" s="414" t="s">
        <v>170</v>
      </c>
      <c r="L162" s="415" t="str">
        <f>IF(OR(I159="",I166=""),"",IF(OR(I159="Bye",I166="Bye"),0,IF(AND(M159="",M166=""),"",IF(AND(M159="G",M166="P"),IF(I160&gt;=I165,VLOOKUP(ABS(I160-I165),Point_dif,2,TRUE),VLOOKUP(ABS(I160-I165),Point_dif,3,TRUE)),IF(AND(M159="P",M166="G"),IF(I165&gt;=I160,VLOOKUP(ABS(I160-I165),Point_dif,2,TRUE),VLOOKUP(ABS(I160-I165),Point_dif,3,TRUE)))))))</f>
        <v/>
      </c>
      <c r="M162" s="275" t="str">
        <f>IF(M163=I159,I160,IF(M163=I166,I165,""))</f>
        <v/>
      </c>
      <c r="N162" s="417" t="str">
        <f>IF(ISNUMBER(M162),VLOOKUP(M163,Siembra,2,FALSE),"")</f>
        <v/>
      </c>
      <c r="O162" s="417"/>
      <c r="P162" s="282" t="str">
        <f>IF(M163="","",IF(Q163="G",IF(M163=I159,L160+P156,L165+P156),IF(Q163="P",IF(M163=I159,L160-P156,L165-P156),"")))</f>
        <v/>
      </c>
      <c r="Q162" s="192"/>
      <c r="R162" s="192"/>
      <c r="S162" s="192"/>
      <c r="T162" s="287"/>
      <c r="U162" s="192"/>
      <c r="V162" s="192"/>
      <c r="W162" s="192"/>
      <c r="X162" s="287"/>
      <c r="Y162" s="192"/>
      <c r="Z162" s="192"/>
      <c r="AA162" s="192"/>
      <c r="AB162" s="192"/>
      <c r="AC162" s="192"/>
      <c r="AD162" s="192"/>
      <c r="AE162" s="192"/>
      <c r="AF162" s="192"/>
      <c r="AG162" s="192"/>
      <c r="AH162" s="192"/>
      <c r="AI162" s="192"/>
      <c r="AJ162" s="192"/>
      <c r="AK162" s="192"/>
      <c r="AL162" s="192"/>
      <c r="AM162" s="192"/>
      <c r="AN162" s="192"/>
      <c r="AO162" s="192"/>
      <c r="AP162" s="192"/>
      <c r="AQ162" s="192"/>
      <c r="AR162" s="192"/>
      <c r="AS162" s="289"/>
      <c r="AT162" s="192"/>
      <c r="AU162" s="192"/>
      <c r="AV162" s="192"/>
      <c r="AW162" s="289"/>
      <c r="AX162" s="192"/>
      <c r="AY162" s="192"/>
      <c r="AZ162" s="192"/>
      <c r="BA162" s="286" t="str">
        <f>IF(BA163="","",IF(AZ163="G",IF(BA163=BE159,BE160+BA156,BE165+BA156),IF(AZ163="P",IF(BA163=BE159,BE160-BA156,BE165-BA156),"")))</f>
        <v/>
      </c>
      <c r="BB162" s="417" t="str">
        <f>IF(ISNUMBER(BA162),VLOOKUP(BA163,Siembra,2,FALSE),"")</f>
        <v/>
      </c>
      <c r="BC162" s="417"/>
      <c r="BD162" s="282" t="str">
        <f>IF(BA163=BE159,BH160,IF(BA163=BE166,BH165,""))</f>
        <v/>
      </c>
      <c r="BE162" s="424" t="str">
        <f>IF(OR(BE159="",BE166=""),"",IF(OR(BE159="Bye",BE166="Bye"),0,IF(AND(BD159="",BD166=""),"",IF(AND(BD159="G",BD166="P"),IF(BH160&gt;=BH165,VLOOKUP(ABS(BH160-BH165),Point_dif,2,TRUE),VLOOKUP(ABS(BH160-BH165),Point_dif,3,TRUE)),IF(AND(BD159="P",BD166="G"),IF(BH165&gt;=BH160,VLOOKUP(ABS(BH160-BH165),Point_dif,2,TRUE),VLOOKUP(ABS(BH160-BH165),Point_dif,3,TRUE)))))))</f>
        <v/>
      </c>
      <c r="BF162" s="421" t="s">
        <v>170</v>
      </c>
      <c r="BG162" s="281"/>
      <c r="BH162" s="413" t="str">
        <f>IF(Llave=128,BH150+1,"")</f>
        <v/>
      </c>
      <c r="BI162" s="192"/>
      <c r="BJ162" s="192"/>
      <c r="BK162" s="192"/>
      <c r="BL162" s="192"/>
      <c r="BM162" s="192"/>
      <c r="BN162" s="192"/>
      <c r="BO162" s="192"/>
    </row>
    <row r="163" spans="2:67" x14ac:dyDescent="0.3">
      <c r="B163" s="192"/>
      <c r="C163" s="192"/>
      <c r="D163" s="192"/>
      <c r="E163" s="192"/>
      <c r="F163" s="192"/>
      <c r="G163" s="272" t="s">
        <v>281</v>
      </c>
      <c r="H163" s="192"/>
      <c r="I163" s="413"/>
      <c r="J163" s="192"/>
      <c r="K163" s="414"/>
      <c r="L163" s="415"/>
      <c r="M163" s="425" t="str">
        <f>IF(AND(M159="",M166=""),"",IF(AND(M159="G",M166="P"),I159,IF(AND(M166="G",M159="P"),I166,"Corregir ganador y perdedor")))</f>
        <v/>
      </c>
      <c r="N163" s="423"/>
      <c r="O163" s="423"/>
      <c r="P163" s="423"/>
      <c r="Q163" s="167"/>
      <c r="R163" s="192"/>
      <c r="S163" s="192"/>
      <c r="T163" s="287"/>
      <c r="U163" s="192"/>
      <c r="V163" s="192"/>
      <c r="W163" s="192"/>
      <c r="X163" s="287"/>
      <c r="Y163" s="192"/>
      <c r="Z163" s="192"/>
      <c r="AA163" s="192"/>
      <c r="AB163" s="192"/>
      <c r="AC163" s="192"/>
      <c r="AD163" s="192"/>
      <c r="AE163" s="192"/>
      <c r="AF163" s="192"/>
      <c r="AG163" s="192"/>
      <c r="AH163" s="192"/>
      <c r="AI163" s="192"/>
      <c r="AJ163" s="192"/>
      <c r="AK163" s="192"/>
      <c r="AL163" s="192"/>
      <c r="AM163" s="192"/>
      <c r="AN163" s="192"/>
      <c r="AO163" s="192"/>
      <c r="AP163" s="192"/>
      <c r="AQ163" s="192"/>
      <c r="AR163" s="192"/>
      <c r="AS163" s="289"/>
      <c r="AT163" s="192"/>
      <c r="AU163" s="192"/>
      <c r="AV163" s="192"/>
      <c r="AW163" s="289"/>
      <c r="AX163" s="192"/>
      <c r="AY163" s="192"/>
      <c r="AZ163" s="166"/>
      <c r="BA163" s="423" t="str">
        <f>IF(AND(BD159="",BD166=""),"",IF(AND(BD159="G",BD166="P"),BE159,IF(AND(BD166="G",BD159="P"),BE166,"Corregir ganador y perdedor")))</f>
        <v/>
      </c>
      <c r="BB163" s="423"/>
      <c r="BC163" s="423"/>
      <c r="BD163" s="426"/>
      <c r="BE163" s="424"/>
      <c r="BF163" s="421"/>
      <c r="BG163" s="281"/>
      <c r="BH163" s="413"/>
      <c r="BI163" s="273"/>
      <c r="BJ163" s="274" t="s">
        <v>282</v>
      </c>
      <c r="BK163" s="192"/>
      <c r="BL163" s="192"/>
      <c r="BM163" s="192"/>
      <c r="BN163" s="192"/>
      <c r="BO163" s="192"/>
    </row>
    <row r="164" spans="2:67" x14ac:dyDescent="0.3">
      <c r="B164" s="192">
        <f>B161+1</f>
        <v>55</v>
      </c>
      <c r="C164" s="192" t="str">
        <f>IF(Llave="","",IF(Llave&gt;1,IF(OR(Plyrs_val=Tot_Jug,Groups*2=Plyrs_val),HLOOKUP(Plyrs_val,Knockout,B164+1,FALSE)),""))</f>
        <v/>
      </c>
      <c r="D164" s="411" t="str">
        <f>IF(Llave="","",IF(Llave&gt;1,IF(C164="Bye","Bye",IF(OR(Plyrs_val=Tot_Jug,Groups*2=Plyrs_val),VLOOKUP(C164,Dist_Llav,4,FALSE),"")),""))</f>
        <v/>
      </c>
      <c r="E164" s="411"/>
      <c r="F164" s="411"/>
      <c r="G164" s="192" t="str">
        <f>IF(D164="","",IF(D164="Bye",0,IF(D167="Bye",E165,IF(H164="G",E165+G165,IF(H164="P",E165-G165,"")))))</f>
        <v/>
      </c>
      <c r="H164" s="166"/>
      <c r="I164" s="192"/>
      <c r="J164" s="192"/>
      <c r="K164" s="192"/>
      <c r="L164" s="287"/>
      <c r="M164" s="192"/>
      <c r="N164" s="192"/>
      <c r="O164" s="192"/>
      <c r="P164" s="192"/>
      <c r="Q164" s="192"/>
      <c r="R164" s="192"/>
      <c r="S164" s="192"/>
      <c r="T164" s="287"/>
      <c r="U164" s="192"/>
      <c r="V164" s="192"/>
      <c r="W164" s="192"/>
      <c r="X164" s="287"/>
      <c r="Y164" s="192"/>
      <c r="Z164" s="192"/>
      <c r="AA164" s="192"/>
      <c r="AB164" s="192"/>
      <c r="AC164" s="192"/>
      <c r="AD164" s="192"/>
      <c r="AE164" s="192"/>
      <c r="AF164" s="192"/>
      <c r="AG164" s="192"/>
      <c r="AH164" s="192"/>
      <c r="AI164" s="192"/>
      <c r="AJ164" s="192"/>
      <c r="AK164" s="192"/>
      <c r="AL164" s="192"/>
      <c r="AM164" s="192"/>
      <c r="AN164" s="192"/>
      <c r="AO164" s="192"/>
      <c r="AP164" s="192"/>
      <c r="AQ164" s="192"/>
      <c r="AR164" s="192"/>
      <c r="AS164" s="289"/>
      <c r="AT164" s="192"/>
      <c r="AU164" s="192"/>
      <c r="AV164" s="192"/>
      <c r="AW164" s="289"/>
      <c r="AX164" s="192"/>
      <c r="AY164" s="192"/>
      <c r="AZ164" s="192"/>
      <c r="BA164" s="192"/>
      <c r="BB164" s="192"/>
      <c r="BC164" s="192"/>
      <c r="BD164" s="192"/>
      <c r="BE164" s="289"/>
      <c r="BF164" s="192"/>
      <c r="BG164" s="192"/>
      <c r="BH164" s="192"/>
      <c r="BI164" s="166"/>
      <c r="BJ164" s="192" t="str">
        <f>IF(BK164="","",IF(BK164="Bye",0,IF(BK167="Bye",BL165,IF(BI164="G",BL165+BJ165,IF(BI164="P",BL165-BJ165,"")))))</f>
        <v/>
      </c>
      <c r="BK164" s="411" t="str">
        <f>IF(Llave="","",IF(Llave&gt;1,IF(BN164="Bye","Bye",IF(OR(Plyrs_val=Tot_Jug,Groups*2=Plyrs_val),VLOOKUP(BN164,Dist_Llav,4,FALSE),"")),""))</f>
        <v/>
      </c>
      <c r="BL164" s="411"/>
      <c r="BM164" s="411"/>
      <c r="BN164" s="229" t="str">
        <f>IF(Llave=128,IF(OR(Plyrs_val=Tot_Jug,Groups*2=Plyrs_val),HLOOKUP(Plyrs_val,Knockout,BO164+1,FALSE)),"")</f>
        <v/>
      </c>
      <c r="BO164" s="229">
        <f>BO161+1</f>
        <v>119</v>
      </c>
    </row>
    <row r="165" spans="2:67" x14ac:dyDescent="0.3">
      <c r="B165" s="413" t="str">
        <f>IF(Llave="","",B159+1)</f>
        <v/>
      </c>
      <c r="C165" s="192"/>
      <c r="D165" s="229" t="str">
        <f>IF(D164="","",IF(ISTEXT(D164),IF(D164="","",IF(D164="Bye",0,VLOOKUP(D164,Rank_Points,3,FALSE)))))</f>
        <v/>
      </c>
      <c r="E165" s="192" t="str">
        <f>IF(D164&lt;&gt;"",IF(D164="","",IF(D164="BYE",0,IF(ISTEXT(D164),VLOOKUP(C164,Dist_Llav,6,FALSE),""))),"")</f>
        <v/>
      </c>
      <c r="F165" s="414" t="s">
        <v>170</v>
      </c>
      <c r="G165" s="418" t="str">
        <f>IF(OR(D164="",D167=""),"",IF(OR(D164="Bye",D167="Bye"),0,IF(AND(H164="",H167=""),"",IF(AND(H164="G",H167="P"),IF(D165&gt;=D166,VLOOKUP(ABS(D165-D166),Point_dif,2,TRUE),VLOOKUP(ABS(D165-D166),Point_dif,3,TRUE)),IF(AND(H164="P",H167="G"),IF(D166&gt;=D165,VLOOKUP(ABS(D165-D166),Point_dif,2,TRUE),VLOOKUP(ABS(D165-D166),Point_dif,3,TRUE)))))))</f>
        <v/>
      </c>
      <c r="H165" s="278"/>
      <c r="I165" s="275" t="str">
        <f>IF(I166=D164,D165,IF(I166=D167,D166,""))</f>
        <v/>
      </c>
      <c r="J165" s="417" t="str">
        <f>IF(ISNUMBER(I165),VLOOKUP(I166,Siembra,2,FALSE),"")</f>
        <v/>
      </c>
      <c r="K165" s="417"/>
      <c r="L165" s="282" t="str">
        <f>IF(I166="","",IF(M166="G",IF(I166=D164,G164+L162,G167+L162),IF(M166="P",IF(I166=D164,G164-L162,G167-L162),"")))</f>
        <v/>
      </c>
      <c r="M165" s="192"/>
      <c r="N165" s="192"/>
      <c r="O165" s="192"/>
      <c r="P165" s="192"/>
      <c r="Q165" s="192"/>
      <c r="R165" s="192"/>
      <c r="S165" s="192"/>
      <c r="T165" s="287"/>
      <c r="U165" s="192"/>
      <c r="V165" s="192"/>
      <c r="W165" s="192"/>
      <c r="X165" s="287"/>
      <c r="Y165" s="192"/>
      <c r="Z165" s="192"/>
      <c r="AA165" s="192"/>
      <c r="AB165" s="192"/>
      <c r="AC165" s="192"/>
      <c r="AD165" s="192"/>
      <c r="AE165" s="192"/>
      <c r="AF165" s="192"/>
      <c r="AG165" s="192"/>
      <c r="AH165" s="192"/>
      <c r="AI165" s="192"/>
      <c r="AJ165" s="192"/>
      <c r="AK165" s="192"/>
      <c r="AL165" s="192"/>
      <c r="AM165" s="192"/>
      <c r="AN165" s="192"/>
      <c r="AO165" s="192"/>
      <c r="AP165" s="192"/>
      <c r="AQ165" s="192"/>
      <c r="AR165" s="192"/>
      <c r="AS165" s="289"/>
      <c r="AT165" s="192"/>
      <c r="AU165" s="192"/>
      <c r="AV165" s="192"/>
      <c r="AW165" s="289"/>
      <c r="AX165" s="192"/>
      <c r="AY165" s="192"/>
      <c r="AZ165" s="192"/>
      <c r="BA165" s="192"/>
      <c r="BB165" s="192"/>
      <c r="BC165" s="192"/>
      <c r="BD165" s="192"/>
      <c r="BE165" s="286" t="str">
        <f>IF(BE166="","",IF(BD166="G",IF(BE166=BK164,BJ164+BE162,BJ167+BE162),IF(BD166="P",IF(BE166=BK164,BJ164-BE162,BJ167-BE162),"")))</f>
        <v/>
      </c>
      <c r="BF165" s="417" t="str">
        <f>IF(ISNUMBER(BE165),VLOOKUP(BE166,Siembra,2,FALSE),"")</f>
        <v/>
      </c>
      <c r="BG165" s="417"/>
      <c r="BH165" s="282" t="str">
        <f>IF(BE166=BK164,BM165,IF(BE166=BK167,BM166,""))</f>
        <v/>
      </c>
      <c r="BI165" s="279"/>
      <c r="BJ165" s="418" t="str">
        <f>IF(OR(BK164="",BK167=""),"",IF(OR(BK164="Bye",BK167="Bye"),0,IF(AND(BI164="",BI167=""),"",IF(AND(BI164="G",BI167="P"),IF(BM165&gt;=BM166,VLOOKUP(ABS(BM165-BM166),Point_dif,2,TRUE),VLOOKUP(ABS(BM165-BM166),Point_dif,3,TRUE)),IF(AND(BI164="P",BI167="G"),IF(BM166&gt;=BM165,VLOOKUP(ABS(BM165-BM166),Point_dif,2,TRUE),VLOOKUP(ABS(BM165-BM166),Point_dif,3,TRUE)))))))</f>
        <v/>
      </c>
      <c r="BK165" s="420" t="s">
        <v>170</v>
      </c>
      <c r="BL165" s="229" t="str">
        <f>IF(BK164&lt;&gt;"",IF(BK164="","",IF(BK164="BYE",0,IF(ISTEXT(BK164),VLOOKUP(BN164,Dist_Llav,6,FALSE),""))),"")</f>
        <v/>
      </c>
      <c r="BM165" s="280" t="str">
        <f>IF(BK164="","",IF(ISTEXT(BK164),IF(BK164="","",IF(BK164="Bye",0,VLOOKUP(BK164,Rank_Points,3,FALSE)))))</f>
        <v/>
      </c>
      <c r="BN165" s="422"/>
      <c r="BO165" s="422" t="str">
        <f>IF(Llave=128,BO159+1,"")</f>
        <v/>
      </c>
    </row>
    <row r="166" spans="2:67" x14ac:dyDescent="0.3">
      <c r="B166" s="413"/>
      <c r="C166" s="192"/>
      <c r="D166" s="229" t="str">
        <f>IF(D167="","",IF(ISTEXT(D167),IF(D167="","",IF(D167="Bye",0,VLOOKUP(D167,Rank_Points,3,FALSE)))))</f>
        <v/>
      </c>
      <c r="E166" s="192" t="str">
        <f>IF(D167&lt;&gt;"",IF(D167="","",IF(D167="BYE",0,IF(ISTEXT(D167),VLOOKUP(C167,Dist_Llav,6,FALSE),""))),"")</f>
        <v/>
      </c>
      <c r="F166" s="414"/>
      <c r="G166" s="419"/>
      <c r="H166" s="282"/>
      <c r="I166" s="425" t="str">
        <f>IF(D164="Bye",D167,IF(D167="Bye",D164,IF(AND(H164="",H167=""),"",IF(AND(H164="G",H167="P"),D164,IF(AND(H167="G",H164="P"),D167,"Corregir ganador y perdedor")))))</f>
        <v/>
      </c>
      <c r="J166" s="423"/>
      <c r="K166" s="423"/>
      <c r="L166" s="423"/>
      <c r="M166" s="167"/>
      <c r="N166" s="192"/>
      <c r="O166" s="192"/>
      <c r="P166" s="192"/>
      <c r="Q166" s="192"/>
      <c r="R166" s="192"/>
      <c r="S166" s="192"/>
      <c r="T166" s="287"/>
      <c r="U166" s="192"/>
      <c r="V166" s="192"/>
      <c r="W166" s="192"/>
      <c r="X166" s="287"/>
      <c r="Y166" s="192"/>
      <c r="Z166" s="192"/>
      <c r="AA166" s="192"/>
      <c r="AB166" s="192"/>
      <c r="AC166" s="192"/>
      <c r="AD166" s="192"/>
      <c r="AE166" s="192"/>
      <c r="AF166" s="192"/>
      <c r="AG166" s="192"/>
      <c r="AH166" s="192"/>
      <c r="AI166" s="192"/>
      <c r="AJ166" s="192"/>
      <c r="AK166" s="192"/>
      <c r="AL166" s="192"/>
      <c r="AM166" s="192"/>
      <c r="AN166" s="192"/>
      <c r="AO166" s="192"/>
      <c r="AP166" s="192"/>
      <c r="AQ166" s="192"/>
      <c r="AR166" s="192"/>
      <c r="AS166" s="289"/>
      <c r="AT166" s="192"/>
      <c r="AU166" s="192"/>
      <c r="AV166" s="192"/>
      <c r="AW166" s="289"/>
      <c r="AX166" s="192"/>
      <c r="AY166" s="192"/>
      <c r="AZ166" s="192"/>
      <c r="BA166" s="192"/>
      <c r="BB166" s="192"/>
      <c r="BC166" s="192"/>
      <c r="BD166" s="166"/>
      <c r="BE166" s="423" t="str">
        <f>IF(BK167="Bye",BK164,IF(BK164="Bye",BK167,IF(AND(BI164="",BI167=""),"",IF(AND(BI164="G",BI167="P"),BK164,IF(AND(BI167="G",BI164="P"),BK167,"Corregir ganador y perdedor")))))</f>
        <v/>
      </c>
      <c r="BF166" s="423"/>
      <c r="BG166" s="423"/>
      <c r="BH166" s="426"/>
      <c r="BI166" s="286"/>
      <c r="BJ166" s="419"/>
      <c r="BK166" s="421"/>
      <c r="BL166" s="229" t="str">
        <f>IF(BK167&lt;&gt;"",IF(BK167="","",IF(BK167="BYE",0,IF(ISTEXT(BK167),VLOOKUP(BN167,Dist_Llav,6,FALSE),""))),"")</f>
        <v/>
      </c>
      <c r="BM166" s="280" t="str">
        <f>IF(BK167="","",IF(ISTEXT(BK167),IF(BK167="","",IF(BK167="Bye",0,VLOOKUP(BK167,Rank_Points,3,FALSE)))))</f>
        <v/>
      </c>
      <c r="BN166" s="422"/>
      <c r="BO166" s="422"/>
    </row>
    <row r="167" spans="2:67" x14ac:dyDescent="0.3">
      <c r="B167" s="192">
        <f>B164+1</f>
        <v>56</v>
      </c>
      <c r="C167" s="192" t="str">
        <f>IF(Llave="","",IF(Llave&gt;1,IF(OR(Plyrs_val=Tot_Jug,Groups*2=Plyrs_val),HLOOKUP(Plyrs_val,Knockout,B167+1,FALSE)),""))</f>
        <v/>
      </c>
      <c r="D167" s="412" t="str">
        <f>IF(Llave="","",IF(Llave&gt;1,IF(C167="Bye","Bye",IF(OR(Plyrs_val=Tot_Jug,Groups*2=Plyrs_val),VLOOKUP(C167,Dist_Llav,4,FALSE),"")),""))</f>
        <v/>
      </c>
      <c r="E167" s="412"/>
      <c r="F167" s="412"/>
      <c r="G167" s="192" t="str">
        <f>IF(D167="","",IF(D167="Bye",0,IF(D164="Bye",E166,IF(H167="G",E166+G165,IF(H167="P",E166-G165,"")))))</f>
        <v/>
      </c>
      <c r="H167" s="166"/>
      <c r="I167" s="192"/>
      <c r="J167" s="192"/>
      <c r="K167" s="192"/>
      <c r="L167" s="192"/>
      <c r="M167" s="192"/>
      <c r="N167" s="192"/>
      <c r="O167" s="192"/>
      <c r="P167" s="192"/>
      <c r="Q167" s="192"/>
      <c r="R167" s="192"/>
      <c r="S167" s="192"/>
      <c r="T167" s="287"/>
      <c r="U167" s="192"/>
      <c r="V167" s="192"/>
      <c r="W167" s="192"/>
      <c r="X167" s="287"/>
      <c r="Y167" s="192"/>
      <c r="Z167" s="192"/>
      <c r="AA167" s="192"/>
      <c r="AB167" s="192"/>
      <c r="AC167" s="192"/>
      <c r="AD167" s="192"/>
      <c r="AE167" s="192"/>
      <c r="AF167" s="192"/>
      <c r="AG167" s="192"/>
      <c r="AH167" s="192"/>
      <c r="AI167" s="192"/>
      <c r="AJ167" s="192"/>
      <c r="AK167" s="192"/>
      <c r="AL167" s="192"/>
      <c r="AM167" s="192"/>
      <c r="AN167" s="192"/>
      <c r="AO167" s="192"/>
      <c r="AP167" s="192"/>
      <c r="AQ167" s="192"/>
      <c r="AR167" s="192"/>
      <c r="AS167" s="289"/>
      <c r="AT167" s="192"/>
      <c r="AU167" s="192"/>
      <c r="AV167" s="192"/>
      <c r="AW167" s="289"/>
      <c r="AX167" s="192"/>
      <c r="AY167" s="281"/>
      <c r="AZ167" s="181"/>
      <c r="BA167" s="192"/>
      <c r="BB167" s="192"/>
      <c r="BC167" s="192"/>
      <c r="BD167" s="192"/>
      <c r="BE167" s="192"/>
      <c r="BF167" s="192"/>
      <c r="BG167" s="192"/>
      <c r="BH167" s="192"/>
      <c r="BI167" s="166"/>
      <c r="BJ167" s="284" t="str">
        <f>IF(BK167="","",IF(BK167="Bye",0,IF(BK164="Bye",BL166,IF(BI167="G",BL166+BJ165,IF(BI167="P",BL166-BJ165,"")))))</f>
        <v/>
      </c>
      <c r="BK167" s="412" t="str">
        <f>IF(Llave="","",IF(Llave&gt;1,IF(BN167="Bye","Bye",IF(OR(Plyrs_val=Tot_Jug,Groups*2=Plyrs_val),VLOOKUP(BN167,Dist_Llav,4,FALSE),"")),""))</f>
        <v/>
      </c>
      <c r="BL167" s="412"/>
      <c r="BM167" s="412"/>
      <c r="BN167" s="229" t="str">
        <f>IF(Llave=128,IF(OR(Plyrs_val=Tot_Jug,Groups*2=Plyrs_val),HLOOKUP(Plyrs_val,Knockout,BO167+1,FALSE)),"")</f>
        <v/>
      </c>
      <c r="BO167" s="229">
        <f>BO164+1</f>
        <v>120</v>
      </c>
    </row>
    <row r="168" spans="2:67" x14ac:dyDescent="0.3">
      <c r="B168" s="192"/>
      <c r="C168" s="192"/>
      <c r="D168" s="192"/>
      <c r="E168" s="192"/>
      <c r="F168" s="192"/>
      <c r="G168" s="192"/>
      <c r="H168" s="192"/>
      <c r="I168" s="192"/>
      <c r="J168" s="192"/>
      <c r="K168" s="192"/>
      <c r="L168" s="192"/>
      <c r="M168" s="192"/>
      <c r="N168" s="192"/>
      <c r="O168" s="192"/>
      <c r="P168" s="192"/>
      <c r="Q168" s="181"/>
      <c r="R168" s="413">
        <f>R120+1</f>
        <v>5</v>
      </c>
      <c r="S168" s="413" t="s">
        <v>170</v>
      </c>
      <c r="T168" s="415" t="str">
        <f>IF(OR(Q156="",Q181=""),"",IF(OR(Q156="Bye",Q181="Bye"),0,IF(AND(U156="",U181=""),"",IF(AND(U156="G",U181="P"),IF(Q157&gt;=Q180,VLOOKUP(ABS(Q157-Q180),Point_dif,2,TRUE),VLOOKUP(ABS(Q157-Q180),Point_dif,3,TRUE)),IF(AND(U156="P",U181="G"),IF(Q180&gt;=Q157,VLOOKUP(ABS(Q157-Q180),Point_dif,2,TRUE),VLOOKUP(ABS(Q157-Q180),Point_dif,3,TRUE)))))))</f>
        <v/>
      </c>
      <c r="U168" s="275" t="str">
        <f>IF(U169=Q156,Q157,IF(U169=Q181,Q180,""))</f>
        <v/>
      </c>
      <c r="V168" s="417" t="str">
        <f>IF(ISNUMBER(U168),VLOOKUP(U169,Siembra,2,FALSE),"")</f>
        <v/>
      </c>
      <c r="W168" s="417"/>
      <c r="X168" s="282" t="str">
        <f>IF(U169="","",IF(Y169="G",IF(U169=Q156,T157+X144,T180+X144),IF(Y169="P",IF(U169=Q156,T157-X144+4,T180-X144+4),"")))</f>
        <v/>
      </c>
      <c r="Y168" s="192"/>
      <c r="Z168" s="192"/>
      <c r="AA168" s="192"/>
      <c r="AB168" s="192"/>
      <c r="AC168" s="192"/>
      <c r="AD168" s="192"/>
      <c r="AE168" s="192"/>
      <c r="AF168" s="192"/>
      <c r="AG168" s="192"/>
      <c r="AH168" s="192"/>
      <c r="AI168" s="192"/>
      <c r="AJ168" s="192"/>
      <c r="AK168" s="192"/>
      <c r="AL168" s="192"/>
      <c r="AM168" s="192"/>
      <c r="AN168" s="192"/>
      <c r="AO168" s="192"/>
      <c r="AP168" s="192"/>
      <c r="AQ168" s="192"/>
      <c r="AR168" s="192"/>
      <c r="AS168" s="286" t="str">
        <f>IF(AS169="","",IF(AR169="G",IF(AS169=AW156,AW157+AS144,AW180+AS144),IF(AR169="P",IF(AS169=AW156,AW157-AS144,AW180-AS144),"")))</f>
        <v/>
      </c>
      <c r="AT168" s="417" t="str">
        <f>IF(ISNUMBER(AS168),VLOOKUP(AS169,Siembra,2,FALSE),"")</f>
        <v/>
      </c>
      <c r="AU168" s="417"/>
      <c r="AV168" s="282" t="str">
        <f>IF(AS169=AW156,AZ157,IF(AS169=AW181,AZ180,""))</f>
        <v/>
      </c>
      <c r="AW168" s="424" t="str">
        <f>IF(OR(AW156="",AW181=""),"",IF(AND(AV156="",AV181=""),"",IF(AND(AV156="G",AV181="P"),IF(AZ157&gt;=AZ180,VLOOKUP(ABS(AZ157-AZ180),Point_dif,2,TRUE),VLOOKUP(ABS(AZ157-AZ180),Point_dif,3,TRUE)),IF(AND(AV156="P",AV181="G"),IF(AZ180&gt;=AZ157,VLOOKUP(ABS(AZ157-AZ180),Point_dif,2,TRUE),VLOOKUP(ABS(AZ157-AZ180),Point_dif,3,TRUE))))))</f>
        <v/>
      </c>
      <c r="AX168" s="414" t="s">
        <v>170</v>
      </c>
      <c r="AY168" s="413" t="str">
        <f>IF(Llave=128,AY120+1,"")</f>
        <v/>
      </c>
      <c r="AZ168" s="181"/>
      <c r="BA168" s="192"/>
      <c r="BB168" s="192"/>
      <c r="BC168" s="192"/>
      <c r="BD168" s="192"/>
      <c r="BE168" s="192"/>
      <c r="BF168" s="192"/>
      <c r="BG168" s="192"/>
      <c r="BH168" s="192"/>
      <c r="BI168" s="192"/>
      <c r="BJ168" s="192"/>
      <c r="BK168" s="192"/>
      <c r="BL168" s="192"/>
      <c r="BM168" s="192"/>
      <c r="BN168" s="192"/>
      <c r="BO168" s="192"/>
    </row>
    <row r="169" spans="2:67" x14ac:dyDescent="0.3">
      <c r="B169" s="192"/>
      <c r="C169" s="192"/>
      <c r="D169" s="192"/>
      <c r="E169" s="192"/>
      <c r="F169" s="192"/>
      <c r="G169" s="288" t="s">
        <v>283</v>
      </c>
      <c r="H169" s="192"/>
      <c r="I169" s="192"/>
      <c r="J169" s="192"/>
      <c r="K169" s="192"/>
      <c r="L169" s="192"/>
      <c r="M169" s="192"/>
      <c r="N169" s="192"/>
      <c r="O169" s="192"/>
      <c r="P169" s="192"/>
      <c r="Q169" s="181"/>
      <c r="R169" s="413"/>
      <c r="S169" s="413"/>
      <c r="T169" s="415"/>
      <c r="U169" s="425" t="str">
        <f>IF(AND(U156="",U181=""),"",IF(AND(U156="G",U181="P"),Q156,IF(AND(U181="G",U156="P"),Q181,"Corregir ganador y perdedor")))</f>
        <v/>
      </c>
      <c r="V169" s="423"/>
      <c r="W169" s="423"/>
      <c r="X169" s="423"/>
      <c r="Y169" s="167"/>
      <c r="Z169" s="192"/>
      <c r="AA169" s="192"/>
      <c r="AB169" s="192"/>
      <c r="AC169" s="192"/>
      <c r="AD169" s="192"/>
      <c r="AE169" s="192"/>
      <c r="AF169" s="192"/>
      <c r="AG169" s="192"/>
      <c r="AH169" s="192"/>
      <c r="AI169" s="192"/>
      <c r="AJ169" s="192"/>
      <c r="AK169" s="192"/>
      <c r="AL169" s="192"/>
      <c r="AM169" s="192"/>
      <c r="AN169" s="192"/>
      <c r="AO169" s="192"/>
      <c r="AP169" s="192"/>
      <c r="AQ169" s="192"/>
      <c r="AR169" s="167"/>
      <c r="AS169" s="425" t="str">
        <f>IF(AND(AV156="",AV181=""),"",IF(AND(AV156="G",AV181="P"),AW156,IF(AND(AV181="G",AV156="P"),AW181,"Corregir ganador y perdedor")))</f>
        <v/>
      </c>
      <c r="AT169" s="423"/>
      <c r="AU169" s="423"/>
      <c r="AV169" s="423"/>
      <c r="AW169" s="437"/>
      <c r="AX169" s="438"/>
      <c r="AY169" s="413"/>
      <c r="AZ169" s="192"/>
      <c r="BA169" s="192"/>
      <c r="BB169" s="192"/>
      <c r="BC169" s="192"/>
      <c r="BD169" s="192"/>
      <c r="BE169" s="192"/>
      <c r="BF169" s="192"/>
      <c r="BG169" s="192"/>
      <c r="BH169" s="192"/>
      <c r="BI169" s="273"/>
      <c r="BJ169" s="274" t="s">
        <v>284</v>
      </c>
      <c r="BK169" s="192"/>
      <c r="BL169" s="192"/>
      <c r="BM169" s="192"/>
      <c r="BN169" s="192"/>
      <c r="BO169" s="192"/>
    </row>
    <row r="170" spans="2:67" x14ac:dyDescent="0.3">
      <c r="B170" s="192">
        <f>B167+1</f>
        <v>57</v>
      </c>
      <c r="C170" s="192" t="str">
        <f>IF(Llave="","",IF(Llave&gt;1,IF(OR(Plyrs_val=Tot_Jug,Groups*2=Plyrs_val),HLOOKUP(Plyrs_val,Knockout,B170+1,FALSE)),""))</f>
        <v/>
      </c>
      <c r="D170" s="411" t="str">
        <f>IF(Llave="","",IF(Llave&gt;1,IF(C170="Bye","Bye",IF(OR(Plyrs_val=Tot_Jug,Groups*2=Plyrs_val),VLOOKUP(C170,Dist_Llav,4,FALSE),"")),""))</f>
        <v/>
      </c>
      <c r="E170" s="411"/>
      <c r="F170" s="411"/>
      <c r="G170" s="192" t="str">
        <f>IF(D170="","",IF(D170="Bye",0,IF(D173="Bye",E171,IF(H170="G",E171+G171,IF(H170="P",E171-G171,"")))))</f>
        <v/>
      </c>
      <c r="H170" s="166"/>
      <c r="I170" s="192"/>
      <c r="J170" s="192"/>
      <c r="K170" s="192"/>
      <c r="L170" s="277" t="s">
        <v>285</v>
      </c>
      <c r="M170" s="192"/>
      <c r="N170" s="192"/>
      <c r="O170" s="192"/>
      <c r="P170" s="192"/>
      <c r="Q170" s="192"/>
      <c r="R170" s="192"/>
      <c r="S170" s="192"/>
      <c r="T170" s="287"/>
      <c r="U170" s="192"/>
      <c r="V170" s="192"/>
      <c r="W170" s="192"/>
      <c r="X170" s="192"/>
      <c r="Y170" s="192"/>
      <c r="Z170" s="192"/>
      <c r="AA170" s="192"/>
      <c r="AB170" s="192"/>
      <c r="AC170" s="192"/>
      <c r="AD170" s="192"/>
      <c r="AE170" s="192"/>
      <c r="AF170" s="192"/>
      <c r="AG170" s="192"/>
      <c r="AH170" s="192"/>
      <c r="AI170" s="192"/>
      <c r="AJ170" s="192"/>
      <c r="AK170" s="192"/>
      <c r="AL170" s="192"/>
      <c r="AM170" s="192"/>
      <c r="AN170" s="192"/>
      <c r="AO170" s="192"/>
      <c r="AP170" s="192"/>
      <c r="AQ170" s="192"/>
      <c r="AR170" s="192"/>
      <c r="AS170" s="192"/>
      <c r="AT170" s="192"/>
      <c r="AU170" s="192"/>
      <c r="AV170" s="192"/>
      <c r="AW170" s="289"/>
      <c r="AX170" s="192"/>
      <c r="AY170" s="192"/>
      <c r="AZ170" s="192"/>
      <c r="BA170" s="192"/>
      <c r="BB170" s="192"/>
      <c r="BC170" s="192"/>
      <c r="BD170" s="192"/>
      <c r="BE170" s="274" t="s">
        <v>286</v>
      </c>
      <c r="BF170" s="192"/>
      <c r="BG170" s="192"/>
      <c r="BH170" s="192"/>
      <c r="BI170" s="166"/>
      <c r="BJ170" s="192" t="str">
        <f>IF(BK170="","",IF(BK170="Bye",0,IF(BK173="Bye",BL171,IF(BI170="G",BL171+BJ171,IF(BI170="P",BL171-BJ171,"")))))</f>
        <v/>
      </c>
      <c r="BK170" s="411" t="str">
        <f>IF(Llave="","",IF(Llave&gt;1,IF(BN170="Bye","Bye",IF(OR(Plyrs_val=Tot_Jug,Groups*2=Plyrs_val),VLOOKUP(BN170,Dist_Llav,4,FALSE),"")),""))</f>
        <v/>
      </c>
      <c r="BL170" s="411"/>
      <c r="BM170" s="411"/>
      <c r="BN170" s="229" t="str">
        <f>IF(Llave=128,IF(OR(Plyrs_val=Tot_Jug,Groups*2=Plyrs_val),HLOOKUP(Plyrs_val,Knockout,BO170+1,FALSE)),"")</f>
        <v/>
      </c>
      <c r="BO170" s="229">
        <f>BO167+1</f>
        <v>121</v>
      </c>
    </row>
    <row r="171" spans="2:67" x14ac:dyDescent="0.3">
      <c r="B171" s="413" t="str">
        <f>IF(Llave="","",B165+1)</f>
        <v/>
      </c>
      <c r="C171" s="192"/>
      <c r="D171" s="229" t="str">
        <f>IF(D170="","",IF(ISTEXT(D170),IF(D170="","",IF(D170="Bye",0,VLOOKUP(D170,Rank_Points,3,FALSE)))))</f>
        <v/>
      </c>
      <c r="E171" s="192" t="str">
        <f>IF(D170&lt;&gt;"",IF(D170="","",IF(D170="BYE",0,IF(ISTEXT(D170),VLOOKUP(C170,Dist_Llav,6,FALSE),""))),"")</f>
        <v/>
      </c>
      <c r="F171" s="414" t="s">
        <v>170</v>
      </c>
      <c r="G171" s="418" t="str">
        <f>IF(OR(D170="",D173=""),"",IF(OR(D170="Bye",D173="Bye"),0,IF(AND(H170="",H173=""),"",IF(AND(H170="G",H173="P"),IF(D171&gt;=D172,VLOOKUP(ABS(D171-D172),Point_dif,2,TRUE),VLOOKUP(ABS(D171-D172),Point_dif,3,TRUE)),IF(AND(H170="P",H173="G"),IF(D172&gt;=D171,VLOOKUP(ABS(D171-D172),Point_dif,2,TRUE),VLOOKUP(ABS(D171-D172),Point_dif,3,TRUE)))))))</f>
        <v/>
      </c>
      <c r="H171" s="278"/>
      <c r="I171" s="416" t="str">
        <f>IF(D170="Bye",D173,IF(D173="Bye",D170,IF(AND(H170="",H173=""),"",IF(AND(H170="G",H173="P"),D170,IF(AND(H173="G",H170="P"),D173,"Corregir ganador y perdedor")))))</f>
        <v/>
      </c>
      <c r="J171" s="417"/>
      <c r="K171" s="417"/>
      <c r="L171" s="417"/>
      <c r="M171" s="167"/>
      <c r="N171" s="192"/>
      <c r="O171" s="192"/>
      <c r="P171" s="192"/>
      <c r="Q171" s="192"/>
      <c r="R171" s="192"/>
      <c r="S171" s="192"/>
      <c r="T171" s="287"/>
      <c r="U171" s="192"/>
      <c r="V171" s="192"/>
      <c r="W171" s="192"/>
      <c r="X171" s="192"/>
      <c r="Y171" s="192"/>
      <c r="Z171" s="192"/>
      <c r="AA171" s="192"/>
      <c r="AB171" s="192"/>
      <c r="AC171" s="192"/>
      <c r="AD171" s="192"/>
      <c r="AE171" s="192"/>
      <c r="AF171" s="192"/>
      <c r="AG171" s="192"/>
      <c r="AH171" s="192"/>
      <c r="AI171" s="192"/>
      <c r="AJ171" s="192"/>
      <c r="AK171" s="192"/>
      <c r="AL171" s="192"/>
      <c r="AM171" s="192"/>
      <c r="AN171" s="192"/>
      <c r="AO171" s="192"/>
      <c r="AP171" s="192"/>
      <c r="AQ171" s="192"/>
      <c r="AR171" s="192"/>
      <c r="AS171" s="192"/>
      <c r="AT171" s="192"/>
      <c r="AU171" s="192"/>
      <c r="AV171" s="192"/>
      <c r="AW171" s="289"/>
      <c r="AX171" s="192"/>
      <c r="AY171" s="192"/>
      <c r="AZ171" s="192"/>
      <c r="BA171" s="192"/>
      <c r="BB171" s="192"/>
      <c r="BC171" s="192"/>
      <c r="BD171" s="166"/>
      <c r="BE171" s="416" t="str">
        <f>IF(BK173="Bye",BK170,IF(BK170="Bye",BK173,IF(AND(BI170="",BI173=""),"",IF(AND(BI170="G",BI173="P"),BK170,IF(AND(BI173="G",BI170="P"),BK173,"Corregir ganador y perdedor")))))</f>
        <v/>
      </c>
      <c r="BF171" s="417"/>
      <c r="BG171" s="417"/>
      <c r="BH171" s="417"/>
      <c r="BI171" s="279"/>
      <c r="BJ171" s="418" t="str">
        <f>IF(OR(BK170="",BK173=""),"",IF(OR(BK170="Bye",BK173="Bye"),0,IF(AND(BI170="",BI173=""),"",IF(AND(BI170="G",BI173="P"),IF(BM171&gt;=BM172,VLOOKUP(ABS(BM171-BM172),Point_dif,2,TRUE),VLOOKUP(ABS(BM171-BM172),Point_dif,3,TRUE)),IF(AND(BI170="P",BI173="G"),IF(BM172&gt;=BM171,VLOOKUP(ABS(BM171-BM172),Point_dif,2,TRUE),VLOOKUP(ABS(BM171-BM172),Point_dif,3,TRUE)))))))</f>
        <v/>
      </c>
      <c r="BK171" s="420" t="s">
        <v>170</v>
      </c>
      <c r="BL171" s="229" t="str">
        <f>IF(BK170&lt;&gt;"",IF(BK170="","",IF(BK170="BYE",0,IF(ISTEXT(BK170),VLOOKUP(BN170,Dist_Llav,6,FALSE),""))),"")</f>
        <v/>
      </c>
      <c r="BM171" s="280" t="str">
        <f>IF(BK170="","",IF(ISTEXT(BK170),IF(BK170="","",IF(BK170="Bye",0,VLOOKUP(BK170,Rank_Points,3,FALSE)))))</f>
        <v/>
      </c>
      <c r="BN171" s="422"/>
      <c r="BO171" s="422" t="str">
        <f>IF(Llave=128,BO165+1,"")</f>
        <v/>
      </c>
    </row>
    <row r="172" spans="2:67" x14ac:dyDescent="0.3">
      <c r="B172" s="413"/>
      <c r="C172" s="192"/>
      <c r="D172" s="229" t="str">
        <f>IF(D173="","",IF(ISTEXT(D173),IF(D173="","",IF(D173="Bye",0,VLOOKUP(D173,Rank_Points,3,FALSE)))))</f>
        <v/>
      </c>
      <c r="E172" s="192" t="str">
        <f>IF(D173&lt;&gt;"",IF(D173="","",IF(D173="BYE",0,IF(ISTEXT(D173),VLOOKUP(C173,Dist_Llav,6,FALSE),""))),"")</f>
        <v/>
      </c>
      <c r="F172" s="414"/>
      <c r="G172" s="419"/>
      <c r="H172" s="282"/>
      <c r="I172" s="283" t="str">
        <f>IF(I171=D170,D171,IF(I171=D173,D172,""))</f>
        <v/>
      </c>
      <c r="J172" s="423" t="str">
        <f>IF(ISNUMBER(I172),VLOOKUP(I171,Siembra,2,FALSE),"")</f>
        <v/>
      </c>
      <c r="K172" s="423"/>
      <c r="L172" s="278" t="str">
        <f>IF(I171="","",IF(M171="G",IF(I171=D170,G170+L174,G173+L174),IF(M171="P",IF(I171=D170,G170-L174,G173-L174),"")))</f>
        <v/>
      </c>
      <c r="M172" s="192"/>
      <c r="N172" s="192"/>
      <c r="O172" s="192"/>
      <c r="P172" s="192"/>
      <c r="Q172" s="192"/>
      <c r="R172" s="192"/>
      <c r="S172" s="192"/>
      <c r="T172" s="287"/>
      <c r="U172" s="192"/>
      <c r="V172" s="192"/>
      <c r="W172" s="192"/>
      <c r="X172" s="192"/>
      <c r="Y172" s="192"/>
      <c r="Z172" s="192"/>
      <c r="AA172" s="192"/>
      <c r="AB172" s="192"/>
      <c r="AC172" s="192"/>
      <c r="AD172" s="192"/>
      <c r="AE172" s="192"/>
      <c r="AF172" s="192"/>
      <c r="AG172" s="192"/>
      <c r="AH172" s="192"/>
      <c r="AI172" s="192"/>
      <c r="AJ172" s="192"/>
      <c r="AK172" s="192"/>
      <c r="AL172" s="192"/>
      <c r="AM172" s="192"/>
      <c r="AN172" s="192"/>
      <c r="AO172" s="192"/>
      <c r="AP172" s="192"/>
      <c r="AQ172" s="192"/>
      <c r="AR172" s="192"/>
      <c r="AS172" s="192"/>
      <c r="AT172" s="192"/>
      <c r="AU172" s="192"/>
      <c r="AV172" s="192"/>
      <c r="AW172" s="289"/>
      <c r="AX172" s="192"/>
      <c r="AY172" s="192"/>
      <c r="AZ172" s="192"/>
      <c r="BA172" s="192"/>
      <c r="BB172" s="192"/>
      <c r="BC172" s="192"/>
      <c r="BD172" s="192"/>
      <c r="BE172" s="279" t="str">
        <f>IF(BE171="","",IF(BD171="G",IF(BE171=BK170,BJ170+BE174,BJ173+BE174),IF(BD171="P",IF(BE171=BK170,BJ170-BE174,BJ173-BE174),"")))</f>
        <v/>
      </c>
      <c r="BF172" s="423" t="str">
        <f>IF(ISNUMBER(BE172),VLOOKUP(BE171,Siembra,2,FALSE),"")</f>
        <v/>
      </c>
      <c r="BG172" s="423"/>
      <c r="BH172" s="285" t="str">
        <f>IF(BE171=BK170,BM171,IF(BE171=BK173,BM172,""))</f>
        <v/>
      </c>
      <c r="BI172" s="286"/>
      <c r="BJ172" s="419"/>
      <c r="BK172" s="421"/>
      <c r="BL172" s="229" t="str">
        <f>IF(BK173&lt;&gt;"",IF(BK173="","",IF(BK173="BYE",0,IF(ISTEXT(BK173),VLOOKUP(BN173,Dist_Llav,6,FALSE),""))),"")</f>
        <v/>
      </c>
      <c r="BM172" s="280" t="str">
        <f>IF(BK173="","",IF(ISTEXT(BK173),IF(BK173="","",IF(BK173="Bye",0,VLOOKUP(BK173,Rank_Points,3,FALSE)))))</f>
        <v/>
      </c>
      <c r="BN172" s="422"/>
      <c r="BO172" s="422"/>
    </row>
    <row r="173" spans="2:67" x14ac:dyDescent="0.3">
      <c r="B173" s="192">
        <f>B170+1</f>
        <v>58</v>
      </c>
      <c r="C173" s="192" t="str">
        <f>IF(Llave="","",IF(Llave&gt;1,IF(OR(Plyrs_val=Tot_Jug,Groups*2=Plyrs_val),HLOOKUP(Plyrs_val,Knockout,B173+1,FALSE)),""))</f>
        <v/>
      </c>
      <c r="D173" s="412" t="str">
        <f>IF(Llave="","",IF(Llave&gt;1,IF(C173="Bye","Bye",IF(OR(Plyrs_val=Tot_Jug,Groups*2=Plyrs_val),VLOOKUP(C173,Dist_Llav,4,FALSE),"")),""))</f>
        <v/>
      </c>
      <c r="E173" s="412"/>
      <c r="F173" s="412"/>
      <c r="G173" s="192" t="str">
        <f>IF(D173="","",IF(D173="Bye",0,IF(D170="Bye",E172,IF(H173="G",E172+G171,IF(H173="P",E172-G171,"")))))</f>
        <v/>
      </c>
      <c r="H173" s="166"/>
      <c r="I173" s="192"/>
      <c r="J173" s="192"/>
      <c r="K173" s="192"/>
      <c r="L173" s="287"/>
      <c r="M173" s="192"/>
      <c r="N173" s="192"/>
      <c r="O173" s="192"/>
      <c r="P173" s="288" t="s">
        <v>287</v>
      </c>
      <c r="Q173" s="192"/>
      <c r="R173" s="192"/>
      <c r="S173" s="192"/>
      <c r="T173" s="287"/>
      <c r="U173" s="192"/>
      <c r="V173" s="192"/>
      <c r="W173" s="192"/>
      <c r="X173" s="192"/>
      <c r="Y173" s="192"/>
      <c r="Z173" s="192"/>
      <c r="AA173" s="192"/>
      <c r="AB173" s="192"/>
      <c r="AC173" s="192"/>
      <c r="AD173" s="192"/>
      <c r="AE173" s="192"/>
      <c r="AF173" s="192"/>
      <c r="AG173" s="192"/>
      <c r="AH173" s="192"/>
      <c r="AI173" s="192"/>
      <c r="AJ173" s="192"/>
      <c r="AK173" s="192"/>
      <c r="AL173" s="192"/>
      <c r="AM173" s="192"/>
      <c r="AN173" s="192"/>
      <c r="AO173" s="192"/>
      <c r="AP173" s="192"/>
      <c r="AQ173" s="192"/>
      <c r="AR173" s="192"/>
      <c r="AS173" s="192"/>
      <c r="AT173" s="192"/>
      <c r="AU173" s="192"/>
      <c r="AV173" s="192"/>
      <c r="AW173" s="289"/>
      <c r="AX173" s="192"/>
      <c r="AY173" s="192"/>
      <c r="AZ173" s="192"/>
      <c r="BA173" s="274" t="s">
        <v>288</v>
      </c>
      <c r="BB173" s="192"/>
      <c r="BC173" s="192"/>
      <c r="BD173" s="192"/>
      <c r="BE173" s="289"/>
      <c r="BF173" s="192"/>
      <c r="BG173" s="192"/>
      <c r="BH173" s="192"/>
      <c r="BI173" s="166"/>
      <c r="BJ173" s="284" t="str">
        <f>IF(BK173="","",IF(BK173="Bye",0,IF(BK170="Bye",BL172,IF(BI173="G",BL172+BJ171,IF(BI173="P",BL172-BJ171,"")))))</f>
        <v/>
      </c>
      <c r="BK173" s="412" t="str">
        <f>IF(Llave="","",IF(Llave&gt;1,IF(BN173="Bye","Bye",IF(OR(Plyrs_val=Tot_Jug,Groups*2=Plyrs_val),VLOOKUP(BN173,Dist_Llav,4,FALSE),"")),""))</f>
        <v/>
      </c>
      <c r="BL173" s="412"/>
      <c r="BM173" s="412"/>
      <c r="BN173" s="229" t="str">
        <f>IF(Llave=128,IF(OR(Plyrs_val=Tot_Jug,Groups*2=Plyrs_val),HLOOKUP(Plyrs_val,Knockout,BO173+1,FALSE)),"")</f>
        <v/>
      </c>
      <c r="BO173" s="229">
        <f>BO170+1</f>
        <v>122</v>
      </c>
    </row>
    <row r="174" spans="2:67" x14ac:dyDescent="0.3">
      <c r="B174" s="192"/>
      <c r="C174" s="192"/>
      <c r="D174" s="192"/>
      <c r="E174" s="192"/>
      <c r="F174" s="192"/>
      <c r="G174" s="192"/>
      <c r="H174" s="192"/>
      <c r="I174" s="413" t="str">
        <f>IF(Llave="","",I162+1)</f>
        <v/>
      </c>
      <c r="J174" s="192"/>
      <c r="K174" s="414" t="s">
        <v>170</v>
      </c>
      <c r="L174" s="415" t="str">
        <f>IF(OR(I171="",I178=""),"",IF(OR(I171="Bye",I178="Bye"),0,IF(AND(M171="",M178=""),"",IF(AND(M171="G",M178="P"),IF(I172&gt;=I177,VLOOKUP(ABS(I172-I177),Point_dif,2,TRUE),VLOOKUP(ABS(I172-I177),Point_dif,3,TRUE)),IF(AND(M171="P",M178="G"),IF(I177&gt;=I172,VLOOKUP(ABS(I172-I177),Point_dif,2,TRUE),VLOOKUP(ABS(I172-I177),Point_dif,3,TRUE)))))))</f>
        <v/>
      </c>
      <c r="M174" s="416" t="str">
        <f>IF(AND(M171="",M178=""),"",IF(AND(M171="G",M178="P"),I171,IF(AND(M178="G",M171="P"),I178,"Corregir ganador y perdedor")))</f>
        <v/>
      </c>
      <c r="N174" s="417"/>
      <c r="O174" s="417"/>
      <c r="P174" s="417"/>
      <c r="Q174" s="167"/>
      <c r="R174" s="192"/>
      <c r="S174" s="192"/>
      <c r="T174" s="287"/>
      <c r="U174" s="192"/>
      <c r="V174" s="192"/>
      <c r="W174" s="192"/>
      <c r="X174" s="192"/>
      <c r="Y174" s="192"/>
      <c r="Z174" s="192"/>
      <c r="AA174" s="192"/>
      <c r="AB174" s="192"/>
      <c r="AC174" s="192"/>
      <c r="AD174" s="192"/>
      <c r="AE174" s="192"/>
      <c r="AF174" s="192"/>
      <c r="AG174" s="192"/>
      <c r="AH174" s="192"/>
      <c r="AI174" s="192"/>
      <c r="AJ174" s="192"/>
      <c r="AK174" s="192"/>
      <c r="AL174" s="192"/>
      <c r="AM174" s="192"/>
      <c r="AN174" s="192"/>
      <c r="AO174" s="192"/>
      <c r="AP174" s="192"/>
      <c r="AQ174" s="192"/>
      <c r="AR174" s="192"/>
      <c r="AS174" s="192"/>
      <c r="AT174" s="192"/>
      <c r="AU174" s="192"/>
      <c r="AV174" s="192"/>
      <c r="AW174" s="289"/>
      <c r="AX174" s="192"/>
      <c r="AY174" s="192"/>
      <c r="AZ174" s="166"/>
      <c r="BA174" s="416" t="str">
        <f>IF(AND(BD171="",BD178=""),"",IF(AND(BD171="G",BD178="P"),BE171,IF(AND(BD178="G",BD171="P"),BE178,"Corregir ganador y perdedor")))</f>
        <v/>
      </c>
      <c r="BB174" s="417"/>
      <c r="BC174" s="417"/>
      <c r="BD174" s="417"/>
      <c r="BE174" s="424" t="str">
        <f>IF(OR(BE171="",BE178=""),"",IF(OR(BE171="Bye",BE178="Bye"),0,IF(AND(BD171="",BD178=""),"",IF(AND(BD171="G",BD178="P"),IF(BH172&gt;=BH177,VLOOKUP(ABS(BH172-BH177),Point_dif,2,TRUE),VLOOKUP(ABS(BH172-BH177),Point_dif,3,TRUE)),IF(AND(BD171="P",BD178="G"),IF(BH177&gt;=BH172,VLOOKUP(ABS(BH172-BH177),Point_dif,2,TRUE),VLOOKUP(ABS(BH172-BH177),Point_dif,3,TRUE)))))))</f>
        <v/>
      </c>
      <c r="BF174" s="421" t="s">
        <v>170</v>
      </c>
      <c r="BG174" s="281"/>
      <c r="BH174" s="413" t="str">
        <f>IF(Llave=128,BH162+1,"")</f>
        <v/>
      </c>
      <c r="BI174" s="192"/>
      <c r="BJ174" s="192"/>
      <c r="BK174" s="192"/>
      <c r="BL174" s="192"/>
      <c r="BM174" s="192"/>
      <c r="BN174" s="192"/>
      <c r="BO174" s="192"/>
    </row>
    <row r="175" spans="2:67" x14ac:dyDescent="0.3">
      <c r="B175" s="192"/>
      <c r="C175" s="192"/>
      <c r="D175" s="192"/>
      <c r="E175" s="192"/>
      <c r="F175" s="192"/>
      <c r="G175" s="272" t="s">
        <v>289</v>
      </c>
      <c r="H175" s="192"/>
      <c r="I175" s="413"/>
      <c r="J175" s="192"/>
      <c r="K175" s="414"/>
      <c r="L175" s="415"/>
      <c r="M175" s="283" t="str">
        <f>IF(M174=I171,I172,IF(M174=I178,I177,""))</f>
        <v/>
      </c>
      <c r="N175" s="423" t="str">
        <f>IF(ISNUMBER(M175),VLOOKUP(M174,Siembra,2,FALSE),"")</f>
        <v/>
      </c>
      <c r="O175" s="423"/>
      <c r="P175" s="278" t="str">
        <f>IF(Llave=4,IF(M171="G",L172,L177),IF(M174="","",IF(Q174="G",IF(M174=I171,L172+P180,L177+P180),IF(Q174="P",IF(M174=I171,L172-P180,L177-P180),""))))</f>
        <v/>
      </c>
      <c r="Q175" s="192"/>
      <c r="R175" s="192"/>
      <c r="S175" s="192"/>
      <c r="T175" s="287"/>
      <c r="U175" s="192"/>
      <c r="V175" s="192"/>
      <c r="W175" s="192"/>
      <c r="X175" s="192"/>
      <c r="Y175" s="192"/>
      <c r="Z175" s="192"/>
      <c r="AA175" s="192"/>
      <c r="AB175" s="192"/>
      <c r="AC175" s="192"/>
      <c r="AD175" s="192"/>
      <c r="AE175" s="192"/>
      <c r="AF175" s="192"/>
      <c r="AG175" s="192"/>
      <c r="AH175" s="192"/>
      <c r="AI175" s="192"/>
      <c r="AJ175" s="192"/>
      <c r="AK175" s="192"/>
      <c r="AL175" s="192"/>
      <c r="AM175" s="192"/>
      <c r="AN175" s="192"/>
      <c r="AO175" s="192"/>
      <c r="AP175" s="192"/>
      <c r="AQ175" s="192"/>
      <c r="AR175" s="192"/>
      <c r="AS175" s="192"/>
      <c r="AT175" s="192"/>
      <c r="AU175" s="192"/>
      <c r="AV175" s="192"/>
      <c r="AW175" s="289"/>
      <c r="AX175" s="192"/>
      <c r="AY175" s="192"/>
      <c r="AZ175" s="192"/>
      <c r="BA175" s="279" t="str">
        <f>IF(BA174="","",IF(AZ174="G",IF(BA174=BE171,BE172+BA180,BE177+BA180),IF(AZ174="P",IF(BA174=BE171,BE172-BA180,BE177-BA180),"")))</f>
        <v/>
      </c>
      <c r="BB175" s="423" t="str">
        <f>IF(ISNUMBER(BA175),VLOOKUP(BA174,Siembra,2,FALSE),"")</f>
        <v/>
      </c>
      <c r="BC175" s="423"/>
      <c r="BD175" s="285" t="str">
        <f>IF(BA174=BE171,BH172,IF(BA174=BE178,BH177,""))</f>
        <v/>
      </c>
      <c r="BE175" s="424"/>
      <c r="BF175" s="421"/>
      <c r="BG175" s="281"/>
      <c r="BH175" s="413"/>
      <c r="BI175" s="273"/>
      <c r="BJ175" s="274" t="s">
        <v>290</v>
      </c>
      <c r="BK175" s="192"/>
      <c r="BL175" s="192"/>
      <c r="BM175" s="192"/>
      <c r="BN175" s="192"/>
      <c r="BO175" s="192"/>
    </row>
    <row r="176" spans="2:67" x14ac:dyDescent="0.3">
      <c r="B176" s="192">
        <f>B173+1</f>
        <v>59</v>
      </c>
      <c r="C176" s="192" t="str">
        <f>IF(Llave="","",IF(Llave&gt;1,IF(OR(Plyrs_val=Tot_Jug,Groups*2=Plyrs_val),HLOOKUP(Plyrs_val,Knockout,B176+1,FALSE)),""))</f>
        <v/>
      </c>
      <c r="D176" s="411" t="str">
        <f>IF(Llave="","",IF(Llave&gt;1,IF(C176="Bye","Bye",IF(OR(Plyrs_val=Tot_Jug,Groups*2=Plyrs_val),VLOOKUP(C176,Dist_Llav,4,FALSE),"")),""))</f>
        <v/>
      </c>
      <c r="E176" s="411"/>
      <c r="F176" s="411"/>
      <c r="G176" s="192" t="str">
        <f>IF(D176="","",IF(D176="Bye",0,IF(D179="Bye",E177,IF(H176="G",E177+G177,IF(H176="P",E177-G177,"")))))</f>
        <v/>
      </c>
      <c r="H176" s="166"/>
      <c r="I176" s="192"/>
      <c r="J176" s="192"/>
      <c r="K176" s="192"/>
      <c r="L176" s="287"/>
      <c r="M176" s="192"/>
      <c r="N176" s="192"/>
      <c r="O176" s="192"/>
      <c r="P176" s="287"/>
      <c r="Q176" s="192"/>
      <c r="R176" s="192"/>
      <c r="S176" s="192"/>
      <c r="T176" s="287"/>
      <c r="U176" s="192"/>
      <c r="V176" s="192"/>
      <c r="W176" s="192"/>
      <c r="X176" s="192"/>
      <c r="Y176" s="192"/>
      <c r="Z176" s="192"/>
      <c r="AA176" s="192"/>
      <c r="AB176" s="192"/>
      <c r="AC176" s="192"/>
      <c r="AD176" s="192"/>
      <c r="AE176" s="192"/>
      <c r="AF176" s="192"/>
      <c r="AG176" s="192"/>
      <c r="AH176" s="192"/>
      <c r="AI176" s="192"/>
      <c r="AJ176" s="192"/>
      <c r="AK176" s="192"/>
      <c r="AL176" s="192"/>
      <c r="AM176" s="192"/>
      <c r="AN176" s="192"/>
      <c r="AO176" s="192"/>
      <c r="AP176" s="192"/>
      <c r="AQ176" s="192"/>
      <c r="AR176" s="192"/>
      <c r="AS176" s="192"/>
      <c r="AT176" s="192"/>
      <c r="AU176" s="192"/>
      <c r="AV176" s="192"/>
      <c r="AW176" s="289"/>
      <c r="AX176" s="192"/>
      <c r="AY176" s="192"/>
      <c r="AZ176" s="192"/>
      <c r="BA176" s="289"/>
      <c r="BB176" s="192"/>
      <c r="BC176" s="192"/>
      <c r="BD176" s="192"/>
      <c r="BE176" s="289"/>
      <c r="BF176" s="192"/>
      <c r="BG176" s="192"/>
      <c r="BH176" s="192"/>
      <c r="BI176" s="166"/>
      <c r="BJ176" s="192" t="str">
        <f>IF(BK176="","",IF(BK176="Bye",0,IF(BK179="Bye",BL177,IF(BI176="G",BL177+BJ177,IF(BI176="P",BL177-BJ177,"")))))</f>
        <v/>
      </c>
      <c r="BK176" s="411" t="str">
        <f>IF(Llave="","",IF(Llave&gt;1,IF(BN176="Bye","Bye",IF(OR(Plyrs_val=Tot_Jug,Groups*2=Plyrs_val),VLOOKUP(BN176,Dist_Llav,4,FALSE),"")),""))</f>
        <v/>
      </c>
      <c r="BL176" s="411"/>
      <c r="BM176" s="411"/>
      <c r="BN176" s="229" t="str">
        <f>IF(Llave=128,IF(OR(Plyrs_val=Tot_Jug,Groups*2=Plyrs_val),HLOOKUP(Plyrs_val,Knockout,BO176+1,FALSE)),"")</f>
        <v/>
      </c>
      <c r="BO176" s="229">
        <f>BO173+1</f>
        <v>123</v>
      </c>
    </row>
    <row r="177" spans="2:67" x14ac:dyDescent="0.3">
      <c r="B177" s="413" t="str">
        <f>IF(Llave="","",B171+1)</f>
        <v/>
      </c>
      <c r="C177" s="192"/>
      <c r="D177" s="229" t="str">
        <f>IF(D176="","",IF(ISTEXT(D176),IF(D176="","",IF(D176="Bye",0,VLOOKUP(D176,Rank_Points,3,FALSE)))))</f>
        <v/>
      </c>
      <c r="E177" s="192" t="str">
        <f>IF(D176&lt;&gt;"",IF(D176="","",IF(D176="BYE",0,IF(ISTEXT(D176),VLOOKUP(C176,Dist_Llav,6,FALSE),""))),"")</f>
        <v/>
      </c>
      <c r="F177" s="414" t="s">
        <v>170</v>
      </c>
      <c r="G177" s="418" t="str">
        <f>IF(OR(D176="",D179=""),"",IF(OR(D176="Bye",D179="Bye"),0,IF(AND(H176="",H179=""),"",IF(AND(H176="G",H179="P"),IF(D177&gt;=D178,VLOOKUP(ABS(D177-D178),Point_dif,2,TRUE),VLOOKUP(ABS(D177-D178),Point_dif,3,TRUE)),IF(AND(H176="P",H179="G"),IF(D178&gt;=D177,VLOOKUP(ABS(D177-D178),Point_dif,2,TRUE),VLOOKUP(ABS(D177-D178),Point_dif,3,TRUE)))))))</f>
        <v/>
      </c>
      <c r="H177" s="278"/>
      <c r="I177" s="275" t="str">
        <f>IF(I178=D176,D177,IF(I178=D179,D178,""))</f>
        <v/>
      </c>
      <c r="J177" s="417" t="str">
        <f>IF(ISNUMBER(I177),VLOOKUP(I178,Siembra,2,FALSE),"")</f>
        <v/>
      </c>
      <c r="K177" s="417"/>
      <c r="L177" s="282" t="str">
        <f>IF(I178="","",IF(M178="G",IF(I178=D176,G176+L174,G179+L174),IF(M178="P",IF(I178=D176,G176-L174,G179-L174),"")))</f>
        <v/>
      </c>
      <c r="M177" s="192"/>
      <c r="N177" s="192"/>
      <c r="O177" s="192"/>
      <c r="P177" s="287"/>
      <c r="Q177" s="192"/>
      <c r="R177" s="192"/>
      <c r="S177" s="192"/>
      <c r="T177" s="287"/>
      <c r="U177" s="192"/>
      <c r="V177" s="192"/>
      <c r="W177" s="192"/>
      <c r="X177" s="192"/>
      <c r="Y177" s="192"/>
      <c r="Z177" s="192"/>
      <c r="AA177" s="192"/>
      <c r="AB177" s="192"/>
      <c r="AC177" s="192"/>
      <c r="AD177" s="192"/>
      <c r="AE177" s="192"/>
      <c r="AF177" s="192"/>
      <c r="AG177" s="192"/>
      <c r="AH177" s="192"/>
      <c r="AI177" s="192"/>
      <c r="AJ177" s="192"/>
      <c r="AK177" s="192"/>
      <c r="AL177" s="192"/>
      <c r="AM177" s="192"/>
      <c r="AN177" s="192"/>
      <c r="AO177" s="192"/>
      <c r="AP177" s="192"/>
      <c r="AQ177" s="192"/>
      <c r="AR177" s="192"/>
      <c r="AS177" s="192"/>
      <c r="AT177" s="192"/>
      <c r="AU177" s="192"/>
      <c r="AV177" s="192"/>
      <c r="AW177" s="289"/>
      <c r="AX177" s="192"/>
      <c r="AY177" s="192"/>
      <c r="AZ177" s="192"/>
      <c r="BA177" s="289"/>
      <c r="BB177" s="192"/>
      <c r="BC177" s="192"/>
      <c r="BD177" s="192"/>
      <c r="BE177" s="286" t="str">
        <f>IF(BE178="","",IF(BD178="G",IF(BE178=BK176,BJ176+BE174,BJ179+BE174),IF(BD178="P",IF(BE178=BK176,BJ176-BE174,BJ179-BE174),"")))</f>
        <v/>
      </c>
      <c r="BF177" s="417" t="str">
        <f>IF(ISNUMBER(BE177),VLOOKUP(BE178,Siembra,2,FALSE),"")</f>
        <v/>
      </c>
      <c r="BG177" s="417"/>
      <c r="BH177" s="282" t="str">
        <f>IF(BE178=BK176,BM177,IF(BE178=BK179,BM178,""))</f>
        <v/>
      </c>
      <c r="BI177" s="279"/>
      <c r="BJ177" s="418" t="str">
        <f>IF(OR(BK176="",BK179=""),"",IF(OR(BK176="Bye",BK179="Bye"),0,IF(AND(BI176="",BI179=""),"",IF(AND(BI176="G",BI179="P"),IF(BM177&gt;=BM178,VLOOKUP(ABS(BM177-BM178),Point_dif,2,TRUE),VLOOKUP(ABS(BM177-BM178),Point_dif,3,TRUE)),IF(AND(BI176="P",BI179="G"),IF(BM178&gt;=BM177,VLOOKUP(ABS(BM177-BM178),Point_dif,2,TRUE),VLOOKUP(ABS(BM177-BM178),Point_dif,3,TRUE)))))))</f>
        <v/>
      </c>
      <c r="BK177" s="420" t="s">
        <v>170</v>
      </c>
      <c r="BL177" s="229" t="str">
        <f>IF(BK176&lt;&gt;"",IF(BK176="","",IF(BK176="BYE",0,IF(ISTEXT(BK176),VLOOKUP(BN176,Dist_Llav,6,FALSE),""))),"")</f>
        <v/>
      </c>
      <c r="BM177" s="280" t="str">
        <f>IF(BK176="","",IF(ISTEXT(BK176),IF(BK176="","",IF(BK176="Bye",0,VLOOKUP(BK176,Rank_Points,3,FALSE)))))</f>
        <v/>
      </c>
      <c r="BN177" s="422"/>
      <c r="BO177" s="422" t="str">
        <f>IF(Llave=128,BO171+1,"")</f>
        <v/>
      </c>
    </row>
    <row r="178" spans="2:67" x14ac:dyDescent="0.3">
      <c r="B178" s="413"/>
      <c r="C178" s="192"/>
      <c r="D178" s="229" t="str">
        <f>IF(D179="","",IF(ISTEXT(D179),IF(D179="","",IF(D179="Bye",0,VLOOKUP(D179,Rank_Points,3,FALSE)))))</f>
        <v/>
      </c>
      <c r="E178" s="192" t="str">
        <f>IF(D179&lt;&gt;"",IF(D179="","",IF(D179="BYE",0,IF(ISTEXT(D179),VLOOKUP(C179,Dist_Llav,6,FALSE),""))),"")</f>
        <v/>
      </c>
      <c r="F178" s="414"/>
      <c r="G178" s="419"/>
      <c r="H178" s="282"/>
      <c r="I178" s="425" t="str">
        <f>IF(D176="Bye",D179,IF(D179="Bye",D176,IF(AND(H176="",H179=""),"",IF(AND(H176="G",H179="P"),D176,IF(AND(H179="G",H176="P"),D179,"Corregir ganador y perdedor")))))</f>
        <v/>
      </c>
      <c r="J178" s="423"/>
      <c r="K178" s="423"/>
      <c r="L178" s="423"/>
      <c r="M178" s="167"/>
      <c r="N178" s="192"/>
      <c r="O178" s="192"/>
      <c r="P178" s="287"/>
      <c r="Q178" s="192"/>
      <c r="R178" s="192"/>
      <c r="S178" s="192"/>
      <c r="T178" s="287"/>
      <c r="U178" s="192"/>
      <c r="V178" s="192"/>
      <c r="W178" s="192"/>
      <c r="X178" s="192"/>
      <c r="Y178" s="192"/>
      <c r="Z178" s="192"/>
      <c r="AA178" s="192"/>
      <c r="AB178" s="192"/>
      <c r="AC178" s="192"/>
      <c r="AD178" s="192"/>
      <c r="AE178" s="192"/>
      <c r="AF178" s="192"/>
      <c r="AG178" s="192"/>
      <c r="AH178" s="192"/>
      <c r="AI178" s="192"/>
      <c r="AJ178" s="192"/>
      <c r="AK178" s="192"/>
      <c r="AL178" s="192"/>
      <c r="AM178" s="192"/>
      <c r="AN178" s="192"/>
      <c r="AO178" s="192"/>
      <c r="AP178" s="192"/>
      <c r="AQ178" s="192"/>
      <c r="AR178" s="192"/>
      <c r="AS178" s="192"/>
      <c r="AT178" s="192"/>
      <c r="AU178" s="192"/>
      <c r="AV178" s="192"/>
      <c r="AW178" s="289"/>
      <c r="AX178" s="192"/>
      <c r="AY178" s="192"/>
      <c r="AZ178" s="192"/>
      <c r="BA178" s="289"/>
      <c r="BB178" s="192"/>
      <c r="BC178" s="192"/>
      <c r="BD178" s="166"/>
      <c r="BE178" s="423" t="str">
        <f>IF(BK179="Bye",BK176,IF(BK176="Bye",BK179,IF(AND(BI176="",BI179=""),"",IF(AND(BI176="G",BI179="P"),BK176,IF(AND(BI179="G",BI176="P"),BK179,"Corregir ganador y perdedor")))))</f>
        <v/>
      </c>
      <c r="BF178" s="423"/>
      <c r="BG178" s="423"/>
      <c r="BH178" s="426"/>
      <c r="BI178" s="286"/>
      <c r="BJ178" s="419"/>
      <c r="BK178" s="421"/>
      <c r="BL178" s="229" t="str">
        <f>IF(BK179&lt;&gt;"",IF(BK179="","",IF(BK179="BYE",0,IF(ISTEXT(BK179),VLOOKUP(BN179,Dist_Llav,6,FALSE),""))),"")</f>
        <v/>
      </c>
      <c r="BM178" s="280" t="str">
        <f>IF(BK179="","",IF(ISTEXT(BK179),IF(BK179="","",IF(BK179="Bye",0,VLOOKUP(BK179,Rank_Points,3,FALSE)))))</f>
        <v/>
      </c>
      <c r="BN178" s="422"/>
      <c r="BO178" s="422"/>
    </row>
    <row r="179" spans="2:67" x14ac:dyDescent="0.3">
      <c r="B179" s="192">
        <f>B176+1</f>
        <v>60</v>
      </c>
      <c r="C179" s="192" t="str">
        <f>IF(Llave="","",IF(Llave&gt;1,IF(OR(Plyrs_val=Tot_Jug,Groups*2=Plyrs_val),HLOOKUP(Plyrs_val,Knockout,B179+1,FALSE)),""))</f>
        <v/>
      </c>
      <c r="D179" s="412" t="str">
        <f>IF(Llave="","",IF(Llave&gt;1,IF(C179="Bye","Bye",IF(OR(Plyrs_val=Tot_Jug,Groups*2=Plyrs_val),VLOOKUP(C179,Dist_Llav,4,FALSE),"")),""))</f>
        <v/>
      </c>
      <c r="E179" s="412"/>
      <c r="F179" s="412"/>
      <c r="G179" s="192" t="str">
        <f>IF(D179="","",IF(D179="Bye",0,IF(D176="Bye",E178,IF(H179="G",E178+G177,IF(H179="P",E178-G177,"")))))</f>
        <v/>
      </c>
      <c r="H179" s="166"/>
      <c r="I179" s="192"/>
      <c r="J179" s="192"/>
      <c r="K179" s="192"/>
      <c r="L179" s="192"/>
      <c r="M179" s="192"/>
      <c r="N179" s="192"/>
      <c r="O179" s="192"/>
      <c r="P179" s="287"/>
      <c r="Q179" s="192"/>
      <c r="R179" s="192"/>
      <c r="S179" s="192"/>
      <c r="T179" s="287"/>
      <c r="U179" s="192"/>
      <c r="V179" s="192"/>
      <c r="W179" s="192"/>
      <c r="X179" s="192"/>
      <c r="Y179" s="192"/>
      <c r="Z179" s="192"/>
      <c r="AA179" s="192"/>
      <c r="AB179" s="192"/>
      <c r="AC179" s="192"/>
      <c r="AD179" s="192"/>
      <c r="AE179" s="192"/>
      <c r="AF179" s="192"/>
      <c r="AG179" s="192"/>
      <c r="AH179" s="192"/>
      <c r="AI179" s="192"/>
      <c r="AJ179" s="192"/>
      <c r="AK179" s="192"/>
      <c r="AL179" s="192"/>
      <c r="AM179" s="192"/>
      <c r="AN179" s="192"/>
      <c r="AO179" s="192"/>
      <c r="AP179" s="192"/>
      <c r="AQ179" s="192"/>
      <c r="AR179" s="192"/>
      <c r="AS179" s="192"/>
      <c r="AT179" s="192"/>
      <c r="AU179" s="192"/>
      <c r="AV179" s="192"/>
      <c r="AW179" s="289"/>
      <c r="AX179" s="192"/>
      <c r="AY179" s="192"/>
      <c r="AZ179" s="192"/>
      <c r="BA179" s="289"/>
      <c r="BB179" s="192"/>
      <c r="BC179" s="192"/>
      <c r="BD179" s="192"/>
      <c r="BE179" s="192"/>
      <c r="BF179" s="192"/>
      <c r="BG179" s="192"/>
      <c r="BH179" s="192"/>
      <c r="BI179" s="166"/>
      <c r="BJ179" s="284" t="str">
        <f>IF(BK179="","",IF(BK179="Bye",0,IF(BK176="Bye",BL178,IF(BI179="G",BL178+BJ177,IF(BI179="P",BL178-BJ177,"")))))</f>
        <v/>
      </c>
      <c r="BK179" s="412" t="str">
        <f>IF(Llave="","",IF(Llave&gt;1,IF(BN179="Bye","Bye",IF(OR(Plyrs_val=Tot_Jug,Groups*2=Plyrs_val),VLOOKUP(BN179,Dist_Llav,4,FALSE),"")),""))</f>
        <v/>
      </c>
      <c r="BL179" s="412"/>
      <c r="BM179" s="412"/>
      <c r="BN179" s="229" t="str">
        <f>IF(Llave=128,IF(OR(Plyrs_val=Tot_Jug,Groups*2=Plyrs_val),HLOOKUP(Plyrs_val,Knockout,BO179+1,FALSE)),"")</f>
        <v/>
      </c>
      <c r="BO179" s="229">
        <f>BO176+1</f>
        <v>124</v>
      </c>
    </row>
    <row r="180" spans="2:67" x14ac:dyDescent="0.3">
      <c r="B180" s="192"/>
      <c r="C180" s="192"/>
      <c r="D180" s="192"/>
      <c r="E180" s="192"/>
      <c r="F180" s="192"/>
      <c r="G180" s="192"/>
      <c r="H180" s="192"/>
      <c r="I180" s="192"/>
      <c r="J180" s="192"/>
      <c r="K180" s="192"/>
      <c r="L180" s="192"/>
      <c r="M180" s="181"/>
      <c r="N180" s="413" t="str">
        <f>IF(Llave="","",N156+1)</f>
        <v/>
      </c>
      <c r="O180" s="413" t="s">
        <v>170</v>
      </c>
      <c r="P180" s="415" t="str">
        <f>IF(OR(M174="",M187=""),"",IF(OR(M174="Bye",M187="Bye"),0,IF(AND(Q174="",Q187=""),"",IF(AND(Q174="G",Q187="P"),IF(M175&gt;=M186,VLOOKUP(ABS(M175-M186),Point_dif,2,TRUE),VLOOKUP(ABS(M175-M186),Point_dif,3,TRUE)),IF(AND(Q174="P",Q187="G"),IF(M186&gt;=M175,VLOOKUP(ABS(M175-M186),Point_dif,2,TRUE),VLOOKUP(ABS(M175-M186),Point_dif,3,TRUE)))))))</f>
        <v/>
      </c>
      <c r="Q180" s="275" t="str">
        <f>IF(Q181=M174,M175,IF(Q181=M187,M186,""))</f>
        <v/>
      </c>
      <c r="R180" s="417" t="str">
        <f>IF(ISNUMBER(Q180),VLOOKUP(Q181,Siembra,2,FALSE),"")</f>
        <v/>
      </c>
      <c r="S180" s="417"/>
      <c r="T180" s="282" t="str">
        <f>IF(Q181="","",IF(U181="G",IF(Q181=M174,P175+T168,P186+T168),IF(U181="P",IF(Q181=M174,P175-T168,P186-T168),"")))</f>
        <v/>
      </c>
      <c r="U180" s="192"/>
      <c r="V180" s="192"/>
      <c r="W180" s="192"/>
      <c r="X180" s="192"/>
      <c r="Y180" s="192"/>
      <c r="Z180" s="192"/>
      <c r="AA180" s="192"/>
      <c r="AB180" s="192"/>
      <c r="AC180" s="192"/>
      <c r="AD180" s="192"/>
      <c r="AE180" s="192"/>
      <c r="AF180" s="192"/>
      <c r="AG180" s="192"/>
      <c r="AH180" s="192"/>
      <c r="AI180" s="192"/>
      <c r="AJ180" s="192"/>
      <c r="AK180" s="192"/>
      <c r="AL180" s="192"/>
      <c r="AM180" s="192"/>
      <c r="AN180" s="192"/>
      <c r="AO180" s="192"/>
      <c r="AP180" s="192"/>
      <c r="AQ180" s="192"/>
      <c r="AR180" s="192"/>
      <c r="AS180" s="192"/>
      <c r="AT180" s="192"/>
      <c r="AU180" s="192"/>
      <c r="AV180" s="192"/>
      <c r="AW180" s="286" t="str">
        <f>IF(AW181="","",IF(AV181="G",IF(AW181=BA174,BA175+AW168,BA186+AW168),IF(AV181="P",IF(AW181=BA174,BA175-AW168,BA186-AW168),"")))</f>
        <v/>
      </c>
      <c r="AX180" s="417" t="str">
        <f>IF(ISNUMBER(AW180),VLOOKUP(AW181,Siembra,2,FALSE),"")</f>
        <v/>
      </c>
      <c r="AY180" s="417"/>
      <c r="AZ180" s="282" t="str">
        <f>IF(AW181=BA174,BD175,IF(AW181=BA187,BD186,""))</f>
        <v/>
      </c>
      <c r="BA180" s="424" t="str">
        <f>IF(OR(BA174="",BA187=""),"",IF(OR(BA174="Bye",BA187="Bye"),0,IF(AND(AZ174="",AZ187=""),"",IF(AND(AZ174="G",AZ187="P"),IF(BD175&gt;=BD186,VLOOKUP(ABS(BD175-BD186),Point_dif,2,TRUE),VLOOKUP(ABS(BD175-BD186),Point_dif,3,TRUE)),IF(AND(AZ174="P",AZ187="G"),IF(BD186&gt;=BD175,VLOOKUP(ABS(BD175-BD186),Point_dif,2,TRUE),VLOOKUP(ABS(BD175-BD186),Point_dif,3,TRUE)))))))</f>
        <v/>
      </c>
      <c r="BB180" s="421" t="s">
        <v>170</v>
      </c>
      <c r="BC180" s="413" t="str">
        <f>IF(Llave=128,BC156+1,"")</f>
        <v/>
      </c>
      <c r="BD180" s="181"/>
      <c r="BE180" s="192"/>
      <c r="BF180" s="192"/>
      <c r="BG180" s="192"/>
      <c r="BH180" s="192"/>
      <c r="BI180" s="192"/>
      <c r="BJ180" s="192"/>
      <c r="BK180" s="192"/>
      <c r="BL180" s="192"/>
      <c r="BM180" s="192"/>
      <c r="BN180" s="192"/>
      <c r="BO180" s="192"/>
    </row>
    <row r="181" spans="2:67" x14ac:dyDescent="0.3">
      <c r="B181" s="192"/>
      <c r="C181" s="192"/>
      <c r="D181" s="192"/>
      <c r="E181" s="192"/>
      <c r="F181" s="192"/>
      <c r="G181" s="272" t="s">
        <v>291</v>
      </c>
      <c r="H181" s="192"/>
      <c r="I181" s="192"/>
      <c r="J181" s="192"/>
      <c r="K181" s="192"/>
      <c r="L181" s="192"/>
      <c r="M181" s="181"/>
      <c r="N181" s="413"/>
      <c r="O181" s="413"/>
      <c r="P181" s="415"/>
      <c r="Q181" s="425" t="str">
        <f>IF(AND(Q174="",Q187=""),"",IF(AND(Q174="G",Q187="P"),M174,IF(AND(Q187="G",Q174="P"),M187,"Corregir ganador y perdedor")))</f>
        <v/>
      </c>
      <c r="R181" s="423"/>
      <c r="S181" s="423"/>
      <c r="T181" s="423"/>
      <c r="U181" s="167"/>
      <c r="V181" s="192"/>
      <c r="W181" s="192"/>
      <c r="X181" s="192"/>
      <c r="Y181" s="192"/>
      <c r="Z181" s="192"/>
      <c r="AA181" s="192"/>
      <c r="AB181" s="192"/>
      <c r="AC181" s="192"/>
      <c r="AD181" s="192"/>
      <c r="AE181" s="192"/>
      <c r="AF181" s="192"/>
      <c r="AG181" s="192"/>
      <c r="AH181" s="192"/>
      <c r="AI181" s="192"/>
      <c r="AJ181" s="192"/>
      <c r="AK181" s="192"/>
      <c r="AL181" s="192"/>
      <c r="AM181" s="192"/>
      <c r="AN181" s="192"/>
      <c r="AO181" s="192"/>
      <c r="AP181" s="192"/>
      <c r="AQ181" s="192"/>
      <c r="AR181" s="192"/>
      <c r="AS181" s="192"/>
      <c r="AT181" s="192"/>
      <c r="AU181" s="192"/>
      <c r="AV181" s="167"/>
      <c r="AW181" s="423" t="str">
        <f>IF(AND(AZ174="",AZ187=""),"",IF(AND(AZ174="G",AZ187="P"),BA174,IF(AND(AZ187="G",AZ174="P"),BA187,"Corregir ganador y perdedor")))</f>
        <v/>
      </c>
      <c r="AX181" s="423"/>
      <c r="AY181" s="423"/>
      <c r="AZ181" s="426"/>
      <c r="BA181" s="424"/>
      <c r="BB181" s="421"/>
      <c r="BC181" s="413"/>
      <c r="BD181" s="181"/>
      <c r="BE181" s="192"/>
      <c r="BF181" s="192"/>
      <c r="BG181" s="192"/>
      <c r="BH181" s="192"/>
      <c r="BI181" s="273"/>
      <c r="BJ181" s="274" t="s">
        <v>292</v>
      </c>
      <c r="BK181" s="192"/>
      <c r="BL181" s="192"/>
      <c r="BM181" s="192"/>
      <c r="BN181" s="192"/>
      <c r="BO181" s="192"/>
    </row>
    <row r="182" spans="2:67" x14ac:dyDescent="0.3">
      <c r="B182" s="192">
        <f>B179+1</f>
        <v>61</v>
      </c>
      <c r="C182" s="192" t="str">
        <f>IF(Llave="","",IF(Llave&gt;1,IF(OR(Plyrs_val=Tot_Jug,Groups*2=Plyrs_val),HLOOKUP(Plyrs_val,Knockout,B182+1,FALSE)),""))</f>
        <v/>
      </c>
      <c r="D182" s="411" t="str">
        <f>IF(Llave="","",IF(Llave&gt;1,IF(C182="Bye","Bye",IF(OR(Plyrs_val=Tot_Jug,Groups*2=Plyrs_val),VLOOKUP(C182,Dist_Llav,4,FALSE),"")),""))</f>
        <v/>
      </c>
      <c r="E182" s="411"/>
      <c r="F182" s="411"/>
      <c r="G182" s="192" t="str">
        <f>IF(D182="","",IF(D182="Bye",0,IF(D185="Bye",E183,IF(H182="G",E183+G183,IF(H182="P",E183-G183,"")))))</f>
        <v/>
      </c>
      <c r="H182" s="166"/>
      <c r="I182" s="192"/>
      <c r="J182" s="192"/>
      <c r="K182" s="192"/>
      <c r="L182" s="277" t="s">
        <v>293</v>
      </c>
      <c r="M182" s="192"/>
      <c r="N182" s="192"/>
      <c r="O182" s="192"/>
      <c r="P182" s="287"/>
      <c r="Q182" s="192"/>
      <c r="R182" s="192"/>
      <c r="S182" s="192"/>
      <c r="T182" s="192"/>
      <c r="U182" s="192"/>
      <c r="V182" s="192"/>
      <c r="W182" s="192"/>
      <c r="X182" s="192"/>
      <c r="Y182" s="192"/>
      <c r="Z182" s="192"/>
      <c r="AA182" s="192"/>
      <c r="AB182" s="192"/>
      <c r="AC182" s="192"/>
      <c r="AD182" s="192"/>
      <c r="AE182" s="192"/>
      <c r="AF182" s="192"/>
      <c r="AG182" s="192"/>
      <c r="AH182" s="192"/>
      <c r="AI182" s="192"/>
      <c r="AJ182" s="192"/>
      <c r="AK182" s="192"/>
      <c r="AL182" s="192"/>
      <c r="AM182" s="192"/>
      <c r="AN182" s="192"/>
      <c r="AO182" s="192"/>
      <c r="AP182" s="192"/>
      <c r="AQ182" s="192"/>
      <c r="AR182" s="192"/>
      <c r="AS182" s="192"/>
      <c r="AT182" s="192"/>
      <c r="AU182" s="192"/>
      <c r="AV182" s="192"/>
      <c r="AW182" s="192"/>
      <c r="AX182" s="192"/>
      <c r="AY182" s="192"/>
      <c r="AZ182" s="192"/>
      <c r="BA182" s="289"/>
      <c r="BB182" s="192"/>
      <c r="BC182" s="192"/>
      <c r="BD182" s="192"/>
      <c r="BE182" s="274" t="s">
        <v>294</v>
      </c>
      <c r="BF182" s="192"/>
      <c r="BG182" s="192"/>
      <c r="BH182" s="192"/>
      <c r="BI182" s="166"/>
      <c r="BJ182" s="192" t="str">
        <f>IF(BK182="","",IF(BK182="Bye",0,IF(BK185="Bye",BL183,IF(BI182="G",BL183+BJ183,IF(BI182="P",BL183-BJ183,"")))))</f>
        <v/>
      </c>
      <c r="BK182" s="411" t="str">
        <f>IF(Llave="","",IF(Llave&gt;1,IF(BN182="Bye","Bye",IF(OR(Plyrs_val=Tot_Jug,Groups*2=Plyrs_val),VLOOKUP(BN182,Dist_Llav,4,FALSE),"")),""))</f>
        <v/>
      </c>
      <c r="BL182" s="411"/>
      <c r="BM182" s="411"/>
      <c r="BN182" s="229" t="str">
        <f>IF(Llave=128,IF(OR(Plyrs_val=Tot_Jug,Groups*2=Plyrs_val),HLOOKUP(Plyrs_val,Knockout,BO182+1,FALSE)),"")</f>
        <v/>
      </c>
      <c r="BO182" s="229">
        <f>BO179+1</f>
        <v>125</v>
      </c>
    </row>
    <row r="183" spans="2:67" x14ac:dyDescent="0.3">
      <c r="B183" s="413" t="str">
        <f>IF(Llave="","",B177+1)</f>
        <v/>
      </c>
      <c r="C183" s="192"/>
      <c r="D183" s="229" t="str">
        <f>IF(D182="","",IF(ISTEXT(D182),IF(D182="","",IF(D182="Bye",0,VLOOKUP(D182,Rank_Points,3,FALSE)))))</f>
        <v/>
      </c>
      <c r="E183" s="192" t="str">
        <f>IF(D182&lt;&gt;"",IF(D182="","",IF(D182="BYE",0,IF(ISTEXT(D182),VLOOKUP(C182,Dist_Llav,6,FALSE),""))),"")</f>
        <v/>
      </c>
      <c r="F183" s="414" t="s">
        <v>170</v>
      </c>
      <c r="G183" s="418" t="str">
        <f>IF(OR(D182="",D185=""),"",IF(OR(D182="Bye",D185="Bye"),0,IF(AND(H182="",H185=""),"",IF(AND(H182="G",H185="P"),IF(D183&gt;=D184,VLOOKUP(ABS(D183-D184),Point_dif,2,TRUE),VLOOKUP(ABS(D183-D184),Point_dif,3,TRUE)),IF(AND(H182="P",H185="G"),IF(D184&gt;=D183,VLOOKUP(ABS(D183-D184),Point_dif,2,TRUE),VLOOKUP(ABS(D183-D184),Point_dif,3,TRUE)))))))</f>
        <v/>
      </c>
      <c r="H183" s="278"/>
      <c r="I183" s="416" t="str">
        <f>IF(D182="Bye",D185,IF(D185="Bye",D182,IF(AND(H182="",H185=""),"",IF(AND(H182="G",H185="P"),D182,IF(AND(H185="G",H182="P"),D185,"Corregir ganador y perdedor")))))</f>
        <v/>
      </c>
      <c r="J183" s="417"/>
      <c r="K183" s="417"/>
      <c r="L183" s="417"/>
      <c r="M183" s="167"/>
      <c r="N183" s="192"/>
      <c r="O183" s="192"/>
      <c r="P183" s="287"/>
      <c r="Q183" s="192"/>
      <c r="R183" s="192"/>
      <c r="S183" s="192"/>
      <c r="T183" s="192"/>
      <c r="U183" s="192"/>
      <c r="V183" s="192"/>
      <c r="W183" s="192"/>
      <c r="X183" s="192"/>
      <c r="Y183" s="192"/>
      <c r="Z183" s="192"/>
      <c r="AA183" s="192"/>
      <c r="AB183" s="192"/>
      <c r="AC183" s="192"/>
      <c r="AD183" s="192"/>
      <c r="AE183" s="192"/>
      <c r="AF183" s="192"/>
      <c r="AG183" s="192"/>
      <c r="AH183" s="192"/>
      <c r="AI183" s="192"/>
      <c r="AJ183" s="192"/>
      <c r="AK183" s="192"/>
      <c r="AL183" s="192"/>
      <c r="AM183" s="192"/>
      <c r="AN183" s="192"/>
      <c r="AO183" s="192"/>
      <c r="AP183" s="192"/>
      <c r="AQ183" s="192"/>
      <c r="AR183" s="192"/>
      <c r="AS183" s="192"/>
      <c r="AT183" s="192"/>
      <c r="AU183" s="192"/>
      <c r="AV183" s="192"/>
      <c r="AW183" s="192"/>
      <c r="AX183" s="192"/>
      <c r="AY183" s="192"/>
      <c r="AZ183" s="192"/>
      <c r="BA183" s="289"/>
      <c r="BB183" s="192"/>
      <c r="BC183" s="192"/>
      <c r="BD183" s="166"/>
      <c r="BE183" s="416" t="str">
        <f>IF(BK185="Bye",BK182,IF(BK182="Bye",BK185,IF(AND(BI182="",BI185=""),"",IF(AND(BI182="G",BI185="P"),BK182,IF(AND(BI185="G",BI182="P"),BK185,"Corregir ganador y perdedor")))))</f>
        <v/>
      </c>
      <c r="BF183" s="417"/>
      <c r="BG183" s="417"/>
      <c r="BH183" s="417"/>
      <c r="BI183" s="279"/>
      <c r="BJ183" s="418" t="str">
        <f>IF(OR(BK182="",BK185=""),"",IF(OR(BK182="Bye",BK185="Bye"),0,IF(AND(BI182="",BI185=""),"",IF(AND(BI182="G",BI185="P"),IF(BM183&gt;=BM184,VLOOKUP(ABS(BM183-BM184),Point_dif,2,TRUE),VLOOKUP(ABS(BM183-BM184),Point_dif,3,TRUE)),IF(AND(BI182="P",BI185="G"),IF(BM184&gt;=BM183,VLOOKUP(ABS(BM183-BM184),Point_dif,2,TRUE),VLOOKUP(ABS(BM183-BM184),Point_dif,3,TRUE)))))))</f>
        <v/>
      </c>
      <c r="BK183" s="420" t="s">
        <v>170</v>
      </c>
      <c r="BL183" s="229" t="str">
        <f>IF(BK182&lt;&gt;"",IF(BK182="","",IF(BK182="BYE",0,IF(ISTEXT(BK182),VLOOKUP(BN182,Dist_Llav,6,FALSE),""))),"")</f>
        <v/>
      </c>
      <c r="BM183" s="280" t="str">
        <f>IF(BK182="","",IF(ISTEXT(BK182),IF(BK182="","",IF(BK182="Bye",0,VLOOKUP(BK182,Rank_Points,3,FALSE)))))</f>
        <v/>
      </c>
      <c r="BN183" s="422"/>
      <c r="BO183" s="422" t="str">
        <f>IF(Llave=128,BO177+1,"")</f>
        <v/>
      </c>
    </row>
    <row r="184" spans="2:67" x14ac:dyDescent="0.3">
      <c r="B184" s="413"/>
      <c r="C184" s="192"/>
      <c r="D184" s="229" t="str">
        <f>IF(D185="","",IF(ISTEXT(D185),IF(D185="","",IF(D185="Bye",0,VLOOKUP(D185,Rank_Points,3,FALSE)))))</f>
        <v/>
      </c>
      <c r="E184" s="192" t="str">
        <f>IF(D185&lt;&gt;"",IF(D185="","",IF(D185="BYE",0,IF(ISTEXT(D185),VLOOKUP(C185,Dist_Llav,6,FALSE),""))),"")</f>
        <v/>
      </c>
      <c r="F184" s="414"/>
      <c r="G184" s="419"/>
      <c r="H184" s="282"/>
      <c r="I184" s="283" t="str">
        <f>IF(I183=D182,D183,IF(I183=D185,D184,""))</f>
        <v/>
      </c>
      <c r="J184" s="423" t="str">
        <f>IF(ISNUMBER(I184),VLOOKUP(I183,Siembra,2,FALSE),"")</f>
        <v/>
      </c>
      <c r="K184" s="423"/>
      <c r="L184" s="278" t="str">
        <f>IF(I183="","",IF(M183="G",IF(I183=D182,G182+L186,G185+L186),IF(M183="P",IF(I183=D182,G182-L186,G185-L186),"")))</f>
        <v/>
      </c>
      <c r="M184" s="192"/>
      <c r="N184" s="192"/>
      <c r="O184" s="192"/>
      <c r="P184" s="287"/>
      <c r="Q184" s="192"/>
      <c r="R184" s="192"/>
      <c r="S184" s="192"/>
      <c r="T184" s="192"/>
      <c r="U184" s="192"/>
      <c r="V184" s="192"/>
      <c r="W184" s="192"/>
      <c r="X184" s="192"/>
      <c r="Y184" s="192"/>
      <c r="Z184" s="192"/>
      <c r="AA184" s="192"/>
      <c r="AB184" s="192"/>
      <c r="AC184" s="192"/>
      <c r="AD184" s="192"/>
      <c r="AE184" s="192"/>
      <c r="AF184" s="192"/>
      <c r="AG184" s="192"/>
      <c r="AH184" s="192"/>
      <c r="AI184" s="192"/>
      <c r="AJ184" s="192"/>
      <c r="AK184" s="192"/>
      <c r="AL184" s="192"/>
      <c r="AM184" s="192"/>
      <c r="AN184" s="192"/>
      <c r="AO184" s="192"/>
      <c r="AP184" s="192"/>
      <c r="AQ184" s="192"/>
      <c r="AR184" s="192"/>
      <c r="AS184" s="192"/>
      <c r="AT184" s="192"/>
      <c r="AU184" s="192"/>
      <c r="AV184" s="192"/>
      <c r="AW184" s="192"/>
      <c r="AX184" s="192"/>
      <c r="AY184" s="192"/>
      <c r="AZ184" s="192"/>
      <c r="BA184" s="289"/>
      <c r="BB184" s="192"/>
      <c r="BC184" s="192"/>
      <c r="BD184" s="192"/>
      <c r="BE184" s="279" t="str">
        <f>IF(BE183="","",IF(BD183="G",IF(BE183=BK182,BJ182+BE186,BJ185+BE186),IF(BD183="P",IF(BE183=BK182,BJ182-BE186,BJ185-BE186),"")))</f>
        <v/>
      </c>
      <c r="BF184" s="423" t="str">
        <f>IF(ISNUMBER(BE184),VLOOKUP(BE183,Siembra,2,FALSE),"")</f>
        <v/>
      </c>
      <c r="BG184" s="423"/>
      <c r="BH184" s="285" t="str">
        <f>IF(BE183=BK182,BM183,IF(BE183=BK185,BM184,""))</f>
        <v/>
      </c>
      <c r="BI184" s="286"/>
      <c r="BJ184" s="419"/>
      <c r="BK184" s="421"/>
      <c r="BL184" s="229" t="str">
        <f>IF(BK185&lt;&gt;"",IF(BK185="","",IF(BK185="BYE",0,IF(ISTEXT(BK185),VLOOKUP(BN185,Dist_Llav,6,FALSE),""))),"")</f>
        <v/>
      </c>
      <c r="BM184" s="280" t="str">
        <f>IF(BK185="","",IF(ISTEXT(BK185),IF(BK185="","",IF(BK185="Bye",0,VLOOKUP(BK185,Rank_Points,3,FALSE)))))</f>
        <v/>
      </c>
      <c r="BN184" s="422"/>
      <c r="BO184" s="422"/>
    </row>
    <row r="185" spans="2:67" x14ac:dyDescent="0.3">
      <c r="B185" s="192">
        <f>B182+1</f>
        <v>62</v>
      </c>
      <c r="C185" s="192" t="str">
        <f>IF(Llave="","",IF(Llave&gt;1,IF(OR(Plyrs_val=Tot_Jug,Groups*2=Plyrs_val),HLOOKUP(Plyrs_val,Knockout,B185+1,FALSE)),""))</f>
        <v/>
      </c>
      <c r="D185" s="412" t="str">
        <f>IF(Llave="","",IF(Llave&gt;1,IF(C185="Bye","Bye",IF(OR(Plyrs_val=Tot_Jug,Groups*2=Plyrs_val),VLOOKUP(C185,Dist_Llav,4,FALSE),"")),""))</f>
        <v/>
      </c>
      <c r="E185" s="412"/>
      <c r="F185" s="412"/>
      <c r="G185" s="192" t="str">
        <f>IF(D185="","",IF(D185="Bye",0,IF(D182="Bye",E184,IF(H185="G",E184+G183,IF(H185="P",E184-G183,"")))))</f>
        <v/>
      </c>
      <c r="H185" s="166"/>
      <c r="I185" s="192"/>
      <c r="J185" s="192"/>
      <c r="K185" s="192"/>
      <c r="L185" s="287"/>
      <c r="M185" s="192"/>
      <c r="N185" s="192"/>
      <c r="O185" s="192"/>
      <c r="P185" s="287"/>
      <c r="Q185" s="192"/>
      <c r="R185" s="192"/>
      <c r="S185" s="192"/>
      <c r="T185" s="192"/>
      <c r="U185" s="192"/>
      <c r="V185" s="192"/>
      <c r="W185" s="192"/>
      <c r="X185" s="192"/>
      <c r="Y185" s="192"/>
      <c r="Z185" s="192"/>
      <c r="AA185" s="192"/>
      <c r="AB185" s="192"/>
      <c r="AC185" s="192"/>
      <c r="AD185" s="192"/>
      <c r="AE185" s="192"/>
      <c r="AF185" s="192"/>
      <c r="AG185" s="192"/>
      <c r="AH185" s="192"/>
      <c r="AI185" s="192"/>
      <c r="AJ185" s="192"/>
      <c r="AK185" s="192"/>
      <c r="AL185" s="192"/>
      <c r="AM185" s="192"/>
      <c r="AN185" s="192"/>
      <c r="AO185" s="192"/>
      <c r="AP185" s="192"/>
      <c r="AQ185" s="192"/>
      <c r="AR185" s="192"/>
      <c r="AS185" s="192"/>
      <c r="AT185" s="192"/>
      <c r="AU185" s="192"/>
      <c r="AV185" s="192"/>
      <c r="AW185" s="192"/>
      <c r="AX185" s="192"/>
      <c r="AY185" s="192"/>
      <c r="AZ185" s="192"/>
      <c r="BA185" s="289"/>
      <c r="BB185" s="192"/>
      <c r="BC185" s="192"/>
      <c r="BD185" s="192"/>
      <c r="BE185" s="289"/>
      <c r="BF185" s="192"/>
      <c r="BG185" s="192"/>
      <c r="BH185" s="192"/>
      <c r="BI185" s="166"/>
      <c r="BJ185" s="284" t="str">
        <f>IF(BK185="","",IF(BK185="Bye",0,IF(BK182="Bye",BL184,IF(BI185="G",BL184+BJ183,IF(BI185="P",BL184-BJ183,"")))))</f>
        <v/>
      </c>
      <c r="BK185" s="412" t="str">
        <f>IF(Llave="","",IF(Llave&gt;1,IF(BN185="Bye","Bye",IF(OR(Plyrs_val=Tot_Jug,Groups*2=Plyrs_val),VLOOKUP(BN185,Dist_Llav,4,FALSE),"")),""))</f>
        <v/>
      </c>
      <c r="BL185" s="412"/>
      <c r="BM185" s="412"/>
      <c r="BN185" s="229" t="str">
        <f>IF(Llave=128,IF(OR(Plyrs_val=Tot_Jug,Groups*2=Plyrs_val),HLOOKUP(Plyrs_val,Knockout,BO185+1,FALSE)),"")</f>
        <v/>
      </c>
      <c r="BO185" s="229">
        <f>BO182+1</f>
        <v>126</v>
      </c>
    </row>
    <row r="186" spans="2:67" x14ac:dyDescent="0.3">
      <c r="B186" s="192"/>
      <c r="C186" s="192"/>
      <c r="D186" s="192"/>
      <c r="E186" s="192"/>
      <c r="F186" s="192"/>
      <c r="G186" s="192"/>
      <c r="H186" s="192"/>
      <c r="I186" s="413" t="str">
        <f>IF(Llave="","",I174+1)</f>
        <v/>
      </c>
      <c r="J186" s="192"/>
      <c r="K186" s="414" t="s">
        <v>170</v>
      </c>
      <c r="L186" s="415" t="str">
        <f>IF(OR(I183="",I190=""),"",IF(OR(I183="Bye",I190="Bye"),0,IF(AND(M183="",M190=""),"",IF(AND(M183="G",M190="P"),IF(I184&gt;=I189,VLOOKUP(ABS(I184-I189),Point_dif,2,TRUE),VLOOKUP(ABS(I184-I189),Point_dif,3,TRUE)),IF(AND(M183="P",M190="G"),IF(I189&gt;=I184,VLOOKUP(ABS(I184-I189),Point_dif,2,TRUE),VLOOKUP(ABS(I184-I189),Point_dif,3,TRUE)))))))</f>
        <v/>
      </c>
      <c r="M186" s="275" t="str">
        <f>IF(M187=I183,I184,IF(M187=I190,I189,""))</f>
        <v/>
      </c>
      <c r="N186" s="417" t="str">
        <f>IF(ISNUMBER(M186),VLOOKUP(M187,Siembra,2,FALSE),"")</f>
        <v/>
      </c>
      <c r="O186" s="417"/>
      <c r="P186" s="282" t="str">
        <f>IF(M187="","",IF(Q187="G",IF(M187=I183,L184+P180,L189+P180),IF(Q187="P",IF(M187=I183,L184-P180,L189-P180),"")))</f>
        <v/>
      </c>
      <c r="Q186" s="192"/>
      <c r="R186" s="192"/>
      <c r="S186" s="192"/>
      <c r="T186" s="192"/>
      <c r="U186" s="192"/>
      <c r="V186" s="192"/>
      <c r="W186" s="192"/>
      <c r="X186" s="192"/>
      <c r="Y186" s="192"/>
      <c r="Z186" s="192"/>
      <c r="AA186" s="192"/>
      <c r="AB186" s="192"/>
      <c r="AC186" s="192"/>
      <c r="AD186" s="192"/>
      <c r="AE186" s="192"/>
      <c r="AF186" s="192"/>
      <c r="AG186" s="192"/>
      <c r="AH186" s="192"/>
      <c r="AI186" s="192"/>
      <c r="AJ186" s="192"/>
      <c r="AK186" s="192"/>
      <c r="AL186" s="192"/>
      <c r="AM186" s="192"/>
      <c r="AN186" s="192"/>
      <c r="AO186" s="192"/>
      <c r="AP186" s="192"/>
      <c r="AQ186" s="192"/>
      <c r="AR186" s="192"/>
      <c r="AS186" s="192"/>
      <c r="AT186" s="192"/>
      <c r="AU186" s="192"/>
      <c r="AV186" s="192"/>
      <c r="AW186" s="192"/>
      <c r="AX186" s="192"/>
      <c r="AY186" s="192"/>
      <c r="AZ186" s="192"/>
      <c r="BA186" s="286" t="str">
        <f>IF(BA187="","",IF(AZ187="G",IF(BA187=BE183,BE184+BA180,BE189+BA180),IF(AZ187="P",IF(BA187=BE183,BE184-BA180,BE189-BA180),"")))</f>
        <v/>
      </c>
      <c r="BB186" s="417" t="str">
        <f>IF(ISNUMBER(BA186),VLOOKUP(BA187,Siembra,2,FALSE),"")</f>
        <v/>
      </c>
      <c r="BC186" s="417"/>
      <c r="BD186" s="282" t="str">
        <f>IF(BA187=BE183,BH184,IF(BA187=BE190,BH189,""))</f>
        <v/>
      </c>
      <c r="BE186" s="424" t="str">
        <f>IF(OR(BE183="",BE190=""),"",IF(OR(BE183="Bye",BE190="Bye"),0,IF(AND(BD183="",BD190=""),"",IF(AND(BD183="G",BD190="P"),IF(BH184&gt;=BH189,VLOOKUP(ABS(BH184-BH189),Point_dif,2,TRUE),VLOOKUP(ABS(BH184-BH189),Point_dif,3,TRUE)),IF(AND(BD183="P",BD190="G"),IF(BH189&gt;=BH184,VLOOKUP(ABS(BH184-BH189),Point_dif,2,TRUE),VLOOKUP(ABS(BH184-BH189),Point_dif,3,TRUE)))))))</f>
        <v/>
      </c>
      <c r="BF186" s="421" t="s">
        <v>170</v>
      </c>
      <c r="BG186" s="281"/>
      <c r="BH186" s="413" t="str">
        <f>IF(Llave=128,BH174+1,"")</f>
        <v/>
      </c>
      <c r="BI186" s="192"/>
      <c r="BJ186" s="192"/>
      <c r="BK186" s="192"/>
      <c r="BL186" s="192"/>
      <c r="BM186" s="192"/>
      <c r="BN186" s="192"/>
      <c r="BO186" s="192"/>
    </row>
    <row r="187" spans="2:67" x14ac:dyDescent="0.3">
      <c r="B187" s="192"/>
      <c r="C187" s="192"/>
      <c r="D187" s="192"/>
      <c r="E187" s="192"/>
      <c r="F187" s="192"/>
      <c r="G187" s="272" t="s">
        <v>295</v>
      </c>
      <c r="H187" s="192"/>
      <c r="I187" s="413"/>
      <c r="J187" s="192"/>
      <c r="K187" s="414"/>
      <c r="L187" s="415"/>
      <c r="M187" s="425" t="str">
        <f>IF(AND(M183="",M190=""),"",IF(AND(M183="G",M190="P"),I183,IF(AND(M190="G",M183="P"),I190,"Corregir ganador y perdedor")))</f>
        <v/>
      </c>
      <c r="N187" s="423"/>
      <c r="O187" s="423"/>
      <c r="P187" s="423"/>
      <c r="Q187" s="167"/>
      <c r="R187" s="192"/>
      <c r="S187" s="192"/>
      <c r="T187" s="192"/>
      <c r="U187" s="192"/>
      <c r="V187" s="192"/>
      <c r="W187" s="192"/>
      <c r="X187" s="192"/>
      <c r="Y187" s="192"/>
      <c r="Z187" s="192"/>
      <c r="AA187" s="192"/>
      <c r="AB187" s="192"/>
      <c r="AC187" s="192"/>
      <c r="AD187" s="192"/>
      <c r="AE187" s="192"/>
      <c r="AF187" s="192"/>
      <c r="AG187" s="192"/>
      <c r="AH187" s="192"/>
      <c r="AI187" s="192"/>
      <c r="AJ187" s="192"/>
      <c r="AK187" s="192"/>
      <c r="AL187" s="192"/>
      <c r="AM187" s="192"/>
      <c r="AN187" s="192"/>
      <c r="AO187" s="192"/>
      <c r="AP187" s="192"/>
      <c r="AQ187" s="192"/>
      <c r="AR187" s="192"/>
      <c r="AS187" s="192"/>
      <c r="AT187" s="192"/>
      <c r="AU187" s="192"/>
      <c r="AV187" s="192"/>
      <c r="AW187" s="192"/>
      <c r="AX187" s="192"/>
      <c r="AY187" s="192"/>
      <c r="AZ187" s="166"/>
      <c r="BA187" s="423" t="str">
        <f>IF(AND(BD183="",BD190=""),"",IF(AND(BD183="G",BD190="P"),BE183,IF(AND(BD190="G",BD183="P"),BE190,"Corregir ganador y perdedor")))</f>
        <v/>
      </c>
      <c r="BB187" s="423"/>
      <c r="BC187" s="423"/>
      <c r="BD187" s="426"/>
      <c r="BE187" s="424"/>
      <c r="BF187" s="421"/>
      <c r="BG187" s="281"/>
      <c r="BH187" s="413"/>
      <c r="BI187" s="273"/>
      <c r="BJ187" s="274" t="s">
        <v>296</v>
      </c>
      <c r="BK187" s="192"/>
      <c r="BL187" s="192"/>
      <c r="BM187" s="192"/>
      <c r="BN187" s="192"/>
      <c r="BO187" s="192"/>
    </row>
    <row r="188" spans="2:67" x14ac:dyDescent="0.3">
      <c r="B188" s="192">
        <f>B185+1</f>
        <v>63</v>
      </c>
      <c r="C188" s="192" t="str">
        <f>IF(Llave="","",IF(Llave&gt;1,IF(OR(Plyrs_val=Tot_Jug,Groups*2=Plyrs_val),HLOOKUP(Plyrs_val,Knockout,B188+1,FALSE)),""))</f>
        <v/>
      </c>
      <c r="D188" s="411" t="str">
        <f>IF(Llave="","",IF(Llave&gt;1,IF(C188="Bye","Bye",IF(OR(Plyrs_val=Tot_Jug,Groups*2=Plyrs_val),VLOOKUP(C188,Dist_Llav,4,FALSE),"")),""))</f>
        <v/>
      </c>
      <c r="E188" s="411"/>
      <c r="F188" s="411"/>
      <c r="G188" s="192" t="str">
        <f>IF(D188="","",IF(D188="Bye",0,IF(D191="Bye",E189,IF(H188="G",E189+G189,IF(H188="P",E189-G189,"")))))</f>
        <v/>
      </c>
      <c r="H188" s="166"/>
      <c r="I188" s="192"/>
      <c r="J188" s="192"/>
      <c r="K188" s="192"/>
      <c r="L188" s="287"/>
      <c r="M188" s="192"/>
      <c r="N188" s="192"/>
      <c r="O188" s="192"/>
      <c r="P188" s="192"/>
      <c r="Q188" s="192"/>
      <c r="R188" s="192"/>
      <c r="S188" s="192"/>
      <c r="T188" s="192"/>
      <c r="U188" s="192"/>
      <c r="V188" s="192"/>
      <c r="W188" s="192"/>
      <c r="X188" s="192"/>
      <c r="Y188" s="192"/>
      <c r="Z188" s="192"/>
      <c r="AA188" s="192"/>
      <c r="AB188" s="192"/>
      <c r="AC188" s="192"/>
      <c r="AD188" s="192"/>
      <c r="AE188" s="192"/>
      <c r="AF188" s="192"/>
      <c r="AG188" s="192"/>
      <c r="AH188" s="192"/>
      <c r="AI188" s="192"/>
      <c r="AJ188" s="192"/>
      <c r="AK188" s="192"/>
      <c r="AL188" s="192"/>
      <c r="AM188" s="192"/>
      <c r="AN188" s="192"/>
      <c r="AO188" s="192"/>
      <c r="AP188" s="192"/>
      <c r="AQ188" s="192"/>
      <c r="AR188" s="192"/>
      <c r="AS188" s="192"/>
      <c r="AT188" s="192"/>
      <c r="AU188" s="192"/>
      <c r="AV188" s="192"/>
      <c r="AW188" s="192"/>
      <c r="AX188" s="192"/>
      <c r="AY188" s="192"/>
      <c r="AZ188" s="192"/>
      <c r="BA188" s="192"/>
      <c r="BB188" s="192"/>
      <c r="BC188" s="192"/>
      <c r="BD188" s="192"/>
      <c r="BE188" s="289"/>
      <c r="BF188" s="192"/>
      <c r="BG188" s="192"/>
      <c r="BH188" s="192"/>
      <c r="BI188" s="166"/>
      <c r="BJ188" s="192" t="str">
        <f>IF(BK188="","",IF(BK188="Bye",0,IF(BK191="Bye",BL189,IF(BI188="G",BL189+BJ189,IF(BI188="P",BL189-BJ189,"")))))</f>
        <v/>
      </c>
      <c r="BK188" s="411" t="str">
        <f>IF(Llave="","",IF(Llave&gt;1,IF(BN188="Bye","Bye",IF(OR(Plyrs_val=Tot_Jug,Groups*2=Plyrs_val),VLOOKUP(BN188,Dist_Llav,4,FALSE),"")),""))</f>
        <v/>
      </c>
      <c r="BL188" s="411"/>
      <c r="BM188" s="411"/>
      <c r="BN188" s="229" t="str">
        <f>IF(Llave=128,IF(OR(Plyrs_val=Tot_Jug,Groups*2=Plyrs_val),HLOOKUP(Plyrs_val,Knockout,BO188+1,FALSE)),"")</f>
        <v/>
      </c>
      <c r="BO188" s="229">
        <f>BO185+1</f>
        <v>127</v>
      </c>
    </row>
    <row r="189" spans="2:67" x14ac:dyDescent="0.3">
      <c r="B189" s="413" t="str">
        <f>IF(Llave="","",B183+1)</f>
        <v/>
      </c>
      <c r="C189" s="192"/>
      <c r="D189" s="229" t="str">
        <f>IF(D188="","",IF(ISTEXT(D188),IF(D188="","",IF(D188="Bye",0,VLOOKUP(D188,Rank_Points,3,FALSE)))))</f>
        <v/>
      </c>
      <c r="E189" s="192" t="str">
        <f>IF(D188&lt;&gt;"",IF(D188="","",IF(D188="BYE",0,IF(ISTEXT(D188),VLOOKUP(C188,Dist_Llav,6,FALSE),""))),"")</f>
        <v/>
      </c>
      <c r="F189" s="414" t="s">
        <v>170</v>
      </c>
      <c r="G189" s="418" t="str">
        <f>IF(OR(D188="",D191=""),"",IF(OR(D188="Bye",D191="Bye"),0,IF(AND(H188="",H191=""),"",IF(AND(H188="G",H191="P"),IF(D189&gt;=D190,VLOOKUP(ABS(D189-D190),Point_dif,2,TRUE),VLOOKUP(ABS(D189-D190),Point_dif,3,TRUE)),IF(AND(H188="P",H191="G"),IF(D190&gt;=D189,VLOOKUP(ABS(D189-D190),Point_dif,2,TRUE),VLOOKUP(ABS(D189-D190),Point_dif,3,TRUE)))))))</f>
        <v/>
      </c>
      <c r="H189" s="278"/>
      <c r="I189" s="275" t="str">
        <f>IF(I190=D188,D189,IF(I190=D191,D190,""))</f>
        <v/>
      </c>
      <c r="J189" s="417" t="str">
        <f>IF(ISNUMBER(I189),VLOOKUP(I190,Siembra,2,FALSE),"")</f>
        <v/>
      </c>
      <c r="K189" s="417"/>
      <c r="L189" s="282" t="str">
        <f>IF(I190="","",IF(M190="G",IF(I190=D188,G188+L186,G191+L186),IF(M190="P",IF(I190=D188,G188-L186,G191-L186),"")))</f>
        <v/>
      </c>
      <c r="M189" s="192"/>
      <c r="N189" s="192"/>
      <c r="O189" s="192"/>
      <c r="P189" s="192"/>
      <c r="Q189" s="192"/>
      <c r="R189" s="192"/>
      <c r="S189" s="192"/>
      <c r="T189" s="192"/>
      <c r="U189" s="192"/>
      <c r="V189" s="192"/>
      <c r="W189" s="192"/>
      <c r="X189" s="192"/>
      <c r="Y189" s="192"/>
      <c r="Z189" s="192"/>
      <c r="AA189" s="192"/>
      <c r="AB189" s="192"/>
      <c r="AC189" s="192"/>
      <c r="AD189" s="192"/>
      <c r="AE189" s="192"/>
      <c r="AF189" s="192"/>
      <c r="AG189" s="192"/>
      <c r="AH189" s="192"/>
      <c r="AI189" s="192"/>
      <c r="AJ189" s="192"/>
      <c r="AK189" s="192"/>
      <c r="AL189" s="192"/>
      <c r="AM189" s="192"/>
      <c r="AN189" s="192"/>
      <c r="AO189" s="192"/>
      <c r="AP189" s="192"/>
      <c r="AQ189" s="192"/>
      <c r="AR189" s="192"/>
      <c r="AS189" s="192"/>
      <c r="AT189" s="192"/>
      <c r="AU189" s="192"/>
      <c r="AV189" s="192"/>
      <c r="AW189" s="192"/>
      <c r="AX189" s="192"/>
      <c r="AY189" s="192"/>
      <c r="AZ189" s="192"/>
      <c r="BA189" s="192"/>
      <c r="BB189" s="192"/>
      <c r="BC189" s="192"/>
      <c r="BD189" s="192"/>
      <c r="BE189" s="286" t="str">
        <f>IF(BE190="","",IF(BD190="G",IF(BE190=BK188,BJ188+BE186,BJ191+BE186),IF(BD190="P",IF(BE190=BK188,BJ188-BE186,BJ191-BE186),"")))</f>
        <v/>
      </c>
      <c r="BF189" s="417" t="str">
        <f>IF(ISNUMBER(BE189),VLOOKUP(BE190,Siembra,2,FALSE),"")</f>
        <v/>
      </c>
      <c r="BG189" s="417"/>
      <c r="BH189" s="282" t="str">
        <f>IF(BE190=BK188,BM189,IF(BE190=BK191,BM190,""))</f>
        <v/>
      </c>
      <c r="BI189" s="279"/>
      <c r="BJ189" s="418" t="str">
        <f>IF(OR(BK188="",BK191=""),"",IF(OR(BK188="Bye",BK191="Bye"),0,IF(AND(BI188="",BI191=""),"",IF(AND(BI188="G",BI191="P"),IF(BM189&gt;=BM190,VLOOKUP(ABS(BM189-BM190),Point_dif,2,TRUE),VLOOKUP(ABS(BM189-BM190),Point_dif,3,TRUE)),IF(AND(BI188="P",BI191="G"),IF(BM190&gt;=BM189,VLOOKUP(ABS(BM189-BM190),Point_dif,2,TRUE),VLOOKUP(ABS(BM189-BM190),Point_dif,3,TRUE)))))))</f>
        <v/>
      </c>
      <c r="BK189" s="420" t="s">
        <v>170</v>
      </c>
      <c r="BL189" s="229" t="str">
        <f>IF(BK188&lt;&gt;"",IF(BK188="","",IF(BK188="BYE",0,IF(ISTEXT(BK188),VLOOKUP(BN188,Dist_Llav,6,FALSE),""))),"")</f>
        <v/>
      </c>
      <c r="BM189" s="280" t="str">
        <f>IF(BK188="","",IF(ISTEXT(BK188),IF(BK188="","",IF(BK188="Bye",0,VLOOKUP(BK188,Rank_Points,3,FALSE)))))</f>
        <v/>
      </c>
      <c r="BN189" s="422"/>
      <c r="BO189" s="422" t="str">
        <f>IF(Llave=128,BO183+1,"")</f>
        <v/>
      </c>
    </row>
    <row r="190" spans="2:67" x14ac:dyDescent="0.3">
      <c r="B190" s="413"/>
      <c r="C190" s="192"/>
      <c r="D190" s="229" t="str">
        <f>IF(D191="","",IF(ISTEXT(D191),IF(D191="","",IF(D191="Bye",0,VLOOKUP(D191,Rank_Points,3,FALSE)))))</f>
        <v/>
      </c>
      <c r="E190" s="192" t="str">
        <f>IF(D191&lt;&gt;"",IF(D191="","",IF(D191="BYE",0,IF(ISTEXT(D191),VLOOKUP(C191,Dist_Llav,6,FALSE),""))),"")</f>
        <v/>
      </c>
      <c r="F190" s="414"/>
      <c r="G190" s="419"/>
      <c r="H190" s="282"/>
      <c r="I190" s="425" t="str">
        <f>IF(D188="Bye",D191,IF(D191="Bye",D188,IF(AND(H188="",H191=""),"",IF(AND(H188="G",H191="P"),D188,IF(AND(H191="G",H188="P"),D191,"Corregir ganador y perdedor")))))</f>
        <v/>
      </c>
      <c r="J190" s="423"/>
      <c r="K190" s="423"/>
      <c r="L190" s="423"/>
      <c r="M190" s="167"/>
      <c r="N190" s="192"/>
      <c r="O190" s="192"/>
      <c r="P190" s="192"/>
      <c r="Q190" s="192"/>
      <c r="R190" s="192"/>
      <c r="S190" s="192"/>
      <c r="T190" s="192"/>
      <c r="U190" s="192"/>
      <c r="V190" s="192"/>
      <c r="W190" s="192"/>
      <c r="X190" s="192"/>
      <c r="Y190" s="192"/>
      <c r="Z190" s="192"/>
      <c r="AA190" s="192"/>
      <c r="AB190" s="192"/>
      <c r="AC190" s="192"/>
      <c r="AD190" s="192"/>
      <c r="AE190" s="192"/>
      <c r="AF190" s="192"/>
      <c r="AG190" s="192"/>
      <c r="AH190" s="192"/>
      <c r="AI190" s="192"/>
      <c r="AJ190" s="192"/>
      <c r="AK190" s="192"/>
      <c r="AL190" s="192"/>
      <c r="AM190" s="192"/>
      <c r="AN190" s="192"/>
      <c r="AO190" s="192"/>
      <c r="AP190" s="192"/>
      <c r="AQ190" s="192"/>
      <c r="AR190" s="192"/>
      <c r="AS190" s="192"/>
      <c r="AT190" s="192"/>
      <c r="AU190" s="192"/>
      <c r="AV190" s="192"/>
      <c r="AW190" s="192"/>
      <c r="AX190" s="192"/>
      <c r="AY190" s="192"/>
      <c r="AZ190" s="192"/>
      <c r="BA190" s="192"/>
      <c r="BB190" s="192"/>
      <c r="BC190" s="192"/>
      <c r="BD190" s="166"/>
      <c r="BE190" s="423" t="str">
        <f>IF(BK191="Bye",BK188,IF(BK188="Bye",BK191,IF(AND(BI188="",BI191=""),"",IF(AND(BI188="G",BI191="P"),BK188,IF(AND(BI191="G",BI188="P"),BK191,"Corregir ganador y perdedor")))))</f>
        <v/>
      </c>
      <c r="BF190" s="423"/>
      <c r="BG190" s="423"/>
      <c r="BH190" s="426"/>
      <c r="BI190" s="286"/>
      <c r="BJ190" s="419"/>
      <c r="BK190" s="421"/>
      <c r="BL190" s="229" t="str">
        <f>IF(BK191&lt;&gt;"",IF(BK191="","",IF(BK191="BYE",0,IF(ISTEXT(BK191),VLOOKUP(BN191,Dist_Llav,6,FALSE),""))),"")</f>
        <v/>
      </c>
      <c r="BM190" s="280" t="str">
        <f>IF(BK191="","",IF(ISTEXT(BK191),IF(BK191="","",IF(BK191="Bye",0,VLOOKUP(BK191,Rank_Points,3,FALSE)))))</f>
        <v/>
      </c>
      <c r="BN190" s="422"/>
      <c r="BO190" s="422"/>
    </row>
    <row r="191" spans="2:67" x14ac:dyDescent="0.3">
      <c r="B191" s="192">
        <f>B188+1</f>
        <v>64</v>
      </c>
      <c r="C191" s="192" t="str">
        <f>IF(Llave="","",IF(Llave&gt;1,IF(OR(Plyrs_val=Tot_Jug,Groups*2=Plyrs_val),HLOOKUP(Plyrs_val,Knockout,B191+1,FALSE)),""))</f>
        <v/>
      </c>
      <c r="D191" s="412" t="str">
        <f>IF(Llave="","",IF(Llave&gt;1,IF(C191="Bye","Bye",IF(OR(Plyrs_val=Tot_Jug,Groups*2=Plyrs_val),VLOOKUP(C191,Dist_Llav,4,FALSE),"")),""))</f>
        <v/>
      </c>
      <c r="E191" s="412"/>
      <c r="F191" s="412"/>
      <c r="G191" s="192" t="str">
        <f>IF(D191="","",IF(D191="Bye",0,IF(D188="Bye",E190,IF(H191="G",E190+G189,IF(H191="P",E190-G189,"")))))</f>
        <v/>
      </c>
      <c r="H191" s="166"/>
      <c r="I191" s="192"/>
      <c r="J191" s="192"/>
      <c r="K191" s="192"/>
      <c r="L191" s="192"/>
      <c r="M191" s="192"/>
      <c r="N191" s="192"/>
      <c r="O191" s="192"/>
      <c r="P191" s="192"/>
      <c r="Q191" s="192"/>
      <c r="R191" s="192"/>
      <c r="S191" s="192"/>
      <c r="T191" s="192"/>
      <c r="U191" s="192"/>
      <c r="V191" s="192"/>
      <c r="W191" s="192"/>
      <c r="X191" s="192"/>
      <c r="Y191" s="192"/>
      <c r="Z191" s="192"/>
      <c r="AA191" s="192"/>
      <c r="AB191" s="192"/>
      <c r="AC191" s="192"/>
      <c r="AD191" s="192"/>
      <c r="AE191" s="192"/>
      <c r="AF191" s="192"/>
      <c r="AG191" s="192"/>
      <c r="AH191" s="192"/>
      <c r="AI191" s="192"/>
      <c r="AJ191" s="192"/>
      <c r="AK191" s="192"/>
      <c r="AL191" s="192"/>
      <c r="AM191" s="192"/>
      <c r="AN191" s="192"/>
      <c r="AO191" s="192"/>
      <c r="AP191" s="192"/>
      <c r="AQ191" s="192"/>
      <c r="AR191" s="192"/>
      <c r="AS191" s="192"/>
      <c r="AT191" s="192"/>
      <c r="AU191" s="192"/>
      <c r="AV191" s="192"/>
      <c r="AW191" s="192"/>
      <c r="AX191" s="192"/>
      <c r="AY191" s="192"/>
      <c r="AZ191" s="192"/>
      <c r="BA191" s="192"/>
      <c r="BB191" s="192"/>
      <c r="BC191" s="192"/>
      <c r="BD191" s="192"/>
      <c r="BE191" s="192"/>
      <c r="BF191" s="192"/>
      <c r="BG191" s="192"/>
      <c r="BH191" s="192"/>
      <c r="BI191" s="166"/>
      <c r="BJ191" s="284" t="str">
        <f>IF(BK191="","",IF(BK191="Bye",0,IF(BK188="Bye",BL190,IF(BI191="G",BL190+BJ189,IF(BI191="P",BL190-BJ189,"")))))</f>
        <v/>
      </c>
      <c r="BK191" s="412" t="str">
        <f>IF(Llave="","",IF(Llave&gt;1,IF(BN191="Bye","Bye",IF(OR(Plyrs_val=Tot_Jug,Groups*2=Plyrs_val),VLOOKUP(BN191,Dist_Llav,4,FALSE),"")),""))</f>
        <v/>
      </c>
      <c r="BL191" s="412"/>
      <c r="BM191" s="412"/>
      <c r="BN191" s="229" t="str">
        <f>IF(Llave=128,IF(OR(Plyrs_val=Tot_Jug,Groups*2=Plyrs_val),HLOOKUP(Plyrs_val,Knockout,BO191+1,FALSE)),"")</f>
        <v/>
      </c>
      <c r="BO191" s="229">
        <f>BO188+1</f>
        <v>128</v>
      </c>
    </row>
  </sheetData>
  <sheetProtection algorithmName="SHA-512" hashValue="N73GRAH4bFH36RjiiiJUBIV5PBJs/SCRX99QI2X1DlZh9wYo+EiTCHlhU0jWy39MATRdWLdwZvrRXoxtfylppw==" saltValue="S3d6sY6ZUXmXR14g1Pa/VQ==" spinCount="100000" sheet="1" objects="1" scenarios="1"/>
  <mergeCells count="793">
    <mergeCell ref="BO159:BO160"/>
    <mergeCell ref="BO165:BO166"/>
    <mergeCell ref="BO171:BO172"/>
    <mergeCell ref="BO177:BO178"/>
    <mergeCell ref="BO183:BO184"/>
    <mergeCell ref="BO189:BO190"/>
    <mergeCell ref="BN189:BN190"/>
    <mergeCell ref="I190:L190"/>
    <mergeCell ref="BE190:BH190"/>
    <mergeCell ref="BF186:BF187"/>
    <mergeCell ref="BH186:BH187"/>
    <mergeCell ref="M187:P187"/>
    <mergeCell ref="BA187:BD187"/>
    <mergeCell ref="BK182:BM182"/>
    <mergeCell ref="BN177:BN178"/>
    <mergeCell ref="I178:L178"/>
    <mergeCell ref="BE178:BH178"/>
    <mergeCell ref="BE174:BE175"/>
    <mergeCell ref="BF174:BF175"/>
    <mergeCell ref="BH174:BH175"/>
    <mergeCell ref="N175:O175"/>
    <mergeCell ref="BB175:BC175"/>
    <mergeCell ref="BN171:BN172"/>
    <mergeCell ref="BN183:BN184"/>
    <mergeCell ref="D188:F188"/>
    <mergeCell ref="BK188:BM188"/>
    <mergeCell ref="B177:B178"/>
    <mergeCell ref="F177:F178"/>
    <mergeCell ref="G177:G178"/>
    <mergeCell ref="J177:K177"/>
    <mergeCell ref="BF177:BG177"/>
    <mergeCell ref="BJ177:BJ178"/>
    <mergeCell ref="BK177:BK178"/>
    <mergeCell ref="B183:B184"/>
    <mergeCell ref="BA180:BA181"/>
    <mergeCell ref="BB180:BB181"/>
    <mergeCell ref="BC180:BC181"/>
    <mergeCell ref="Q181:T181"/>
    <mergeCell ref="AW181:AZ181"/>
    <mergeCell ref="D182:F182"/>
    <mergeCell ref="N180:N181"/>
    <mergeCell ref="O180:O181"/>
    <mergeCell ref="P180:P181"/>
    <mergeCell ref="R180:S180"/>
    <mergeCell ref="AX180:AY180"/>
    <mergeCell ref="BF184:BG184"/>
    <mergeCell ref="D185:F185"/>
    <mergeCell ref="BK185:BM185"/>
    <mergeCell ref="D191:F191"/>
    <mergeCell ref="BK191:BM191"/>
    <mergeCell ref="B189:B190"/>
    <mergeCell ref="F189:F190"/>
    <mergeCell ref="G189:G190"/>
    <mergeCell ref="BF189:BG189"/>
    <mergeCell ref="BJ189:BJ190"/>
    <mergeCell ref="BK189:BK190"/>
    <mergeCell ref="J189:K189"/>
    <mergeCell ref="I186:I187"/>
    <mergeCell ref="K186:K187"/>
    <mergeCell ref="L186:L187"/>
    <mergeCell ref="N186:O186"/>
    <mergeCell ref="BB186:BC186"/>
    <mergeCell ref="BE186:BE187"/>
    <mergeCell ref="F183:F184"/>
    <mergeCell ref="G183:G184"/>
    <mergeCell ref="I183:L183"/>
    <mergeCell ref="BE183:BH183"/>
    <mergeCell ref="B171:B172"/>
    <mergeCell ref="F171:F172"/>
    <mergeCell ref="G171:G172"/>
    <mergeCell ref="I171:L171"/>
    <mergeCell ref="BE171:BH171"/>
    <mergeCell ref="BJ171:BJ172"/>
    <mergeCell ref="BK171:BK172"/>
    <mergeCell ref="BJ183:BJ184"/>
    <mergeCell ref="BK183:BK184"/>
    <mergeCell ref="J184:K184"/>
    <mergeCell ref="D173:F173"/>
    <mergeCell ref="BK173:BM173"/>
    <mergeCell ref="I174:I175"/>
    <mergeCell ref="K174:K175"/>
    <mergeCell ref="L174:L175"/>
    <mergeCell ref="M174:P174"/>
    <mergeCell ref="BA174:BD174"/>
    <mergeCell ref="D170:F170"/>
    <mergeCell ref="BF172:BG172"/>
    <mergeCell ref="AS169:AV169"/>
    <mergeCell ref="AW168:AW169"/>
    <mergeCell ref="AX168:AX169"/>
    <mergeCell ref="BK170:BM170"/>
    <mergeCell ref="D179:F179"/>
    <mergeCell ref="BK179:BM179"/>
    <mergeCell ref="BK176:BM176"/>
    <mergeCell ref="J172:K172"/>
    <mergeCell ref="D176:F176"/>
    <mergeCell ref="BN165:BN166"/>
    <mergeCell ref="I166:L166"/>
    <mergeCell ref="BE166:BH166"/>
    <mergeCell ref="D167:F167"/>
    <mergeCell ref="AT168:AU168"/>
    <mergeCell ref="AY168:AY169"/>
    <mergeCell ref="BK167:BM167"/>
    <mergeCell ref="R168:R169"/>
    <mergeCell ref="BK164:BM164"/>
    <mergeCell ref="S168:S169"/>
    <mergeCell ref="T168:T169"/>
    <mergeCell ref="V168:W168"/>
    <mergeCell ref="U169:X169"/>
    <mergeCell ref="B165:B166"/>
    <mergeCell ref="F165:F166"/>
    <mergeCell ref="G165:G166"/>
    <mergeCell ref="BF165:BG165"/>
    <mergeCell ref="BJ165:BJ166"/>
    <mergeCell ref="BK165:BK166"/>
    <mergeCell ref="BE162:BE163"/>
    <mergeCell ref="BF162:BF163"/>
    <mergeCell ref="BH162:BH163"/>
    <mergeCell ref="M163:P163"/>
    <mergeCell ref="BA163:BD163"/>
    <mergeCell ref="D164:F164"/>
    <mergeCell ref="J165:K165"/>
    <mergeCell ref="BK159:BK160"/>
    <mergeCell ref="BN159:BN160"/>
    <mergeCell ref="BF160:BG160"/>
    <mergeCell ref="D161:F161"/>
    <mergeCell ref="BK161:BM161"/>
    <mergeCell ref="I162:I163"/>
    <mergeCell ref="K162:K163"/>
    <mergeCell ref="L162:L163"/>
    <mergeCell ref="N162:O162"/>
    <mergeCell ref="BB162:BC162"/>
    <mergeCell ref="B159:B160"/>
    <mergeCell ref="F159:F160"/>
    <mergeCell ref="G159:G160"/>
    <mergeCell ref="I159:L159"/>
    <mergeCell ref="BE159:BH159"/>
    <mergeCell ref="BJ159:BJ160"/>
    <mergeCell ref="BB156:BB157"/>
    <mergeCell ref="BC156:BC157"/>
    <mergeCell ref="R157:S157"/>
    <mergeCell ref="AX157:AY157"/>
    <mergeCell ref="D158:F158"/>
    <mergeCell ref="J160:K160"/>
    <mergeCell ref="BK158:BM158"/>
    <mergeCell ref="N156:N157"/>
    <mergeCell ref="O156:O157"/>
    <mergeCell ref="P156:P157"/>
    <mergeCell ref="Q156:T156"/>
    <mergeCell ref="AW156:AZ156"/>
    <mergeCell ref="BA156:BA157"/>
    <mergeCell ref="BN153:BN154"/>
    <mergeCell ref="BO153:BO154"/>
    <mergeCell ref="D155:F155"/>
    <mergeCell ref="BK155:BM155"/>
    <mergeCell ref="B153:B154"/>
    <mergeCell ref="F153:F154"/>
    <mergeCell ref="G153:G154"/>
    <mergeCell ref="J153:K153"/>
    <mergeCell ref="BF153:BG153"/>
    <mergeCell ref="BJ153:BJ154"/>
    <mergeCell ref="BK153:BK154"/>
    <mergeCell ref="BK152:BM152"/>
    <mergeCell ref="I150:I151"/>
    <mergeCell ref="K150:K151"/>
    <mergeCell ref="L150:L151"/>
    <mergeCell ref="M150:P150"/>
    <mergeCell ref="BA150:BD150"/>
    <mergeCell ref="BE150:BE151"/>
    <mergeCell ref="I154:L154"/>
    <mergeCell ref="BE154:BH154"/>
    <mergeCell ref="G147:G148"/>
    <mergeCell ref="I147:L147"/>
    <mergeCell ref="BE147:BH147"/>
    <mergeCell ref="BJ147:BJ148"/>
    <mergeCell ref="BF150:BF151"/>
    <mergeCell ref="BH150:BH151"/>
    <mergeCell ref="N151:O151"/>
    <mergeCell ref="BB151:BC151"/>
    <mergeCell ref="D152:F152"/>
    <mergeCell ref="BN141:BN142"/>
    <mergeCell ref="BO141:BO142"/>
    <mergeCell ref="I142:L142"/>
    <mergeCell ref="BE142:BH142"/>
    <mergeCell ref="D143:F143"/>
    <mergeCell ref="BK143:BM143"/>
    <mergeCell ref="B141:B142"/>
    <mergeCell ref="F141:F142"/>
    <mergeCell ref="G141:G142"/>
    <mergeCell ref="BF141:BG141"/>
    <mergeCell ref="BJ141:BJ142"/>
    <mergeCell ref="BK141:BK142"/>
    <mergeCell ref="J141:K141"/>
    <mergeCell ref="AV142:AX149"/>
    <mergeCell ref="AS144:AS145"/>
    <mergeCell ref="BK147:BK148"/>
    <mergeCell ref="BN147:BN148"/>
    <mergeCell ref="BO147:BO148"/>
    <mergeCell ref="J148:K148"/>
    <mergeCell ref="BF148:BG148"/>
    <mergeCell ref="D149:F149"/>
    <mergeCell ref="BK149:BM149"/>
    <mergeCell ref="B147:B148"/>
    <mergeCell ref="F147:F148"/>
    <mergeCell ref="BF138:BF139"/>
    <mergeCell ref="BH138:BH139"/>
    <mergeCell ref="BA139:BD139"/>
    <mergeCell ref="D140:F140"/>
    <mergeCell ref="BK140:BM140"/>
    <mergeCell ref="I138:I139"/>
    <mergeCell ref="K138:K139"/>
    <mergeCell ref="L138:L139"/>
    <mergeCell ref="N138:O138"/>
    <mergeCell ref="BB138:BC138"/>
    <mergeCell ref="BE138:BE139"/>
    <mergeCell ref="S140:T143"/>
    <mergeCell ref="M139:P139"/>
    <mergeCell ref="AT144:AT145"/>
    <mergeCell ref="AU144:AU145"/>
    <mergeCell ref="Y145:AB145"/>
    <mergeCell ref="AO145:AR145"/>
    <mergeCell ref="D146:F146"/>
    <mergeCell ref="BK146:BM146"/>
    <mergeCell ref="V144:V145"/>
    <mergeCell ref="W144:W145"/>
    <mergeCell ref="X144:X145"/>
    <mergeCell ref="Z144:AA144"/>
    <mergeCell ref="AP144:AQ144"/>
    <mergeCell ref="BK135:BK136"/>
    <mergeCell ref="BN135:BN136"/>
    <mergeCell ref="BO135:BO136"/>
    <mergeCell ref="BF136:BG136"/>
    <mergeCell ref="D137:F137"/>
    <mergeCell ref="BK137:BM137"/>
    <mergeCell ref="B135:B136"/>
    <mergeCell ref="F135:F136"/>
    <mergeCell ref="G135:G136"/>
    <mergeCell ref="I135:L135"/>
    <mergeCell ref="BE135:BH135"/>
    <mergeCell ref="BJ135:BJ136"/>
    <mergeCell ref="J136:K136"/>
    <mergeCell ref="BB132:BB133"/>
    <mergeCell ref="BC132:BC133"/>
    <mergeCell ref="Q133:T133"/>
    <mergeCell ref="AW133:AZ133"/>
    <mergeCell ref="D134:F134"/>
    <mergeCell ref="BK134:BM134"/>
    <mergeCell ref="N132:N133"/>
    <mergeCell ref="O132:O133"/>
    <mergeCell ref="P132:P133"/>
    <mergeCell ref="R132:S132"/>
    <mergeCell ref="AX132:AY132"/>
    <mergeCell ref="BA132:BA133"/>
    <mergeCell ref="BN129:BN130"/>
    <mergeCell ref="BO129:BO130"/>
    <mergeCell ref="I130:L130"/>
    <mergeCell ref="BE130:BH130"/>
    <mergeCell ref="D131:F131"/>
    <mergeCell ref="BK131:BM131"/>
    <mergeCell ref="B129:B130"/>
    <mergeCell ref="F129:F130"/>
    <mergeCell ref="G129:G130"/>
    <mergeCell ref="J129:K129"/>
    <mergeCell ref="BF129:BG129"/>
    <mergeCell ref="BJ129:BJ130"/>
    <mergeCell ref="D128:F128"/>
    <mergeCell ref="BK128:BM128"/>
    <mergeCell ref="I126:I127"/>
    <mergeCell ref="K126:K127"/>
    <mergeCell ref="L126:L127"/>
    <mergeCell ref="M126:P126"/>
    <mergeCell ref="BA126:BD126"/>
    <mergeCell ref="BE126:BE127"/>
    <mergeCell ref="BK129:BK130"/>
    <mergeCell ref="B123:B124"/>
    <mergeCell ref="F123:F124"/>
    <mergeCell ref="G123:G124"/>
    <mergeCell ref="I123:L123"/>
    <mergeCell ref="BE123:BH123"/>
    <mergeCell ref="BJ123:BJ124"/>
    <mergeCell ref="BK123:BK124"/>
    <mergeCell ref="BF126:BF127"/>
    <mergeCell ref="BH126:BH127"/>
    <mergeCell ref="N127:O127"/>
    <mergeCell ref="BB127:BC127"/>
    <mergeCell ref="BN117:BN118"/>
    <mergeCell ref="BO117:BO118"/>
    <mergeCell ref="I118:L118"/>
    <mergeCell ref="BE118:BH118"/>
    <mergeCell ref="BN123:BN124"/>
    <mergeCell ref="BO123:BO124"/>
    <mergeCell ref="J124:K124"/>
    <mergeCell ref="BF124:BG124"/>
    <mergeCell ref="D125:F125"/>
    <mergeCell ref="BK125:BM125"/>
    <mergeCell ref="D122:F122"/>
    <mergeCell ref="BK122:BM122"/>
    <mergeCell ref="D119:F119"/>
    <mergeCell ref="AY120:AY121"/>
    <mergeCell ref="BK119:BM119"/>
    <mergeCell ref="AS120:AV120"/>
    <mergeCell ref="AT121:AU121"/>
    <mergeCell ref="AW120:AW121"/>
    <mergeCell ref="AX120:AX121"/>
    <mergeCell ref="B117:B118"/>
    <mergeCell ref="F117:F118"/>
    <mergeCell ref="G117:G118"/>
    <mergeCell ref="BF117:BG117"/>
    <mergeCell ref="BJ117:BJ118"/>
    <mergeCell ref="BK117:BK118"/>
    <mergeCell ref="R120:R121"/>
    <mergeCell ref="S120:S121"/>
    <mergeCell ref="T120:T121"/>
    <mergeCell ref="U120:X120"/>
    <mergeCell ref="V121:W121"/>
    <mergeCell ref="J117:K117"/>
    <mergeCell ref="BF114:BF115"/>
    <mergeCell ref="BH114:BH115"/>
    <mergeCell ref="M115:P115"/>
    <mergeCell ref="BA115:BD115"/>
    <mergeCell ref="D116:F116"/>
    <mergeCell ref="BK116:BM116"/>
    <mergeCell ref="I114:I115"/>
    <mergeCell ref="K114:K115"/>
    <mergeCell ref="L114:L115"/>
    <mergeCell ref="N114:O114"/>
    <mergeCell ref="BB114:BC114"/>
    <mergeCell ref="BE114:BE115"/>
    <mergeCell ref="BK111:BK112"/>
    <mergeCell ref="BN111:BN112"/>
    <mergeCell ref="BO111:BO112"/>
    <mergeCell ref="BF112:BG112"/>
    <mergeCell ref="D113:F113"/>
    <mergeCell ref="BK113:BM113"/>
    <mergeCell ref="B111:B112"/>
    <mergeCell ref="F111:F112"/>
    <mergeCell ref="G111:G112"/>
    <mergeCell ref="I111:L111"/>
    <mergeCell ref="BE111:BH111"/>
    <mergeCell ref="BJ111:BJ112"/>
    <mergeCell ref="J112:K112"/>
    <mergeCell ref="BB108:BB109"/>
    <mergeCell ref="BC108:BC109"/>
    <mergeCell ref="R109:S109"/>
    <mergeCell ref="AX109:AY109"/>
    <mergeCell ref="D110:F110"/>
    <mergeCell ref="BK110:BM110"/>
    <mergeCell ref="N108:N109"/>
    <mergeCell ref="O108:O109"/>
    <mergeCell ref="P108:P109"/>
    <mergeCell ref="Q108:T108"/>
    <mergeCell ref="AW108:AZ108"/>
    <mergeCell ref="BA108:BA109"/>
    <mergeCell ref="BK105:BK106"/>
    <mergeCell ref="BN105:BN106"/>
    <mergeCell ref="BO105:BO106"/>
    <mergeCell ref="I106:L106"/>
    <mergeCell ref="BE106:BH106"/>
    <mergeCell ref="D107:F107"/>
    <mergeCell ref="BK107:BM107"/>
    <mergeCell ref="B105:B106"/>
    <mergeCell ref="F105:F106"/>
    <mergeCell ref="G105:G106"/>
    <mergeCell ref="J105:K105"/>
    <mergeCell ref="BF105:BG105"/>
    <mergeCell ref="BJ105:BJ106"/>
    <mergeCell ref="BF102:BF103"/>
    <mergeCell ref="BH102:BH103"/>
    <mergeCell ref="N103:O103"/>
    <mergeCell ref="BB103:BC103"/>
    <mergeCell ref="D104:F104"/>
    <mergeCell ref="BK104:BM104"/>
    <mergeCell ref="I102:I103"/>
    <mergeCell ref="K102:K103"/>
    <mergeCell ref="L102:L103"/>
    <mergeCell ref="M102:P102"/>
    <mergeCell ref="BA102:BD102"/>
    <mergeCell ref="BE102:BE103"/>
    <mergeCell ref="BN99:BN100"/>
    <mergeCell ref="BO99:BO100"/>
    <mergeCell ref="J100:K100"/>
    <mergeCell ref="BF100:BG100"/>
    <mergeCell ref="D101:F101"/>
    <mergeCell ref="BK101:BM101"/>
    <mergeCell ref="BK98:BM98"/>
    <mergeCell ref="B99:B100"/>
    <mergeCell ref="F99:F100"/>
    <mergeCell ref="G99:G100"/>
    <mergeCell ref="I99:L99"/>
    <mergeCell ref="BE99:BH99"/>
    <mergeCell ref="BJ99:BJ100"/>
    <mergeCell ref="BK99:BK100"/>
    <mergeCell ref="AH99:AI99"/>
    <mergeCell ref="AD97:AE97"/>
    <mergeCell ref="AL97:AM97"/>
    <mergeCell ref="D98:F98"/>
    <mergeCell ref="AD98:AE98"/>
    <mergeCell ref="AL98:AM98"/>
    <mergeCell ref="AA96:AA97"/>
    <mergeCell ref="AB96:AB97"/>
    <mergeCell ref="AC96:AF96"/>
    <mergeCell ref="AG96:AJ97"/>
    <mergeCell ref="AK96:AN96"/>
    <mergeCell ref="AG98:AH98"/>
    <mergeCell ref="AI98:AJ98"/>
    <mergeCell ref="BB90:BC90"/>
    <mergeCell ref="BE90:BE91"/>
    <mergeCell ref="BN93:BN94"/>
    <mergeCell ref="BO93:BO94"/>
    <mergeCell ref="I94:L94"/>
    <mergeCell ref="BE94:BH94"/>
    <mergeCell ref="D95:F95"/>
    <mergeCell ref="BK95:BM95"/>
    <mergeCell ref="B93:B94"/>
    <mergeCell ref="F93:F94"/>
    <mergeCell ref="G93:G94"/>
    <mergeCell ref="BF93:BG93"/>
    <mergeCell ref="BJ93:BJ94"/>
    <mergeCell ref="BK93:BK94"/>
    <mergeCell ref="J93:K93"/>
    <mergeCell ref="BN87:BN88"/>
    <mergeCell ref="BO87:BO88"/>
    <mergeCell ref="BF88:BG88"/>
    <mergeCell ref="D89:F89"/>
    <mergeCell ref="BK89:BM89"/>
    <mergeCell ref="B87:B88"/>
    <mergeCell ref="F87:F88"/>
    <mergeCell ref="G87:G88"/>
    <mergeCell ref="I87:L87"/>
    <mergeCell ref="BE87:BH87"/>
    <mergeCell ref="BJ87:BJ88"/>
    <mergeCell ref="J88:K88"/>
    <mergeCell ref="BB84:BB85"/>
    <mergeCell ref="BC84:BC85"/>
    <mergeCell ref="Q85:T85"/>
    <mergeCell ref="AW85:AZ85"/>
    <mergeCell ref="D86:F86"/>
    <mergeCell ref="BK86:BM86"/>
    <mergeCell ref="N84:N85"/>
    <mergeCell ref="O84:O85"/>
    <mergeCell ref="P84:P85"/>
    <mergeCell ref="R84:S84"/>
    <mergeCell ref="AX84:AY84"/>
    <mergeCell ref="BA84:BA85"/>
    <mergeCell ref="AH85:AJ92"/>
    <mergeCell ref="BK87:BK88"/>
    <mergeCell ref="BF90:BF91"/>
    <mergeCell ref="BH90:BH91"/>
    <mergeCell ref="M91:P91"/>
    <mergeCell ref="BA91:BD91"/>
    <mergeCell ref="D92:F92"/>
    <mergeCell ref="BK92:BM92"/>
    <mergeCell ref="I90:I91"/>
    <mergeCell ref="K90:K91"/>
    <mergeCell ref="L90:L91"/>
    <mergeCell ref="N90:O90"/>
    <mergeCell ref="BO81:BO82"/>
    <mergeCell ref="I82:L82"/>
    <mergeCell ref="BE82:BH82"/>
    <mergeCell ref="D83:F83"/>
    <mergeCell ref="BK83:BM83"/>
    <mergeCell ref="B81:B82"/>
    <mergeCell ref="F81:F82"/>
    <mergeCell ref="G81:G82"/>
    <mergeCell ref="J81:K81"/>
    <mergeCell ref="BF81:BG81"/>
    <mergeCell ref="BJ81:BJ82"/>
    <mergeCell ref="B75:B76"/>
    <mergeCell ref="F75:F76"/>
    <mergeCell ref="G75:G76"/>
    <mergeCell ref="I75:L75"/>
    <mergeCell ref="BE75:BH75"/>
    <mergeCell ref="BJ75:BJ76"/>
    <mergeCell ref="BK75:BK76"/>
    <mergeCell ref="BF78:BF79"/>
    <mergeCell ref="BH78:BH79"/>
    <mergeCell ref="N79:O79"/>
    <mergeCell ref="BB79:BC79"/>
    <mergeCell ref="I78:I79"/>
    <mergeCell ref="K78:K79"/>
    <mergeCell ref="L78:L79"/>
    <mergeCell ref="M78:P78"/>
    <mergeCell ref="BA78:BD78"/>
    <mergeCell ref="BE78:BE79"/>
    <mergeCell ref="BN69:BN70"/>
    <mergeCell ref="BO69:BO70"/>
    <mergeCell ref="I70:L70"/>
    <mergeCell ref="BE70:BH70"/>
    <mergeCell ref="BN75:BN76"/>
    <mergeCell ref="BO75:BO76"/>
    <mergeCell ref="J76:K76"/>
    <mergeCell ref="BF76:BG76"/>
    <mergeCell ref="D77:F77"/>
    <mergeCell ref="BK77:BM77"/>
    <mergeCell ref="D74:F74"/>
    <mergeCell ref="BK74:BM74"/>
    <mergeCell ref="D71:F71"/>
    <mergeCell ref="AT72:AU72"/>
    <mergeCell ref="AW71:AW72"/>
    <mergeCell ref="AX71:AX72"/>
    <mergeCell ref="AY71:AY72"/>
    <mergeCell ref="BK71:BM71"/>
    <mergeCell ref="AS73:AV73"/>
    <mergeCell ref="AD74:AF81"/>
    <mergeCell ref="D80:F80"/>
    <mergeCell ref="BK80:BM80"/>
    <mergeCell ref="BK81:BK82"/>
    <mergeCell ref="BN81:BN82"/>
    <mergeCell ref="B69:B70"/>
    <mergeCell ref="F69:F70"/>
    <mergeCell ref="G69:G70"/>
    <mergeCell ref="BF69:BG69"/>
    <mergeCell ref="BJ69:BJ70"/>
    <mergeCell ref="BK69:BK70"/>
    <mergeCell ref="R72:R73"/>
    <mergeCell ref="S72:S73"/>
    <mergeCell ref="T72:T73"/>
    <mergeCell ref="V72:W72"/>
    <mergeCell ref="U73:X73"/>
    <mergeCell ref="J69:K69"/>
    <mergeCell ref="BF66:BF67"/>
    <mergeCell ref="BH66:BH67"/>
    <mergeCell ref="M67:P67"/>
    <mergeCell ref="BA67:BD67"/>
    <mergeCell ref="D68:F68"/>
    <mergeCell ref="BK68:BM68"/>
    <mergeCell ref="I66:I67"/>
    <mergeCell ref="K66:K67"/>
    <mergeCell ref="L66:L67"/>
    <mergeCell ref="N66:O66"/>
    <mergeCell ref="BB66:BC66"/>
    <mergeCell ref="BE66:BE67"/>
    <mergeCell ref="BK63:BK64"/>
    <mergeCell ref="BN63:BN64"/>
    <mergeCell ref="BO63:BO64"/>
    <mergeCell ref="BF64:BG64"/>
    <mergeCell ref="D65:F65"/>
    <mergeCell ref="BK65:BM65"/>
    <mergeCell ref="B63:B64"/>
    <mergeCell ref="F63:F64"/>
    <mergeCell ref="G63:G64"/>
    <mergeCell ref="I63:L63"/>
    <mergeCell ref="BE63:BH63"/>
    <mergeCell ref="BJ63:BJ64"/>
    <mergeCell ref="J64:K64"/>
    <mergeCell ref="BB60:BB61"/>
    <mergeCell ref="BC60:BC61"/>
    <mergeCell ref="R61:S61"/>
    <mergeCell ref="AX61:AY61"/>
    <mergeCell ref="D62:F62"/>
    <mergeCell ref="BK62:BM62"/>
    <mergeCell ref="N60:N61"/>
    <mergeCell ref="O60:O61"/>
    <mergeCell ref="P60:P61"/>
    <mergeCell ref="Q60:T60"/>
    <mergeCell ref="AW60:AZ60"/>
    <mergeCell ref="BA60:BA61"/>
    <mergeCell ref="BK57:BK58"/>
    <mergeCell ref="BN57:BN58"/>
    <mergeCell ref="BO57:BO58"/>
    <mergeCell ref="I58:L58"/>
    <mergeCell ref="BE58:BH58"/>
    <mergeCell ref="D59:F59"/>
    <mergeCell ref="BK59:BM59"/>
    <mergeCell ref="B57:B58"/>
    <mergeCell ref="F57:F58"/>
    <mergeCell ref="G57:G58"/>
    <mergeCell ref="J57:K57"/>
    <mergeCell ref="BF57:BG57"/>
    <mergeCell ref="BJ57:BJ58"/>
    <mergeCell ref="BF54:BF55"/>
    <mergeCell ref="BH54:BH55"/>
    <mergeCell ref="N55:O55"/>
    <mergeCell ref="BB55:BC55"/>
    <mergeCell ref="D56:F56"/>
    <mergeCell ref="BK56:BM56"/>
    <mergeCell ref="I54:I55"/>
    <mergeCell ref="K54:K55"/>
    <mergeCell ref="L54:L55"/>
    <mergeCell ref="M54:P54"/>
    <mergeCell ref="BA54:BD54"/>
    <mergeCell ref="BE54:BE55"/>
    <mergeCell ref="BK51:BK52"/>
    <mergeCell ref="BN51:BN52"/>
    <mergeCell ref="BO51:BO52"/>
    <mergeCell ref="J52:K52"/>
    <mergeCell ref="BF52:BG52"/>
    <mergeCell ref="D53:F53"/>
    <mergeCell ref="BK53:BM53"/>
    <mergeCell ref="B51:B52"/>
    <mergeCell ref="F51:F52"/>
    <mergeCell ref="G51:G52"/>
    <mergeCell ref="I51:L51"/>
    <mergeCell ref="BE51:BH51"/>
    <mergeCell ref="BJ51:BJ52"/>
    <mergeCell ref="AT48:AT49"/>
    <mergeCell ref="AU48:AU49"/>
    <mergeCell ref="Z49:AA49"/>
    <mergeCell ref="AP49:AQ49"/>
    <mergeCell ref="AV43:AX50"/>
    <mergeCell ref="D50:F50"/>
    <mergeCell ref="BK50:BM50"/>
    <mergeCell ref="V48:V49"/>
    <mergeCell ref="W48:W49"/>
    <mergeCell ref="X48:X49"/>
    <mergeCell ref="Y48:AB48"/>
    <mergeCell ref="AO48:AR48"/>
    <mergeCell ref="AS48:AS49"/>
    <mergeCell ref="M43:P43"/>
    <mergeCell ref="BA43:BD43"/>
    <mergeCell ref="D44:F44"/>
    <mergeCell ref="S43:T46"/>
    <mergeCell ref="BE42:BE43"/>
    <mergeCell ref="BF42:BF43"/>
    <mergeCell ref="BH42:BH43"/>
    <mergeCell ref="D47:F47"/>
    <mergeCell ref="BK47:BM47"/>
    <mergeCell ref="BK44:BM44"/>
    <mergeCell ref="B45:B46"/>
    <mergeCell ref="F45:F46"/>
    <mergeCell ref="G45:G46"/>
    <mergeCell ref="BF45:BG45"/>
    <mergeCell ref="BJ45:BJ46"/>
    <mergeCell ref="BK45:BK46"/>
    <mergeCell ref="J45:K45"/>
    <mergeCell ref="BN45:BN46"/>
    <mergeCell ref="BO45:BO46"/>
    <mergeCell ref="I46:L46"/>
    <mergeCell ref="BE46:BH46"/>
    <mergeCell ref="B39:B40"/>
    <mergeCell ref="F39:F40"/>
    <mergeCell ref="G39:G40"/>
    <mergeCell ref="I39:L39"/>
    <mergeCell ref="BE39:BH39"/>
    <mergeCell ref="BJ39:BJ40"/>
    <mergeCell ref="BK39:BK40"/>
    <mergeCell ref="BN39:BN40"/>
    <mergeCell ref="BO39:BO40"/>
    <mergeCell ref="BF40:BG40"/>
    <mergeCell ref="D41:F41"/>
    <mergeCell ref="BK41:BM41"/>
    <mergeCell ref="I42:I43"/>
    <mergeCell ref="K42:K43"/>
    <mergeCell ref="L42:L43"/>
    <mergeCell ref="N42:O42"/>
    <mergeCell ref="BB42:BC42"/>
    <mergeCell ref="BA36:BA37"/>
    <mergeCell ref="BB36:BB37"/>
    <mergeCell ref="BC36:BC37"/>
    <mergeCell ref="Q37:T37"/>
    <mergeCell ref="AW37:AZ37"/>
    <mergeCell ref="D38:F38"/>
    <mergeCell ref="BK38:BM38"/>
    <mergeCell ref="J40:K40"/>
    <mergeCell ref="BO33:BO34"/>
    <mergeCell ref="I34:L34"/>
    <mergeCell ref="BE34:BH34"/>
    <mergeCell ref="D35:F35"/>
    <mergeCell ref="BK35:BM35"/>
    <mergeCell ref="N36:N37"/>
    <mergeCell ref="O36:O37"/>
    <mergeCell ref="P36:P37"/>
    <mergeCell ref="R36:S36"/>
    <mergeCell ref="AX36:AY36"/>
    <mergeCell ref="B33:B34"/>
    <mergeCell ref="F33:F34"/>
    <mergeCell ref="G33:G34"/>
    <mergeCell ref="J33:K33"/>
    <mergeCell ref="BF33:BG33"/>
    <mergeCell ref="BJ33:BJ34"/>
    <mergeCell ref="BK33:BK34"/>
    <mergeCell ref="BE30:BE31"/>
    <mergeCell ref="BF30:BF31"/>
    <mergeCell ref="BH30:BH31"/>
    <mergeCell ref="N31:O31"/>
    <mergeCell ref="BB31:BC31"/>
    <mergeCell ref="D32:F32"/>
    <mergeCell ref="BK32:BM32"/>
    <mergeCell ref="BO27:BO28"/>
    <mergeCell ref="J28:K28"/>
    <mergeCell ref="BF28:BG28"/>
    <mergeCell ref="D29:F29"/>
    <mergeCell ref="BK29:BM29"/>
    <mergeCell ref="I30:I31"/>
    <mergeCell ref="K30:K31"/>
    <mergeCell ref="L30:L31"/>
    <mergeCell ref="M30:P30"/>
    <mergeCell ref="BA30:BD30"/>
    <mergeCell ref="B27:B28"/>
    <mergeCell ref="F27:F28"/>
    <mergeCell ref="G27:G28"/>
    <mergeCell ref="I27:L27"/>
    <mergeCell ref="BE27:BH27"/>
    <mergeCell ref="BJ27:BJ28"/>
    <mergeCell ref="BK27:BK28"/>
    <mergeCell ref="S24:S25"/>
    <mergeCell ref="T24:T25"/>
    <mergeCell ref="U24:X24"/>
    <mergeCell ref="V25:W25"/>
    <mergeCell ref="D26:F26"/>
    <mergeCell ref="BK26:BM26"/>
    <mergeCell ref="AS24:AV24"/>
    <mergeCell ref="AT25:AU25"/>
    <mergeCell ref="BO21:BO22"/>
    <mergeCell ref="I22:L22"/>
    <mergeCell ref="BE22:BH22"/>
    <mergeCell ref="D23:F23"/>
    <mergeCell ref="AW23:AW24"/>
    <mergeCell ref="AX23:AX24"/>
    <mergeCell ref="AY23:AY24"/>
    <mergeCell ref="BK23:BM23"/>
    <mergeCell ref="R24:R25"/>
    <mergeCell ref="B21:B22"/>
    <mergeCell ref="F21:F22"/>
    <mergeCell ref="G21:G22"/>
    <mergeCell ref="BF21:BG21"/>
    <mergeCell ref="BJ21:BJ22"/>
    <mergeCell ref="BK21:BK22"/>
    <mergeCell ref="BF18:BF19"/>
    <mergeCell ref="BH18:BH19"/>
    <mergeCell ref="M19:P19"/>
    <mergeCell ref="BA19:BD19"/>
    <mergeCell ref="D20:F20"/>
    <mergeCell ref="BK20:BM20"/>
    <mergeCell ref="J21:K21"/>
    <mergeCell ref="BO15:BO16"/>
    <mergeCell ref="BF16:BG16"/>
    <mergeCell ref="D17:F17"/>
    <mergeCell ref="BK17:BM17"/>
    <mergeCell ref="I18:I19"/>
    <mergeCell ref="K18:K19"/>
    <mergeCell ref="L18:L19"/>
    <mergeCell ref="N18:O18"/>
    <mergeCell ref="BB18:BC18"/>
    <mergeCell ref="BE18:BE19"/>
    <mergeCell ref="B15:B16"/>
    <mergeCell ref="F15:F16"/>
    <mergeCell ref="G15:G16"/>
    <mergeCell ref="I15:L15"/>
    <mergeCell ref="BE15:BH15"/>
    <mergeCell ref="BJ15:BJ16"/>
    <mergeCell ref="BK15:BK16"/>
    <mergeCell ref="BA12:BA13"/>
    <mergeCell ref="BB12:BB13"/>
    <mergeCell ref="BC12:BC13"/>
    <mergeCell ref="R13:S13"/>
    <mergeCell ref="AX13:AY13"/>
    <mergeCell ref="D14:F14"/>
    <mergeCell ref="BK14:BM14"/>
    <mergeCell ref="J16:K16"/>
    <mergeCell ref="N12:N13"/>
    <mergeCell ref="BO9:BO10"/>
    <mergeCell ref="I10:L10"/>
    <mergeCell ref="BE10:BH10"/>
    <mergeCell ref="D11:F11"/>
    <mergeCell ref="BK11:BM11"/>
    <mergeCell ref="M12:M13"/>
    <mergeCell ref="O12:O13"/>
    <mergeCell ref="P12:P13"/>
    <mergeCell ref="Q12:T12"/>
    <mergeCell ref="AW12:AZ12"/>
    <mergeCell ref="B9:B10"/>
    <mergeCell ref="F9:F10"/>
    <mergeCell ref="G9:G10"/>
    <mergeCell ref="J9:K9"/>
    <mergeCell ref="BF9:BG9"/>
    <mergeCell ref="BJ9:BJ10"/>
    <mergeCell ref="BK9:BK10"/>
    <mergeCell ref="BE6:BE7"/>
    <mergeCell ref="BF6:BF7"/>
    <mergeCell ref="BH6:BH7"/>
    <mergeCell ref="N7:O7"/>
    <mergeCell ref="BB7:BC7"/>
    <mergeCell ref="D8:F8"/>
    <mergeCell ref="BK8:BM8"/>
    <mergeCell ref="B3:B4"/>
    <mergeCell ref="F3:F4"/>
    <mergeCell ref="G3:G4"/>
    <mergeCell ref="I3:L3"/>
    <mergeCell ref="BE3:BH3"/>
    <mergeCell ref="BJ3:BJ4"/>
    <mergeCell ref="BK3:BK4"/>
    <mergeCell ref="BO3:BO4"/>
    <mergeCell ref="J4:K4"/>
    <mergeCell ref="BF4:BG4"/>
    <mergeCell ref="D2:F2"/>
    <mergeCell ref="BK2:BM2"/>
    <mergeCell ref="D5:F5"/>
    <mergeCell ref="BK5:BM5"/>
    <mergeCell ref="I6:I7"/>
    <mergeCell ref="K6:K7"/>
    <mergeCell ref="L6:L7"/>
    <mergeCell ref="M6:P6"/>
    <mergeCell ref="BA6:BD6"/>
  </mergeCells>
  <conditionalFormatting sqref="B36:L37 B60:L61 B84:L85 B108:L109 B132:L133 B156:L157 B180:L181 B168:P169 B120:P121 B72:P73 B24:P25 B96:X97 AS96:BO97 Z96:AQ97 R168:AR168 BA167:BH168 R169:BH169 B119:AY119 R120:AY120 BA119:BH120 R121:AR121 B71:AY71 BA71:BH72 R72:AY72 R25:BO25 BA24:BO24 BE12:BO13 BE36:BH37 BE60:BH61 BE84:BH85 N84:BC84 BE108:BH109 N108:BC109 BE132:BH133 N132:AR133 BE156:BH157 N156:AR157 BE180:BH181 N180:BC181 AW156:BC157 AW132:BC133 AW167:AY168 B122:AR131 B158:AR167 B23:AY23 B134:AR138 B147:AR155 B43:S43 B44:R50 B140:R146 B74:AC81 AD74 AY48:BO49 AV43 B86:AG92 N85:AH85 S139:S140 BA23:BH23 BI14:BO23 BI26:BO47 AY50:BH50 BI50:BO95 BI98:BO191 B38:BH42 B82:BH83 B93:BH95 AY142:BH149 B182:BH191 B170:BH179 AW158:BH166 AW150:BH155 AW134:BH141 AW121:BH131 B110:BH118 B98:BH107 AK86:BH92 AG74:BH81 B62:BH70 B51:BH59 AY43:BH47 B26:BH35 B14:BH22 B2:BO11 B12:BC13 R24:AY24 N36:BC37 N60:BC61 R73:BH73 AK85:BC85 V43:AU50 V139:AR146 B139:M139 Q139:R139">
    <cfRule type="containsText" dxfId="304" priority="148" operator="containsText" text="Bye">
      <formula>NOT(ISERROR(SEARCH("Bye",B2)))</formula>
    </cfRule>
  </conditionalFormatting>
  <conditionalFormatting sqref="D2:F2 D5:F5 D14:F14 D17:F17 D20:F20 D26:F26 D29:F29 D32:F32 D35:F35 D38:F38 D41:F41 D44:F44 D47:F47 D50:F50 D53:F53 D56:F56 D59:F59 D62:F62 D65:F65 D68:F68 D71:F71 D74:F74 D77:F77 D80:F80 D83:F83 D86:F86 D89:F89 D92:F92 D95:F95 D98:F98 D101:F101 D107:F107 D110:F110 D113:F113 D116:F116 D119:F119 D122:F122 D125:F125 D128:F128 D131:F131 D137:F137 D140:F140 D143:F143 D146:F146 D149:F149 D152:F152 E156 D158:F158 D161:F161 D164:F164 D167:F167 D170:F170 D173:F173 D176:F176 D182:F182 D188:F188 D191:F191 D8:F8 D11:F11 D23:F23 D104:F104 D134:F134 D155:F155 D179:F179 D185:F185">
    <cfRule type="duplicateValues" dxfId="303" priority="147"/>
  </conditionalFormatting>
  <conditionalFormatting sqref="BK2:BM2 BK5:BM5 BK8:BM8 BK11:BM11 BK14:BM14 BK17:BM17 BK20:BM20 BK23:BM23 BK26:BM26 BK29:BM29 BK32:BM32 BK35:BM35 BK41:BM41 BK44:BM44 BK47:BM47 BK50:BM50 BK53:BM53 BK56:BM56 BK59:BM59 BK62:BM62 BK65:BM65 BK68:BM68 BK71:BM71 BK74:BM74 BK77:BM77 BK80:BM80 BK83:BM83 BK86:BM86 BK89:BM89 BK92:BM92 BK95:BM95 BK98:BM98 BK101:BM101 BK104:BM104 BK107:BM107 BK110:BM110 BK113:BM113 BK116:BM116 BK119:BM119 BK122:BM122 BK125:BM125 BK128:BM128 BK131:BM131 BK134:BM134 BK137:BM137 BK140:BM140 BK143:BM143 BK146:BM146 BK149:BM149 BK152:BM152 BK155:BM155 BK158:BM158 BK161:BM161 BK164:BM164 BK167:BM167 BK170:BM170 BK173:BM173 BK176:BM176 BK179:BM179 BK182:BM182 BK185:BM185 BK188:BM188 BK191:BM191 BK38:BM38">
    <cfRule type="duplicateValues" dxfId="302" priority="146"/>
  </conditionalFormatting>
  <conditionalFormatting sqref="BS8:BS135">
    <cfRule type="duplicateValues" dxfId="301" priority="119"/>
  </conditionalFormatting>
  <conditionalFormatting sqref="AS121:AV141 AS150:AV168 AS142:AU149">
    <cfRule type="containsText" dxfId="300" priority="61" operator="containsText" text="Bye">
      <formula>NOT(ISERROR(SEARCH("Bye",AS121)))</formula>
    </cfRule>
  </conditionalFormatting>
  <conditionalFormatting sqref="AV142">
    <cfRule type="containsText" dxfId="299" priority="9" operator="containsText" text="Bye">
      <formula>NOT(ISERROR(SEARCH("Bye",AV142)))</formula>
    </cfRule>
  </conditionalFormatting>
  <conditionalFormatting sqref="D2:BM138 D140:BM191 D139:M139 Q139:BM139">
    <cfRule type="containsText" dxfId="298" priority="1" operator="containsText" text="Corregir ganador y perdedor">
      <formula>NOT(ISERROR(SEARCH("Corregir ganador y perdedor",D2)))</formula>
    </cfRule>
  </conditionalFormatting>
  <printOptions horizontalCentered="1" verticalCentered="1"/>
  <pageMargins left="0.25" right="0.25" top="0.5" bottom="0.75" header="0.3" footer="0.3"/>
  <pageSetup scale="45" orientation="portrait" r:id="rId1"/>
  <headerFooter>
    <oddHeader>&amp;C&amp;"-,Bold"&amp;14Federación Puertorriqueña de Tenis de Mesa&amp;"-,Regular"&amp;11
Nacionales 2025 
sábado 15 de noviembre
Dobles Mixtos</oddHeader>
  </headerFooter>
  <ignoredErrors>
    <ignoredError sqref="BJ1 BJ7 BJ169 BE170 BJ175 BJ181 BE182 G187 BJ187 BJ13 BJ19 BJ25 BJ31 BJ37"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rint_Qadro">
                <anchor moveWithCells="1" sizeWithCells="1">
                  <from>
                    <xdr:col>16</xdr:col>
                    <xdr:colOff>30480</xdr:colOff>
                    <xdr:row>0</xdr:row>
                    <xdr:rowOff>175260</xdr:rowOff>
                  </from>
                  <to>
                    <xdr:col>20</xdr:col>
                    <xdr:colOff>7620</xdr:colOff>
                    <xdr:row>3</xdr:row>
                    <xdr:rowOff>160020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5" id="{5450CC15-15EC-4CEC-9241-431A0B036C4A}">
            <xm:f>Sorteo!$J$11&lt;128</xm:f>
            <x14:dxf>
              <font>
                <color theme="0"/>
              </font>
              <border>
                <left/>
                <right/>
                <top/>
                <bottom/>
                <vertical/>
                <horizontal/>
              </border>
            </x14:dxf>
          </x14:cfRule>
          <xm:sqref>AF95 AS96:BO97 AG96:AQ97 BA167:BH168 BA119:BH120 AG119:AY120 BA71:BH72 AG71:AY72 BA24:BO24 BE12:BO13 AG25:BO25 BE36:BH37 BE60:BH61 BE84:BH85 AG84:BC84 BE108:BH109 AG108:BC109 BE132:BH133 BE156:BH157 BE180:BH181 AG180:BC181 AW156:BC157 AW132:BC133 AW167:AY168 AY48:BO49 AG85:AG92 BA23:BH23 BI14:BO23 BI26:BO47 AY50:BH50 BI50:BO95 BI98:BO191 AG38:BH42 AG93:BH95 AY142:BH149 AG182:BH191 AG169:BH179 AW158:BH166 AW150:BH155 AW134:BH141 AW121:BH131 AG110:BH118 AG98:BH107 AK86:BH92 AG62:BH70 AG51:BH59 AY43:BH47 AG26:BH35 AG14:BH22 AG1:BO11 AG12:BC13 AG23:AY24 AG36:BC37 AG60:BC61 AG73:BH83 AK85:BC85 AG43:AU50 AG121:AR168 AS150:AV168 AS142:AU149</xm:sqref>
        </x14:conditionalFormatting>
        <x14:conditionalFormatting xmlns:xm="http://schemas.microsoft.com/office/excel/2006/main">
          <x14:cfRule type="expression" priority="144" id="{CF1E8764-B9EC-42EE-92D6-FEEA76D2DAB5}">
            <xm:f>Sorteo!$J$11&lt;64</xm:f>
            <x14:dxf>
              <font>
                <color theme="0"/>
              </font>
              <border>
                <left/>
                <right/>
                <top/>
                <bottom/>
                <vertical/>
                <horizontal/>
              </border>
            </x14:dxf>
          </x14:cfRule>
          <xm:sqref>AC48:AC95 A108:L109 N108:AF109 A132:L133 N132:AF133 A156:L157 N156:AF157 A180:L181 N180:AF181 A168:P169 R168:AF169 A110:AF119 A122:AF131 A120:P121 R120:AF121 A96:X97 Z96:AF97 A158:AF167 A98:AF107 A182:AF191 A134:AF138 A147:AF155 A170:AF179 A140:R146 V139:AF146 A139:M139 Q139:R139</xm:sqref>
        </x14:conditionalFormatting>
        <x14:conditionalFormatting xmlns:xm="http://schemas.microsoft.com/office/excel/2006/main">
          <x14:cfRule type="expression" priority="143" id="{F7A3E0CD-68A8-48AC-8D01-51D92AB8E558}">
            <xm:f>Sorteo!$J$11&lt;32</xm:f>
            <x14:dxf>
              <font>
                <color theme="0"/>
              </font>
              <border>
                <left/>
                <right/>
                <top/>
                <bottom/>
                <vertical/>
                <horizontal/>
              </border>
            </x14:dxf>
          </x14:cfRule>
          <xm:sqref>A60:L61 N60:AB61 A86:AB95 A84:L85 N84:AB85 A62:AB71 A74:AB83 A72:P73 R72:AB73 A51:AB59 A48:R50 V48:AB50</xm:sqref>
        </x14:conditionalFormatting>
        <x14:conditionalFormatting xmlns:xm="http://schemas.microsoft.com/office/excel/2006/main">
          <x14:cfRule type="expression" priority="142" id="{D34028A1-17DF-4432-9A73-93D59B5E7E27}">
            <xm:f>Sorteo!$J$11&lt;16</xm:f>
            <x14:dxf>
              <font>
                <color theme="0"/>
              </font>
              <border>
                <left/>
                <right/>
                <top/>
                <bottom/>
                <vertical/>
                <horizontal/>
              </border>
            </x14:dxf>
          </x14:cfRule>
          <xm:sqref>A38:Y42 A36:L37 N36:Y37 A26:Y35 A24:P25 R24:Y25 A44:R47 A43:S43 V43:Y47 N156:N157 N132:N133 N108:N109 N84:N85 N60:N61</xm:sqref>
        </x14:conditionalFormatting>
        <x14:conditionalFormatting xmlns:xm="http://schemas.microsoft.com/office/excel/2006/main">
          <x14:cfRule type="expression" priority="141" id="{31AAB469-85C8-405E-9D59-FC0D79D36E09}">
            <xm:f>Sorteo!$J$11&lt;8</xm:f>
            <x14:dxf>
              <font>
                <color theme="1"/>
              </font>
              <border>
                <left style="thin">
                  <color auto="1"/>
                </left>
                <right style="thin">
                  <color auto="1"/>
                </right>
                <top/>
                <bottom style="thin">
                  <color auto="1"/>
                </bottom>
                <vertical/>
                <horizontal/>
              </border>
            </x14:dxf>
          </x14:cfRule>
          <xm:sqref>Q6:Q11 T11 B12:X23 B24:P25 R24:X25</xm:sqref>
        </x14:conditionalFormatting>
        <x14:conditionalFormatting xmlns:xm="http://schemas.microsoft.com/office/excel/2006/main">
          <x14:cfRule type="expression" priority="140" id="{24214BE1-ADBA-481D-90BB-F24E51C6D339}">
            <xm:f>Sorteo!$J$11=64</xm:f>
            <x14:dxf>
              <font>
                <b/>
                <i val="0"/>
              </font>
              <border>
                <left style="thin">
                  <color auto="1"/>
                </left>
                <right style="thin">
                  <color auto="1"/>
                </right>
                <top style="thin">
                  <color auto="1"/>
                </top>
                <bottom style="thin">
                  <color auto="1"/>
                </bottom>
                <vertical/>
                <horizontal/>
              </border>
            </x14:dxf>
          </x14:cfRule>
          <xm:sqref>AC96:AF96</xm:sqref>
        </x14:conditionalFormatting>
        <x14:conditionalFormatting xmlns:xm="http://schemas.microsoft.com/office/excel/2006/main">
          <x14:cfRule type="expression" priority="139" id="{F426BDF7-D2CF-4944-A1AD-98AB8DA6C62C}">
            <xm:f>Sorteo!$J$11=32</xm:f>
            <x14:dxf>
              <font>
                <b/>
                <i val="0"/>
              </font>
              <border>
                <left style="thin">
                  <color auto="1"/>
                </left>
                <right style="thin">
                  <color auto="1"/>
                </right>
                <top style="thin">
                  <color auto="1"/>
                </top>
                <bottom style="thin">
                  <color auto="1"/>
                </bottom>
                <vertical/>
                <horizontal/>
              </border>
            </x14:dxf>
          </x14:cfRule>
          <xm:sqref>Y48:AB48 Z49:AA49</xm:sqref>
        </x14:conditionalFormatting>
        <x14:conditionalFormatting xmlns:xm="http://schemas.microsoft.com/office/excel/2006/main">
          <x14:cfRule type="expression" priority="138" id="{007FBA5E-F106-4370-88B5-C5AA36D9D00B}">
            <xm:f>Sorteo!$J$11&lt;32</xm:f>
            <x14:dxf>
              <font>
                <color theme="0"/>
              </font>
              <border>
                <left/>
                <right/>
                <top/>
                <bottom/>
                <vertical/>
                <horizontal/>
              </border>
            </x14:dxf>
          </x14:cfRule>
          <xm:sqref>Y24:Y47</xm:sqref>
        </x14:conditionalFormatting>
        <x14:conditionalFormatting xmlns:xm="http://schemas.microsoft.com/office/excel/2006/main">
          <x14:cfRule type="expression" priority="137" id="{A4412A48-330C-4D55-9F92-08713B8E0F6E}">
            <xm:f>Sorteo!$J$11=16</xm:f>
            <x14:dxf>
              <font>
                <b/>
                <i val="0"/>
              </font>
              <border>
                <left style="thin">
                  <color auto="1"/>
                </left>
                <right style="thin">
                  <color auto="1"/>
                </right>
                <top style="thin">
                  <color auto="1"/>
                </top>
                <bottom style="thin">
                  <color auto="1"/>
                </bottom>
              </border>
            </x14:dxf>
          </x14:cfRule>
          <xm:sqref>V25:W25 U24:X24</xm:sqref>
        </x14:conditionalFormatting>
        <x14:conditionalFormatting xmlns:xm="http://schemas.microsoft.com/office/excel/2006/main">
          <x14:cfRule type="expression" priority="136" id="{95432F46-585E-4CD8-971D-87BA7C639312}">
            <xm:f>Sorteo!$J$11&lt;16</xm:f>
            <x14:dxf>
              <font>
                <b val="0"/>
                <i val="0"/>
                <color theme="0"/>
              </font>
              <border>
                <left/>
                <right/>
                <top/>
                <bottom/>
                <vertical/>
                <horizontal/>
              </border>
            </x14:dxf>
          </x14:cfRule>
          <xm:sqref>X23 U12:U23 B38:X42 B36:L37 N36:X37 B26:X35 B24:P25 R24:X25 B44:R47 B43:S43 V43:X47 N156:N157 N132:N133 N108:N109 N84:N85 N60:N61</xm:sqref>
        </x14:conditionalFormatting>
        <x14:conditionalFormatting xmlns:xm="http://schemas.microsoft.com/office/excel/2006/main">
          <x14:cfRule type="expression" priority="135" id="{57B0EDA0-1498-4847-9953-BFA7CB2E3E12}">
            <xm:f>Sorteo!$J$11=8</xm:f>
            <x14:dxf>
              <font>
                <b/>
                <i val="0"/>
              </font>
              <border>
                <left style="thin">
                  <color auto="1"/>
                </left>
                <right style="thin">
                  <color auto="1"/>
                </right>
                <top style="thin">
                  <color auto="1"/>
                </top>
                <bottom style="thin">
                  <color auto="1"/>
                </bottom>
                <vertical/>
                <horizontal/>
              </border>
            </x14:dxf>
          </x14:cfRule>
          <xm:sqref>Q12:T12 R13:S13</xm:sqref>
        </x14:conditionalFormatting>
        <x14:conditionalFormatting xmlns:xm="http://schemas.microsoft.com/office/excel/2006/main">
          <x14:cfRule type="expression" priority="134" id="{0D59E807-3E76-46A8-980C-860BCECC1436}">
            <xm:f>Sorteo!$J$11&lt;8</xm:f>
            <x14:dxf>
              <font>
                <b/>
                <i val="0"/>
              </font>
              <border>
                <left style="thin">
                  <color auto="1"/>
                </left>
                <right style="thin">
                  <color auto="1"/>
                </right>
                <top style="thin">
                  <color auto="1"/>
                </top>
                <bottom style="thin">
                  <color auto="1"/>
                </bottom>
                <vertical/>
                <horizontal/>
              </border>
            </x14:dxf>
          </x14:cfRule>
          <xm:sqref>M6:P6 N7:O7</xm:sqref>
        </x14:conditionalFormatting>
        <x14:conditionalFormatting xmlns:xm="http://schemas.microsoft.com/office/excel/2006/main">
          <x14:cfRule type="expression" priority="133" id="{BAD616DF-1340-4681-AB7E-C765E9FF65F9}">
            <xm:f>Sorteo!$J$11&lt;8</xm:f>
            <x14:dxf>
              <font>
                <color theme="0"/>
              </font>
              <border>
                <left/>
                <right/>
                <top/>
                <bottom/>
                <vertical/>
                <horizontal/>
              </border>
            </x14:dxf>
          </x14:cfRule>
          <xm:sqref>I186:I187 I174:I175 I162:I163 I150:I151 I138:I139 I126:I127 I114:I115 I102:I103 I90:I91 I78:I79 I66:I67 I54:I55 I42:I43 I30:I31</xm:sqref>
        </x14:conditionalFormatting>
        <x14:conditionalFormatting xmlns:xm="http://schemas.microsoft.com/office/excel/2006/main">
          <x14:cfRule type="expression" priority="132" id="{8EAB1FCA-968D-4AC4-B0BB-B57F867A82B4}">
            <xm:f>Sorteo!$J$11&lt;16</xm:f>
            <x14:dxf>
              <font>
                <color theme="0"/>
              </font>
              <border>
                <left/>
                <right/>
                <top/>
                <bottom/>
                <vertical/>
                <horizontal/>
              </border>
            </x14:dxf>
          </x14:cfRule>
          <xm:sqref>N180:N181</xm:sqref>
        </x14:conditionalFormatting>
        <x14:conditionalFormatting xmlns:xm="http://schemas.microsoft.com/office/excel/2006/main">
          <x14:cfRule type="expression" priority="131" id="{DAE88409-3C8C-4FB3-A5D4-C4E922805684}">
            <xm:f>Sorteo!$J$11&lt;16</xm:f>
            <x14:dxf>
              <font>
                <b val="0"/>
                <i val="0"/>
                <color theme="0"/>
              </font>
              <border>
                <left/>
                <right/>
                <top/>
                <bottom/>
                <vertical/>
                <horizontal/>
              </border>
            </x14:dxf>
          </x14:cfRule>
          <xm:sqref>N180:N181</xm:sqref>
        </x14:conditionalFormatting>
        <x14:conditionalFormatting xmlns:xm="http://schemas.microsoft.com/office/excel/2006/main">
          <x14:cfRule type="expression" priority="118" id="{4AC36C14-FC5D-4C12-8885-B992BEB4EC62}">
            <xm:f>Sorteo!$J$11&lt;8</xm:f>
            <x14:dxf>
              <font>
                <color theme="0"/>
              </font>
              <border>
                <left/>
                <right/>
                <top/>
                <bottom/>
                <vertical/>
                <horizontal/>
              </border>
            </x14:dxf>
          </x14:cfRule>
          <xm:sqref>H26</xm:sqref>
        </x14:conditionalFormatting>
        <x14:conditionalFormatting xmlns:xm="http://schemas.microsoft.com/office/excel/2006/main">
          <x14:cfRule type="expression" priority="117" id="{84854698-1931-4BEE-AF34-449ADB634731}">
            <xm:f>Sorteo!$J$11&lt;8</xm:f>
            <x14:dxf>
              <font>
                <color theme="0"/>
              </font>
              <border>
                <left/>
                <right/>
                <top/>
                <bottom/>
                <vertical/>
                <horizontal/>
              </border>
            </x14:dxf>
          </x14:cfRule>
          <xm:sqref>H29</xm:sqref>
        </x14:conditionalFormatting>
        <x14:conditionalFormatting xmlns:xm="http://schemas.microsoft.com/office/excel/2006/main">
          <x14:cfRule type="expression" priority="116" id="{90A8A77B-E8EC-4882-A293-46449136C827}">
            <xm:f>Sorteo!$J$11&lt;8</xm:f>
            <x14:dxf>
              <font>
                <color theme="0"/>
              </font>
              <border>
                <left/>
                <right/>
                <top/>
                <bottom/>
                <vertical/>
                <horizontal/>
              </border>
            </x14:dxf>
          </x14:cfRule>
          <xm:sqref>H32</xm:sqref>
        </x14:conditionalFormatting>
        <x14:conditionalFormatting xmlns:xm="http://schemas.microsoft.com/office/excel/2006/main">
          <x14:cfRule type="expression" priority="115" id="{F99574A7-29CC-48DD-AE5D-A1317292FA57}">
            <xm:f>Sorteo!$J$11&lt;8</xm:f>
            <x14:dxf>
              <font>
                <color theme="0"/>
              </font>
              <border>
                <left/>
                <right/>
                <top/>
                <bottom/>
                <vertical/>
                <horizontal/>
              </border>
            </x14:dxf>
          </x14:cfRule>
          <xm:sqref>H35</xm:sqref>
        </x14:conditionalFormatting>
        <x14:conditionalFormatting xmlns:xm="http://schemas.microsoft.com/office/excel/2006/main">
          <x14:cfRule type="expression" priority="114" id="{574978D0-C0FA-4441-B22C-9892557E079A}">
            <xm:f>Sorteo!$J$11&lt;8</xm:f>
            <x14:dxf>
              <font>
                <color theme="0"/>
              </font>
              <border>
                <left/>
                <right/>
                <top/>
                <bottom/>
                <vertical/>
                <horizontal/>
              </border>
            </x14:dxf>
          </x14:cfRule>
          <xm:sqref>H38</xm:sqref>
        </x14:conditionalFormatting>
        <x14:conditionalFormatting xmlns:xm="http://schemas.microsoft.com/office/excel/2006/main">
          <x14:cfRule type="expression" priority="113" id="{22E2D024-13DF-48EA-8DBA-9F36C55149CC}">
            <xm:f>Sorteo!$J$11&lt;8</xm:f>
            <x14:dxf>
              <font>
                <color theme="0"/>
              </font>
              <border>
                <left/>
                <right/>
                <top/>
                <bottom/>
                <vertical/>
                <horizontal/>
              </border>
            </x14:dxf>
          </x14:cfRule>
          <xm:sqref>H41</xm:sqref>
        </x14:conditionalFormatting>
        <x14:conditionalFormatting xmlns:xm="http://schemas.microsoft.com/office/excel/2006/main">
          <x14:cfRule type="expression" priority="112" id="{99E92E53-EA44-4F31-9ACA-0ADB097B7245}">
            <xm:f>Sorteo!$J$11&lt;8</xm:f>
            <x14:dxf>
              <font>
                <color theme="0"/>
              </font>
              <border>
                <left/>
                <right/>
                <top/>
                <bottom/>
                <vertical/>
                <horizontal/>
              </border>
            </x14:dxf>
          </x14:cfRule>
          <xm:sqref>H44</xm:sqref>
        </x14:conditionalFormatting>
        <x14:conditionalFormatting xmlns:xm="http://schemas.microsoft.com/office/excel/2006/main">
          <x14:cfRule type="expression" priority="111" id="{3BA70883-9928-4D77-8480-A6CAC72F6379}">
            <xm:f>Sorteo!$J$11&lt;8</xm:f>
            <x14:dxf>
              <font>
                <color theme="0"/>
              </font>
              <border>
                <left/>
                <right/>
                <top/>
                <bottom/>
                <vertical/>
                <horizontal/>
              </border>
            </x14:dxf>
          </x14:cfRule>
          <xm:sqref>H47</xm:sqref>
        </x14:conditionalFormatting>
        <x14:conditionalFormatting xmlns:xm="http://schemas.microsoft.com/office/excel/2006/main">
          <x14:cfRule type="expression" priority="110" id="{8B8C913A-CC7A-4BFE-90AB-B7587C45995C}">
            <xm:f>Sorteo!$J$11&lt;8</xm:f>
            <x14:dxf>
              <font>
                <color theme="0"/>
              </font>
              <border>
                <left/>
                <right/>
                <top/>
                <bottom/>
                <vertical/>
                <horizontal/>
              </border>
            </x14:dxf>
          </x14:cfRule>
          <xm:sqref>H50</xm:sqref>
        </x14:conditionalFormatting>
        <x14:conditionalFormatting xmlns:xm="http://schemas.microsoft.com/office/excel/2006/main">
          <x14:cfRule type="expression" priority="109" id="{BEF1A260-7DC8-4B8B-AC8E-E759D4A80BCD}">
            <xm:f>Sorteo!$J$11&lt;8</xm:f>
            <x14:dxf>
              <font>
                <color theme="0"/>
              </font>
              <border>
                <left/>
                <right/>
                <top/>
                <bottom/>
                <vertical/>
                <horizontal/>
              </border>
            </x14:dxf>
          </x14:cfRule>
          <xm:sqref>H53</xm:sqref>
        </x14:conditionalFormatting>
        <x14:conditionalFormatting xmlns:xm="http://schemas.microsoft.com/office/excel/2006/main">
          <x14:cfRule type="expression" priority="108" id="{D062E302-5054-414F-BDBF-0B527DB0FE67}">
            <xm:f>Sorteo!$J$11&lt;8</xm:f>
            <x14:dxf>
              <font>
                <color theme="0"/>
              </font>
              <border>
                <left/>
                <right/>
                <top/>
                <bottom/>
                <vertical/>
                <horizontal/>
              </border>
            </x14:dxf>
          </x14:cfRule>
          <xm:sqref>H56</xm:sqref>
        </x14:conditionalFormatting>
        <x14:conditionalFormatting xmlns:xm="http://schemas.microsoft.com/office/excel/2006/main">
          <x14:cfRule type="expression" priority="107" id="{24FE76CD-45AD-41A0-B840-C7C63DE014EA}">
            <xm:f>Sorteo!$J$11&lt;8</xm:f>
            <x14:dxf>
              <font>
                <color theme="0"/>
              </font>
              <border>
                <left/>
                <right/>
                <top/>
                <bottom/>
                <vertical/>
                <horizontal/>
              </border>
            </x14:dxf>
          </x14:cfRule>
          <xm:sqref>H87</xm:sqref>
        </x14:conditionalFormatting>
        <x14:conditionalFormatting xmlns:xm="http://schemas.microsoft.com/office/excel/2006/main">
          <x14:cfRule type="expression" priority="106" id="{31738B3C-93D3-4D40-8DCA-78AF22A54173}">
            <xm:f>Sorteo!$J$11&lt;8</xm:f>
            <x14:dxf>
              <font>
                <color theme="0"/>
              </font>
              <border>
                <left/>
                <right/>
                <top/>
                <bottom/>
                <vertical/>
                <horizontal/>
              </border>
            </x14:dxf>
          </x14:cfRule>
          <xm:sqref>H59</xm:sqref>
        </x14:conditionalFormatting>
        <x14:conditionalFormatting xmlns:xm="http://schemas.microsoft.com/office/excel/2006/main">
          <x14:cfRule type="expression" priority="105" id="{F44F0A0C-8996-4B42-83EB-D6289535F050}">
            <xm:f>Sorteo!$J$11&lt;8</xm:f>
            <x14:dxf>
              <font>
                <color theme="0"/>
              </font>
              <border>
                <left/>
                <right/>
                <top/>
                <bottom/>
                <vertical/>
                <horizontal/>
              </border>
            </x14:dxf>
          </x14:cfRule>
          <xm:sqref>H62</xm:sqref>
        </x14:conditionalFormatting>
        <x14:conditionalFormatting xmlns:xm="http://schemas.microsoft.com/office/excel/2006/main">
          <x14:cfRule type="expression" priority="104" id="{416FE2C9-8D3B-45DD-99FA-7A01EE914008}">
            <xm:f>Sorteo!$J$11&lt;8</xm:f>
            <x14:dxf>
              <font>
                <color theme="0"/>
              </font>
              <border>
                <left/>
                <right/>
                <top/>
                <bottom/>
                <vertical/>
                <horizontal/>
              </border>
            </x14:dxf>
          </x14:cfRule>
          <xm:sqref>H65</xm:sqref>
        </x14:conditionalFormatting>
        <x14:conditionalFormatting xmlns:xm="http://schemas.microsoft.com/office/excel/2006/main">
          <x14:cfRule type="expression" priority="103" id="{F7D60E14-6F80-4781-87CA-6484306BDE46}">
            <xm:f>Sorteo!$J$11&lt;8</xm:f>
            <x14:dxf>
              <font>
                <color theme="0"/>
              </font>
              <border>
                <left/>
                <right/>
                <top/>
                <bottom/>
                <vertical/>
                <horizontal/>
              </border>
            </x14:dxf>
          </x14:cfRule>
          <xm:sqref>H68</xm:sqref>
        </x14:conditionalFormatting>
        <x14:conditionalFormatting xmlns:xm="http://schemas.microsoft.com/office/excel/2006/main">
          <x14:cfRule type="expression" priority="102" id="{3772B0DA-FC63-46AB-A101-63D5B72F536F}">
            <xm:f>Sorteo!$J$11&lt;8</xm:f>
            <x14:dxf>
              <font>
                <color theme="0"/>
              </font>
              <border>
                <left/>
                <right/>
                <top/>
                <bottom/>
                <vertical/>
                <horizontal/>
              </border>
            </x14:dxf>
          </x14:cfRule>
          <xm:sqref>H71</xm:sqref>
        </x14:conditionalFormatting>
        <x14:conditionalFormatting xmlns:xm="http://schemas.microsoft.com/office/excel/2006/main">
          <x14:cfRule type="expression" priority="101" id="{F0052BBC-F819-43EA-8ED3-92B9F514CB27}">
            <xm:f>Sorteo!$J$11&lt;8</xm:f>
            <x14:dxf>
              <font>
                <color theme="0"/>
              </font>
              <border>
                <left/>
                <right/>
                <top/>
                <bottom/>
                <vertical/>
                <horizontal/>
              </border>
            </x14:dxf>
          </x14:cfRule>
          <xm:sqref>H74</xm:sqref>
        </x14:conditionalFormatting>
        <x14:conditionalFormatting xmlns:xm="http://schemas.microsoft.com/office/excel/2006/main">
          <x14:cfRule type="expression" priority="100" id="{5F0018F3-2281-4C64-8BE1-01A815C40420}">
            <xm:f>Sorteo!$J$11&lt;8</xm:f>
            <x14:dxf>
              <font>
                <color theme="0"/>
              </font>
              <border>
                <left/>
                <right/>
                <top/>
                <bottom/>
                <vertical/>
                <horizontal/>
              </border>
            </x14:dxf>
          </x14:cfRule>
          <xm:sqref>H77</xm:sqref>
        </x14:conditionalFormatting>
        <x14:conditionalFormatting xmlns:xm="http://schemas.microsoft.com/office/excel/2006/main">
          <x14:cfRule type="expression" priority="99" id="{DCA82385-6688-4371-8EB0-0063B8093F52}">
            <xm:f>Sorteo!$J$11&lt;8</xm:f>
            <x14:dxf>
              <font>
                <color theme="0"/>
              </font>
              <border>
                <left/>
                <right/>
                <top/>
                <bottom/>
                <vertical/>
                <horizontal/>
              </border>
            </x14:dxf>
          </x14:cfRule>
          <xm:sqref>H80</xm:sqref>
        </x14:conditionalFormatting>
        <x14:conditionalFormatting xmlns:xm="http://schemas.microsoft.com/office/excel/2006/main">
          <x14:cfRule type="expression" priority="98" id="{7B647276-DB1E-43B5-97F6-92E9DE029013}">
            <xm:f>Sorteo!$J$11&lt;8</xm:f>
            <x14:dxf>
              <font>
                <color theme="0"/>
              </font>
              <border>
                <left/>
                <right/>
                <top/>
                <bottom/>
                <vertical/>
                <horizontal/>
              </border>
            </x14:dxf>
          </x14:cfRule>
          <xm:sqref>H83</xm:sqref>
        </x14:conditionalFormatting>
        <x14:conditionalFormatting xmlns:xm="http://schemas.microsoft.com/office/excel/2006/main">
          <x14:cfRule type="expression" priority="97" id="{C9F14B2C-92B9-4D6B-BC18-89409CDA7ACE}">
            <xm:f>Sorteo!$J$11&lt;8</xm:f>
            <x14:dxf>
              <font>
                <color theme="0"/>
              </font>
              <border>
                <left/>
                <right/>
                <top/>
                <bottom/>
                <vertical/>
                <horizontal/>
              </border>
            </x14:dxf>
          </x14:cfRule>
          <xm:sqref>H86</xm:sqref>
        </x14:conditionalFormatting>
        <x14:conditionalFormatting xmlns:xm="http://schemas.microsoft.com/office/excel/2006/main">
          <x14:cfRule type="expression" priority="96" id="{9345E114-5CF1-44C1-A5A3-FA3706B99DDE}">
            <xm:f>Sorteo!$J$11&lt;8</xm:f>
            <x14:dxf>
              <font>
                <color theme="0"/>
              </font>
              <border>
                <left/>
                <right/>
                <top/>
                <bottom/>
                <vertical/>
                <horizontal/>
              </border>
            </x14:dxf>
          </x14:cfRule>
          <xm:sqref>H89</xm:sqref>
        </x14:conditionalFormatting>
        <x14:conditionalFormatting xmlns:xm="http://schemas.microsoft.com/office/excel/2006/main">
          <x14:cfRule type="expression" priority="95" id="{17FCF779-50C5-4AC5-B8F3-04EE395A4AA7}">
            <xm:f>Sorteo!$J$11&lt;8</xm:f>
            <x14:dxf>
              <font>
                <color theme="0"/>
              </font>
              <border>
                <left/>
                <right/>
                <top/>
                <bottom/>
                <vertical/>
                <horizontal/>
              </border>
            </x14:dxf>
          </x14:cfRule>
          <xm:sqref>H92</xm:sqref>
        </x14:conditionalFormatting>
        <x14:conditionalFormatting xmlns:xm="http://schemas.microsoft.com/office/excel/2006/main">
          <x14:cfRule type="expression" priority="94" id="{9749702F-E858-4BDF-90B6-D23698BB065D}">
            <xm:f>Sorteo!$J$11&lt;8</xm:f>
            <x14:dxf>
              <font>
                <color theme="0"/>
              </font>
              <border>
                <left/>
                <right/>
                <top/>
                <bottom/>
                <vertical/>
                <horizontal/>
              </border>
            </x14:dxf>
          </x14:cfRule>
          <xm:sqref>H95</xm:sqref>
        </x14:conditionalFormatting>
        <x14:conditionalFormatting xmlns:xm="http://schemas.microsoft.com/office/excel/2006/main">
          <x14:cfRule type="expression" priority="93" id="{F3CAEFD8-9414-41FB-873B-FB2567F70277}">
            <xm:f>Sorteo!$J$11&lt;8</xm:f>
            <x14:dxf>
              <font>
                <color theme="0"/>
              </font>
              <border>
                <left/>
                <right/>
                <top/>
                <bottom/>
                <vertical/>
                <horizontal/>
              </border>
            </x14:dxf>
          </x14:cfRule>
          <xm:sqref>H98</xm:sqref>
        </x14:conditionalFormatting>
        <x14:conditionalFormatting xmlns:xm="http://schemas.microsoft.com/office/excel/2006/main">
          <x14:cfRule type="expression" priority="92" id="{CFB42FC1-D1C2-4E5A-9E1C-AEB12EA32FA9}">
            <xm:f>Sorteo!$J$11&lt;8</xm:f>
            <x14:dxf>
              <font>
                <color theme="0"/>
              </font>
              <border>
                <left/>
                <right/>
                <top/>
                <bottom/>
                <vertical/>
                <horizontal/>
              </border>
            </x14:dxf>
          </x14:cfRule>
          <xm:sqref>H101</xm:sqref>
        </x14:conditionalFormatting>
        <x14:conditionalFormatting xmlns:xm="http://schemas.microsoft.com/office/excel/2006/main">
          <x14:cfRule type="expression" priority="91" id="{62CA8EF9-5476-4A47-A516-16FB4E6D1C4D}">
            <xm:f>Sorteo!$J$11&lt;8</xm:f>
            <x14:dxf>
              <font>
                <color theme="0"/>
              </font>
              <border>
                <left/>
                <right/>
                <top/>
                <bottom/>
                <vertical/>
                <horizontal/>
              </border>
            </x14:dxf>
          </x14:cfRule>
          <xm:sqref>H104</xm:sqref>
        </x14:conditionalFormatting>
        <x14:conditionalFormatting xmlns:xm="http://schemas.microsoft.com/office/excel/2006/main">
          <x14:cfRule type="expression" priority="90" id="{B16E7C35-284C-48F6-B58B-FCEB1BF187A0}">
            <xm:f>Sorteo!$J$11&lt;8</xm:f>
            <x14:dxf>
              <font>
                <color theme="0"/>
              </font>
              <border>
                <left/>
                <right/>
                <top/>
                <bottom/>
                <vertical/>
                <horizontal/>
              </border>
            </x14:dxf>
          </x14:cfRule>
          <xm:sqref>H107</xm:sqref>
        </x14:conditionalFormatting>
        <x14:conditionalFormatting xmlns:xm="http://schemas.microsoft.com/office/excel/2006/main">
          <x14:cfRule type="expression" priority="89" id="{BB0827E5-653B-4123-A5C3-D94ECFC8C037}">
            <xm:f>Sorteo!$J$11&lt;8</xm:f>
            <x14:dxf>
              <font>
                <color theme="0"/>
              </font>
              <border>
                <left/>
                <right/>
                <top/>
                <bottom/>
                <vertical/>
                <horizontal/>
              </border>
            </x14:dxf>
          </x14:cfRule>
          <xm:sqref>H110</xm:sqref>
        </x14:conditionalFormatting>
        <x14:conditionalFormatting xmlns:xm="http://schemas.microsoft.com/office/excel/2006/main">
          <x14:cfRule type="expression" priority="88" id="{49FFAC08-3152-4D72-84AB-9FF1028F6DE9}">
            <xm:f>Sorteo!$J$11&lt;8</xm:f>
            <x14:dxf>
              <font>
                <color theme="0"/>
              </font>
              <border>
                <left/>
                <right/>
                <top/>
                <bottom/>
                <vertical/>
                <horizontal/>
              </border>
            </x14:dxf>
          </x14:cfRule>
          <xm:sqref>H113</xm:sqref>
        </x14:conditionalFormatting>
        <x14:conditionalFormatting xmlns:xm="http://schemas.microsoft.com/office/excel/2006/main">
          <x14:cfRule type="expression" priority="87" id="{D5094E43-ECDE-4B52-8447-27B0D0791635}">
            <xm:f>Sorteo!$J$11&lt;8</xm:f>
            <x14:dxf>
              <font>
                <color theme="0"/>
              </font>
              <border>
                <left/>
                <right/>
                <top/>
                <bottom/>
                <vertical/>
                <horizontal/>
              </border>
            </x14:dxf>
          </x14:cfRule>
          <xm:sqref>H116</xm:sqref>
        </x14:conditionalFormatting>
        <x14:conditionalFormatting xmlns:xm="http://schemas.microsoft.com/office/excel/2006/main">
          <x14:cfRule type="expression" priority="86" id="{33CB108C-F18D-4F11-8D71-AC79C1456629}">
            <xm:f>Sorteo!$J$11&lt;8</xm:f>
            <x14:dxf>
              <font>
                <color theme="0"/>
              </font>
              <border>
                <left/>
                <right/>
                <top/>
                <bottom/>
                <vertical/>
                <horizontal/>
              </border>
            </x14:dxf>
          </x14:cfRule>
          <xm:sqref>H119</xm:sqref>
        </x14:conditionalFormatting>
        <x14:conditionalFormatting xmlns:xm="http://schemas.microsoft.com/office/excel/2006/main">
          <x14:cfRule type="expression" priority="85" id="{B7DE5261-EBBD-466F-9007-8CC13F53421F}">
            <xm:f>Sorteo!$J$11&lt;8</xm:f>
            <x14:dxf>
              <font>
                <color theme="0"/>
              </font>
              <border>
                <left/>
                <right/>
                <top/>
                <bottom/>
                <vertical/>
                <horizontal/>
              </border>
            </x14:dxf>
          </x14:cfRule>
          <xm:sqref>H122</xm:sqref>
        </x14:conditionalFormatting>
        <x14:conditionalFormatting xmlns:xm="http://schemas.microsoft.com/office/excel/2006/main">
          <x14:cfRule type="expression" priority="84" id="{B9976795-94E8-40E1-979C-CFA4B9E274B3}">
            <xm:f>Sorteo!$J$11&lt;8</xm:f>
            <x14:dxf>
              <font>
                <color theme="0"/>
              </font>
              <border>
                <left/>
                <right/>
                <top/>
                <bottom/>
                <vertical/>
                <horizontal/>
              </border>
            </x14:dxf>
          </x14:cfRule>
          <xm:sqref>H125</xm:sqref>
        </x14:conditionalFormatting>
        <x14:conditionalFormatting xmlns:xm="http://schemas.microsoft.com/office/excel/2006/main">
          <x14:cfRule type="expression" priority="83" id="{4C889176-F665-4239-9FC5-74B6E2D16990}">
            <xm:f>Sorteo!$J$11&lt;8</xm:f>
            <x14:dxf>
              <font>
                <color theme="0"/>
              </font>
              <border>
                <left/>
                <right/>
                <top/>
                <bottom/>
                <vertical/>
                <horizontal/>
              </border>
            </x14:dxf>
          </x14:cfRule>
          <xm:sqref>H128</xm:sqref>
        </x14:conditionalFormatting>
        <x14:conditionalFormatting xmlns:xm="http://schemas.microsoft.com/office/excel/2006/main">
          <x14:cfRule type="expression" priority="82" id="{68B1AAC9-E721-43CC-880D-A823152EF395}">
            <xm:f>Sorteo!$J$11&lt;8</xm:f>
            <x14:dxf>
              <font>
                <color theme="0"/>
              </font>
              <border>
                <left/>
                <right/>
                <top/>
                <bottom/>
                <vertical/>
                <horizontal/>
              </border>
            </x14:dxf>
          </x14:cfRule>
          <xm:sqref>H131</xm:sqref>
        </x14:conditionalFormatting>
        <x14:conditionalFormatting xmlns:xm="http://schemas.microsoft.com/office/excel/2006/main">
          <x14:cfRule type="expression" priority="81" id="{289EAF45-3338-4979-AED3-BE75F65A9EB6}">
            <xm:f>Sorteo!$J$11&lt;8</xm:f>
            <x14:dxf>
              <font>
                <color theme="0"/>
              </font>
              <border>
                <left/>
                <right/>
                <top/>
                <bottom/>
                <vertical/>
                <horizontal/>
              </border>
            </x14:dxf>
          </x14:cfRule>
          <xm:sqref>H134</xm:sqref>
        </x14:conditionalFormatting>
        <x14:conditionalFormatting xmlns:xm="http://schemas.microsoft.com/office/excel/2006/main">
          <x14:cfRule type="expression" priority="80" id="{BCFFD0A8-2D6A-4B0E-9047-951D7A59546C}">
            <xm:f>Sorteo!$J$11&lt;8</xm:f>
            <x14:dxf>
              <font>
                <color theme="0"/>
              </font>
              <border>
                <left/>
                <right/>
                <top/>
                <bottom/>
                <vertical/>
                <horizontal/>
              </border>
            </x14:dxf>
          </x14:cfRule>
          <xm:sqref>H137</xm:sqref>
        </x14:conditionalFormatting>
        <x14:conditionalFormatting xmlns:xm="http://schemas.microsoft.com/office/excel/2006/main">
          <x14:cfRule type="expression" priority="79" id="{59922624-7AF8-4127-B946-911372B89CC7}">
            <xm:f>Sorteo!$J$11&lt;8</xm:f>
            <x14:dxf>
              <font>
                <color theme="0"/>
              </font>
              <border>
                <left/>
                <right/>
                <top/>
                <bottom/>
                <vertical/>
                <horizontal/>
              </border>
            </x14:dxf>
          </x14:cfRule>
          <xm:sqref>H140</xm:sqref>
        </x14:conditionalFormatting>
        <x14:conditionalFormatting xmlns:xm="http://schemas.microsoft.com/office/excel/2006/main">
          <x14:cfRule type="expression" priority="78" id="{4D74B5C7-A8AB-4D85-B52E-D326CBB10E8B}">
            <xm:f>Sorteo!$J$11&lt;8</xm:f>
            <x14:dxf>
              <font>
                <color theme="0"/>
              </font>
              <border>
                <left/>
                <right/>
                <top/>
                <bottom/>
                <vertical/>
                <horizontal/>
              </border>
            </x14:dxf>
          </x14:cfRule>
          <xm:sqref>H143</xm:sqref>
        </x14:conditionalFormatting>
        <x14:conditionalFormatting xmlns:xm="http://schemas.microsoft.com/office/excel/2006/main">
          <x14:cfRule type="expression" priority="77" id="{BA6710F2-30D5-4E81-BA6B-2E87DFD8B28B}">
            <xm:f>Sorteo!$J$11&lt;8</xm:f>
            <x14:dxf>
              <font>
                <color theme="0"/>
              </font>
              <border>
                <left/>
                <right/>
                <top/>
                <bottom/>
                <vertical/>
                <horizontal/>
              </border>
            </x14:dxf>
          </x14:cfRule>
          <xm:sqref>H146</xm:sqref>
        </x14:conditionalFormatting>
        <x14:conditionalFormatting xmlns:xm="http://schemas.microsoft.com/office/excel/2006/main">
          <x14:cfRule type="expression" priority="76" id="{E6EE8924-C7C9-4529-97C3-FF7D93095923}">
            <xm:f>Sorteo!$J$11&lt;8</xm:f>
            <x14:dxf>
              <font>
                <color theme="0"/>
              </font>
              <border>
                <left/>
                <right/>
                <top/>
                <bottom/>
                <vertical/>
                <horizontal/>
              </border>
            </x14:dxf>
          </x14:cfRule>
          <xm:sqref>H149</xm:sqref>
        </x14:conditionalFormatting>
        <x14:conditionalFormatting xmlns:xm="http://schemas.microsoft.com/office/excel/2006/main">
          <x14:cfRule type="expression" priority="75" id="{61AC5C1C-31D1-4B2C-A497-36FF08E891C2}">
            <xm:f>Sorteo!$J$11&lt;8</xm:f>
            <x14:dxf>
              <font>
                <color theme="0"/>
              </font>
              <border>
                <left/>
                <right/>
                <top/>
                <bottom/>
                <vertical/>
                <horizontal/>
              </border>
            </x14:dxf>
          </x14:cfRule>
          <xm:sqref>H152</xm:sqref>
        </x14:conditionalFormatting>
        <x14:conditionalFormatting xmlns:xm="http://schemas.microsoft.com/office/excel/2006/main">
          <x14:cfRule type="expression" priority="74" id="{09E18629-3DB2-4145-8728-33E3B05B5318}">
            <xm:f>Sorteo!$J$11&lt;8</xm:f>
            <x14:dxf>
              <font>
                <color theme="0"/>
              </font>
              <border>
                <left/>
                <right/>
                <top/>
                <bottom/>
                <vertical/>
                <horizontal/>
              </border>
            </x14:dxf>
          </x14:cfRule>
          <xm:sqref>H155</xm:sqref>
        </x14:conditionalFormatting>
        <x14:conditionalFormatting xmlns:xm="http://schemas.microsoft.com/office/excel/2006/main">
          <x14:cfRule type="expression" priority="73" id="{3AF50502-26C3-4CE0-9C41-7DBCB068604D}">
            <xm:f>Sorteo!$J$11&lt;8</xm:f>
            <x14:dxf>
              <font>
                <color theme="0"/>
              </font>
              <border>
                <left/>
                <right/>
                <top/>
                <bottom/>
                <vertical/>
                <horizontal/>
              </border>
            </x14:dxf>
          </x14:cfRule>
          <xm:sqref>H158</xm:sqref>
        </x14:conditionalFormatting>
        <x14:conditionalFormatting xmlns:xm="http://schemas.microsoft.com/office/excel/2006/main">
          <x14:cfRule type="expression" priority="72" id="{06B694E9-103B-4949-B832-B18C56F2AE44}">
            <xm:f>Sorteo!$J$11&lt;8</xm:f>
            <x14:dxf>
              <font>
                <color theme="0"/>
              </font>
              <border>
                <left/>
                <right/>
                <top/>
                <bottom/>
                <vertical/>
                <horizontal/>
              </border>
            </x14:dxf>
          </x14:cfRule>
          <xm:sqref>H161</xm:sqref>
        </x14:conditionalFormatting>
        <x14:conditionalFormatting xmlns:xm="http://schemas.microsoft.com/office/excel/2006/main">
          <x14:cfRule type="expression" priority="71" id="{1EC4E17B-33AD-4A56-BB6D-E4C108CBC125}">
            <xm:f>Sorteo!$J$11&lt;8</xm:f>
            <x14:dxf>
              <font>
                <color theme="0"/>
              </font>
              <border>
                <left/>
                <right/>
                <top/>
                <bottom/>
                <vertical/>
                <horizontal/>
              </border>
            </x14:dxf>
          </x14:cfRule>
          <xm:sqref>H164</xm:sqref>
        </x14:conditionalFormatting>
        <x14:conditionalFormatting xmlns:xm="http://schemas.microsoft.com/office/excel/2006/main">
          <x14:cfRule type="expression" priority="70" id="{88FE0A57-A1E5-458C-965F-0BB48BC4C0AA}">
            <xm:f>Sorteo!$J$11&lt;8</xm:f>
            <x14:dxf>
              <font>
                <color theme="0"/>
              </font>
              <border>
                <left/>
                <right/>
                <top/>
                <bottom/>
                <vertical/>
                <horizontal/>
              </border>
            </x14:dxf>
          </x14:cfRule>
          <xm:sqref>H167</xm:sqref>
        </x14:conditionalFormatting>
        <x14:conditionalFormatting xmlns:xm="http://schemas.microsoft.com/office/excel/2006/main">
          <x14:cfRule type="expression" priority="69" id="{75030D6A-F7B2-4487-A8A1-E9D005371E44}">
            <xm:f>Sorteo!$J$11&lt;8</xm:f>
            <x14:dxf>
              <font>
                <color theme="0"/>
              </font>
              <border>
                <left/>
                <right/>
                <top/>
                <bottom/>
                <vertical/>
                <horizontal/>
              </border>
            </x14:dxf>
          </x14:cfRule>
          <xm:sqref>H170</xm:sqref>
        </x14:conditionalFormatting>
        <x14:conditionalFormatting xmlns:xm="http://schemas.microsoft.com/office/excel/2006/main">
          <x14:cfRule type="expression" priority="68" id="{83CA0163-E77A-41F3-B410-C2F8336A2FFE}">
            <xm:f>Sorteo!$J$11&lt;8</xm:f>
            <x14:dxf>
              <font>
                <color theme="0"/>
              </font>
              <border>
                <left/>
                <right/>
                <top/>
                <bottom/>
                <vertical/>
                <horizontal/>
              </border>
            </x14:dxf>
          </x14:cfRule>
          <xm:sqref>H173</xm:sqref>
        </x14:conditionalFormatting>
        <x14:conditionalFormatting xmlns:xm="http://schemas.microsoft.com/office/excel/2006/main">
          <x14:cfRule type="expression" priority="67" id="{0365E2EE-5BB8-42E8-8CFC-663693E24BCF}">
            <xm:f>Sorteo!$J$11&lt;8</xm:f>
            <x14:dxf>
              <font>
                <color theme="0"/>
              </font>
              <border>
                <left/>
                <right/>
                <top/>
                <bottom/>
                <vertical/>
                <horizontal/>
              </border>
            </x14:dxf>
          </x14:cfRule>
          <xm:sqref>H176</xm:sqref>
        </x14:conditionalFormatting>
        <x14:conditionalFormatting xmlns:xm="http://schemas.microsoft.com/office/excel/2006/main">
          <x14:cfRule type="expression" priority="66" id="{53FB2373-8121-49B7-98B0-66227E20526D}">
            <xm:f>Sorteo!$J$11&lt;8</xm:f>
            <x14:dxf>
              <font>
                <color theme="0"/>
              </font>
              <border>
                <left/>
                <right/>
                <top/>
                <bottom/>
                <vertical/>
                <horizontal/>
              </border>
            </x14:dxf>
          </x14:cfRule>
          <xm:sqref>H179</xm:sqref>
        </x14:conditionalFormatting>
        <x14:conditionalFormatting xmlns:xm="http://schemas.microsoft.com/office/excel/2006/main">
          <x14:cfRule type="expression" priority="65" id="{577C94F4-34BC-44DD-B213-41113C5E3E88}">
            <xm:f>Sorteo!$J$11&lt;8</xm:f>
            <x14:dxf>
              <font>
                <color theme="0"/>
              </font>
              <border>
                <left/>
                <right/>
                <top/>
                <bottom/>
                <vertical/>
                <horizontal/>
              </border>
            </x14:dxf>
          </x14:cfRule>
          <xm:sqref>H182</xm:sqref>
        </x14:conditionalFormatting>
        <x14:conditionalFormatting xmlns:xm="http://schemas.microsoft.com/office/excel/2006/main">
          <x14:cfRule type="expression" priority="64" id="{0FA3B9CE-4307-4BC3-9E95-C37415DFA59F}">
            <xm:f>Sorteo!$J$11&lt;8</xm:f>
            <x14:dxf>
              <font>
                <color theme="0"/>
              </font>
              <border>
                <left/>
                <right/>
                <top/>
                <bottom/>
                <vertical/>
                <horizontal/>
              </border>
            </x14:dxf>
          </x14:cfRule>
          <xm:sqref>H185</xm:sqref>
        </x14:conditionalFormatting>
        <x14:conditionalFormatting xmlns:xm="http://schemas.microsoft.com/office/excel/2006/main">
          <x14:cfRule type="expression" priority="63" id="{B5EC6D49-DE21-4289-A649-CB133ED73CA9}">
            <xm:f>Sorteo!$J$11&lt;8</xm:f>
            <x14:dxf>
              <font>
                <color theme="0"/>
              </font>
              <border>
                <left/>
                <right/>
                <top/>
                <bottom/>
                <vertical/>
                <horizontal/>
              </border>
            </x14:dxf>
          </x14:cfRule>
          <xm:sqref>H188</xm:sqref>
        </x14:conditionalFormatting>
        <x14:conditionalFormatting xmlns:xm="http://schemas.microsoft.com/office/excel/2006/main">
          <x14:cfRule type="expression" priority="62" id="{999700F5-9B94-48E0-8E0C-F56DA90DA99D}">
            <xm:f>Sorteo!$J$11&lt;8</xm:f>
            <x14:dxf>
              <font>
                <color theme="0"/>
              </font>
              <border>
                <left/>
                <right/>
                <top/>
                <bottom/>
                <vertical/>
                <horizontal/>
              </border>
            </x14:dxf>
          </x14:cfRule>
          <xm:sqref>H191</xm:sqref>
        </x14:conditionalFormatting>
        <x14:conditionalFormatting xmlns:xm="http://schemas.microsoft.com/office/excel/2006/main">
          <x14:cfRule type="expression" priority="60" id="{62EEA074-AC3B-48DB-BA33-857983749C65}">
            <xm:f>Sorteo!$J$11&lt;128</xm:f>
            <x14:dxf>
              <font>
                <color theme="0"/>
              </font>
              <border>
                <left/>
                <right/>
                <top/>
                <bottom/>
                <vertical/>
                <horizontal/>
              </border>
            </x14:dxf>
          </x14:cfRule>
          <xm:sqref>AS121:AV141</xm:sqref>
        </x14:conditionalFormatting>
        <x14:conditionalFormatting xmlns:xm="http://schemas.microsoft.com/office/excel/2006/main">
          <x14:cfRule type="expression" priority="59" id="{75412FAE-A1D4-4B67-A9C1-60B3E174FED3}">
            <xm:f>Sorteo!$J$11&lt;8</xm:f>
            <x14:dxf>
              <font>
                <color auto="1"/>
              </font>
              <border>
                <left/>
                <right/>
                <top style="thin">
                  <color auto="1"/>
                </top>
                <bottom/>
                <vertical/>
                <horizontal/>
              </border>
            </x14:dxf>
          </x14:cfRule>
          <xm:sqref>G11</xm:sqref>
        </x14:conditionalFormatting>
        <x14:conditionalFormatting xmlns:xm="http://schemas.microsoft.com/office/excel/2006/main">
          <x14:cfRule type="expression" priority="58" id="{3E8DA773-75A2-4587-8D8B-1280BE631DA7}">
            <xm:f>Sorteo!$J$11&lt;16</xm:f>
            <x14:dxf>
              <font>
                <strike val="0"/>
                <color theme="1"/>
              </font>
              <border>
                <left style="thin">
                  <color auto="1"/>
                </left>
                <right style="thin">
                  <color auto="1"/>
                </right>
                <top style="thin">
                  <color auto="1"/>
                </top>
                <bottom/>
                <vertical/>
                <horizontal/>
              </border>
            </x14:dxf>
          </x14:cfRule>
          <xm:sqref>I22:L22</xm:sqref>
        </x14:conditionalFormatting>
        <x14:conditionalFormatting xmlns:xm="http://schemas.microsoft.com/office/excel/2006/main">
          <x14:cfRule type="expression" priority="56" id="{98247373-A01A-440C-93C4-56C58C88A16A}">
            <xm:f>Sorteo!$J$11&lt;32</xm:f>
            <x14:dxf>
              <font>
                <color theme="0"/>
              </font>
              <border>
                <left/>
                <right/>
                <top/>
                <bottom/>
                <vertical/>
                <horizontal/>
              </border>
            </x14:dxf>
          </x14:cfRule>
          <xm:sqref>AA142</xm:sqref>
        </x14:conditionalFormatting>
        <x14:conditionalFormatting xmlns:xm="http://schemas.microsoft.com/office/excel/2006/main">
          <x14:cfRule type="expression" priority="55" id="{59C6273A-9D44-4620-9A34-6D23E225CC16}">
            <xm:f>Sorteo!$J$11&lt;32</xm:f>
            <x14:dxf>
              <font>
                <color theme="0"/>
              </font>
              <border>
                <left/>
                <right/>
                <top/>
                <bottom/>
                <vertical/>
                <horizontal/>
              </border>
            </x14:dxf>
          </x14:cfRule>
          <xm:sqref>AP52</xm:sqref>
        </x14:conditionalFormatting>
        <x14:conditionalFormatting xmlns:xm="http://schemas.microsoft.com/office/excel/2006/main">
          <x14:cfRule type="expression" priority="54" id="{F3B14B6C-B22C-4514-9C3E-8FAF7AC0D054}">
            <xm:f>Sorteo!$J$11&lt;32</xm:f>
            <x14:dxf>
              <font>
                <color theme="0"/>
              </font>
              <border>
                <left/>
                <right/>
                <top/>
                <bottom/>
                <vertical/>
                <horizontal/>
              </border>
            </x14:dxf>
          </x14:cfRule>
          <xm:sqref>AP142</xm:sqref>
        </x14:conditionalFormatting>
        <x14:conditionalFormatting xmlns:xm="http://schemas.microsoft.com/office/excel/2006/main">
          <x14:cfRule type="expression" priority="53" id="{83621C61-CED0-4C89-84F1-07BFF5CA56B3}">
            <xm:f>Sorteo!$J$11&lt;32</xm:f>
            <x14:dxf>
              <font>
                <color theme="0"/>
              </font>
              <border>
                <left/>
                <right/>
                <top/>
                <bottom/>
                <vertical/>
                <horizontal/>
              </border>
            </x14:dxf>
          </x14:cfRule>
          <xm:sqref>W27:W28</xm:sqref>
        </x14:conditionalFormatting>
        <x14:conditionalFormatting xmlns:xm="http://schemas.microsoft.com/office/excel/2006/main">
          <x14:cfRule type="expression" priority="52" id="{B5FBD0EA-DAF6-4971-A2E8-656155EB5AA1}">
            <xm:f>Sorteo!$J$11&lt;32</xm:f>
            <x14:dxf>
              <font>
                <color theme="0"/>
              </font>
              <border>
                <left/>
                <right/>
                <top/>
                <bottom/>
                <vertical/>
                <horizontal/>
              </border>
            </x14:dxf>
          </x14:cfRule>
          <xm:sqref>W27:W30</xm:sqref>
        </x14:conditionalFormatting>
        <x14:conditionalFormatting xmlns:xm="http://schemas.microsoft.com/office/excel/2006/main">
          <x14:cfRule type="expression" priority="51" id="{015FF188-9E6F-4375-9DCF-70A086F6318A}">
            <xm:f>Sorteo!$J$11&lt;32</xm:f>
            <x14:dxf>
              <font>
                <color theme="0"/>
              </font>
              <border>
                <left/>
                <right/>
                <top/>
                <bottom/>
                <vertical/>
                <horizontal/>
              </border>
            </x14:dxf>
          </x14:cfRule>
          <xm:sqref>AP52:AP53</xm:sqref>
        </x14:conditionalFormatting>
        <x14:conditionalFormatting xmlns:xm="http://schemas.microsoft.com/office/excel/2006/main">
          <x14:cfRule type="expression" priority="50" id="{4F28D0C4-6D99-498D-A097-C5664C9EE080}">
            <xm:f>Sorteo!$J$11&lt;32</xm:f>
            <x14:dxf>
              <font>
                <color theme="0"/>
              </font>
              <border>
                <left/>
                <right/>
                <top/>
                <bottom/>
                <vertical/>
                <horizontal/>
              </border>
            </x14:dxf>
          </x14:cfRule>
          <xm:sqref>AP142</xm:sqref>
        </x14:conditionalFormatting>
        <x14:conditionalFormatting xmlns:xm="http://schemas.microsoft.com/office/excel/2006/main">
          <x14:cfRule type="expression" priority="49" id="{D24EDC21-FB4C-47AA-BF6A-651B250D982C}">
            <xm:f>Sorteo!$J$11&lt;32</xm:f>
            <x14:dxf>
              <font>
                <color theme="0"/>
              </font>
              <border>
                <left/>
                <right/>
                <top/>
                <bottom/>
                <vertical/>
                <horizontal/>
              </border>
            </x14:dxf>
          </x14:cfRule>
          <xm:sqref>AA141:AA142</xm:sqref>
        </x14:conditionalFormatting>
        <x14:conditionalFormatting xmlns:xm="http://schemas.microsoft.com/office/excel/2006/main">
          <x14:cfRule type="expression" priority="48" id="{91571876-F995-417F-AEA5-1B4F9BA9FC68}">
            <xm:f>Sorteo!$J$11&lt;16</xm:f>
            <x14:dxf>
              <font>
                <color theme="0"/>
              </font>
              <border>
                <left/>
                <right/>
                <top/>
                <bottom/>
                <vertical/>
                <horizontal/>
              </border>
            </x14:dxf>
          </x14:cfRule>
          <xm:sqref>W68:W70</xm:sqref>
        </x14:conditionalFormatting>
        <x14:conditionalFormatting xmlns:xm="http://schemas.microsoft.com/office/excel/2006/main">
          <x14:cfRule type="expression" priority="47" id="{6CA10123-D59C-4CC3-B9A9-B954E677FAF8}">
            <xm:f>Sorteo!$J$11&lt;16</xm:f>
            <x14:dxf>
              <font>
                <b val="0"/>
                <i val="0"/>
                <color theme="0"/>
              </font>
              <border>
                <left/>
                <right/>
                <top/>
                <bottom/>
                <vertical/>
                <horizontal/>
              </border>
            </x14:dxf>
          </x14:cfRule>
          <xm:sqref>W68:W70</xm:sqref>
        </x14:conditionalFormatting>
        <x14:conditionalFormatting xmlns:xm="http://schemas.microsoft.com/office/excel/2006/main">
          <x14:cfRule type="expression" priority="46" id="{224FE7BB-ECC1-47DF-A3A4-4C9437485732}">
            <xm:f>Sorteo!$J$11&lt;32</xm:f>
            <x14:dxf>
              <font>
                <color theme="0"/>
              </font>
              <border>
                <left/>
                <right/>
                <top/>
                <bottom/>
                <vertical/>
                <horizontal/>
              </border>
            </x14:dxf>
          </x14:cfRule>
          <xm:sqref>W68</xm:sqref>
        </x14:conditionalFormatting>
        <x14:conditionalFormatting xmlns:xm="http://schemas.microsoft.com/office/excel/2006/main">
          <x14:cfRule type="expression" priority="45" id="{B4052AC2-26D3-4539-811E-E95B75E7F0E2}">
            <xm:f>Sorteo!$J$11&lt;32</xm:f>
            <x14:dxf>
              <font>
                <color theme="0"/>
              </font>
              <border>
                <left/>
                <right/>
                <top/>
                <bottom/>
                <vertical/>
                <horizontal/>
              </border>
            </x14:dxf>
          </x14:cfRule>
          <xm:sqref>W68:W70</xm:sqref>
        </x14:conditionalFormatting>
        <x14:conditionalFormatting xmlns:xm="http://schemas.microsoft.com/office/excel/2006/main">
          <x14:cfRule type="expression" priority="44" id="{9B5A9B3C-82B3-4A2E-85F9-35AE1C370188}">
            <xm:f>Sorteo!$J$11&lt;32</xm:f>
            <x14:dxf>
              <font>
                <color theme="0"/>
              </font>
              <border>
                <left/>
                <right/>
                <top/>
                <bottom/>
                <vertical/>
                <horizontal/>
              </border>
            </x14:dxf>
          </x14:cfRule>
          <xm:sqref>AA140</xm:sqref>
        </x14:conditionalFormatting>
        <x14:conditionalFormatting xmlns:xm="http://schemas.microsoft.com/office/excel/2006/main">
          <x14:cfRule type="expression" priority="43" id="{A65B80DA-4308-4E4D-9268-6C54CD931696}">
            <xm:f>Sorteo!$J$11&lt;32</xm:f>
            <x14:dxf>
              <font>
                <color theme="0"/>
              </font>
              <border>
                <left/>
                <right/>
                <top/>
                <bottom/>
                <vertical/>
                <horizontal/>
              </border>
            </x14:dxf>
          </x14:cfRule>
          <xm:sqref>AA140:AA141</xm:sqref>
        </x14:conditionalFormatting>
        <x14:conditionalFormatting xmlns:xm="http://schemas.microsoft.com/office/excel/2006/main">
          <x14:cfRule type="expression" priority="42" id="{1294E1D9-0BF8-448F-B8DC-D695FCA213A2}">
            <xm:f>Sorteo!$J$11&lt;32</xm:f>
            <x14:dxf>
              <font>
                <color theme="0"/>
              </font>
              <border>
                <left/>
                <right/>
                <top/>
                <bottom/>
                <vertical/>
                <horizontal/>
              </border>
            </x14:dxf>
          </x14:cfRule>
          <xm:sqref>W27:W29</xm:sqref>
        </x14:conditionalFormatting>
        <x14:conditionalFormatting xmlns:xm="http://schemas.microsoft.com/office/excel/2006/main">
          <x14:cfRule type="expression" priority="41" id="{A71FF989-662D-4599-9ED5-B5843D07D7D5}">
            <xm:f>Sorteo!$J$11&lt;16</xm:f>
            <x14:dxf>
              <font>
                <color theme="0"/>
              </font>
              <border>
                <left/>
                <right/>
                <top/>
                <bottom/>
                <vertical/>
                <horizontal/>
              </border>
            </x14:dxf>
          </x14:cfRule>
          <xm:sqref>W68:W70</xm:sqref>
        </x14:conditionalFormatting>
        <x14:conditionalFormatting xmlns:xm="http://schemas.microsoft.com/office/excel/2006/main">
          <x14:cfRule type="expression" priority="40" id="{E41BEE5F-B1D1-4C35-9036-AF6C24B457F8}">
            <xm:f>Sorteo!$J$11&lt;16</xm:f>
            <x14:dxf>
              <font>
                <b val="0"/>
                <i val="0"/>
                <color theme="0"/>
              </font>
              <border>
                <left/>
                <right/>
                <top/>
                <bottom/>
                <vertical/>
                <horizontal/>
              </border>
            </x14:dxf>
          </x14:cfRule>
          <xm:sqref>W68:W70</xm:sqref>
        </x14:conditionalFormatting>
        <x14:conditionalFormatting xmlns:xm="http://schemas.microsoft.com/office/excel/2006/main">
          <x14:cfRule type="expression" priority="39" id="{296E9516-55A3-413A-AA14-D94F75C53B86}">
            <xm:f>Sorteo!$J$11&lt;32</xm:f>
            <x14:dxf>
              <font>
                <color theme="0"/>
              </font>
              <border>
                <left/>
                <right/>
                <top/>
                <bottom/>
                <vertical/>
                <horizontal/>
              </border>
            </x14:dxf>
          </x14:cfRule>
          <xm:sqref>W68</xm:sqref>
        </x14:conditionalFormatting>
        <x14:conditionalFormatting xmlns:xm="http://schemas.microsoft.com/office/excel/2006/main">
          <x14:cfRule type="expression" priority="38" id="{F0D14B0A-3BBC-4316-AD68-8D9D9555A38A}">
            <xm:f>Sorteo!$J$11&lt;32</xm:f>
            <x14:dxf>
              <font>
                <color theme="0"/>
              </font>
              <border>
                <left/>
                <right/>
                <top/>
                <bottom/>
                <vertical/>
                <horizontal/>
              </border>
            </x14:dxf>
          </x14:cfRule>
          <xm:sqref>W68:W70</xm:sqref>
        </x14:conditionalFormatting>
        <x14:conditionalFormatting xmlns:xm="http://schemas.microsoft.com/office/excel/2006/main">
          <x14:cfRule type="expression" priority="37" id="{4A0B689A-6D54-4F8B-90A8-9CC4C84C84DC}">
            <xm:f>Sorteo!$J$11&lt;32</xm:f>
            <x14:dxf>
              <font>
                <color theme="0"/>
              </font>
              <border>
                <left/>
                <right/>
                <top/>
                <bottom/>
                <vertical/>
                <horizontal/>
              </border>
            </x14:dxf>
          </x14:cfRule>
          <xm:sqref>W68:W69</xm:sqref>
        </x14:conditionalFormatting>
        <x14:conditionalFormatting xmlns:xm="http://schemas.microsoft.com/office/excel/2006/main">
          <x14:cfRule type="expression" priority="36" id="{14C72CF0-FE89-4F48-A161-2629D668FE9D}">
            <xm:f>Sorteo!$J$11&lt;32</xm:f>
            <x14:dxf>
              <font>
                <color theme="0"/>
              </font>
              <border>
                <left/>
                <right/>
                <top/>
                <bottom/>
                <vertical/>
                <horizontal/>
              </border>
            </x14:dxf>
          </x14:cfRule>
          <xm:sqref>W123:W124</xm:sqref>
        </x14:conditionalFormatting>
        <x14:conditionalFormatting xmlns:xm="http://schemas.microsoft.com/office/excel/2006/main">
          <x14:cfRule type="expression" priority="35" id="{F9095285-75E2-4E15-B8E0-46E74D21B1EA}">
            <xm:f>Sorteo!$J$11&lt;16</xm:f>
            <x14:dxf>
              <font>
                <color theme="0"/>
              </font>
              <border>
                <left/>
                <right/>
                <top/>
                <bottom/>
                <vertical/>
                <horizontal/>
              </border>
            </x14:dxf>
          </x14:cfRule>
          <xm:sqref>W123:W124</xm:sqref>
        </x14:conditionalFormatting>
        <x14:conditionalFormatting xmlns:xm="http://schemas.microsoft.com/office/excel/2006/main">
          <x14:cfRule type="expression" priority="34" id="{11C49E08-41C5-4B30-9A7D-E957A37C297B}">
            <xm:f>Sorteo!$J$11&lt;16</xm:f>
            <x14:dxf>
              <font>
                <b val="0"/>
                <i val="0"/>
                <color theme="0"/>
              </font>
              <border>
                <left/>
                <right/>
                <top/>
                <bottom/>
                <vertical/>
                <horizontal/>
              </border>
            </x14:dxf>
          </x14:cfRule>
          <xm:sqref>W123:W124</xm:sqref>
        </x14:conditionalFormatting>
        <x14:conditionalFormatting xmlns:xm="http://schemas.microsoft.com/office/excel/2006/main">
          <x14:cfRule type="expression" priority="33" id="{ED1718AB-E302-4AAD-BA95-32AC8F243CD3}">
            <xm:f>Sorteo!$J$11&lt;32</xm:f>
            <x14:dxf>
              <font>
                <color theme="0"/>
              </font>
              <border>
                <left/>
                <right/>
                <top/>
                <bottom/>
                <vertical/>
                <horizontal/>
              </border>
            </x14:dxf>
          </x14:cfRule>
          <xm:sqref>W123:W124</xm:sqref>
        </x14:conditionalFormatting>
        <x14:conditionalFormatting xmlns:xm="http://schemas.microsoft.com/office/excel/2006/main">
          <x14:cfRule type="expression" priority="32" id="{2541F829-8972-4AA9-85D5-4EA44E3F01B8}">
            <xm:f>Sorteo!$J$11&lt;16</xm:f>
            <x14:dxf>
              <font>
                <color theme="0"/>
              </font>
              <border>
                <left/>
                <right/>
                <top/>
                <bottom/>
                <vertical/>
                <horizontal/>
              </border>
            </x14:dxf>
          </x14:cfRule>
          <xm:sqref>W123:W124</xm:sqref>
        </x14:conditionalFormatting>
        <x14:conditionalFormatting xmlns:xm="http://schemas.microsoft.com/office/excel/2006/main">
          <x14:cfRule type="expression" priority="31" id="{38E846ED-C740-4492-8CE4-BE1063DDCC67}">
            <xm:f>Sorteo!$J$11&lt;16</xm:f>
            <x14:dxf>
              <font>
                <b val="0"/>
                <i val="0"/>
                <color theme="0"/>
              </font>
              <border>
                <left/>
                <right/>
                <top/>
                <bottom/>
                <vertical/>
                <horizontal/>
              </border>
            </x14:dxf>
          </x14:cfRule>
          <xm:sqref>W123:W124</xm:sqref>
        </x14:conditionalFormatting>
        <x14:conditionalFormatting xmlns:xm="http://schemas.microsoft.com/office/excel/2006/main">
          <x14:cfRule type="expression" priority="30" id="{19149B59-9043-478F-B2A8-73F5CDD2A8C4}">
            <xm:f>Sorteo!$J$11&lt;32</xm:f>
            <x14:dxf>
              <font>
                <color theme="0"/>
              </font>
              <border>
                <left/>
                <right/>
                <top/>
                <bottom/>
                <vertical/>
                <horizontal/>
              </border>
            </x14:dxf>
          </x14:cfRule>
          <xm:sqref>W123:W124</xm:sqref>
        </x14:conditionalFormatting>
        <x14:conditionalFormatting xmlns:xm="http://schemas.microsoft.com/office/excel/2006/main">
          <x14:cfRule type="expression" priority="29" id="{1645F4AD-9122-4142-B2E1-F80909C6BA0A}">
            <xm:f>Sorteo!$J$11&lt;32</xm:f>
            <x14:dxf>
              <font>
                <color theme="0"/>
              </font>
              <border>
                <left/>
                <right/>
                <top/>
                <bottom/>
                <vertical/>
                <horizontal/>
              </border>
            </x14:dxf>
          </x14:cfRule>
          <xm:sqref>W123</xm:sqref>
        </x14:conditionalFormatting>
        <x14:conditionalFormatting xmlns:xm="http://schemas.microsoft.com/office/excel/2006/main">
          <x14:cfRule type="expression" priority="28" id="{CD572F0F-3162-4C55-B510-03B2A831D16E}">
            <xm:f>Sorteo!$J$11&lt;32</xm:f>
            <x14:dxf>
              <font>
                <color theme="0"/>
              </font>
              <border>
                <left/>
                <right/>
                <top/>
                <bottom/>
                <vertical/>
                <horizontal/>
              </border>
            </x14:dxf>
          </x14:cfRule>
          <xm:sqref>W165:W166</xm:sqref>
        </x14:conditionalFormatting>
        <x14:conditionalFormatting xmlns:xm="http://schemas.microsoft.com/office/excel/2006/main">
          <x14:cfRule type="expression" priority="27" id="{6076E718-A539-4150-9761-D6C0BC9020CD}">
            <xm:f>Sorteo!$J$11&lt;16</xm:f>
            <x14:dxf>
              <font>
                <color theme="0"/>
              </font>
              <border>
                <left/>
                <right/>
                <top/>
                <bottom/>
                <vertical/>
                <horizontal/>
              </border>
            </x14:dxf>
          </x14:cfRule>
          <xm:sqref>W165:W166</xm:sqref>
        </x14:conditionalFormatting>
        <x14:conditionalFormatting xmlns:xm="http://schemas.microsoft.com/office/excel/2006/main">
          <x14:cfRule type="expression" priority="26" id="{936BC379-D769-4AB0-8653-758CF59F0E3E}">
            <xm:f>Sorteo!$J$11&lt;16</xm:f>
            <x14:dxf>
              <font>
                <b val="0"/>
                <i val="0"/>
                <color theme="0"/>
              </font>
              <border>
                <left/>
                <right/>
                <top/>
                <bottom/>
                <vertical/>
                <horizontal/>
              </border>
            </x14:dxf>
          </x14:cfRule>
          <xm:sqref>W165:W166</xm:sqref>
        </x14:conditionalFormatting>
        <x14:conditionalFormatting xmlns:xm="http://schemas.microsoft.com/office/excel/2006/main">
          <x14:cfRule type="expression" priority="25" id="{BAA9FDC9-9388-4A65-B047-05A40EBFB05B}">
            <xm:f>Sorteo!$J$11&lt;32</xm:f>
            <x14:dxf>
              <font>
                <color theme="0"/>
              </font>
              <border>
                <left/>
                <right/>
                <top/>
                <bottom/>
                <vertical/>
                <horizontal/>
              </border>
            </x14:dxf>
          </x14:cfRule>
          <xm:sqref>W165:W166</xm:sqref>
        </x14:conditionalFormatting>
        <x14:conditionalFormatting xmlns:xm="http://schemas.microsoft.com/office/excel/2006/main">
          <x14:cfRule type="expression" priority="24" id="{2EE9AFB7-57BB-4D57-95EC-1B82A9952EB5}">
            <xm:f>Sorteo!$J$11&lt;16</xm:f>
            <x14:dxf>
              <font>
                <color theme="0"/>
              </font>
              <border>
                <left/>
                <right/>
                <top/>
                <bottom/>
                <vertical/>
                <horizontal/>
              </border>
            </x14:dxf>
          </x14:cfRule>
          <xm:sqref>W165:W166</xm:sqref>
        </x14:conditionalFormatting>
        <x14:conditionalFormatting xmlns:xm="http://schemas.microsoft.com/office/excel/2006/main">
          <x14:cfRule type="expression" priority="23" id="{16611F2F-6CB4-40EE-BE85-BC432D6DB183}">
            <xm:f>Sorteo!$J$11&lt;16</xm:f>
            <x14:dxf>
              <font>
                <b val="0"/>
                <i val="0"/>
                <color theme="0"/>
              </font>
              <border>
                <left/>
                <right/>
                <top/>
                <bottom/>
                <vertical/>
                <horizontal/>
              </border>
            </x14:dxf>
          </x14:cfRule>
          <xm:sqref>W165:W166</xm:sqref>
        </x14:conditionalFormatting>
        <x14:conditionalFormatting xmlns:xm="http://schemas.microsoft.com/office/excel/2006/main">
          <x14:cfRule type="expression" priority="22" id="{515C9A05-4D8D-448D-85EE-5E1CDE519BEF}">
            <xm:f>Sorteo!$J$11&lt;32</xm:f>
            <x14:dxf>
              <font>
                <color theme="0"/>
              </font>
              <border>
                <left/>
                <right/>
                <top/>
                <bottom/>
                <vertical/>
                <horizontal/>
              </border>
            </x14:dxf>
          </x14:cfRule>
          <xm:sqref>W165:W166</xm:sqref>
        </x14:conditionalFormatting>
        <x14:conditionalFormatting xmlns:xm="http://schemas.microsoft.com/office/excel/2006/main">
          <x14:cfRule type="expression" priority="21" id="{1A01E5CB-0705-45ED-BC7E-6693A91FB3A5}">
            <xm:f>Sorteo!$J$11&lt;32</xm:f>
            <x14:dxf>
              <font>
                <color theme="0"/>
              </font>
              <border>
                <left/>
                <right/>
                <top/>
                <bottom/>
                <vertical/>
                <horizontal/>
              </border>
            </x14:dxf>
          </x14:cfRule>
          <xm:sqref>W165</xm:sqref>
        </x14:conditionalFormatting>
        <x14:conditionalFormatting xmlns:xm="http://schemas.microsoft.com/office/excel/2006/main">
          <x14:cfRule type="expression" priority="20" id="{3647EE28-DA1C-4EB9-A322-42E0D753041C}">
            <xm:f>Sorteo!$J$11&lt;8</xm:f>
            <x14:dxf>
              <font>
                <color theme="0"/>
              </font>
              <border>
                <left/>
                <right/>
                <top/>
                <bottom/>
                <vertical/>
                <horizontal/>
              </border>
            </x14:dxf>
          </x14:cfRule>
          <xm:sqref>L30:L31</xm:sqref>
        </x14:conditionalFormatting>
        <x14:conditionalFormatting xmlns:xm="http://schemas.microsoft.com/office/excel/2006/main">
          <x14:cfRule type="expression" priority="19" id="{541BF349-9BA7-447C-A605-9E2F4C335CAB}">
            <xm:f>Sorteo!$J$11&lt;16</xm:f>
            <x14:dxf>
              <font>
                <color theme="0"/>
              </font>
              <border>
                <left/>
                <right/>
                <top/>
                <bottom/>
                <vertical/>
                <horizontal/>
              </border>
            </x14:dxf>
          </x14:cfRule>
          <xm:sqref>P12:P13</xm:sqref>
        </x14:conditionalFormatting>
        <x14:conditionalFormatting xmlns:xm="http://schemas.microsoft.com/office/excel/2006/main">
          <x14:cfRule type="expression" priority="18" id="{A130A6C1-B229-4D28-BF6B-DFE79FE54E5F}">
            <xm:f>Sorteo!$J$11&lt;16</xm:f>
            <x14:dxf>
              <font>
                <b val="0"/>
                <i val="0"/>
                <color theme="0"/>
              </font>
              <border>
                <left/>
                <right style="thin">
                  <color auto="1"/>
                </right>
                <top/>
                <bottom/>
                <vertical/>
                <horizontal/>
              </border>
            </x14:dxf>
          </x14:cfRule>
          <xm:sqref>P12:P13</xm:sqref>
        </x14:conditionalFormatting>
        <x14:conditionalFormatting xmlns:xm="http://schemas.microsoft.com/office/excel/2006/main">
          <x14:cfRule type="expression" priority="17" id="{BEF2F5A8-4A08-44E4-A3C6-98E1C1212A1D}">
            <xm:f>Sorteo!$J$11&lt;8</xm:f>
            <x14:dxf>
              <font>
                <color theme="1"/>
              </font>
              <border>
                <left style="thin">
                  <color auto="1"/>
                </left>
                <right style="thin">
                  <color auto="1"/>
                </right>
                <top/>
                <bottom style="thin">
                  <color auto="1"/>
                </bottom>
                <vertical/>
                <horizontal/>
              </border>
            </x14:dxf>
          </x14:cfRule>
          <xm:sqref>I34:L34</xm:sqref>
        </x14:conditionalFormatting>
        <x14:conditionalFormatting xmlns:xm="http://schemas.microsoft.com/office/excel/2006/main">
          <x14:cfRule type="expression" priority="16" id="{0629C1A8-35D1-42C5-B0EB-6D681F111BDD}">
            <xm:f>Sorteo!$J$11&lt;16</xm:f>
            <x14:dxf>
              <font>
                <strike val="0"/>
                <color theme="1"/>
              </font>
              <border>
                <left style="thin">
                  <color auto="1"/>
                </left>
                <right style="thin">
                  <color auto="1"/>
                </right>
                <top style="thin">
                  <color auto="1"/>
                </top>
                <bottom/>
                <vertical/>
                <horizontal/>
              </border>
            </x14:dxf>
          </x14:cfRule>
          <xm:sqref>I34:L34</xm:sqref>
        </x14:conditionalFormatting>
        <x14:conditionalFormatting xmlns:xm="http://schemas.microsoft.com/office/excel/2006/main">
          <x14:cfRule type="expression" priority="15" id="{EDC10471-6F96-4585-A3D3-2DA79B4F577B}">
            <xm:f>Sorteo!$J$11&lt;16</xm:f>
            <x14:dxf>
              <font>
                <color theme="0"/>
              </font>
              <border>
                <left/>
                <right/>
                <top/>
                <bottom/>
                <vertical/>
                <horizontal/>
              </border>
            </x14:dxf>
          </x14:cfRule>
          <xm:sqref>S139</xm:sqref>
        </x14:conditionalFormatting>
        <x14:conditionalFormatting xmlns:xm="http://schemas.microsoft.com/office/excel/2006/main">
          <x14:cfRule type="expression" priority="14" id="{C4D08B57-3953-4752-9018-5669EBFBD919}">
            <xm:f>Sorteo!$J$11&lt;16</xm:f>
            <x14:dxf>
              <font>
                <b val="0"/>
                <i val="0"/>
                <color theme="0"/>
              </font>
              <border>
                <left/>
                <right/>
                <top/>
                <bottom/>
                <vertical/>
                <horizontal/>
              </border>
            </x14:dxf>
          </x14:cfRule>
          <xm:sqref>S139</xm:sqref>
        </x14:conditionalFormatting>
        <x14:conditionalFormatting xmlns:xm="http://schemas.microsoft.com/office/excel/2006/main">
          <x14:cfRule type="expression" priority="13" id="{DA08525A-BB49-4CA9-A931-E6EA092ACE6C}">
            <xm:f>Sorteo!$J$11&lt;16</xm:f>
            <x14:dxf>
              <font>
                <color theme="0"/>
              </font>
              <border>
                <left/>
                <right/>
                <top/>
                <bottom/>
                <vertical/>
                <horizontal/>
              </border>
            </x14:dxf>
          </x14:cfRule>
          <xm:sqref>AD74</xm:sqref>
        </x14:conditionalFormatting>
        <x14:conditionalFormatting xmlns:xm="http://schemas.microsoft.com/office/excel/2006/main">
          <x14:cfRule type="expression" priority="12" id="{96D9C556-F77E-4850-83AC-6CE55F54AE22}">
            <xm:f>Sorteo!$J$11&lt;16</xm:f>
            <x14:dxf>
              <font>
                <b val="0"/>
                <i val="0"/>
                <color theme="0"/>
              </font>
              <border>
                <left/>
                <right/>
                <top/>
                <bottom/>
                <vertical/>
                <horizontal/>
              </border>
            </x14:dxf>
          </x14:cfRule>
          <xm:sqref>AD74</xm:sqref>
        </x14:conditionalFormatting>
        <x14:conditionalFormatting xmlns:xm="http://schemas.microsoft.com/office/excel/2006/main">
          <x14:cfRule type="expression" priority="11" id="{AE70F9B9-93B7-4511-91A8-E236074D67FA}">
            <xm:f>Sorteo!$J$11&lt;16</xm:f>
            <x14:dxf>
              <font>
                <color theme="0"/>
              </font>
              <border>
                <left/>
                <right/>
                <top/>
                <bottom/>
                <vertical/>
                <horizontal/>
              </border>
            </x14:dxf>
          </x14:cfRule>
          <xm:sqref>AV43</xm:sqref>
        </x14:conditionalFormatting>
        <x14:conditionalFormatting xmlns:xm="http://schemas.microsoft.com/office/excel/2006/main">
          <x14:cfRule type="expression" priority="10" id="{D9589529-F82B-4DF1-9D60-D59728AD969F}">
            <xm:f>Sorteo!$J$11&lt;16</xm:f>
            <x14:dxf>
              <font>
                <b val="0"/>
                <i val="0"/>
                <color theme="0"/>
              </font>
              <border>
                <left/>
                <right/>
                <top/>
                <bottom/>
                <vertical/>
                <horizontal/>
              </border>
            </x14:dxf>
          </x14:cfRule>
          <xm:sqref>AV43</xm:sqref>
        </x14:conditionalFormatting>
        <x14:conditionalFormatting xmlns:xm="http://schemas.microsoft.com/office/excel/2006/main">
          <x14:cfRule type="expression" priority="8" id="{26F42470-6F75-498A-AC5B-CC39F2E985AD}">
            <xm:f>Sorteo!$J$11&lt;16</xm:f>
            <x14:dxf>
              <font>
                <color theme="0"/>
              </font>
              <border>
                <left/>
                <right/>
                <top/>
                <bottom/>
                <vertical/>
                <horizontal/>
              </border>
            </x14:dxf>
          </x14:cfRule>
          <xm:sqref>AV142</xm:sqref>
        </x14:conditionalFormatting>
        <x14:conditionalFormatting xmlns:xm="http://schemas.microsoft.com/office/excel/2006/main">
          <x14:cfRule type="expression" priority="7" id="{48AD6BA1-60BA-4AA6-9A5E-24D8A7A992FA}">
            <xm:f>Sorteo!$J$11&lt;16</xm:f>
            <x14:dxf>
              <font>
                <b val="0"/>
                <i val="0"/>
                <color theme="0"/>
              </font>
              <border>
                <left/>
                <right/>
                <top/>
                <bottom/>
                <vertical/>
                <horizontal/>
              </border>
            </x14:dxf>
          </x14:cfRule>
          <xm:sqref>AV142</xm:sqref>
        </x14:conditionalFormatting>
        <x14:conditionalFormatting xmlns:xm="http://schemas.microsoft.com/office/excel/2006/main">
          <x14:cfRule type="expression" priority="6" id="{297DF497-157D-40F3-9ECF-240A05395851}">
            <xm:f>Sorteo!$J$11&lt;16</xm:f>
            <x14:dxf>
              <font>
                <color theme="0"/>
              </font>
              <border>
                <left/>
                <right/>
                <top/>
                <bottom/>
                <vertical/>
                <horizontal/>
              </border>
            </x14:dxf>
          </x14:cfRule>
          <xm:sqref>AH85</xm:sqref>
        </x14:conditionalFormatting>
        <x14:conditionalFormatting xmlns:xm="http://schemas.microsoft.com/office/excel/2006/main">
          <x14:cfRule type="expression" priority="5" id="{EC097BDE-AD79-4122-A396-4525704EE7DF}">
            <xm:f>Sorteo!$J$11&lt;16</xm:f>
            <x14:dxf>
              <font>
                <b val="0"/>
                <i val="0"/>
                <color theme="0"/>
              </font>
              <border>
                <left/>
                <right/>
                <top/>
                <bottom/>
                <vertical/>
                <horizontal/>
              </border>
            </x14:dxf>
          </x14:cfRule>
          <xm:sqref>AH85</xm:sqref>
        </x14:conditionalFormatting>
        <x14:conditionalFormatting xmlns:xm="http://schemas.microsoft.com/office/excel/2006/main">
          <x14:cfRule type="expression" priority="4" id="{CDAB6994-E125-4FB8-862D-CDCA96D3F9A4}">
            <xm:f>Sorteo!$J$11&lt;16</xm:f>
            <x14:dxf>
              <font>
                <color theme="0"/>
              </font>
              <border>
                <left/>
                <right/>
                <top/>
                <bottom/>
                <vertical/>
                <horizontal/>
              </border>
            </x14:dxf>
          </x14:cfRule>
          <xm:sqref>S140</xm:sqref>
        </x14:conditionalFormatting>
        <x14:conditionalFormatting xmlns:xm="http://schemas.microsoft.com/office/excel/2006/main">
          <x14:cfRule type="expression" priority="3" id="{E95B685C-F3EB-4C67-BC11-73C7BE71B3A8}">
            <xm:f>Sorteo!$J$11&lt;16</xm:f>
            <x14:dxf>
              <font>
                <b val="0"/>
                <i val="0"/>
                <color theme="0"/>
              </font>
              <border>
                <left/>
                <right/>
                <top/>
                <bottom/>
                <vertical/>
                <horizontal/>
              </border>
            </x14:dxf>
          </x14:cfRule>
          <xm:sqref>S140</xm:sqref>
        </x14:conditionalFormatting>
      </x14:conditionalFormattings>
    </ext>
    <ext xmlns:x14="http://schemas.microsoft.com/office/spreadsheetml/2009/9/main" uri="{CCE6A557-97BC-4b89-ADB6-D9C93CAAB3DF}">
      <x14:dataValidations xmlns:xm="http://schemas.microsoft.com/office/excel/2006/main" count="2">
        <x14:dataValidation type="list" showInputMessage="1" showErrorMessage="1" xr:uid="{00000000-0002-0000-0200-000000000000}">
          <x14:formula1>
            <xm:f>Tablas!$G$1:$G$7</xm:f>
          </x14:formula1>
          <xm:sqref>H2 H5 H8 H11 H14 H191 H20 H23 H26 H29 H32 H35 H38 H41 H44 H47 H50 H53 H56 H59 H62 H65 H68 H71 H74 H77 H80 H83 H86 H89 H92 H95 H98 H101 H104 H107 H110 H113 H116 H119 H122 H125 H128 H131 H134 H137 H140 H143 H146 H149 H152 H155 H158 H161 H164 H167 H170 H173 H176 H179 H182 H185 H188 H17 BI2 BI11 BI185 BI8 BI5 BI14 BI23 BI20 BI17 BI26 BI35 BI32 BI29 BI38 BI47 BI44 BI41 BI50 BI59 BI56 BI53 BI62 BI71 BI68 BI65 BI74 BI83 BI80 BI77 BI86 BI95 BI92 BI89 BI98 BI107 BI104 BI101 BI110 BI119 BI116 BI113 BI122 BI131 BI128 BI125 BI134 BI143 BI140 BI137 BI146 BI155 BI152 BI149 BI158 BI167 BI164 BI161 BI170 BI179 BI176 BI173 BI182 BI191 BI188 BD3 BD22 BD10 BD15 BD27 BD34 BD39 BD46 BD51 BD58 BD63 BD70 BD75 BD82 BD87 BD94 BD99 BD106 BD111 BD118 BD123 BD130 BD135 BD142 BD147 BD154 BD159 BD166 BD171 BD178 BD183 BD190 AZ187 AZ174 AZ163 AZ150 AZ139 AZ126 AZ115 AZ102 AZ91 AZ78 AZ67 AZ54 AZ43 AZ30 AZ19 AZ6 AV12 AR24 AV37 AV60 AR73 AV85 AN48 AN145</xm:sqref>
        </x14:dataValidation>
        <x14:dataValidation type="list" allowBlank="1" showInputMessage="1" showErrorMessage="1" errorTitle="Error" error="Solamente los valores G, P, g, p, W, L, w o l" xr:uid="{00000000-0002-0000-0200-000001000000}">
          <x14:formula1>
            <xm:f>Tablas!$G$1:$G$7</xm:f>
          </x14:formula1>
          <xm:sqref>M3 M10 M15 M22 M27 M34 M39 M46 M51 M58 M63 M70 M75 M82 M87 M94 M99 M106 M111 M118 M123 M130 M135 M142 M147 M154 M159 M166 M171 M178 M183 M190 Q187 U181 Q174 Q163 Y169 U156 Q150 AC145 Q139 U133 Q126 Y120 U108 Q115 AK95 Q102 Q91 U85 Q78 Q67 Y73 U60 AF95 Q54 AC48 Q43 Q30 U37 Y24 Q19 U12 Q6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34F-FA4E-47C0-A3B2-60460D900192}">
  <sheetPr codeName="Sheet5"/>
  <dimension ref="B1:C24"/>
  <sheetViews>
    <sheetView workbookViewId="0"/>
  </sheetViews>
  <sheetFormatPr defaultRowHeight="14.4" x14ac:dyDescent="0.3"/>
  <sheetData>
    <row r="1" spans="2:3" x14ac:dyDescent="0.3">
      <c r="B1" t="s">
        <v>9840</v>
      </c>
    </row>
    <row r="2" spans="2:3" x14ac:dyDescent="0.3">
      <c r="B2" t="s">
        <v>9825</v>
      </c>
    </row>
    <row r="3" spans="2:3" x14ac:dyDescent="0.3">
      <c r="B3" t="s">
        <v>9828</v>
      </c>
    </row>
    <row r="4" spans="2:3" x14ac:dyDescent="0.3">
      <c r="B4" t="s">
        <v>9826</v>
      </c>
    </row>
    <row r="5" spans="2:3" x14ac:dyDescent="0.3">
      <c r="B5" t="s">
        <v>9828</v>
      </c>
    </row>
    <row r="6" spans="2:3" x14ac:dyDescent="0.3">
      <c r="B6" t="s">
        <v>9827</v>
      </c>
    </row>
    <row r="7" spans="2:3" x14ac:dyDescent="0.3">
      <c r="B7" t="s">
        <v>9828</v>
      </c>
    </row>
    <row r="8" spans="2:3" x14ac:dyDescent="0.3">
      <c r="B8" t="s">
        <v>9830</v>
      </c>
    </row>
    <row r="9" spans="2:3" x14ac:dyDescent="0.3">
      <c r="B9" t="s">
        <v>9829</v>
      </c>
    </row>
    <row r="10" spans="2:3" x14ac:dyDescent="0.3">
      <c r="B10" t="s">
        <v>9831</v>
      </c>
    </row>
    <row r="11" spans="2:3" x14ac:dyDescent="0.3">
      <c r="C11" t="s">
        <v>9833</v>
      </c>
    </row>
    <row r="12" spans="2:3" x14ac:dyDescent="0.3">
      <c r="C12" t="s">
        <v>9834</v>
      </c>
    </row>
    <row r="13" spans="2:3" x14ac:dyDescent="0.3">
      <c r="C13" t="s">
        <v>9835</v>
      </c>
    </row>
    <row r="14" spans="2:3" x14ac:dyDescent="0.3">
      <c r="B14" t="s">
        <v>9829</v>
      </c>
    </row>
    <row r="15" spans="2:3" x14ac:dyDescent="0.3">
      <c r="B15" t="s">
        <v>9832</v>
      </c>
    </row>
    <row r="16" spans="2:3" x14ac:dyDescent="0.3">
      <c r="C16" t="s">
        <v>9833</v>
      </c>
    </row>
    <row r="17" spans="3:3" x14ac:dyDescent="0.3">
      <c r="C17" t="s">
        <v>9839</v>
      </c>
    </row>
    <row r="18" spans="3:3" x14ac:dyDescent="0.3">
      <c r="C18" t="s">
        <v>9834</v>
      </c>
    </row>
    <row r="19" spans="3:3" x14ac:dyDescent="0.3">
      <c r="C19" t="s">
        <v>9839</v>
      </c>
    </row>
    <row r="20" spans="3:3" x14ac:dyDescent="0.3">
      <c r="C20" t="s">
        <v>9837</v>
      </c>
    </row>
    <row r="21" spans="3:3" x14ac:dyDescent="0.3">
      <c r="C21" t="s">
        <v>9839</v>
      </c>
    </row>
    <row r="22" spans="3:3" x14ac:dyDescent="0.3">
      <c r="C22" t="s">
        <v>9836</v>
      </c>
    </row>
    <row r="23" spans="3:3" x14ac:dyDescent="0.3">
      <c r="C23" t="s">
        <v>9839</v>
      </c>
    </row>
    <row r="24" spans="3:3" x14ac:dyDescent="0.3">
      <c r="C24" t="s">
        <v>9838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1:AO303"/>
  <sheetViews>
    <sheetView workbookViewId="0">
      <selection activeCell="A2" sqref="A2:F28"/>
    </sheetView>
  </sheetViews>
  <sheetFormatPr defaultColWidth="6.88671875" defaultRowHeight="12.75" customHeight="1" x14ac:dyDescent="0.25"/>
  <cols>
    <col min="1" max="1" width="3.88671875" style="305" customWidth="1"/>
    <col min="2" max="2" width="1.44140625" style="305" hidden="1" customWidth="1"/>
    <col min="3" max="3" width="45.5546875" style="305" customWidth="1"/>
    <col min="4" max="4" width="21.44140625" style="305" customWidth="1"/>
    <col min="5" max="5" width="6.88671875" style="305" customWidth="1"/>
    <col min="6" max="6" width="12.21875" style="305" customWidth="1"/>
    <col min="7" max="16384" width="6.88671875" style="305"/>
  </cols>
  <sheetData>
    <row r="1" spans="1:6" ht="20.25" customHeight="1" thickBot="1" x14ac:dyDescent="0.35">
      <c r="A1" s="324" t="s">
        <v>9845</v>
      </c>
      <c r="B1" s="292"/>
      <c r="C1" s="441" t="str">
        <f>Sorteo!C2</f>
        <v>Federación Puertorriqueña de Tenis de Mesa</v>
      </c>
      <c r="D1" s="333"/>
      <c r="E1" s="333"/>
      <c r="F1" s="333"/>
    </row>
    <row r="2" spans="1:6" ht="17.399999999999999" x14ac:dyDescent="0.3">
      <c r="A2" s="292"/>
      <c r="B2" s="292"/>
      <c r="C2" s="189" t="str">
        <f>CONCATENATE("Categoría: "," ",IF(ISTEXT(Sorteo!C5),Sorteo!C5,""))</f>
        <v>Categoría:  Dobles Mixtos</v>
      </c>
      <c r="D2" s="292"/>
      <c r="E2" s="315"/>
      <c r="F2" s="316">
        <f>COUNT(F4:F131)</f>
        <v>0</v>
      </c>
    </row>
    <row r="3" spans="1:6" ht="21" x14ac:dyDescent="0.25">
      <c r="A3" s="292"/>
      <c r="B3" s="176"/>
      <c r="C3" s="190" t="s">
        <v>9842</v>
      </c>
      <c r="D3" s="177" t="s">
        <v>15</v>
      </c>
      <c r="E3" s="177" t="s">
        <v>9843</v>
      </c>
      <c r="F3" s="332" t="str">
        <f>CONCATENATE(Sorteo!C3,"   ",DAY(Sorteo!C4),"/",MONTH(Sorteo!C4),"/",YEAR(Sorteo!C4))</f>
        <v>Nacionales 2025   8/11/2025</v>
      </c>
    </row>
    <row r="4" spans="1:6" ht="12.75" customHeight="1" x14ac:dyDescent="0.25">
      <c r="A4" s="292">
        <v>1</v>
      </c>
      <c r="B4" s="178"/>
      <c r="C4" s="180" t="str">
        <f t="shared" ref="C4:C35" si="0">IF(A4&lt;=Tot_Jug,VLOOKUP(A4,Results,3,FALSE),"")</f>
        <v/>
      </c>
      <c r="D4" s="180" t="str">
        <f t="shared" ref="D4:D67" si="1">IF(C4&lt;&gt;"",IF(A4&lt;=Tot_Jug,VLOOKUP(C4,Siembra,2,FALSE),""),"")</f>
        <v/>
      </c>
      <c r="E4" s="179" t="str">
        <f>IF(C4&lt;&gt;"",VLOOKUP(Ranking!C4,Siembra,3,FALSE),"")</f>
        <v/>
      </c>
      <c r="F4" s="323" t="str">
        <f t="shared" ref="F4:F35" si="2">IF(A4&lt;=Tot_Jug,VLOOKUP(A4,Results,4,FALSE),"")</f>
        <v/>
      </c>
    </row>
    <row r="5" spans="1:6" ht="12.75" customHeight="1" x14ac:dyDescent="0.25">
      <c r="A5" s="292">
        <v>2</v>
      </c>
      <c r="B5" s="178"/>
      <c r="C5" s="180" t="str">
        <f t="shared" si="0"/>
        <v/>
      </c>
      <c r="D5" s="180" t="str">
        <f t="shared" si="1"/>
        <v/>
      </c>
      <c r="E5" s="179" t="str">
        <f>IF(C5&lt;&gt;"",VLOOKUP(Ranking!C5,Siembra,3,FALSE),"")</f>
        <v/>
      </c>
      <c r="F5" s="323" t="str">
        <f t="shared" si="2"/>
        <v/>
      </c>
    </row>
    <row r="6" spans="1:6" ht="12.75" customHeight="1" x14ac:dyDescent="0.25">
      <c r="A6" s="292">
        <v>3</v>
      </c>
      <c r="B6" s="178"/>
      <c r="C6" s="180" t="str">
        <f t="shared" si="0"/>
        <v/>
      </c>
      <c r="D6" s="180" t="str">
        <f t="shared" si="1"/>
        <v/>
      </c>
      <c r="E6" s="179" t="str">
        <f>IF(C6&lt;&gt;"",VLOOKUP(Ranking!C6,Siembra,3,FALSE),"")</f>
        <v/>
      </c>
      <c r="F6" s="323" t="str">
        <f t="shared" si="2"/>
        <v/>
      </c>
    </row>
    <row r="7" spans="1:6" ht="12.75" customHeight="1" x14ac:dyDescent="0.25">
      <c r="A7" s="292">
        <v>4</v>
      </c>
      <c r="B7" s="178"/>
      <c r="C7" s="180" t="str">
        <f t="shared" si="0"/>
        <v/>
      </c>
      <c r="D7" s="180" t="str">
        <f t="shared" si="1"/>
        <v/>
      </c>
      <c r="E7" s="179" t="str">
        <f>IF(C7&lt;&gt;"",VLOOKUP(Ranking!C7,Siembra,3,FALSE),"")</f>
        <v/>
      </c>
      <c r="F7" s="323" t="str">
        <f t="shared" si="2"/>
        <v/>
      </c>
    </row>
    <row r="8" spans="1:6" ht="12.75" customHeight="1" x14ac:dyDescent="0.25">
      <c r="A8" s="292">
        <v>5</v>
      </c>
      <c r="B8" s="178"/>
      <c r="C8" s="180" t="str">
        <f t="shared" si="0"/>
        <v/>
      </c>
      <c r="D8" s="180" t="str">
        <f t="shared" si="1"/>
        <v/>
      </c>
      <c r="E8" s="179" t="str">
        <f>IF(C8&lt;&gt;"",VLOOKUP(Ranking!C8,Siembra,3,FALSE),"")</f>
        <v/>
      </c>
      <c r="F8" s="323" t="str">
        <f t="shared" si="2"/>
        <v/>
      </c>
    </row>
    <row r="9" spans="1:6" ht="12.75" customHeight="1" x14ac:dyDescent="0.25">
      <c r="A9" s="292">
        <v>6</v>
      </c>
      <c r="B9" s="178"/>
      <c r="C9" s="180" t="str">
        <f t="shared" si="0"/>
        <v/>
      </c>
      <c r="D9" s="180" t="str">
        <f t="shared" si="1"/>
        <v/>
      </c>
      <c r="E9" s="179" t="str">
        <f>IF(C9&lt;&gt;"",VLOOKUP(Ranking!C9,Siembra,3,FALSE),"")</f>
        <v/>
      </c>
      <c r="F9" s="323" t="str">
        <f t="shared" si="2"/>
        <v/>
      </c>
    </row>
    <row r="10" spans="1:6" ht="12.75" customHeight="1" x14ac:dyDescent="0.25">
      <c r="A10" s="292">
        <v>7</v>
      </c>
      <c r="B10" s="178"/>
      <c r="C10" s="180" t="str">
        <f t="shared" si="0"/>
        <v/>
      </c>
      <c r="D10" s="180" t="str">
        <f t="shared" si="1"/>
        <v/>
      </c>
      <c r="E10" s="179" t="str">
        <f>IF(C10&lt;&gt;"",VLOOKUP(Ranking!C10,Siembra,3,FALSE),"")</f>
        <v/>
      </c>
      <c r="F10" s="323" t="str">
        <f t="shared" si="2"/>
        <v/>
      </c>
    </row>
    <row r="11" spans="1:6" ht="12.75" customHeight="1" x14ac:dyDescent="0.25">
      <c r="A11" s="292">
        <v>8</v>
      </c>
      <c r="B11" s="178"/>
      <c r="C11" s="180" t="str">
        <f t="shared" si="0"/>
        <v/>
      </c>
      <c r="D11" s="180" t="str">
        <f t="shared" si="1"/>
        <v/>
      </c>
      <c r="E11" s="179" t="str">
        <f>IF(C11&lt;&gt;"",VLOOKUP(Ranking!C11,Siembra,3,FALSE),"")</f>
        <v/>
      </c>
      <c r="F11" s="323" t="str">
        <f t="shared" si="2"/>
        <v/>
      </c>
    </row>
    <row r="12" spans="1:6" ht="12.75" customHeight="1" x14ac:dyDescent="0.25">
      <c r="A12" s="292">
        <v>9</v>
      </c>
      <c r="B12" s="178"/>
      <c r="C12" s="180" t="str">
        <f t="shared" si="0"/>
        <v/>
      </c>
      <c r="D12" s="180" t="str">
        <f t="shared" si="1"/>
        <v/>
      </c>
      <c r="E12" s="179" t="str">
        <f>IF(C12&lt;&gt;"",VLOOKUP(Ranking!C12,Siembra,3,FALSE),"")</f>
        <v/>
      </c>
      <c r="F12" s="323" t="str">
        <f t="shared" si="2"/>
        <v/>
      </c>
    </row>
    <row r="13" spans="1:6" ht="12.75" customHeight="1" x14ac:dyDescent="0.25">
      <c r="A13" s="292">
        <v>10</v>
      </c>
      <c r="B13" s="292"/>
      <c r="C13" s="180" t="str">
        <f t="shared" si="0"/>
        <v/>
      </c>
      <c r="D13" s="180" t="str">
        <f t="shared" si="1"/>
        <v/>
      </c>
      <c r="E13" s="179" t="str">
        <f>IF(C13&lt;&gt;"",VLOOKUP(Ranking!C13,Siembra,3,FALSE),"")</f>
        <v/>
      </c>
      <c r="F13" s="323" t="str">
        <f t="shared" si="2"/>
        <v/>
      </c>
    </row>
    <row r="14" spans="1:6" ht="12.75" customHeight="1" x14ac:dyDescent="0.25">
      <c r="A14" s="292">
        <v>11</v>
      </c>
      <c r="B14" s="292"/>
      <c r="C14" s="180" t="str">
        <f t="shared" si="0"/>
        <v/>
      </c>
      <c r="D14" s="180" t="str">
        <f t="shared" si="1"/>
        <v/>
      </c>
      <c r="E14" s="179" t="str">
        <f>IF(C14&lt;&gt;"",VLOOKUP(Ranking!C14,Siembra,3,FALSE),"")</f>
        <v/>
      </c>
      <c r="F14" s="323" t="str">
        <f t="shared" si="2"/>
        <v/>
      </c>
    </row>
    <row r="15" spans="1:6" ht="12.75" customHeight="1" x14ac:dyDescent="0.25">
      <c r="A15" s="292">
        <v>12</v>
      </c>
      <c r="B15" s="292"/>
      <c r="C15" s="180" t="str">
        <f t="shared" si="0"/>
        <v/>
      </c>
      <c r="D15" s="180" t="str">
        <f t="shared" si="1"/>
        <v/>
      </c>
      <c r="E15" s="179" t="str">
        <f>IF(C15&lt;&gt;"",VLOOKUP(Ranking!C15,Siembra,3,FALSE),"")</f>
        <v/>
      </c>
      <c r="F15" s="323" t="str">
        <f t="shared" si="2"/>
        <v/>
      </c>
    </row>
    <row r="16" spans="1:6" ht="12.75" customHeight="1" x14ac:dyDescent="0.25">
      <c r="A16" s="292">
        <v>13</v>
      </c>
      <c r="B16" s="292"/>
      <c r="C16" s="180" t="str">
        <f t="shared" si="0"/>
        <v/>
      </c>
      <c r="D16" s="180" t="str">
        <f t="shared" si="1"/>
        <v/>
      </c>
      <c r="E16" s="179" t="str">
        <f>IF(C16&lt;&gt;"",VLOOKUP(Ranking!C16,Siembra,3,FALSE),"")</f>
        <v/>
      </c>
      <c r="F16" s="323" t="str">
        <f t="shared" si="2"/>
        <v/>
      </c>
    </row>
    <row r="17" spans="1:6" ht="12.75" customHeight="1" x14ac:dyDescent="0.25">
      <c r="A17" s="292">
        <v>14</v>
      </c>
      <c r="B17" s="292"/>
      <c r="C17" s="180" t="str">
        <f t="shared" si="0"/>
        <v/>
      </c>
      <c r="D17" s="180" t="str">
        <f t="shared" si="1"/>
        <v/>
      </c>
      <c r="E17" s="179" t="str">
        <f>IF(C17&lt;&gt;"",VLOOKUP(Ranking!C17,Siembra,3,FALSE),"")</f>
        <v/>
      </c>
      <c r="F17" s="323" t="str">
        <f t="shared" si="2"/>
        <v/>
      </c>
    </row>
    <row r="18" spans="1:6" ht="12.75" customHeight="1" x14ac:dyDescent="0.25">
      <c r="A18" s="292">
        <v>15</v>
      </c>
      <c r="B18" s="292"/>
      <c r="C18" s="180" t="str">
        <f t="shared" si="0"/>
        <v/>
      </c>
      <c r="D18" s="180" t="str">
        <f t="shared" si="1"/>
        <v/>
      </c>
      <c r="E18" s="179" t="str">
        <f>IF(C18&lt;&gt;"",VLOOKUP(Ranking!C18,Siembra,3,FALSE),"")</f>
        <v/>
      </c>
      <c r="F18" s="323" t="str">
        <f t="shared" si="2"/>
        <v/>
      </c>
    </row>
    <row r="19" spans="1:6" ht="12.75" customHeight="1" x14ac:dyDescent="0.25">
      <c r="A19" s="292">
        <v>16</v>
      </c>
      <c r="B19" s="292"/>
      <c r="C19" s="180" t="str">
        <f t="shared" si="0"/>
        <v/>
      </c>
      <c r="D19" s="180" t="str">
        <f t="shared" si="1"/>
        <v/>
      </c>
      <c r="E19" s="179" t="str">
        <f>IF(C19&lt;&gt;"",VLOOKUP(Ranking!C19,Siembra,3,FALSE),"")</f>
        <v/>
      </c>
      <c r="F19" s="323" t="str">
        <f t="shared" si="2"/>
        <v/>
      </c>
    </row>
    <row r="20" spans="1:6" ht="12.75" customHeight="1" x14ac:dyDescent="0.25">
      <c r="A20" s="292">
        <v>17</v>
      </c>
      <c r="B20" s="292"/>
      <c r="C20" s="180" t="str">
        <f t="shared" si="0"/>
        <v/>
      </c>
      <c r="D20" s="180" t="str">
        <f t="shared" si="1"/>
        <v/>
      </c>
      <c r="E20" s="179" t="str">
        <f>IF(C20&lt;&gt;"",VLOOKUP(Ranking!C20,Siembra,3,FALSE),"")</f>
        <v/>
      </c>
      <c r="F20" s="323" t="str">
        <f t="shared" si="2"/>
        <v/>
      </c>
    </row>
    <row r="21" spans="1:6" ht="12.75" customHeight="1" x14ac:dyDescent="0.25">
      <c r="A21" s="292">
        <v>18</v>
      </c>
      <c r="B21" s="292"/>
      <c r="C21" s="180" t="str">
        <f t="shared" si="0"/>
        <v/>
      </c>
      <c r="D21" s="180" t="str">
        <f t="shared" si="1"/>
        <v/>
      </c>
      <c r="E21" s="179" t="str">
        <f>IF(C21&lt;&gt;"",VLOOKUP(Ranking!C21,Siembra,3,FALSE),"")</f>
        <v/>
      </c>
      <c r="F21" s="323" t="str">
        <f t="shared" si="2"/>
        <v/>
      </c>
    </row>
    <row r="22" spans="1:6" ht="12.75" customHeight="1" x14ac:dyDescent="0.25">
      <c r="A22" s="292">
        <v>19</v>
      </c>
      <c r="B22" s="292"/>
      <c r="C22" s="180" t="str">
        <f t="shared" si="0"/>
        <v/>
      </c>
      <c r="D22" s="180" t="str">
        <f t="shared" si="1"/>
        <v/>
      </c>
      <c r="E22" s="179" t="str">
        <f>IF(C22&lt;&gt;"",VLOOKUP(Ranking!C22,Siembra,3,FALSE),"")</f>
        <v/>
      </c>
      <c r="F22" s="323" t="str">
        <f t="shared" si="2"/>
        <v/>
      </c>
    </row>
    <row r="23" spans="1:6" ht="12.75" customHeight="1" x14ac:dyDescent="0.25">
      <c r="A23" s="292">
        <v>20</v>
      </c>
      <c r="B23" s="292"/>
      <c r="C23" s="180" t="str">
        <f t="shared" si="0"/>
        <v/>
      </c>
      <c r="D23" s="180" t="str">
        <f t="shared" si="1"/>
        <v/>
      </c>
      <c r="E23" s="179" t="str">
        <f>IF(C23&lt;&gt;"",VLOOKUP(Ranking!C23,Siembra,3,FALSE),"")</f>
        <v/>
      </c>
      <c r="F23" s="323" t="str">
        <f t="shared" si="2"/>
        <v/>
      </c>
    </row>
    <row r="24" spans="1:6" ht="12.75" customHeight="1" x14ac:dyDescent="0.25">
      <c r="A24" s="292">
        <v>21</v>
      </c>
      <c r="B24" s="292"/>
      <c r="C24" s="180" t="str">
        <f t="shared" si="0"/>
        <v/>
      </c>
      <c r="D24" s="180" t="str">
        <f t="shared" si="1"/>
        <v/>
      </c>
      <c r="E24" s="179" t="str">
        <f>IF(C24&lt;&gt;"",VLOOKUP(Ranking!C24,Siembra,3,FALSE),"")</f>
        <v/>
      </c>
      <c r="F24" s="323" t="str">
        <f t="shared" si="2"/>
        <v/>
      </c>
    </row>
    <row r="25" spans="1:6" ht="12.75" customHeight="1" x14ac:dyDescent="0.25">
      <c r="A25" s="292">
        <v>22</v>
      </c>
      <c r="B25" s="292"/>
      <c r="C25" s="180" t="str">
        <f t="shared" si="0"/>
        <v/>
      </c>
      <c r="D25" s="180" t="str">
        <f t="shared" si="1"/>
        <v/>
      </c>
      <c r="E25" s="179" t="str">
        <f>IF(C25&lt;&gt;"",VLOOKUP(Ranking!C25,Siembra,3,FALSE),"")</f>
        <v/>
      </c>
      <c r="F25" s="323" t="str">
        <f t="shared" si="2"/>
        <v/>
      </c>
    </row>
    <row r="26" spans="1:6" ht="12.75" customHeight="1" x14ac:dyDescent="0.25">
      <c r="A26" s="292">
        <v>23</v>
      </c>
      <c r="B26" s="292"/>
      <c r="C26" s="180" t="str">
        <f t="shared" si="0"/>
        <v/>
      </c>
      <c r="D26" s="180" t="str">
        <f t="shared" si="1"/>
        <v/>
      </c>
      <c r="E26" s="179" t="str">
        <f>IF(C26&lt;&gt;"",VLOOKUP(Ranking!C26,Siembra,3,FALSE),"")</f>
        <v/>
      </c>
      <c r="F26" s="323" t="str">
        <f t="shared" si="2"/>
        <v/>
      </c>
    </row>
    <row r="27" spans="1:6" ht="12.75" customHeight="1" x14ac:dyDescent="0.25">
      <c r="A27" s="292">
        <v>24</v>
      </c>
      <c r="B27" s="292"/>
      <c r="C27" s="180" t="str">
        <f t="shared" si="0"/>
        <v/>
      </c>
      <c r="D27" s="180" t="str">
        <f t="shared" si="1"/>
        <v/>
      </c>
      <c r="E27" s="179" t="str">
        <f>IF(C27&lt;&gt;"",VLOOKUP(Ranking!C27,Siembra,3,FALSE),"")</f>
        <v/>
      </c>
      <c r="F27" s="323" t="str">
        <f t="shared" si="2"/>
        <v/>
      </c>
    </row>
    <row r="28" spans="1:6" ht="12.75" customHeight="1" x14ac:dyDescent="0.25">
      <c r="A28" s="292">
        <v>25</v>
      </c>
      <c r="B28" s="292"/>
      <c r="C28" s="180" t="str">
        <f t="shared" si="0"/>
        <v/>
      </c>
      <c r="D28" s="180" t="str">
        <f t="shared" si="1"/>
        <v/>
      </c>
      <c r="E28" s="179" t="str">
        <f>IF(C28&lt;&gt;"",VLOOKUP(Ranking!C28,Siembra,3,FALSE),"")</f>
        <v/>
      </c>
      <c r="F28" s="323" t="str">
        <f t="shared" si="2"/>
        <v/>
      </c>
    </row>
    <row r="29" spans="1:6" ht="12.75" customHeight="1" x14ac:dyDescent="0.25">
      <c r="A29" s="292">
        <v>26</v>
      </c>
      <c r="B29" s="292"/>
      <c r="C29" s="180" t="str">
        <f t="shared" si="0"/>
        <v/>
      </c>
      <c r="D29" s="180" t="str">
        <f t="shared" si="1"/>
        <v/>
      </c>
      <c r="E29" s="179" t="str">
        <f>IF(C29&lt;&gt;"",VLOOKUP(Ranking!C29,Siembra,3,FALSE),"")</f>
        <v/>
      </c>
      <c r="F29" s="323" t="str">
        <f t="shared" si="2"/>
        <v/>
      </c>
    </row>
    <row r="30" spans="1:6" ht="12.75" customHeight="1" x14ac:dyDescent="0.25">
      <c r="A30" s="292">
        <v>27</v>
      </c>
      <c r="B30" s="292"/>
      <c r="C30" s="180" t="str">
        <f t="shared" si="0"/>
        <v/>
      </c>
      <c r="D30" s="180" t="str">
        <f t="shared" si="1"/>
        <v/>
      </c>
      <c r="E30" s="179" t="str">
        <f>IF(C30&lt;&gt;"",VLOOKUP(Ranking!C30,Siembra,3,FALSE),"")</f>
        <v/>
      </c>
      <c r="F30" s="323" t="str">
        <f t="shared" si="2"/>
        <v/>
      </c>
    </row>
    <row r="31" spans="1:6" ht="12.75" customHeight="1" x14ac:dyDescent="0.25">
      <c r="A31" s="292">
        <v>28</v>
      </c>
      <c r="B31" s="292"/>
      <c r="C31" s="180" t="str">
        <f t="shared" si="0"/>
        <v/>
      </c>
      <c r="D31" s="180" t="str">
        <f t="shared" si="1"/>
        <v/>
      </c>
      <c r="E31" s="179" t="str">
        <f>IF(C31&lt;&gt;"",VLOOKUP(Ranking!C31,Siembra,3,FALSE),"")</f>
        <v/>
      </c>
      <c r="F31" s="323" t="str">
        <f t="shared" si="2"/>
        <v/>
      </c>
    </row>
    <row r="32" spans="1:6" ht="12.75" customHeight="1" x14ac:dyDescent="0.25">
      <c r="A32" s="292">
        <v>29</v>
      </c>
      <c r="B32" s="292"/>
      <c r="C32" s="180" t="str">
        <f t="shared" si="0"/>
        <v/>
      </c>
      <c r="D32" s="180" t="str">
        <f t="shared" si="1"/>
        <v/>
      </c>
      <c r="E32" s="179" t="str">
        <f>IF(C32&lt;&gt;"",VLOOKUP(Ranking!C32,Siembra,3,FALSE),"")</f>
        <v/>
      </c>
      <c r="F32" s="323" t="str">
        <f t="shared" si="2"/>
        <v/>
      </c>
    </row>
    <row r="33" spans="1:6" ht="12.75" customHeight="1" x14ac:dyDescent="0.25">
      <c r="A33" s="292">
        <v>30</v>
      </c>
      <c r="B33" s="292"/>
      <c r="C33" s="180" t="str">
        <f t="shared" si="0"/>
        <v/>
      </c>
      <c r="D33" s="180" t="str">
        <f t="shared" si="1"/>
        <v/>
      </c>
      <c r="E33" s="179" t="str">
        <f>IF(C33&lt;&gt;"",VLOOKUP(Ranking!C33,Siembra,3,FALSE),"")</f>
        <v/>
      </c>
      <c r="F33" s="323" t="str">
        <f t="shared" si="2"/>
        <v/>
      </c>
    </row>
    <row r="34" spans="1:6" ht="12.75" customHeight="1" x14ac:dyDescent="0.25">
      <c r="A34" s="292">
        <v>31</v>
      </c>
      <c r="B34" s="292"/>
      <c r="C34" s="180" t="str">
        <f t="shared" si="0"/>
        <v/>
      </c>
      <c r="D34" s="180" t="str">
        <f t="shared" si="1"/>
        <v/>
      </c>
      <c r="E34" s="179" t="str">
        <f>IF(C34&lt;&gt;"",VLOOKUP(Ranking!C34,Siembra,3,FALSE),"")</f>
        <v/>
      </c>
      <c r="F34" s="323" t="str">
        <f t="shared" si="2"/>
        <v/>
      </c>
    </row>
    <row r="35" spans="1:6" ht="12.75" customHeight="1" x14ac:dyDescent="0.25">
      <c r="A35" s="292">
        <v>32</v>
      </c>
      <c r="B35" s="292"/>
      <c r="C35" s="180" t="str">
        <f t="shared" si="0"/>
        <v/>
      </c>
      <c r="D35" s="180" t="str">
        <f t="shared" si="1"/>
        <v/>
      </c>
      <c r="E35" s="179" t="str">
        <f>IF(C35&lt;&gt;"",VLOOKUP(Ranking!C35,Siembra,3,FALSE),"")</f>
        <v/>
      </c>
      <c r="F35" s="323" t="str">
        <f t="shared" si="2"/>
        <v/>
      </c>
    </row>
    <row r="36" spans="1:6" ht="12.75" customHeight="1" x14ac:dyDescent="0.25">
      <c r="A36" s="292">
        <v>33</v>
      </c>
      <c r="B36" s="292"/>
      <c r="C36" s="180" t="str">
        <f t="shared" ref="C36:C67" si="3">IF(A36&lt;=Tot_Jug,VLOOKUP(A36,Results,3,FALSE),"")</f>
        <v/>
      </c>
      <c r="D36" s="180" t="str">
        <f t="shared" si="1"/>
        <v/>
      </c>
      <c r="E36" s="179" t="str">
        <f>IF(C36&lt;&gt;"",VLOOKUP(Ranking!C36,Siembra,3,FALSE),"")</f>
        <v/>
      </c>
      <c r="F36" s="323" t="str">
        <f t="shared" ref="F36:F67" si="4">IF(A36&lt;=Tot_Jug,VLOOKUP(A36,Results,4,FALSE),"")</f>
        <v/>
      </c>
    </row>
    <row r="37" spans="1:6" ht="12.75" customHeight="1" x14ac:dyDescent="0.25">
      <c r="A37" s="292">
        <v>34</v>
      </c>
      <c r="B37" s="292"/>
      <c r="C37" s="180" t="str">
        <f t="shared" si="3"/>
        <v/>
      </c>
      <c r="D37" s="180" t="str">
        <f t="shared" si="1"/>
        <v/>
      </c>
      <c r="E37" s="179" t="str">
        <f>IF(C37&lt;&gt;"",VLOOKUP(Ranking!C37,Siembra,3,FALSE),"")</f>
        <v/>
      </c>
      <c r="F37" s="323" t="str">
        <f t="shared" si="4"/>
        <v/>
      </c>
    </row>
    <row r="38" spans="1:6" ht="12.75" customHeight="1" x14ac:dyDescent="0.25">
      <c r="A38" s="292">
        <v>35</v>
      </c>
      <c r="B38" s="292"/>
      <c r="C38" s="180" t="str">
        <f t="shared" si="3"/>
        <v/>
      </c>
      <c r="D38" s="180" t="str">
        <f t="shared" si="1"/>
        <v/>
      </c>
      <c r="E38" s="179" t="str">
        <f>IF(C38&lt;&gt;"",VLOOKUP(Ranking!C38,Siembra,3,FALSE),"")</f>
        <v/>
      </c>
      <c r="F38" s="323" t="str">
        <f t="shared" si="4"/>
        <v/>
      </c>
    </row>
    <row r="39" spans="1:6" ht="12.75" customHeight="1" x14ac:dyDescent="0.25">
      <c r="A39" s="292">
        <v>36</v>
      </c>
      <c r="B39" s="292"/>
      <c r="C39" s="180" t="str">
        <f t="shared" si="3"/>
        <v/>
      </c>
      <c r="D39" s="180" t="str">
        <f t="shared" si="1"/>
        <v/>
      </c>
      <c r="E39" s="179" t="str">
        <f>IF(C39&lt;&gt;"",VLOOKUP(Ranking!C39,Siembra,3,FALSE),"")</f>
        <v/>
      </c>
      <c r="F39" s="323" t="str">
        <f t="shared" si="4"/>
        <v/>
      </c>
    </row>
    <row r="40" spans="1:6" ht="12.75" customHeight="1" x14ac:dyDescent="0.25">
      <c r="A40" s="292">
        <v>37</v>
      </c>
      <c r="B40" s="292"/>
      <c r="C40" s="180" t="str">
        <f t="shared" si="3"/>
        <v/>
      </c>
      <c r="D40" s="180" t="str">
        <f t="shared" si="1"/>
        <v/>
      </c>
      <c r="E40" s="179" t="str">
        <f>IF(C40&lt;&gt;"",VLOOKUP(Ranking!C40,Siembra,3,FALSE),"")</f>
        <v/>
      </c>
      <c r="F40" s="323" t="str">
        <f t="shared" si="4"/>
        <v/>
      </c>
    </row>
    <row r="41" spans="1:6" ht="12.75" customHeight="1" x14ac:dyDescent="0.25">
      <c r="A41" s="292">
        <v>38</v>
      </c>
      <c r="B41" s="292"/>
      <c r="C41" s="180" t="str">
        <f t="shared" si="3"/>
        <v/>
      </c>
      <c r="D41" s="180" t="str">
        <f t="shared" si="1"/>
        <v/>
      </c>
      <c r="E41" s="179" t="str">
        <f>IF(C41&lt;&gt;"",VLOOKUP(Ranking!C41,Siembra,3,FALSE),"")</f>
        <v/>
      </c>
      <c r="F41" s="323" t="str">
        <f t="shared" si="4"/>
        <v/>
      </c>
    </row>
    <row r="42" spans="1:6" ht="12.75" customHeight="1" x14ac:dyDescent="0.25">
      <c r="A42" s="292">
        <v>39</v>
      </c>
      <c r="B42" s="292"/>
      <c r="C42" s="180" t="str">
        <f t="shared" si="3"/>
        <v/>
      </c>
      <c r="D42" s="180" t="str">
        <f t="shared" si="1"/>
        <v/>
      </c>
      <c r="E42" s="179" t="str">
        <f>IF(C42&lt;&gt;"",VLOOKUP(Ranking!C42,Siembra,3,FALSE),"")</f>
        <v/>
      </c>
      <c r="F42" s="323" t="str">
        <f t="shared" si="4"/>
        <v/>
      </c>
    </row>
    <row r="43" spans="1:6" ht="12.75" customHeight="1" x14ac:dyDescent="0.25">
      <c r="A43" s="292">
        <v>40</v>
      </c>
      <c r="B43" s="292"/>
      <c r="C43" s="180" t="str">
        <f t="shared" si="3"/>
        <v/>
      </c>
      <c r="D43" s="180" t="str">
        <f t="shared" si="1"/>
        <v/>
      </c>
      <c r="E43" s="179" t="str">
        <f>IF(C43&lt;&gt;"",VLOOKUP(Ranking!C43,Siembra,3,FALSE),"")</f>
        <v/>
      </c>
      <c r="F43" s="323" t="str">
        <f t="shared" si="4"/>
        <v/>
      </c>
    </row>
    <row r="44" spans="1:6" ht="12.75" customHeight="1" x14ac:dyDescent="0.25">
      <c r="A44" s="292">
        <v>41</v>
      </c>
      <c r="B44" s="292"/>
      <c r="C44" s="180" t="str">
        <f t="shared" si="3"/>
        <v/>
      </c>
      <c r="D44" s="180" t="str">
        <f t="shared" si="1"/>
        <v/>
      </c>
      <c r="E44" s="179" t="str">
        <f>IF(C44&lt;&gt;"",VLOOKUP(Ranking!C44,Siembra,3,FALSE),"")</f>
        <v/>
      </c>
      <c r="F44" s="323" t="str">
        <f t="shared" si="4"/>
        <v/>
      </c>
    </row>
    <row r="45" spans="1:6" ht="12.75" customHeight="1" x14ac:dyDescent="0.25">
      <c r="A45" s="292">
        <v>42</v>
      </c>
      <c r="B45" s="292"/>
      <c r="C45" s="180" t="str">
        <f t="shared" si="3"/>
        <v/>
      </c>
      <c r="D45" s="180" t="str">
        <f t="shared" si="1"/>
        <v/>
      </c>
      <c r="E45" s="179" t="str">
        <f>IF(C45&lt;&gt;"",VLOOKUP(Ranking!C45,Siembra,3,FALSE),"")</f>
        <v/>
      </c>
      <c r="F45" s="323" t="str">
        <f t="shared" si="4"/>
        <v/>
      </c>
    </row>
    <row r="46" spans="1:6" ht="12.75" customHeight="1" x14ac:dyDescent="0.25">
      <c r="A46" s="292">
        <v>43</v>
      </c>
      <c r="B46" s="292"/>
      <c r="C46" s="180" t="str">
        <f t="shared" si="3"/>
        <v/>
      </c>
      <c r="D46" s="180" t="str">
        <f t="shared" si="1"/>
        <v/>
      </c>
      <c r="E46" s="179" t="str">
        <f>IF(C46&lt;&gt;"",VLOOKUP(Ranking!C46,Siembra,3,FALSE),"")</f>
        <v/>
      </c>
      <c r="F46" s="323" t="str">
        <f t="shared" si="4"/>
        <v/>
      </c>
    </row>
    <row r="47" spans="1:6" ht="12.75" customHeight="1" x14ac:dyDescent="0.25">
      <c r="A47" s="292">
        <v>44</v>
      </c>
      <c r="B47" s="292"/>
      <c r="C47" s="180" t="str">
        <f t="shared" si="3"/>
        <v/>
      </c>
      <c r="D47" s="180" t="str">
        <f t="shared" si="1"/>
        <v/>
      </c>
      <c r="E47" s="179" t="str">
        <f>IF(C47&lt;&gt;"",VLOOKUP(Ranking!C47,Siembra,3,FALSE),"")</f>
        <v/>
      </c>
      <c r="F47" s="323" t="str">
        <f t="shared" si="4"/>
        <v/>
      </c>
    </row>
    <row r="48" spans="1:6" ht="12.75" customHeight="1" x14ac:dyDescent="0.25">
      <c r="A48" s="292">
        <v>45</v>
      </c>
      <c r="B48" s="292"/>
      <c r="C48" s="180" t="str">
        <f t="shared" si="3"/>
        <v/>
      </c>
      <c r="D48" s="180" t="str">
        <f t="shared" si="1"/>
        <v/>
      </c>
      <c r="E48" s="179" t="str">
        <f>IF(C48&lt;&gt;"",VLOOKUP(Ranking!C48,Siembra,3,FALSE),"")</f>
        <v/>
      </c>
      <c r="F48" s="323" t="str">
        <f t="shared" si="4"/>
        <v/>
      </c>
    </row>
    <row r="49" spans="1:6" ht="12.75" customHeight="1" x14ac:dyDescent="0.25">
      <c r="A49" s="292">
        <v>46</v>
      </c>
      <c r="B49" s="292"/>
      <c r="C49" s="180" t="str">
        <f t="shared" si="3"/>
        <v/>
      </c>
      <c r="D49" s="180" t="str">
        <f t="shared" si="1"/>
        <v/>
      </c>
      <c r="E49" s="179" t="str">
        <f>IF(C49&lt;&gt;"",VLOOKUP(Ranking!C49,Siembra,3,FALSE),"")</f>
        <v/>
      </c>
      <c r="F49" s="323" t="str">
        <f t="shared" si="4"/>
        <v/>
      </c>
    </row>
    <row r="50" spans="1:6" ht="12.75" customHeight="1" x14ac:dyDescent="0.25">
      <c r="A50" s="292">
        <v>47</v>
      </c>
      <c r="B50" s="292"/>
      <c r="C50" s="180" t="str">
        <f t="shared" si="3"/>
        <v/>
      </c>
      <c r="D50" s="180" t="str">
        <f t="shared" si="1"/>
        <v/>
      </c>
      <c r="E50" s="179" t="str">
        <f>IF(C50&lt;&gt;"",VLOOKUP(Ranking!C50,Siembra,3,FALSE),"")</f>
        <v/>
      </c>
      <c r="F50" s="323" t="str">
        <f t="shared" si="4"/>
        <v/>
      </c>
    </row>
    <row r="51" spans="1:6" ht="12.75" customHeight="1" x14ac:dyDescent="0.25">
      <c r="A51" s="292">
        <v>48</v>
      </c>
      <c r="B51" s="292"/>
      <c r="C51" s="180" t="str">
        <f t="shared" si="3"/>
        <v/>
      </c>
      <c r="D51" s="180" t="str">
        <f t="shared" si="1"/>
        <v/>
      </c>
      <c r="E51" s="179" t="str">
        <f>IF(C51&lt;&gt;"",VLOOKUP(Ranking!C51,Siembra,3,FALSE),"")</f>
        <v/>
      </c>
      <c r="F51" s="323" t="str">
        <f t="shared" si="4"/>
        <v/>
      </c>
    </row>
    <row r="52" spans="1:6" ht="12.75" customHeight="1" x14ac:dyDescent="0.25">
      <c r="A52" s="292">
        <v>49</v>
      </c>
      <c r="B52" s="292"/>
      <c r="C52" s="180" t="str">
        <f t="shared" si="3"/>
        <v/>
      </c>
      <c r="D52" s="180" t="str">
        <f t="shared" si="1"/>
        <v/>
      </c>
      <c r="E52" s="179" t="str">
        <f>IF(C52&lt;&gt;"",VLOOKUP(Ranking!C52,Siembra,3,FALSE),"")</f>
        <v/>
      </c>
      <c r="F52" s="323" t="str">
        <f t="shared" si="4"/>
        <v/>
      </c>
    </row>
    <row r="53" spans="1:6" ht="12.75" customHeight="1" x14ac:dyDescent="0.25">
      <c r="A53" s="292">
        <v>50</v>
      </c>
      <c r="B53" s="292"/>
      <c r="C53" s="180" t="str">
        <f t="shared" si="3"/>
        <v/>
      </c>
      <c r="D53" s="180" t="str">
        <f t="shared" si="1"/>
        <v/>
      </c>
      <c r="E53" s="179" t="str">
        <f>IF(C53&lt;&gt;"",VLOOKUP(Ranking!C53,Siembra,3,FALSE),"")</f>
        <v/>
      </c>
      <c r="F53" s="323" t="str">
        <f t="shared" si="4"/>
        <v/>
      </c>
    </row>
    <row r="54" spans="1:6" ht="12.75" customHeight="1" x14ac:dyDescent="0.25">
      <c r="A54" s="292">
        <v>51</v>
      </c>
      <c r="B54" s="292"/>
      <c r="C54" s="180" t="str">
        <f t="shared" si="3"/>
        <v/>
      </c>
      <c r="D54" s="180" t="str">
        <f t="shared" si="1"/>
        <v/>
      </c>
      <c r="E54" s="179" t="str">
        <f>IF(C54&lt;&gt;"",VLOOKUP(Ranking!C54,Siembra,3,FALSE),"")</f>
        <v/>
      </c>
      <c r="F54" s="323" t="str">
        <f t="shared" si="4"/>
        <v/>
      </c>
    </row>
    <row r="55" spans="1:6" ht="12.75" customHeight="1" x14ac:dyDescent="0.25">
      <c r="A55" s="292">
        <v>52</v>
      </c>
      <c r="B55" s="292"/>
      <c r="C55" s="180" t="str">
        <f t="shared" si="3"/>
        <v/>
      </c>
      <c r="D55" s="180" t="str">
        <f t="shared" si="1"/>
        <v/>
      </c>
      <c r="E55" s="179" t="str">
        <f>IF(C55&lt;&gt;"",VLOOKUP(Ranking!C55,Siembra,3,FALSE),"")</f>
        <v/>
      </c>
      <c r="F55" s="323" t="str">
        <f t="shared" si="4"/>
        <v/>
      </c>
    </row>
    <row r="56" spans="1:6" ht="12.75" customHeight="1" x14ac:dyDescent="0.25">
      <c r="A56" s="292">
        <v>53</v>
      </c>
      <c r="B56" s="292"/>
      <c r="C56" s="180" t="str">
        <f t="shared" si="3"/>
        <v/>
      </c>
      <c r="D56" s="180" t="str">
        <f t="shared" si="1"/>
        <v/>
      </c>
      <c r="E56" s="179" t="str">
        <f>IF(C56&lt;&gt;"",VLOOKUP(Ranking!C56,Siembra,3,FALSE),"")</f>
        <v/>
      </c>
      <c r="F56" s="323" t="str">
        <f t="shared" si="4"/>
        <v/>
      </c>
    </row>
    <row r="57" spans="1:6" ht="12.75" customHeight="1" x14ac:dyDescent="0.25">
      <c r="A57" s="292">
        <v>54</v>
      </c>
      <c r="B57" s="292"/>
      <c r="C57" s="180" t="str">
        <f t="shared" si="3"/>
        <v/>
      </c>
      <c r="D57" s="180" t="str">
        <f t="shared" si="1"/>
        <v/>
      </c>
      <c r="E57" s="179" t="str">
        <f>IF(C57&lt;&gt;"",VLOOKUP(Ranking!C57,Siembra,3,FALSE),"")</f>
        <v/>
      </c>
      <c r="F57" s="323" t="str">
        <f t="shared" si="4"/>
        <v/>
      </c>
    </row>
    <row r="58" spans="1:6" ht="12.75" customHeight="1" x14ac:dyDescent="0.25">
      <c r="A58" s="292">
        <v>55</v>
      </c>
      <c r="B58" s="292"/>
      <c r="C58" s="180" t="str">
        <f t="shared" si="3"/>
        <v/>
      </c>
      <c r="D58" s="180" t="str">
        <f t="shared" si="1"/>
        <v/>
      </c>
      <c r="E58" s="179" t="str">
        <f>IF(C58&lt;&gt;"",VLOOKUP(Ranking!C58,Siembra,3,FALSE),"")</f>
        <v/>
      </c>
      <c r="F58" s="323" t="str">
        <f t="shared" si="4"/>
        <v/>
      </c>
    </row>
    <row r="59" spans="1:6" ht="12.75" customHeight="1" x14ac:dyDescent="0.25">
      <c r="A59" s="292">
        <v>56</v>
      </c>
      <c r="B59" s="292"/>
      <c r="C59" s="180" t="str">
        <f t="shared" si="3"/>
        <v/>
      </c>
      <c r="D59" s="180" t="str">
        <f t="shared" si="1"/>
        <v/>
      </c>
      <c r="E59" s="179" t="str">
        <f>IF(C59&lt;&gt;"",VLOOKUP(Ranking!C59,Siembra,3,FALSE),"")</f>
        <v/>
      </c>
      <c r="F59" s="323" t="str">
        <f t="shared" si="4"/>
        <v/>
      </c>
    </row>
    <row r="60" spans="1:6" ht="12.75" customHeight="1" x14ac:dyDescent="0.25">
      <c r="A60" s="292">
        <v>57</v>
      </c>
      <c r="B60" s="292"/>
      <c r="C60" s="180" t="str">
        <f t="shared" si="3"/>
        <v/>
      </c>
      <c r="D60" s="180" t="str">
        <f t="shared" si="1"/>
        <v/>
      </c>
      <c r="E60" s="179" t="str">
        <f>IF(C60&lt;&gt;"",VLOOKUP(Ranking!C60,Siembra,3,FALSE),"")</f>
        <v/>
      </c>
      <c r="F60" s="323" t="str">
        <f t="shared" si="4"/>
        <v/>
      </c>
    </row>
    <row r="61" spans="1:6" ht="12.75" customHeight="1" x14ac:dyDescent="0.25">
      <c r="A61" s="292">
        <v>58</v>
      </c>
      <c r="B61" s="292"/>
      <c r="C61" s="180" t="str">
        <f t="shared" si="3"/>
        <v/>
      </c>
      <c r="D61" s="180" t="str">
        <f t="shared" si="1"/>
        <v/>
      </c>
      <c r="E61" s="179" t="str">
        <f>IF(C61&lt;&gt;"",VLOOKUP(Ranking!C61,Siembra,3,FALSE),"")</f>
        <v/>
      </c>
      <c r="F61" s="323" t="str">
        <f t="shared" si="4"/>
        <v/>
      </c>
    </row>
    <row r="62" spans="1:6" ht="12.75" customHeight="1" x14ac:dyDescent="0.25">
      <c r="A62" s="292">
        <v>59</v>
      </c>
      <c r="B62" s="292"/>
      <c r="C62" s="180" t="str">
        <f t="shared" si="3"/>
        <v/>
      </c>
      <c r="D62" s="180" t="str">
        <f t="shared" si="1"/>
        <v/>
      </c>
      <c r="E62" s="179" t="str">
        <f>IF(C62&lt;&gt;"",VLOOKUP(Ranking!C62,Siembra,3,FALSE),"")</f>
        <v/>
      </c>
      <c r="F62" s="323" t="str">
        <f t="shared" si="4"/>
        <v/>
      </c>
    </row>
    <row r="63" spans="1:6" ht="12.75" customHeight="1" x14ac:dyDescent="0.25">
      <c r="A63" s="292">
        <v>60</v>
      </c>
      <c r="B63" s="292"/>
      <c r="C63" s="180" t="str">
        <f t="shared" si="3"/>
        <v/>
      </c>
      <c r="D63" s="180" t="str">
        <f t="shared" si="1"/>
        <v/>
      </c>
      <c r="E63" s="179" t="str">
        <f>IF(C63&lt;&gt;"",VLOOKUP(Ranking!C63,Siembra,3,FALSE),"")</f>
        <v/>
      </c>
      <c r="F63" s="323" t="str">
        <f t="shared" si="4"/>
        <v/>
      </c>
    </row>
    <row r="64" spans="1:6" ht="12.75" customHeight="1" x14ac:dyDescent="0.25">
      <c r="A64" s="292">
        <v>61</v>
      </c>
      <c r="B64" s="292"/>
      <c r="C64" s="180" t="str">
        <f t="shared" si="3"/>
        <v/>
      </c>
      <c r="D64" s="180" t="str">
        <f t="shared" si="1"/>
        <v/>
      </c>
      <c r="E64" s="179" t="str">
        <f>IF(C64&lt;&gt;"",VLOOKUP(Ranking!C64,Siembra,3,FALSE),"")</f>
        <v/>
      </c>
      <c r="F64" s="323" t="str">
        <f t="shared" si="4"/>
        <v/>
      </c>
    </row>
    <row r="65" spans="1:6" ht="12.75" customHeight="1" x14ac:dyDescent="0.25">
      <c r="A65" s="292">
        <v>62</v>
      </c>
      <c r="B65" s="292"/>
      <c r="C65" s="180" t="str">
        <f t="shared" si="3"/>
        <v/>
      </c>
      <c r="D65" s="180" t="str">
        <f t="shared" si="1"/>
        <v/>
      </c>
      <c r="E65" s="179" t="str">
        <f>IF(C65&lt;&gt;"",VLOOKUP(Ranking!C65,Siembra,3,FALSE),"")</f>
        <v/>
      </c>
      <c r="F65" s="323" t="str">
        <f t="shared" si="4"/>
        <v/>
      </c>
    </row>
    <row r="66" spans="1:6" ht="12.75" customHeight="1" x14ac:dyDescent="0.25">
      <c r="A66" s="292">
        <v>63</v>
      </c>
      <c r="B66" s="292"/>
      <c r="C66" s="180" t="str">
        <f t="shared" si="3"/>
        <v/>
      </c>
      <c r="D66" s="180" t="str">
        <f t="shared" si="1"/>
        <v/>
      </c>
      <c r="E66" s="179" t="str">
        <f>IF(C66&lt;&gt;"",VLOOKUP(Ranking!C66,Siembra,3,FALSE),"")</f>
        <v/>
      </c>
      <c r="F66" s="323" t="str">
        <f t="shared" si="4"/>
        <v/>
      </c>
    </row>
    <row r="67" spans="1:6" ht="12.75" customHeight="1" x14ac:dyDescent="0.25">
      <c r="A67" s="292">
        <v>64</v>
      </c>
      <c r="B67" s="292"/>
      <c r="C67" s="180" t="str">
        <f t="shared" si="3"/>
        <v/>
      </c>
      <c r="D67" s="180" t="str">
        <f t="shared" si="1"/>
        <v/>
      </c>
      <c r="E67" s="179" t="str">
        <f>IF(C67&lt;&gt;"",VLOOKUP(Ranking!C67,Siembra,3,FALSE),"")</f>
        <v/>
      </c>
      <c r="F67" s="323" t="str">
        <f t="shared" si="4"/>
        <v/>
      </c>
    </row>
    <row r="68" spans="1:6" ht="12.75" customHeight="1" x14ac:dyDescent="0.25">
      <c r="A68" s="292">
        <v>65</v>
      </c>
      <c r="B68" s="292"/>
      <c r="C68" s="180" t="str">
        <f t="shared" ref="C68:C72" si="5">IF(A68&lt;=Tot_Jug,VLOOKUP(A68,Results,3,FALSE),"")</f>
        <v/>
      </c>
      <c r="D68" s="180" t="str">
        <f t="shared" ref="D68:D131" si="6">IF(C68&lt;&gt;"",IF(A68&lt;=Tot_Jug,VLOOKUP(C68,Siembra,2,FALSE),""),"")</f>
        <v/>
      </c>
      <c r="E68" s="179" t="str">
        <f>IF(C68&lt;&gt;"",VLOOKUP(Ranking!C68,Siembra,3,FALSE),"")</f>
        <v/>
      </c>
      <c r="F68" s="323" t="str">
        <f t="shared" ref="F68:F99" si="7">IF(A68&lt;=Tot_Jug,VLOOKUP(A68,Results,4,FALSE),"")</f>
        <v/>
      </c>
    </row>
    <row r="69" spans="1:6" ht="12.75" customHeight="1" x14ac:dyDescent="0.25">
      <c r="A69" s="292">
        <v>66</v>
      </c>
      <c r="B69" s="292"/>
      <c r="C69" s="180" t="str">
        <f t="shared" si="5"/>
        <v/>
      </c>
      <c r="D69" s="180" t="str">
        <f t="shared" si="6"/>
        <v/>
      </c>
      <c r="E69" s="179" t="str">
        <f>IF(C69&lt;&gt;"",VLOOKUP(Ranking!C69,Siembra,3,FALSE),"")</f>
        <v/>
      </c>
      <c r="F69" s="323" t="str">
        <f t="shared" si="7"/>
        <v/>
      </c>
    </row>
    <row r="70" spans="1:6" ht="12.75" customHeight="1" x14ac:dyDescent="0.25">
      <c r="A70" s="292">
        <v>67</v>
      </c>
      <c r="B70" s="292"/>
      <c r="C70" s="180" t="str">
        <f t="shared" si="5"/>
        <v/>
      </c>
      <c r="D70" s="180" t="str">
        <f t="shared" si="6"/>
        <v/>
      </c>
      <c r="E70" s="179" t="str">
        <f>IF(C70&lt;&gt;"",VLOOKUP(Ranking!C70,Siembra,3,FALSE),"")</f>
        <v/>
      </c>
      <c r="F70" s="323" t="str">
        <f t="shared" si="7"/>
        <v/>
      </c>
    </row>
    <row r="71" spans="1:6" ht="12.75" customHeight="1" x14ac:dyDescent="0.25">
      <c r="A71" s="292">
        <v>68</v>
      </c>
      <c r="B71" s="292"/>
      <c r="C71" s="180" t="str">
        <f t="shared" si="5"/>
        <v/>
      </c>
      <c r="D71" s="180" t="str">
        <f t="shared" si="6"/>
        <v/>
      </c>
      <c r="E71" s="179" t="str">
        <f>IF(C71&lt;&gt;"",VLOOKUP(Ranking!C71,Siembra,3,FALSE),"")</f>
        <v/>
      </c>
      <c r="F71" s="323" t="str">
        <f t="shared" si="7"/>
        <v/>
      </c>
    </row>
    <row r="72" spans="1:6" ht="12.75" customHeight="1" x14ac:dyDescent="0.25">
      <c r="A72" s="292">
        <v>69</v>
      </c>
      <c r="B72" s="292"/>
      <c r="C72" s="180" t="str">
        <f t="shared" si="5"/>
        <v/>
      </c>
      <c r="D72" s="180" t="str">
        <f t="shared" si="6"/>
        <v/>
      </c>
      <c r="E72" s="179" t="str">
        <f>IF(C72&lt;&gt;"",VLOOKUP(Ranking!C72,Siembra,3,FALSE),"")</f>
        <v/>
      </c>
      <c r="F72" s="323" t="str">
        <f t="shared" si="7"/>
        <v/>
      </c>
    </row>
    <row r="73" spans="1:6" ht="12.75" customHeight="1" x14ac:dyDescent="0.25">
      <c r="A73" s="292">
        <v>70</v>
      </c>
      <c r="B73" s="292"/>
      <c r="C73" s="180" t="str">
        <f>IF(ISTEXT(Sorteo!B86),VLOOKUP(A73,Results,3,FALSE),"")</f>
        <v/>
      </c>
      <c r="D73" s="180" t="str">
        <f t="shared" si="6"/>
        <v/>
      </c>
      <c r="E73" s="179" t="str">
        <f>IF(C73&lt;&gt;"",VLOOKUP(Ranking!C73,Siembra,3,FALSE),"")</f>
        <v/>
      </c>
      <c r="F73" s="323" t="str">
        <f t="shared" si="7"/>
        <v/>
      </c>
    </row>
    <row r="74" spans="1:6" ht="12.75" customHeight="1" x14ac:dyDescent="0.25">
      <c r="A74" s="292">
        <v>71</v>
      </c>
      <c r="B74" s="292"/>
      <c r="C74" s="180" t="str">
        <f>IF(ISTEXT(Sorteo!B87),VLOOKUP(A74,Results,3,FALSE),"")</f>
        <v/>
      </c>
      <c r="D74" s="180" t="str">
        <f t="shared" si="6"/>
        <v/>
      </c>
      <c r="E74" s="179" t="str">
        <f>IF(C74&lt;&gt;"",VLOOKUP(Ranking!C74,Siembra,3,FALSE),"")</f>
        <v/>
      </c>
      <c r="F74" s="323" t="str">
        <f t="shared" si="7"/>
        <v/>
      </c>
    </row>
    <row r="75" spans="1:6" ht="12.75" customHeight="1" x14ac:dyDescent="0.25">
      <c r="A75" s="292">
        <v>72</v>
      </c>
      <c r="B75" s="292"/>
      <c r="C75" s="180" t="str">
        <f>IF(ISTEXT(Sorteo!B88),VLOOKUP(A75,Results,3,FALSE),"")</f>
        <v/>
      </c>
      <c r="D75" s="180" t="str">
        <f t="shared" si="6"/>
        <v/>
      </c>
      <c r="E75" s="179" t="str">
        <f>IF(C75&lt;&gt;"",VLOOKUP(Ranking!C75,Siembra,3,FALSE),"")</f>
        <v/>
      </c>
      <c r="F75" s="323" t="str">
        <f t="shared" si="7"/>
        <v/>
      </c>
    </row>
    <row r="76" spans="1:6" ht="12.75" customHeight="1" x14ac:dyDescent="0.25">
      <c r="A76" s="292">
        <v>73</v>
      </c>
      <c r="B76" s="292"/>
      <c r="C76" s="180" t="str">
        <f>IF(ISTEXT(Sorteo!B89),VLOOKUP(A76,Results,3,FALSE),"")</f>
        <v/>
      </c>
      <c r="D76" s="180" t="str">
        <f t="shared" si="6"/>
        <v/>
      </c>
      <c r="E76" s="179" t="str">
        <f>IF(C76&lt;&gt;"",VLOOKUP(Ranking!C76,Siembra,3,FALSE),"")</f>
        <v/>
      </c>
      <c r="F76" s="323" t="str">
        <f t="shared" si="7"/>
        <v/>
      </c>
    </row>
    <row r="77" spans="1:6" ht="12.75" customHeight="1" x14ac:dyDescent="0.25">
      <c r="A77" s="292">
        <v>74</v>
      </c>
      <c r="B77" s="292"/>
      <c r="C77" s="180" t="str">
        <f>IF(ISTEXT(Sorteo!B90),VLOOKUP(A77,Results,3,FALSE),"")</f>
        <v/>
      </c>
      <c r="D77" s="180" t="str">
        <f t="shared" si="6"/>
        <v/>
      </c>
      <c r="E77" s="179" t="str">
        <f>IF(C77&lt;&gt;"",VLOOKUP(Ranking!C77,Siembra,3,FALSE),"")</f>
        <v/>
      </c>
      <c r="F77" s="323" t="str">
        <f t="shared" si="7"/>
        <v/>
      </c>
    </row>
    <row r="78" spans="1:6" ht="12.75" customHeight="1" x14ac:dyDescent="0.25">
      <c r="A78" s="292">
        <v>75</v>
      </c>
      <c r="B78" s="292"/>
      <c r="C78" s="180" t="str">
        <f>IF(ISTEXT(Sorteo!B91),VLOOKUP(A78,Results,3,FALSE),"")</f>
        <v/>
      </c>
      <c r="D78" s="180" t="str">
        <f t="shared" si="6"/>
        <v/>
      </c>
      <c r="E78" s="179" t="str">
        <f>IF(C78&lt;&gt;"",VLOOKUP(Ranking!C78,Siembra,3,FALSE),"")</f>
        <v/>
      </c>
      <c r="F78" s="323" t="str">
        <f t="shared" si="7"/>
        <v/>
      </c>
    </row>
    <row r="79" spans="1:6" ht="12.75" customHeight="1" x14ac:dyDescent="0.25">
      <c r="A79" s="292">
        <v>76</v>
      </c>
      <c r="B79" s="292"/>
      <c r="C79" s="180" t="str">
        <f>IF(ISTEXT(Sorteo!B92),VLOOKUP(A79,Results,3,FALSE),"")</f>
        <v/>
      </c>
      <c r="D79" s="180" t="str">
        <f t="shared" si="6"/>
        <v/>
      </c>
      <c r="E79" s="179" t="str">
        <f>IF(C79&lt;&gt;"",VLOOKUP(Ranking!C79,Siembra,3,FALSE),"")</f>
        <v/>
      </c>
      <c r="F79" s="323" t="str">
        <f t="shared" si="7"/>
        <v/>
      </c>
    </row>
    <row r="80" spans="1:6" ht="12.75" customHeight="1" x14ac:dyDescent="0.25">
      <c r="A80" s="292">
        <v>77</v>
      </c>
      <c r="B80" s="292"/>
      <c r="C80" s="180" t="str">
        <f>IF(ISTEXT(Sorteo!B93),VLOOKUP(A80,Results,3,FALSE),"")</f>
        <v/>
      </c>
      <c r="D80" s="180" t="str">
        <f t="shared" si="6"/>
        <v/>
      </c>
      <c r="E80" s="179" t="str">
        <f>IF(C80&lt;&gt;"",VLOOKUP(Ranking!C80,Siembra,3,FALSE),"")</f>
        <v/>
      </c>
      <c r="F80" s="323" t="str">
        <f t="shared" si="7"/>
        <v/>
      </c>
    </row>
    <row r="81" spans="1:6" ht="12.75" customHeight="1" x14ac:dyDescent="0.25">
      <c r="A81" s="292">
        <v>78</v>
      </c>
      <c r="B81" s="292"/>
      <c r="C81" s="180" t="str">
        <f>IF(ISTEXT(Sorteo!B94),VLOOKUP(A81,Results,3,FALSE),"")</f>
        <v/>
      </c>
      <c r="D81" s="180" t="str">
        <f t="shared" si="6"/>
        <v/>
      </c>
      <c r="E81" s="179" t="str">
        <f>IF(C81&lt;&gt;"",VLOOKUP(Ranking!C81,Siembra,3,FALSE),"")</f>
        <v/>
      </c>
      <c r="F81" s="323" t="str">
        <f t="shared" si="7"/>
        <v/>
      </c>
    </row>
    <row r="82" spans="1:6" ht="12.75" customHeight="1" x14ac:dyDescent="0.25">
      <c r="A82" s="292">
        <v>79</v>
      </c>
      <c r="B82" s="292"/>
      <c r="C82" s="180" t="str">
        <f>IF(ISTEXT(Sorteo!B95),VLOOKUP(A82,Results,3,FALSE),"")</f>
        <v/>
      </c>
      <c r="D82" s="180" t="str">
        <f t="shared" si="6"/>
        <v/>
      </c>
      <c r="E82" s="179" t="str">
        <f>IF(C82&lt;&gt;"",VLOOKUP(Ranking!C82,Siembra,3,FALSE),"")</f>
        <v/>
      </c>
      <c r="F82" s="323" t="str">
        <f t="shared" si="7"/>
        <v/>
      </c>
    </row>
    <row r="83" spans="1:6" ht="12.75" customHeight="1" x14ac:dyDescent="0.25">
      <c r="A83" s="292">
        <v>80</v>
      </c>
      <c r="B83" s="292"/>
      <c r="C83" s="180" t="str">
        <f>IF(ISTEXT(Sorteo!B96),VLOOKUP(A83,Results,3,FALSE),"")</f>
        <v/>
      </c>
      <c r="D83" s="180" t="str">
        <f t="shared" si="6"/>
        <v/>
      </c>
      <c r="E83" s="179" t="str">
        <f>IF(C83&lt;&gt;"",VLOOKUP(Ranking!C83,Siembra,3,FALSE),"")</f>
        <v/>
      </c>
      <c r="F83" s="323" t="str">
        <f t="shared" si="7"/>
        <v/>
      </c>
    </row>
    <row r="84" spans="1:6" ht="12.75" customHeight="1" x14ac:dyDescent="0.25">
      <c r="A84" s="292">
        <v>81</v>
      </c>
      <c r="B84" s="292"/>
      <c r="C84" s="180" t="str">
        <f>IF(ISTEXT(Sorteo!B97),VLOOKUP(A84,Results,3,FALSE),"")</f>
        <v/>
      </c>
      <c r="D84" s="180" t="str">
        <f t="shared" si="6"/>
        <v/>
      </c>
      <c r="E84" s="179" t="str">
        <f>IF(C84&lt;&gt;"",VLOOKUP(Ranking!C84,Siembra,3,FALSE),"")</f>
        <v/>
      </c>
      <c r="F84" s="323" t="str">
        <f t="shared" si="7"/>
        <v/>
      </c>
    </row>
    <row r="85" spans="1:6" ht="12.75" customHeight="1" x14ac:dyDescent="0.25">
      <c r="A85" s="292">
        <v>82</v>
      </c>
      <c r="B85" s="292"/>
      <c r="C85" s="180" t="str">
        <f>IF(ISTEXT(Sorteo!B98),VLOOKUP(A85,Results,3,FALSE),"")</f>
        <v/>
      </c>
      <c r="D85" s="180" t="str">
        <f t="shared" si="6"/>
        <v/>
      </c>
      <c r="E85" s="179" t="str">
        <f>IF(C85&lt;&gt;"",VLOOKUP(Ranking!C85,Siembra,3,FALSE),"")</f>
        <v/>
      </c>
      <c r="F85" s="323" t="str">
        <f t="shared" si="7"/>
        <v/>
      </c>
    </row>
    <row r="86" spans="1:6" ht="12.75" customHeight="1" x14ac:dyDescent="0.25">
      <c r="A86" s="292">
        <v>83</v>
      </c>
      <c r="B86" s="292"/>
      <c r="C86" s="180" t="str">
        <f>IF(ISTEXT(Sorteo!B99),VLOOKUP(A86,Results,3,FALSE),"")</f>
        <v/>
      </c>
      <c r="D86" s="180" t="str">
        <f t="shared" si="6"/>
        <v/>
      </c>
      <c r="E86" s="179" t="str">
        <f>IF(C86&lt;&gt;"",VLOOKUP(Ranking!C86,Siembra,3,FALSE),"")</f>
        <v/>
      </c>
      <c r="F86" s="323" t="str">
        <f t="shared" si="7"/>
        <v/>
      </c>
    </row>
    <row r="87" spans="1:6" ht="12.75" customHeight="1" x14ac:dyDescent="0.25">
      <c r="A87" s="292">
        <v>84</v>
      </c>
      <c r="B87" s="292"/>
      <c r="C87" s="180" t="str">
        <f>IF(ISTEXT(Sorteo!B100),VLOOKUP(A87,Results,3,FALSE),"")</f>
        <v/>
      </c>
      <c r="D87" s="180" t="str">
        <f t="shared" si="6"/>
        <v/>
      </c>
      <c r="E87" s="179" t="str">
        <f>IF(C87&lt;&gt;"",VLOOKUP(Ranking!C87,Siembra,3,FALSE),"")</f>
        <v/>
      </c>
      <c r="F87" s="323" t="str">
        <f t="shared" si="7"/>
        <v/>
      </c>
    </row>
    <row r="88" spans="1:6" ht="12.75" customHeight="1" x14ac:dyDescent="0.25">
      <c r="A88" s="292">
        <v>85</v>
      </c>
      <c r="B88" s="292"/>
      <c r="C88" s="180" t="str">
        <f>IF(ISTEXT(Sorteo!B101),VLOOKUP(A88,Results,3,FALSE),"")</f>
        <v/>
      </c>
      <c r="D88" s="180" t="str">
        <f t="shared" si="6"/>
        <v/>
      </c>
      <c r="E88" s="179" t="str">
        <f>IF(C88&lt;&gt;"",VLOOKUP(Ranking!C88,Siembra,3,FALSE),"")</f>
        <v/>
      </c>
      <c r="F88" s="323" t="str">
        <f t="shared" si="7"/>
        <v/>
      </c>
    </row>
    <row r="89" spans="1:6" ht="12.75" customHeight="1" x14ac:dyDescent="0.25">
      <c r="A89" s="292">
        <v>86</v>
      </c>
      <c r="B89" s="292"/>
      <c r="C89" s="180" t="str">
        <f>IF(ISTEXT(Sorteo!B102),VLOOKUP(A89,Results,3,FALSE),"")</f>
        <v/>
      </c>
      <c r="D89" s="180" t="str">
        <f t="shared" si="6"/>
        <v/>
      </c>
      <c r="E89" s="179" t="str">
        <f>IF(C89&lt;&gt;"",VLOOKUP(Ranking!C89,Siembra,3,FALSE),"")</f>
        <v/>
      </c>
      <c r="F89" s="323" t="str">
        <f t="shared" si="7"/>
        <v/>
      </c>
    </row>
    <row r="90" spans="1:6" ht="12.75" customHeight="1" x14ac:dyDescent="0.25">
      <c r="A90" s="292">
        <v>87</v>
      </c>
      <c r="B90" s="292"/>
      <c r="C90" s="180" t="str">
        <f>IF(ISTEXT(Sorteo!B103),VLOOKUP(A90,Results,3,FALSE),"")</f>
        <v/>
      </c>
      <c r="D90" s="180" t="str">
        <f t="shared" si="6"/>
        <v/>
      </c>
      <c r="E90" s="179" t="str">
        <f>IF(C90&lt;&gt;"",VLOOKUP(Ranking!C90,Siembra,3,FALSE),"")</f>
        <v/>
      </c>
      <c r="F90" s="323" t="str">
        <f t="shared" si="7"/>
        <v/>
      </c>
    </row>
    <row r="91" spans="1:6" ht="12.75" customHeight="1" x14ac:dyDescent="0.25">
      <c r="A91" s="292">
        <v>88</v>
      </c>
      <c r="B91" s="292"/>
      <c r="C91" s="180" t="str">
        <f>IF(ISTEXT(Sorteo!B104),VLOOKUP(A91,Results,3,FALSE),"")</f>
        <v/>
      </c>
      <c r="D91" s="180" t="str">
        <f t="shared" si="6"/>
        <v/>
      </c>
      <c r="E91" s="179" t="str">
        <f>IF(C91&lt;&gt;"",VLOOKUP(Ranking!C91,Siembra,3,FALSE),"")</f>
        <v/>
      </c>
      <c r="F91" s="323" t="str">
        <f t="shared" si="7"/>
        <v/>
      </c>
    </row>
    <row r="92" spans="1:6" ht="12.75" customHeight="1" x14ac:dyDescent="0.25">
      <c r="A92" s="292">
        <v>89</v>
      </c>
      <c r="B92" s="292"/>
      <c r="C92" s="180" t="str">
        <f>IF(ISTEXT(Sorteo!B105),VLOOKUP(A92,Results,3,FALSE),"")</f>
        <v/>
      </c>
      <c r="D92" s="180" t="str">
        <f t="shared" si="6"/>
        <v/>
      </c>
      <c r="E92" s="179" t="str">
        <f>IF(C92&lt;&gt;"",VLOOKUP(Ranking!C92,Siembra,3,FALSE),"")</f>
        <v/>
      </c>
      <c r="F92" s="323" t="str">
        <f t="shared" si="7"/>
        <v/>
      </c>
    </row>
    <row r="93" spans="1:6" ht="12.75" customHeight="1" x14ac:dyDescent="0.25">
      <c r="A93" s="292">
        <v>90</v>
      </c>
      <c r="B93" s="292"/>
      <c r="C93" s="180" t="str">
        <f>IF(ISTEXT(Sorteo!B106),VLOOKUP(A93,Results,3,FALSE),"")</f>
        <v/>
      </c>
      <c r="D93" s="180" t="str">
        <f t="shared" si="6"/>
        <v/>
      </c>
      <c r="E93" s="179" t="str">
        <f>IF(C93&lt;&gt;"",VLOOKUP(Ranking!C93,Siembra,3,FALSE),"")</f>
        <v/>
      </c>
      <c r="F93" s="323" t="str">
        <f t="shared" si="7"/>
        <v/>
      </c>
    </row>
    <row r="94" spans="1:6" ht="12.75" customHeight="1" x14ac:dyDescent="0.25">
      <c r="A94" s="292">
        <v>91</v>
      </c>
      <c r="B94" s="292"/>
      <c r="C94" s="180" t="str">
        <f>IF(ISTEXT(Sorteo!B107),VLOOKUP(A94,Results,3,FALSE),"")</f>
        <v/>
      </c>
      <c r="D94" s="180" t="str">
        <f t="shared" si="6"/>
        <v/>
      </c>
      <c r="E94" s="179" t="str">
        <f>IF(C94&lt;&gt;"",VLOOKUP(Ranking!C94,Siembra,3,FALSE),"")</f>
        <v/>
      </c>
      <c r="F94" s="323" t="str">
        <f t="shared" si="7"/>
        <v/>
      </c>
    </row>
    <row r="95" spans="1:6" ht="12.75" customHeight="1" x14ac:dyDescent="0.25">
      <c r="A95" s="292">
        <v>92</v>
      </c>
      <c r="B95" s="292"/>
      <c r="C95" s="180" t="str">
        <f>IF(ISTEXT(Sorteo!B108),VLOOKUP(A95,Results,3,FALSE),"")</f>
        <v/>
      </c>
      <c r="D95" s="180" t="str">
        <f t="shared" si="6"/>
        <v/>
      </c>
      <c r="E95" s="179" t="str">
        <f>IF(C95&lt;&gt;"",VLOOKUP(Ranking!C95,Siembra,3,FALSE),"")</f>
        <v/>
      </c>
      <c r="F95" s="323" t="str">
        <f t="shared" si="7"/>
        <v/>
      </c>
    </row>
    <row r="96" spans="1:6" ht="12.75" customHeight="1" x14ac:dyDescent="0.25">
      <c r="A96" s="292">
        <v>93</v>
      </c>
      <c r="B96" s="292"/>
      <c r="C96" s="180" t="str">
        <f>IF(ISTEXT(Sorteo!B109),VLOOKUP(A96,Results,3,FALSE),"")</f>
        <v/>
      </c>
      <c r="D96" s="180" t="str">
        <f t="shared" si="6"/>
        <v/>
      </c>
      <c r="E96" s="179" t="str">
        <f>IF(C96&lt;&gt;"",VLOOKUP(Ranking!C96,Siembra,3,FALSE),"")</f>
        <v/>
      </c>
      <c r="F96" s="323" t="str">
        <f t="shared" si="7"/>
        <v/>
      </c>
    </row>
    <row r="97" spans="1:37" ht="12.75" customHeight="1" x14ac:dyDescent="0.25">
      <c r="A97" s="292">
        <v>94</v>
      </c>
      <c r="B97" s="292"/>
      <c r="C97" s="180" t="str">
        <f>IF(ISTEXT(Sorteo!B110),VLOOKUP(A97,Results,3,FALSE),"")</f>
        <v/>
      </c>
      <c r="D97" s="180" t="str">
        <f t="shared" si="6"/>
        <v/>
      </c>
      <c r="E97" s="179" t="str">
        <f>IF(C97&lt;&gt;"",VLOOKUP(Ranking!C97,Siembra,3,FALSE),"")</f>
        <v/>
      </c>
      <c r="F97" s="323" t="str">
        <f t="shared" si="7"/>
        <v/>
      </c>
    </row>
    <row r="98" spans="1:37" ht="12.75" customHeight="1" x14ac:dyDescent="0.25">
      <c r="A98" s="292">
        <v>95</v>
      </c>
      <c r="B98" s="292"/>
      <c r="C98" s="180" t="str">
        <f>IF(ISTEXT(Sorteo!B111),VLOOKUP(A98,Results,3,FALSE),"")</f>
        <v/>
      </c>
      <c r="D98" s="180" t="str">
        <f t="shared" si="6"/>
        <v/>
      </c>
      <c r="E98" s="179" t="str">
        <f>IF(C98&lt;&gt;"",VLOOKUP(Ranking!C98,Siembra,3,FALSE),"")</f>
        <v/>
      </c>
      <c r="F98" s="323" t="str">
        <f t="shared" si="7"/>
        <v/>
      </c>
    </row>
    <row r="99" spans="1:37" ht="12.75" customHeight="1" x14ac:dyDescent="0.25">
      <c r="A99" s="292">
        <v>96</v>
      </c>
      <c r="B99" s="292"/>
      <c r="C99" s="180" t="str">
        <f>IF(ISTEXT(Sorteo!B112),VLOOKUP(A99,Results,3,FALSE),"")</f>
        <v/>
      </c>
      <c r="D99" s="180" t="str">
        <f t="shared" si="6"/>
        <v/>
      </c>
      <c r="E99" s="179" t="str">
        <f>IF(C99&lt;&gt;"",VLOOKUP(Ranking!C99,Siembra,3,FALSE),"")</f>
        <v/>
      </c>
      <c r="F99" s="323" t="str">
        <f t="shared" si="7"/>
        <v/>
      </c>
    </row>
    <row r="100" spans="1:37" ht="12.75" customHeight="1" x14ac:dyDescent="0.25">
      <c r="A100" s="292">
        <v>97</v>
      </c>
      <c r="B100" s="292"/>
      <c r="C100" s="180" t="str">
        <f>IF(ISTEXT(Sorteo!B113),VLOOKUP(A100,Results,3,FALSE),"")</f>
        <v/>
      </c>
      <c r="D100" s="180" t="str">
        <f t="shared" si="6"/>
        <v/>
      </c>
      <c r="E100" s="179" t="str">
        <f>IF(C100&lt;&gt;"",VLOOKUP(Ranking!C100,Siembra,3,FALSE),"")</f>
        <v/>
      </c>
      <c r="F100" s="323" t="str">
        <f t="shared" ref="F100:F131" si="8">IF(A100&lt;=Tot_Jug,VLOOKUP(A100,Results,4,FALSE),"")</f>
        <v/>
      </c>
    </row>
    <row r="101" spans="1:37" ht="12.75" customHeight="1" x14ac:dyDescent="0.25">
      <c r="A101" s="292">
        <v>98</v>
      </c>
      <c r="B101" s="292"/>
      <c r="C101" s="180" t="str">
        <f>IF(ISTEXT(Sorteo!B114),VLOOKUP(A101,Results,3,FALSE),"")</f>
        <v/>
      </c>
      <c r="D101" s="180" t="str">
        <f t="shared" si="6"/>
        <v/>
      </c>
      <c r="E101" s="179" t="str">
        <f>IF(C101&lt;&gt;"",VLOOKUP(Ranking!C101,Siembra,3,FALSE),"")</f>
        <v/>
      </c>
      <c r="F101" s="323" t="str">
        <f t="shared" si="8"/>
        <v/>
      </c>
    </row>
    <row r="102" spans="1:37" ht="12.75" customHeight="1" x14ac:dyDescent="0.25">
      <c r="A102" s="292">
        <v>99</v>
      </c>
      <c r="B102" s="292"/>
      <c r="C102" s="180" t="str">
        <f>IF(ISTEXT(Sorteo!B115),VLOOKUP(A102,Results,3,FALSE),"")</f>
        <v/>
      </c>
      <c r="D102" s="180" t="str">
        <f t="shared" si="6"/>
        <v/>
      </c>
      <c r="E102" s="179" t="str">
        <f>IF(C102&lt;&gt;"",VLOOKUP(Ranking!C102,Siembra,3,FALSE),"")</f>
        <v/>
      </c>
      <c r="F102" s="323" t="str">
        <f t="shared" si="8"/>
        <v/>
      </c>
    </row>
    <row r="103" spans="1:37" ht="12.75" customHeight="1" x14ac:dyDescent="0.25">
      <c r="A103" s="292">
        <v>100</v>
      </c>
      <c r="B103" s="292"/>
      <c r="C103" s="180" t="str">
        <f>IF(ISTEXT(Sorteo!B116),VLOOKUP(A103,Results,3,FALSE),"")</f>
        <v/>
      </c>
      <c r="D103" s="180" t="str">
        <f t="shared" si="6"/>
        <v/>
      </c>
      <c r="E103" s="179" t="str">
        <f>IF(C103&lt;&gt;"",VLOOKUP(Ranking!C103,Siembra,3,FALSE),"")</f>
        <v/>
      </c>
      <c r="F103" s="323" t="str">
        <f t="shared" si="8"/>
        <v/>
      </c>
    </row>
    <row r="104" spans="1:37" ht="12.75" customHeight="1" x14ac:dyDescent="0.25">
      <c r="A104" s="292">
        <v>101</v>
      </c>
      <c r="B104" s="292"/>
      <c r="C104" s="180" t="str">
        <f>IF(ISTEXT(Sorteo!B117),VLOOKUP(A104,Results,3,FALSE),"")</f>
        <v/>
      </c>
      <c r="D104" s="180" t="str">
        <f t="shared" si="6"/>
        <v/>
      </c>
      <c r="E104" s="179" t="str">
        <f>IF(C104&lt;&gt;"",VLOOKUP(Ranking!C104,Siembra,3,FALSE),"")</f>
        <v/>
      </c>
      <c r="F104" s="323" t="str">
        <f t="shared" si="8"/>
        <v/>
      </c>
    </row>
    <row r="105" spans="1:37" ht="12.75" customHeight="1" x14ac:dyDescent="0.25">
      <c r="A105" s="292">
        <v>102</v>
      </c>
      <c r="B105" s="292"/>
      <c r="C105" s="180" t="str">
        <f>IF(ISTEXT(Sorteo!B118),VLOOKUP(A105,Results,3,FALSE),"")</f>
        <v/>
      </c>
      <c r="D105" s="180" t="str">
        <f t="shared" si="6"/>
        <v/>
      </c>
      <c r="E105" s="179" t="str">
        <f>IF(C105&lt;&gt;"",VLOOKUP(Ranking!C105,Siembra,3,FALSE),"")</f>
        <v/>
      </c>
      <c r="F105" s="323" t="str">
        <f t="shared" si="8"/>
        <v/>
      </c>
    </row>
    <row r="106" spans="1:37" ht="12.75" customHeight="1" x14ac:dyDescent="0.25">
      <c r="A106" s="292">
        <v>103</v>
      </c>
      <c r="B106" s="292"/>
      <c r="C106" s="180" t="str">
        <f>IF(ISTEXT(Sorteo!B119),VLOOKUP(A106,Results,3,FALSE),"")</f>
        <v/>
      </c>
      <c r="D106" s="180" t="str">
        <f t="shared" si="6"/>
        <v/>
      </c>
      <c r="E106" s="179" t="str">
        <f>IF(C106&lt;&gt;"",VLOOKUP(Ranking!C106,Siembra,3,FALSE),"")</f>
        <v/>
      </c>
      <c r="F106" s="323" t="str">
        <f t="shared" si="8"/>
        <v/>
      </c>
      <c r="G106" s="306"/>
      <c r="H106" s="306"/>
      <c r="I106" s="306"/>
      <c r="J106" s="306"/>
      <c r="K106" s="306"/>
      <c r="L106" s="306"/>
      <c r="M106" s="306"/>
      <c r="N106" s="306"/>
      <c r="O106" s="306"/>
      <c r="P106" s="306"/>
      <c r="Q106" s="306"/>
      <c r="R106" s="306"/>
      <c r="S106" s="306"/>
      <c r="T106" s="306"/>
      <c r="U106" s="306"/>
      <c r="V106" s="306"/>
      <c r="W106" s="306"/>
      <c r="X106" s="306"/>
      <c r="Y106" s="306"/>
      <c r="Z106" s="306"/>
      <c r="AA106" s="306"/>
      <c r="AB106" s="306"/>
      <c r="AC106" s="306"/>
      <c r="AD106" s="306"/>
      <c r="AE106" s="306"/>
      <c r="AF106" s="306"/>
      <c r="AG106" s="306"/>
      <c r="AH106" s="306"/>
      <c r="AI106" s="306"/>
      <c r="AJ106" s="306"/>
      <c r="AK106" s="306"/>
    </row>
    <row r="107" spans="1:37" ht="12.75" customHeight="1" x14ac:dyDescent="0.25">
      <c r="A107" s="292">
        <v>104</v>
      </c>
      <c r="B107" s="292"/>
      <c r="C107" s="180" t="str">
        <f>IF(ISTEXT(Sorteo!B120),VLOOKUP(A107,Results,3,FALSE),"")</f>
        <v/>
      </c>
      <c r="D107" s="180" t="str">
        <f t="shared" si="6"/>
        <v/>
      </c>
      <c r="E107" s="179" t="str">
        <f>IF(C107&lt;&gt;"",VLOOKUP(Ranking!C107,Siembra,3,FALSE),"")</f>
        <v/>
      </c>
      <c r="F107" s="323" t="str">
        <f t="shared" si="8"/>
        <v/>
      </c>
      <c r="G107" s="306"/>
      <c r="H107" s="306"/>
      <c r="I107" s="306"/>
      <c r="J107" s="306"/>
      <c r="K107" s="306"/>
      <c r="L107" s="306"/>
      <c r="M107" s="306"/>
      <c r="N107" s="306"/>
      <c r="O107" s="306"/>
      <c r="P107" s="306"/>
      <c r="Q107" s="306"/>
      <c r="R107" s="306"/>
      <c r="S107" s="306"/>
      <c r="T107" s="306"/>
      <c r="U107" s="306"/>
      <c r="V107" s="306"/>
      <c r="W107" s="306"/>
      <c r="X107" s="306"/>
      <c r="Y107" s="306"/>
      <c r="Z107" s="306"/>
      <c r="AA107" s="306"/>
      <c r="AB107" s="306"/>
      <c r="AC107" s="306"/>
      <c r="AD107" s="306"/>
      <c r="AE107" s="306"/>
      <c r="AF107" s="306"/>
      <c r="AG107" s="306"/>
      <c r="AH107" s="306"/>
      <c r="AI107" s="306"/>
      <c r="AJ107" s="306"/>
      <c r="AK107" s="306"/>
    </row>
    <row r="108" spans="1:37" ht="12.75" customHeight="1" x14ac:dyDescent="0.25">
      <c r="A108" s="292">
        <v>105</v>
      </c>
      <c r="B108" s="292"/>
      <c r="C108" s="180" t="str">
        <f>IF(ISTEXT(Sorteo!B121),VLOOKUP(A108,Results,3,FALSE),"")</f>
        <v/>
      </c>
      <c r="D108" s="180" t="str">
        <f t="shared" si="6"/>
        <v/>
      </c>
      <c r="E108" s="179" t="str">
        <f>IF(C108&lt;&gt;"",VLOOKUP(Ranking!C108,Siembra,3,FALSE),"")</f>
        <v/>
      </c>
      <c r="F108" s="323" t="str">
        <f t="shared" si="8"/>
        <v/>
      </c>
      <c r="G108" s="306"/>
      <c r="H108" s="306"/>
      <c r="I108" s="306"/>
      <c r="J108" s="306"/>
      <c r="K108" s="306"/>
      <c r="L108" s="306"/>
      <c r="M108" s="306"/>
      <c r="N108" s="306"/>
      <c r="O108" s="306"/>
      <c r="P108" s="306"/>
      <c r="Q108" s="306"/>
      <c r="R108" s="306"/>
      <c r="S108" s="306"/>
      <c r="T108" s="306"/>
      <c r="U108" s="306"/>
      <c r="V108" s="306"/>
      <c r="W108" s="306"/>
      <c r="X108" s="306"/>
      <c r="Y108" s="306"/>
      <c r="Z108" s="306"/>
      <c r="AA108" s="306"/>
      <c r="AB108" s="306"/>
      <c r="AC108" s="306"/>
      <c r="AD108" s="306"/>
      <c r="AE108" s="306"/>
      <c r="AF108" s="306"/>
      <c r="AG108" s="306"/>
      <c r="AH108" s="306"/>
      <c r="AI108" s="306"/>
      <c r="AJ108" s="306"/>
      <c r="AK108" s="306"/>
    </row>
    <row r="109" spans="1:37" ht="12.75" customHeight="1" x14ac:dyDescent="0.25">
      <c r="A109" s="292">
        <v>106</v>
      </c>
      <c r="B109" s="292"/>
      <c r="C109" s="180" t="str">
        <f>IF(ISTEXT(Sorteo!B122),VLOOKUP(A109,Results,3,FALSE),"")</f>
        <v/>
      </c>
      <c r="D109" s="180" t="str">
        <f t="shared" si="6"/>
        <v/>
      </c>
      <c r="E109" s="179" t="str">
        <f>IF(C109&lt;&gt;"",VLOOKUP(Ranking!C109,Siembra,3,FALSE),"")</f>
        <v/>
      </c>
      <c r="F109" s="323" t="str">
        <f t="shared" si="8"/>
        <v/>
      </c>
      <c r="G109" s="306"/>
      <c r="H109" s="306"/>
      <c r="I109" s="306"/>
      <c r="J109" s="306"/>
      <c r="K109" s="306"/>
      <c r="L109" s="306"/>
      <c r="M109" s="306"/>
      <c r="N109" s="306"/>
      <c r="O109" s="306"/>
      <c r="P109" s="306"/>
      <c r="Q109" s="306"/>
      <c r="R109" s="306"/>
      <c r="S109" s="306"/>
      <c r="T109" s="306"/>
      <c r="U109" s="306"/>
      <c r="V109" s="306"/>
      <c r="W109" s="306"/>
      <c r="X109" s="306"/>
      <c r="Y109" s="306"/>
      <c r="Z109" s="306"/>
      <c r="AA109" s="306"/>
      <c r="AB109" s="306"/>
      <c r="AC109" s="306"/>
      <c r="AD109" s="306"/>
      <c r="AE109" s="306"/>
      <c r="AF109" s="306"/>
      <c r="AG109" s="306"/>
      <c r="AH109" s="306"/>
      <c r="AI109" s="306"/>
      <c r="AJ109" s="306"/>
      <c r="AK109" s="306"/>
    </row>
    <row r="110" spans="1:37" ht="12.75" customHeight="1" x14ac:dyDescent="0.25">
      <c r="A110" s="292">
        <v>107</v>
      </c>
      <c r="B110" s="292"/>
      <c r="C110" s="180" t="str">
        <f>IF(ISTEXT(Sorteo!B123),VLOOKUP(A110,Results,3,FALSE),"")</f>
        <v/>
      </c>
      <c r="D110" s="180" t="str">
        <f t="shared" si="6"/>
        <v/>
      </c>
      <c r="E110" s="179" t="str">
        <f>IF(C110&lt;&gt;"",VLOOKUP(Ranking!C110,Siembra,3,FALSE),"")</f>
        <v/>
      </c>
      <c r="F110" s="323" t="str">
        <f t="shared" si="8"/>
        <v/>
      </c>
      <c r="G110" s="306"/>
      <c r="H110" s="306"/>
      <c r="I110" s="306"/>
      <c r="J110" s="306"/>
      <c r="K110" s="306"/>
      <c r="L110" s="306"/>
      <c r="M110" s="306"/>
      <c r="N110" s="306"/>
      <c r="O110" s="306"/>
      <c r="P110" s="306"/>
      <c r="Q110" s="306"/>
      <c r="R110" s="306"/>
      <c r="S110" s="306"/>
      <c r="T110" s="306"/>
      <c r="U110" s="306"/>
      <c r="V110" s="306"/>
      <c r="W110" s="306"/>
      <c r="X110" s="306"/>
      <c r="Y110" s="306"/>
      <c r="Z110" s="306"/>
      <c r="AA110" s="306"/>
      <c r="AB110" s="306"/>
      <c r="AC110" s="306"/>
      <c r="AD110" s="306"/>
      <c r="AE110" s="306"/>
      <c r="AF110" s="306"/>
      <c r="AG110" s="306"/>
      <c r="AH110" s="306"/>
      <c r="AI110" s="306"/>
      <c r="AJ110" s="306"/>
      <c r="AK110" s="306"/>
    </row>
    <row r="111" spans="1:37" ht="12.75" customHeight="1" x14ac:dyDescent="0.25">
      <c r="A111" s="292">
        <v>108</v>
      </c>
      <c r="B111" s="292"/>
      <c r="C111" s="180" t="str">
        <f>IF(ISTEXT(Sorteo!B124),VLOOKUP(A111,Results,3,FALSE),"")</f>
        <v/>
      </c>
      <c r="D111" s="180" t="str">
        <f t="shared" si="6"/>
        <v/>
      </c>
      <c r="E111" s="179" t="str">
        <f>IF(C111&lt;&gt;"",VLOOKUP(Ranking!C111,Siembra,3,FALSE),"")</f>
        <v/>
      </c>
      <c r="F111" s="323" t="str">
        <f t="shared" si="8"/>
        <v/>
      </c>
      <c r="G111" s="306"/>
      <c r="H111" s="306"/>
      <c r="I111" s="306"/>
      <c r="J111" s="306"/>
      <c r="K111" s="306"/>
      <c r="L111" s="306"/>
      <c r="M111" s="306"/>
      <c r="N111" s="306"/>
      <c r="O111" s="306"/>
      <c r="P111" s="306"/>
      <c r="Q111" s="306"/>
      <c r="R111" s="306"/>
      <c r="S111" s="306"/>
      <c r="T111" s="306"/>
      <c r="U111" s="306"/>
      <c r="V111" s="306"/>
      <c r="W111" s="306"/>
      <c r="X111" s="306"/>
      <c r="Y111" s="306"/>
      <c r="Z111" s="306"/>
      <c r="AA111" s="306"/>
      <c r="AB111" s="306"/>
      <c r="AC111" s="306"/>
      <c r="AD111" s="306"/>
      <c r="AE111" s="306"/>
      <c r="AF111" s="306"/>
      <c r="AG111" s="306"/>
      <c r="AH111" s="306"/>
      <c r="AI111" s="442"/>
      <c r="AJ111" s="443"/>
      <c r="AK111" s="443"/>
    </row>
    <row r="112" spans="1:37" ht="12.75" customHeight="1" x14ac:dyDescent="0.25">
      <c r="A112" s="292">
        <v>109</v>
      </c>
      <c r="B112" s="292"/>
      <c r="C112" s="180" t="str">
        <f>IF(ISTEXT(Sorteo!B125),VLOOKUP(A112,Results,3,FALSE),"")</f>
        <v/>
      </c>
      <c r="D112" s="180" t="str">
        <f t="shared" si="6"/>
        <v/>
      </c>
      <c r="E112" s="179" t="str">
        <f>IF(C112&lt;&gt;"",VLOOKUP(Ranking!C112,Siembra,3,FALSE),"")</f>
        <v/>
      </c>
      <c r="F112" s="323" t="str">
        <f t="shared" si="8"/>
        <v/>
      </c>
      <c r="G112" s="306"/>
      <c r="H112" s="306"/>
      <c r="I112" s="306"/>
      <c r="J112" s="306"/>
      <c r="K112" s="306"/>
      <c r="L112" s="306"/>
      <c r="M112" s="306"/>
      <c r="N112" s="306"/>
      <c r="O112" s="306"/>
      <c r="P112" s="306"/>
      <c r="Q112" s="306"/>
      <c r="R112" s="306"/>
      <c r="S112" s="306"/>
      <c r="T112" s="306"/>
      <c r="U112" s="306"/>
      <c r="V112" s="306"/>
      <c r="W112" s="306"/>
      <c r="X112" s="306"/>
      <c r="Y112" s="306"/>
      <c r="Z112" s="306"/>
      <c r="AA112" s="306"/>
      <c r="AB112" s="306"/>
      <c r="AC112" s="306"/>
      <c r="AD112" s="306"/>
      <c r="AE112" s="306"/>
      <c r="AF112" s="306"/>
      <c r="AG112" s="306"/>
      <c r="AH112" s="306"/>
      <c r="AI112" s="306"/>
      <c r="AJ112" s="306"/>
      <c r="AK112" s="306"/>
    </row>
    <row r="113" spans="1:41" ht="12.75" customHeight="1" x14ac:dyDescent="0.25">
      <c r="A113" s="292">
        <v>110</v>
      </c>
      <c r="B113" s="292"/>
      <c r="C113" s="180" t="str">
        <f>IF(ISTEXT(Sorteo!B126),VLOOKUP(A113,Results,3,FALSE),"")</f>
        <v/>
      </c>
      <c r="D113" s="180" t="str">
        <f t="shared" si="6"/>
        <v/>
      </c>
      <c r="E113" s="179" t="str">
        <f>IF(C113&lt;&gt;"",VLOOKUP(Ranking!C113,Siembra,3,FALSE),"")</f>
        <v/>
      </c>
      <c r="F113" s="323" t="str">
        <f t="shared" si="8"/>
        <v/>
      </c>
      <c r="G113" s="306"/>
      <c r="H113" s="306"/>
      <c r="I113" s="306"/>
      <c r="J113" s="306"/>
      <c r="K113" s="306"/>
      <c r="L113" s="306"/>
      <c r="M113" s="306"/>
      <c r="N113" s="306"/>
      <c r="O113" s="306"/>
      <c r="P113" s="306"/>
      <c r="Q113" s="306"/>
      <c r="R113" s="306"/>
      <c r="S113" s="306"/>
      <c r="T113" s="306"/>
      <c r="U113" s="306"/>
      <c r="V113" s="306"/>
      <c r="W113" s="306"/>
      <c r="X113" s="306"/>
      <c r="Y113" s="306"/>
      <c r="Z113" s="306"/>
      <c r="AA113" s="306"/>
      <c r="AB113" s="306"/>
      <c r="AC113" s="306"/>
      <c r="AD113" s="306"/>
      <c r="AE113" s="306"/>
      <c r="AF113" s="306"/>
      <c r="AG113" s="306"/>
      <c r="AH113" s="306"/>
      <c r="AI113" s="306"/>
      <c r="AJ113" s="306"/>
      <c r="AK113" s="306"/>
    </row>
    <row r="114" spans="1:41" ht="12.75" customHeight="1" x14ac:dyDescent="0.25">
      <c r="A114" s="292">
        <v>111</v>
      </c>
      <c r="B114" s="292"/>
      <c r="C114" s="180" t="str">
        <f>IF(ISTEXT(Sorteo!B127),VLOOKUP(A114,Results,3,FALSE),"")</f>
        <v/>
      </c>
      <c r="D114" s="180" t="str">
        <f t="shared" si="6"/>
        <v/>
      </c>
      <c r="E114" s="179" t="str">
        <f>IF(C114&lt;&gt;"",VLOOKUP(Ranking!C114,Siembra,3,FALSE),"")</f>
        <v/>
      </c>
      <c r="F114" s="323" t="str">
        <f t="shared" si="8"/>
        <v/>
      </c>
      <c r="G114" s="306"/>
      <c r="H114" s="306"/>
      <c r="I114" s="306"/>
      <c r="J114" s="306"/>
      <c r="K114" s="306"/>
      <c r="L114" s="306"/>
      <c r="M114" s="306"/>
      <c r="N114" s="306"/>
      <c r="O114" s="306"/>
      <c r="P114" s="306"/>
      <c r="Q114" s="306"/>
      <c r="R114" s="306"/>
      <c r="S114" s="306"/>
      <c r="T114" s="306"/>
      <c r="U114" s="306"/>
      <c r="V114" s="306"/>
      <c r="W114" s="306"/>
      <c r="X114" s="306"/>
      <c r="Y114" s="306"/>
      <c r="Z114" s="306"/>
      <c r="AA114" s="306"/>
      <c r="AB114" s="306"/>
      <c r="AC114" s="306"/>
      <c r="AD114" s="306"/>
      <c r="AE114" s="306"/>
      <c r="AF114" s="306"/>
      <c r="AG114" s="306"/>
      <c r="AH114" s="306"/>
      <c r="AI114" s="306"/>
      <c r="AJ114" s="306"/>
      <c r="AK114" s="306"/>
    </row>
    <row r="115" spans="1:41" ht="12.75" customHeight="1" x14ac:dyDescent="0.25">
      <c r="A115" s="292">
        <v>112</v>
      </c>
      <c r="B115" s="292"/>
      <c r="C115" s="180" t="str">
        <f>IF(ISTEXT(Sorteo!B128),VLOOKUP(A115,Results,3,FALSE),"")</f>
        <v/>
      </c>
      <c r="D115" s="180" t="str">
        <f t="shared" si="6"/>
        <v/>
      </c>
      <c r="E115" s="179" t="str">
        <f>IF(C115&lt;&gt;"",VLOOKUP(Ranking!C115,Siembra,3,FALSE),"")</f>
        <v/>
      </c>
      <c r="F115" s="323" t="str">
        <f t="shared" si="8"/>
        <v/>
      </c>
      <c r="G115" s="306"/>
      <c r="H115" s="306"/>
      <c r="I115" s="306"/>
      <c r="J115" s="306"/>
      <c r="K115" s="306"/>
      <c r="L115" s="306"/>
      <c r="M115" s="306"/>
      <c r="N115" s="306"/>
      <c r="O115" s="306"/>
      <c r="P115" s="306"/>
      <c r="Q115" s="306"/>
      <c r="R115" s="306"/>
      <c r="S115" s="306"/>
      <c r="T115" s="306"/>
      <c r="U115" s="306"/>
      <c r="V115" s="306"/>
      <c r="W115" s="306"/>
      <c r="X115" s="306"/>
      <c r="Y115" s="306"/>
      <c r="Z115" s="306"/>
      <c r="AA115" s="306"/>
      <c r="AB115" s="306"/>
      <c r="AC115" s="306"/>
      <c r="AD115" s="306"/>
      <c r="AE115" s="306"/>
      <c r="AF115" s="306"/>
      <c r="AG115" s="306"/>
      <c r="AH115" s="306"/>
      <c r="AI115" s="306"/>
      <c r="AJ115" s="306"/>
      <c r="AK115" s="306"/>
    </row>
    <row r="116" spans="1:41" ht="12.75" customHeight="1" x14ac:dyDescent="0.25">
      <c r="A116" s="292">
        <v>113</v>
      </c>
      <c r="B116" s="292"/>
      <c r="C116" s="180" t="str">
        <f>IF(ISTEXT(Sorteo!B129),VLOOKUP(A116,Results,3,FALSE),"")</f>
        <v/>
      </c>
      <c r="D116" s="180" t="str">
        <f t="shared" si="6"/>
        <v/>
      </c>
      <c r="E116" s="179" t="str">
        <f>IF(C116&lt;&gt;"",VLOOKUP(Ranking!C116,Siembra,3,FALSE),"")</f>
        <v/>
      </c>
      <c r="F116" s="323" t="str">
        <f t="shared" si="8"/>
        <v/>
      </c>
      <c r="G116" s="306"/>
      <c r="H116" s="306"/>
      <c r="I116" s="306"/>
      <c r="J116" s="306"/>
      <c r="K116" s="306"/>
      <c r="L116" s="306"/>
      <c r="M116" s="306"/>
      <c r="N116" s="306"/>
      <c r="O116" s="306"/>
      <c r="P116" s="306"/>
      <c r="Q116" s="306"/>
      <c r="R116" s="306"/>
      <c r="S116" s="306"/>
      <c r="T116" s="306"/>
      <c r="U116" s="306"/>
      <c r="V116" s="306"/>
      <c r="W116" s="306"/>
      <c r="X116" s="306"/>
      <c r="Y116" s="306"/>
      <c r="Z116" s="306"/>
      <c r="AA116" s="306"/>
      <c r="AB116" s="306"/>
      <c r="AC116" s="306"/>
      <c r="AD116" s="306"/>
      <c r="AE116" s="306"/>
      <c r="AF116" s="306"/>
      <c r="AG116" s="306"/>
      <c r="AH116" s="306"/>
      <c r="AI116" s="306"/>
      <c r="AJ116" s="306"/>
      <c r="AK116" s="306"/>
    </row>
    <row r="117" spans="1:41" ht="12.75" customHeight="1" x14ac:dyDescent="0.25">
      <c r="A117" s="292">
        <v>114</v>
      </c>
      <c r="B117" s="292"/>
      <c r="C117" s="180" t="str">
        <f>IF(ISTEXT(Sorteo!B130),VLOOKUP(A117,Results,3,FALSE),"")</f>
        <v/>
      </c>
      <c r="D117" s="180" t="str">
        <f t="shared" si="6"/>
        <v/>
      </c>
      <c r="E117" s="179" t="str">
        <f>IF(C117&lt;&gt;"",VLOOKUP(Ranking!C117,Siembra,3,FALSE),"")</f>
        <v/>
      </c>
      <c r="F117" s="323" t="str">
        <f t="shared" si="8"/>
        <v/>
      </c>
      <c r="G117" s="306"/>
      <c r="H117" s="306"/>
      <c r="I117" s="306"/>
      <c r="J117" s="306"/>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6"/>
      <c r="AI117" s="306"/>
      <c r="AJ117" s="306"/>
      <c r="AK117" s="306"/>
    </row>
    <row r="118" spans="1:41" ht="12.75" customHeight="1" x14ac:dyDescent="0.25">
      <c r="A118" s="292">
        <v>115</v>
      </c>
      <c r="B118" s="292"/>
      <c r="C118" s="180" t="str">
        <f>IF(ISTEXT(Sorteo!B131),VLOOKUP(A118,Results,3,FALSE),"")</f>
        <v/>
      </c>
      <c r="D118" s="180" t="str">
        <f t="shared" si="6"/>
        <v/>
      </c>
      <c r="E118" s="179" t="str">
        <f>IF(C118&lt;&gt;"",VLOOKUP(Ranking!C118,Siembra,3,FALSE),"")</f>
        <v/>
      </c>
      <c r="F118" s="323" t="str">
        <f t="shared" si="8"/>
        <v/>
      </c>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442"/>
      <c r="AF118" s="443"/>
      <c r="AG118" s="443"/>
      <c r="AH118" s="306"/>
      <c r="AI118" s="306"/>
      <c r="AJ118" s="306"/>
      <c r="AK118" s="306"/>
    </row>
    <row r="119" spans="1:41" ht="12.75" customHeight="1" x14ac:dyDescent="0.25">
      <c r="A119" s="292">
        <v>116</v>
      </c>
      <c r="B119" s="292"/>
      <c r="C119" s="180" t="str">
        <f>IF(ISTEXT(Sorteo!B132),VLOOKUP(A119,Results,3,FALSE),"")</f>
        <v/>
      </c>
      <c r="D119" s="180" t="str">
        <f t="shared" si="6"/>
        <v/>
      </c>
      <c r="E119" s="179" t="str">
        <f>IF(C119&lt;&gt;"",VLOOKUP(Ranking!C119,Siembra,3,FALSE),"")</f>
        <v/>
      </c>
      <c r="F119" s="323" t="str">
        <f t="shared" si="8"/>
        <v/>
      </c>
      <c r="G119" s="306"/>
      <c r="H119" s="306"/>
      <c r="I119" s="306"/>
      <c r="J119" s="306"/>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6"/>
      <c r="AI119" s="306"/>
      <c r="AJ119" s="306"/>
      <c r="AK119" s="306"/>
    </row>
    <row r="120" spans="1:41" ht="12.75" customHeight="1" x14ac:dyDescent="0.25">
      <c r="A120" s="292">
        <v>117</v>
      </c>
      <c r="B120" s="292"/>
      <c r="C120" s="180" t="str">
        <f>IF(ISTEXT(Sorteo!B133),VLOOKUP(A120,Results,3,FALSE),"")</f>
        <v/>
      </c>
      <c r="D120" s="180" t="str">
        <f t="shared" si="6"/>
        <v/>
      </c>
      <c r="E120" s="179" t="str">
        <f>IF(C120&lt;&gt;"",VLOOKUP(Ranking!C120,Siembra,3,FALSE),"")</f>
        <v/>
      </c>
      <c r="F120" s="323" t="str">
        <f t="shared" si="8"/>
        <v/>
      </c>
      <c r="G120" s="306"/>
      <c r="H120" s="306"/>
      <c r="I120" s="306"/>
      <c r="J120" s="306"/>
      <c r="K120" s="306"/>
      <c r="L120" s="306"/>
      <c r="M120" s="306"/>
      <c r="N120" s="306"/>
      <c r="O120" s="306"/>
      <c r="P120" s="306"/>
      <c r="Q120" s="306"/>
      <c r="R120" s="306"/>
      <c r="S120" s="306"/>
      <c r="T120" s="306"/>
      <c r="U120" s="306"/>
      <c r="V120" s="306"/>
      <c r="W120" s="306"/>
      <c r="X120" s="306"/>
      <c r="Y120" s="306"/>
      <c r="Z120" s="306"/>
      <c r="AA120" s="306"/>
      <c r="AB120" s="306"/>
      <c r="AC120" s="306"/>
      <c r="AD120" s="306"/>
      <c r="AE120" s="306"/>
      <c r="AF120" s="306"/>
      <c r="AG120" s="306"/>
      <c r="AH120" s="306"/>
      <c r="AI120" s="306"/>
      <c r="AJ120" s="306"/>
      <c r="AK120" s="306"/>
    </row>
    <row r="121" spans="1:41" ht="12.75" customHeight="1" x14ac:dyDescent="0.25">
      <c r="A121" s="292">
        <v>118</v>
      </c>
      <c r="B121" s="292"/>
      <c r="C121" s="180" t="str">
        <f>IF(ISTEXT(Sorteo!B134),VLOOKUP(A121,Results,3,FALSE),"")</f>
        <v/>
      </c>
      <c r="D121" s="180" t="str">
        <f t="shared" si="6"/>
        <v/>
      </c>
      <c r="E121" s="179" t="str">
        <f>IF(C121&lt;&gt;"",VLOOKUP(Ranking!C121,Siembra,3,FALSE),"")</f>
        <v/>
      </c>
      <c r="F121" s="323" t="str">
        <f t="shared" si="8"/>
        <v/>
      </c>
      <c r="G121" s="306"/>
      <c r="H121" s="306"/>
      <c r="I121" s="306"/>
      <c r="J121" s="306"/>
      <c r="K121" s="306"/>
      <c r="L121" s="306"/>
      <c r="M121" s="306"/>
      <c r="N121" s="306"/>
      <c r="O121" s="306"/>
      <c r="P121" s="306"/>
      <c r="Q121" s="306"/>
      <c r="R121" s="306"/>
      <c r="S121" s="306"/>
      <c r="T121" s="306"/>
      <c r="U121" s="306"/>
      <c r="V121" s="306"/>
      <c r="W121" s="306"/>
      <c r="X121" s="306"/>
      <c r="Y121" s="306"/>
      <c r="Z121" s="306"/>
      <c r="AA121" s="306"/>
      <c r="AB121" s="306"/>
      <c r="AC121" s="306"/>
      <c r="AD121" s="306"/>
      <c r="AE121" s="306"/>
      <c r="AF121" s="306"/>
      <c r="AG121" s="306"/>
      <c r="AH121" s="306"/>
      <c r="AI121" s="306"/>
      <c r="AJ121" s="306"/>
      <c r="AK121" s="306"/>
    </row>
    <row r="122" spans="1:41" ht="12.75" customHeight="1" x14ac:dyDescent="0.25">
      <c r="A122" s="292">
        <v>119</v>
      </c>
      <c r="B122" s="292"/>
      <c r="C122" s="180" t="str">
        <f>IF(ISTEXT(Sorteo!B135),VLOOKUP(A122,Results,3,FALSE),"")</f>
        <v/>
      </c>
      <c r="D122" s="180" t="str">
        <f t="shared" si="6"/>
        <v/>
      </c>
      <c r="E122" s="179" t="str">
        <f>IF(C122&lt;&gt;"",VLOOKUP(Ranking!C122,Siembra,3,FALSE),"")</f>
        <v/>
      </c>
      <c r="F122" s="323" t="str">
        <f t="shared" si="8"/>
        <v/>
      </c>
      <c r="G122" s="306"/>
      <c r="H122" s="306"/>
      <c r="I122" s="306"/>
      <c r="J122" s="306"/>
      <c r="K122" s="306"/>
      <c r="L122" s="306"/>
      <c r="M122" s="306"/>
      <c r="N122" s="306"/>
      <c r="O122" s="306"/>
      <c r="P122" s="306"/>
      <c r="Q122" s="306"/>
      <c r="R122" s="306"/>
      <c r="S122" s="306"/>
      <c r="T122" s="306"/>
      <c r="U122" s="306"/>
      <c r="V122" s="306"/>
      <c r="W122" s="306"/>
      <c r="X122" s="306"/>
      <c r="Y122" s="306"/>
      <c r="Z122" s="306"/>
      <c r="AA122" s="306"/>
      <c r="AB122" s="306"/>
      <c r="AC122" s="306"/>
      <c r="AD122" s="306"/>
      <c r="AE122" s="306"/>
      <c r="AF122" s="306"/>
      <c r="AG122" s="306"/>
      <c r="AH122" s="306"/>
      <c r="AI122" s="306"/>
      <c r="AJ122" s="306"/>
      <c r="AK122" s="306"/>
      <c r="AL122" s="306"/>
      <c r="AM122" s="306"/>
      <c r="AN122" s="306"/>
      <c r="AO122" s="306"/>
    </row>
    <row r="123" spans="1:41" ht="12.75" customHeight="1" x14ac:dyDescent="0.25">
      <c r="A123" s="292">
        <v>120</v>
      </c>
      <c r="B123" s="292"/>
      <c r="C123" s="180" t="str">
        <f>IF(ISTEXT(Sorteo!B136),VLOOKUP(A123,Results,3,FALSE),"")</f>
        <v/>
      </c>
      <c r="D123" s="180" t="str">
        <f t="shared" si="6"/>
        <v/>
      </c>
      <c r="E123" s="179" t="str">
        <f>IF(C123&lt;&gt;"",VLOOKUP(Ranking!C123,Siembra,3,FALSE),"")</f>
        <v/>
      </c>
      <c r="F123" s="323" t="str">
        <f t="shared" si="8"/>
        <v/>
      </c>
      <c r="G123" s="306"/>
      <c r="H123" s="306"/>
      <c r="I123" s="306"/>
      <c r="J123" s="306"/>
      <c r="K123" s="306"/>
      <c r="L123" s="306"/>
      <c r="M123" s="306"/>
      <c r="N123" s="306"/>
      <c r="O123" s="306"/>
      <c r="P123" s="306"/>
      <c r="Q123" s="306"/>
      <c r="R123" s="306"/>
      <c r="S123" s="306"/>
      <c r="T123" s="306"/>
      <c r="U123" s="306"/>
      <c r="V123" s="306"/>
      <c r="W123" s="306"/>
      <c r="X123" s="306"/>
      <c r="Y123" s="306"/>
      <c r="Z123" s="306"/>
      <c r="AA123" s="306"/>
      <c r="AB123" s="306"/>
      <c r="AC123" s="306"/>
      <c r="AD123" s="306"/>
      <c r="AE123" s="306"/>
      <c r="AF123" s="306"/>
      <c r="AG123" s="306"/>
      <c r="AH123" s="306"/>
      <c r="AI123" s="306"/>
      <c r="AJ123" s="306"/>
      <c r="AK123" s="306"/>
      <c r="AL123" s="306"/>
      <c r="AM123" s="306"/>
      <c r="AN123" s="306"/>
      <c r="AO123" s="306"/>
    </row>
    <row r="124" spans="1:41" ht="12.75" customHeight="1" x14ac:dyDescent="0.25">
      <c r="A124" s="292">
        <v>121</v>
      </c>
      <c r="B124" s="292"/>
      <c r="C124" s="180" t="str">
        <f>IF(ISTEXT(Sorteo!B137),VLOOKUP(A124,Results,3,FALSE),"")</f>
        <v/>
      </c>
      <c r="D124" s="180" t="str">
        <f t="shared" si="6"/>
        <v/>
      </c>
      <c r="E124" s="179" t="str">
        <f>IF(C124&lt;&gt;"",VLOOKUP(Ranking!C124,Siembra,3,FALSE),"")</f>
        <v/>
      </c>
      <c r="F124" s="323" t="str">
        <f t="shared" si="8"/>
        <v/>
      </c>
      <c r="G124" s="306"/>
      <c r="H124" s="306"/>
      <c r="I124" s="306"/>
      <c r="J124" s="306"/>
      <c r="K124" s="306"/>
      <c r="L124" s="306"/>
      <c r="M124" s="306"/>
      <c r="N124" s="306"/>
      <c r="O124" s="306"/>
      <c r="P124" s="306"/>
      <c r="Q124" s="306"/>
      <c r="R124" s="306"/>
      <c r="S124" s="306"/>
      <c r="T124" s="306"/>
      <c r="U124" s="306"/>
      <c r="V124" s="306"/>
      <c r="W124" s="306"/>
      <c r="X124" s="306"/>
      <c r="Y124" s="306"/>
      <c r="Z124" s="306"/>
      <c r="AA124" s="306"/>
      <c r="AB124" s="306"/>
      <c r="AC124" s="306"/>
      <c r="AD124" s="306"/>
      <c r="AE124" s="306"/>
      <c r="AF124" s="306"/>
      <c r="AG124" s="306"/>
      <c r="AH124" s="306"/>
      <c r="AI124" s="306"/>
      <c r="AJ124" s="306"/>
      <c r="AK124" s="306"/>
      <c r="AL124" s="306"/>
      <c r="AM124" s="306"/>
      <c r="AN124" s="306"/>
      <c r="AO124" s="306"/>
    </row>
    <row r="125" spans="1:41" ht="12.75" customHeight="1" x14ac:dyDescent="0.25">
      <c r="A125" s="292">
        <v>122</v>
      </c>
      <c r="B125" s="292"/>
      <c r="C125" s="180" t="str">
        <f>IF(ISTEXT(Sorteo!B138),VLOOKUP(A125,Results,3,FALSE),"")</f>
        <v/>
      </c>
      <c r="D125" s="180" t="str">
        <f t="shared" si="6"/>
        <v/>
      </c>
      <c r="E125" s="179" t="str">
        <f>IF(C125&lt;&gt;"",VLOOKUP(Ranking!C125,Siembra,3,FALSE),"")</f>
        <v/>
      </c>
      <c r="F125" s="323" t="str">
        <f t="shared" si="8"/>
        <v/>
      </c>
      <c r="G125" s="306"/>
      <c r="H125" s="306"/>
      <c r="I125" s="306"/>
      <c r="J125" s="306"/>
      <c r="K125" s="306"/>
      <c r="L125" s="306"/>
      <c r="M125" s="306"/>
      <c r="N125" s="306"/>
      <c r="O125" s="306"/>
      <c r="P125" s="306"/>
      <c r="Q125" s="306"/>
      <c r="R125" s="306"/>
      <c r="S125" s="306"/>
      <c r="T125" s="306"/>
      <c r="U125" s="306"/>
      <c r="V125" s="306"/>
      <c r="W125" s="306"/>
      <c r="X125" s="306"/>
      <c r="Y125" s="306"/>
      <c r="Z125" s="306"/>
      <c r="AA125" s="306"/>
      <c r="AB125" s="306"/>
      <c r="AC125" s="306"/>
      <c r="AD125" s="306"/>
      <c r="AE125" s="306"/>
      <c r="AF125" s="306"/>
      <c r="AG125" s="306"/>
      <c r="AH125" s="306"/>
      <c r="AI125" s="306"/>
      <c r="AJ125" s="306"/>
      <c r="AK125" s="306"/>
      <c r="AL125" s="306"/>
      <c r="AM125" s="306"/>
      <c r="AN125" s="306"/>
      <c r="AO125" s="306"/>
    </row>
    <row r="126" spans="1:41" ht="12.75" customHeight="1" x14ac:dyDescent="0.25">
      <c r="A126" s="292">
        <v>123</v>
      </c>
      <c r="B126" s="292"/>
      <c r="C126" s="180" t="str">
        <f>IF(ISTEXT(Sorteo!B139),VLOOKUP(A126,Results,3,FALSE),"")</f>
        <v/>
      </c>
      <c r="D126" s="180" t="str">
        <f t="shared" si="6"/>
        <v/>
      </c>
      <c r="E126" s="179" t="str">
        <f>IF(C126&lt;&gt;"",VLOOKUP(Ranking!C126,Siembra,3,FALSE),"")</f>
        <v/>
      </c>
      <c r="F126" s="323" t="str">
        <f t="shared" si="8"/>
        <v/>
      </c>
      <c r="G126" s="306"/>
      <c r="H126" s="306"/>
      <c r="I126" s="306"/>
      <c r="J126" s="306"/>
      <c r="K126" s="306"/>
      <c r="L126" s="306"/>
      <c r="M126" s="306"/>
      <c r="N126" s="306"/>
      <c r="O126" s="306"/>
      <c r="P126" s="306"/>
      <c r="Q126" s="306"/>
      <c r="R126" s="306"/>
      <c r="S126" s="306"/>
      <c r="T126" s="306"/>
      <c r="U126" s="306"/>
      <c r="V126" s="306"/>
      <c r="W126" s="306"/>
      <c r="X126" s="306"/>
      <c r="Y126" s="306"/>
      <c r="Z126" s="306"/>
      <c r="AA126" s="306"/>
      <c r="AB126" s="306"/>
      <c r="AC126" s="306"/>
      <c r="AD126" s="306"/>
      <c r="AE126" s="306"/>
      <c r="AF126" s="306"/>
      <c r="AG126" s="306"/>
      <c r="AH126" s="306"/>
      <c r="AI126" s="306"/>
      <c r="AJ126" s="306"/>
      <c r="AK126" s="306"/>
      <c r="AL126" s="306"/>
      <c r="AM126" s="306"/>
      <c r="AN126" s="306"/>
      <c r="AO126" s="306"/>
    </row>
    <row r="127" spans="1:41" ht="12.75" customHeight="1" x14ac:dyDescent="0.25">
      <c r="A127" s="292">
        <v>124</v>
      </c>
      <c r="B127" s="292"/>
      <c r="C127" s="180" t="str">
        <f>IF(ISTEXT(Sorteo!B140),VLOOKUP(A127,Results,3,FALSE),"")</f>
        <v/>
      </c>
      <c r="D127" s="180" t="str">
        <f t="shared" si="6"/>
        <v/>
      </c>
      <c r="E127" s="179" t="str">
        <f>IF(C127&lt;&gt;"",VLOOKUP(Ranking!C127,Siembra,3,FALSE),"")</f>
        <v/>
      </c>
      <c r="F127" s="323" t="str">
        <f t="shared" si="8"/>
        <v/>
      </c>
      <c r="G127" s="306"/>
      <c r="H127" s="306"/>
      <c r="I127" s="306"/>
      <c r="J127" s="306"/>
      <c r="K127" s="306"/>
      <c r="L127" s="306"/>
      <c r="M127" s="306"/>
      <c r="N127" s="306"/>
      <c r="O127" s="306"/>
      <c r="P127" s="306"/>
      <c r="Q127" s="306"/>
      <c r="R127" s="306"/>
      <c r="S127" s="306"/>
      <c r="T127" s="306"/>
      <c r="U127" s="306"/>
      <c r="V127" s="306"/>
      <c r="W127" s="306"/>
      <c r="X127" s="306"/>
      <c r="Y127" s="306"/>
      <c r="Z127" s="306"/>
      <c r="AA127" s="306"/>
      <c r="AB127" s="306"/>
      <c r="AC127" s="306"/>
      <c r="AD127" s="306"/>
      <c r="AE127" s="306"/>
      <c r="AF127" s="306"/>
      <c r="AG127" s="306"/>
      <c r="AH127" s="306"/>
      <c r="AI127" s="306"/>
      <c r="AJ127" s="306"/>
      <c r="AK127" s="306"/>
      <c r="AL127" s="306"/>
      <c r="AM127" s="306"/>
      <c r="AN127" s="306"/>
      <c r="AO127" s="306"/>
    </row>
    <row r="128" spans="1:41" ht="12.75" customHeight="1" x14ac:dyDescent="0.25">
      <c r="A128" s="292">
        <v>125</v>
      </c>
      <c r="B128" s="292"/>
      <c r="C128" s="180" t="str">
        <f>IF(ISTEXT(Sorteo!B141),VLOOKUP(A128,Results,3,FALSE),"")</f>
        <v/>
      </c>
      <c r="D128" s="180" t="str">
        <f t="shared" si="6"/>
        <v/>
      </c>
      <c r="E128" s="179" t="str">
        <f>IF(C128&lt;&gt;"",VLOOKUP(Ranking!C128,Siembra,3,FALSE),"")</f>
        <v/>
      </c>
      <c r="F128" s="323" t="str">
        <f t="shared" si="8"/>
        <v/>
      </c>
      <c r="G128" s="306"/>
      <c r="H128" s="306"/>
      <c r="I128" s="306"/>
      <c r="J128" s="306"/>
      <c r="K128" s="306"/>
      <c r="L128" s="306"/>
      <c r="M128" s="306"/>
      <c r="N128" s="306"/>
      <c r="O128" s="306"/>
      <c r="P128" s="306"/>
      <c r="Q128" s="306"/>
      <c r="R128" s="306"/>
      <c r="S128" s="306"/>
      <c r="T128" s="306"/>
      <c r="U128" s="306"/>
      <c r="V128" s="306"/>
      <c r="W128" s="306"/>
      <c r="X128" s="306"/>
      <c r="Y128" s="306"/>
      <c r="Z128" s="306"/>
      <c r="AA128" s="306"/>
      <c r="AB128" s="306"/>
      <c r="AC128" s="306"/>
      <c r="AD128" s="306"/>
      <c r="AE128" s="306"/>
      <c r="AF128" s="306"/>
      <c r="AG128" s="306"/>
      <c r="AH128" s="306"/>
      <c r="AI128" s="306"/>
      <c r="AJ128" s="306"/>
      <c r="AK128" s="306"/>
      <c r="AL128" s="306"/>
      <c r="AM128" s="306"/>
      <c r="AN128" s="306"/>
      <c r="AO128" s="306"/>
    </row>
    <row r="129" spans="1:41" ht="12.75" customHeight="1" x14ac:dyDescent="0.25">
      <c r="A129" s="292">
        <v>126</v>
      </c>
      <c r="B129" s="292"/>
      <c r="C129" s="180" t="str">
        <f>IF(ISTEXT(Sorteo!B142),VLOOKUP(A129,Results,3,FALSE),"")</f>
        <v/>
      </c>
      <c r="D129" s="180" t="str">
        <f t="shared" si="6"/>
        <v/>
      </c>
      <c r="E129" s="179" t="str">
        <f>IF(C129&lt;&gt;"",VLOOKUP(Ranking!C129,Siembra,3,FALSE),"")</f>
        <v/>
      </c>
      <c r="F129" s="323" t="str">
        <f t="shared" si="8"/>
        <v/>
      </c>
      <c r="G129" s="306"/>
      <c r="H129" s="306"/>
      <c r="I129" s="306"/>
      <c r="J129" s="306"/>
      <c r="K129" s="306"/>
      <c r="L129" s="306"/>
      <c r="M129" s="306"/>
      <c r="N129" s="306"/>
      <c r="O129" s="306"/>
      <c r="P129" s="306"/>
      <c r="Q129" s="306"/>
      <c r="R129" s="306"/>
      <c r="S129" s="306"/>
      <c r="T129" s="306"/>
      <c r="U129" s="306"/>
      <c r="V129" s="306"/>
      <c r="W129" s="306"/>
      <c r="X129" s="306"/>
      <c r="Y129" s="306"/>
      <c r="Z129" s="306"/>
      <c r="AA129" s="306"/>
      <c r="AB129" s="306"/>
      <c r="AC129" s="306"/>
      <c r="AD129" s="306"/>
      <c r="AE129" s="306"/>
      <c r="AF129" s="306"/>
      <c r="AG129" s="306"/>
      <c r="AH129" s="306"/>
      <c r="AI129" s="306"/>
      <c r="AJ129" s="306"/>
      <c r="AK129" s="306"/>
      <c r="AL129" s="306"/>
      <c r="AM129" s="442"/>
      <c r="AN129" s="443"/>
      <c r="AO129" s="443"/>
    </row>
    <row r="130" spans="1:41" ht="12.75" customHeight="1" x14ac:dyDescent="0.25">
      <c r="A130" s="292">
        <v>127</v>
      </c>
      <c r="B130" s="292"/>
      <c r="C130" s="180" t="str">
        <f>IF(ISTEXT(Sorteo!B143),VLOOKUP(A130,Results,3,FALSE),"")</f>
        <v/>
      </c>
      <c r="D130" s="180" t="str">
        <f t="shared" si="6"/>
        <v/>
      </c>
      <c r="E130" s="179" t="str">
        <f>IF(C130&lt;&gt;"",VLOOKUP(Ranking!C130,Siembra,3,FALSE),"")</f>
        <v/>
      </c>
      <c r="F130" s="323" t="str">
        <f t="shared" si="8"/>
        <v/>
      </c>
      <c r="G130" s="306"/>
      <c r="H130" s="306"/>
      <c r="I130" s="306"/>
      <c r="J130" s="306"/>
      <c r="K130" s="306"/>
      <c r="L130" s="306"/>
      <c r="M130" s="306"/>
      <c r="N130" s="306"/>
      <c r="O130" s="306"/>
      <c r="P130" s="306"/>
      <c r="Q130" s="306"/>
      <c r="R130" s="306"/>
      <c r="S130" s="306"/>
      <c r="T130" s="306"/>
      <c r="U130" s="306"/>
      <c r="V130" s="306"/>
      <c r="W130" s="306"/>
      <c r="X130" s="306"/>
      <c r="Y130" s="306"/>
      <c r="Z130" s="306"/>
      <c r="AA130" s="306"/>
      <c r="AB130" s="306"/>
      <c r="AC130" s="306"/>
      <c r="AD130" s="306"/>
      <c r="AE130" s="306"/>
      <c r="AF130" s="306"/>
      <c r="AG130" s="306"/>
      <c r="AH130" s="306"/>
      <c r="AI130" s="306"/>
      <c r="AJ130" s="306"/>
      <c r="AK130" s="306"/>
      <c r="AL130" s="306"/>
      <c r="AM130" s="306"/>
      <c r="AN130" s="306"/>
      <c r="AO130" s="306"/>
    </row>
    <row r="131" spans="1:41" ht="12.75" customHeight="1" x14ac:dyDescent="0.25">
      <c r="A131" s="292">
        <v>128</v>
      </c>
      <c r="B131" s="292"/>
      <c r="C131" s="180" t="str">
        <f>IF(ISTEXT(Sorteo!#REF!),VLOOKUP(A131,Results,3,FALSE),"")</f>
        <v/>
      </c>
      <c r="D131" s="180" t="str">
        <f t="shared" si="6"/>
        <v/>
      </c>
      <c r="E131" s="179" t="str">
        <f>IF(C131&lt;&gt;"",VLOOKUP(Ranking!C131,Siembra,3,FALSE),"")</f>
        <v/>
      </c>
      <c r="F131" s="323" t="str">
        <f t="shared" si="8"/>
        <v/>
      </c>
      <c r="G131" s="306"/>
      <c r="H131" s="306"/>
      <c r="I131" s="306"/>
      <c r="J131" s="306"/>
      <c r="K131" s="306"/>
      <c r="L131" s="306"/>
      <c r="M131" s="306"/>
      <c r="N131" s="306"/>
      <c r="O131" s="306"/>
      <c r="P131" s="306"/>
      <c r="Q131" s="306"/>
      <c r="R131" s="306"/>
      <c r="S131" s="306"/>
      <c r="T131" s="306"/>
      <c r="U131" s="306"/>
      <c r="V131" s="306"/>
      <c r="W131" s="306"/>
      <c r="X131" s="306"/>
      <c r="Y131" s="306"/>
      <c r="Z131" s="306"/>
      <c r="AA131" s="306"/>
      <c r="AB131" s="306"/>
      <c r="AC131" s="306"/>
      <c r="AD131" s="306"/>
      <c r="AE131" s="306"/>
      <c r="AF131" s="306"/>
      <c r="AG131" s="306"/>
      <c r="AH131" s="306"/>
      <c r="AI131" s="306"/>
      <c r="AJ131" s="306"/>
      <c r="AK131" s="306"/>
      <c r="AL131" s="306"/>
      <c r="AM131" s="306"/>
      <c r="AN131" s="306"/>
      <c r="AO131" s="306"/>
    </row>
    <row r="132" spans="1:41" ht="12.75" customHeight="1" x14ac:dyDescent="0.25">
      <c r="A132" s="292">
        <v>129</v>
      </c>
      <c r="C132" s="180" t="str">
        <f>IF(ISTEXT(Sorteo!#REF!),VLOOKUP(A132,Results,3,FALSE),"")</f>
        <v/>
      </c>
      <c r="D132" s="180" t="str">
        <f t="shared" ref="D132:D195" si="9">IF(C132&lt;&gt;"",IF(A132&lt;=Tot_Jug,VLOOKUP(C132,Siembra,2,FALSE),""),"")</f>
        <v/>
      </c>
      <c r="E132" s="179" t="str">
        <f>IF(C132&lt;&gt;"",VLOOKUP(Ranking!C132,Siembra,3,FALSE),"")</f>
        <v/>
      </c>
      <c r="F132" s="323" t="str">
        <f t="shared" ref="F132:F195" si="10">IF(A132&lt;=Tot_Jug,VLOOKUP(A132,Results,4,FALSE),"")</f>
        <v/>
      </c>
    </row>
    <row r="133" spans="1:41" ht="12.75" customHeight="1" x14ac:dyDescent="0.25">
      <c r="A133" s="292">
        <v>130</v>
      </c>
      <c r="C133" s="180" t="str">
        <f>IF(ISTEXT(Sorteo!#REF!),VLOOKUP(A133,Results,3,FALSE),"")</f>
        <v/>
      </c>
      <c r="D133" s="180" t="str">
        <f t="shared" si="9"/>
        <v/>
      </c>
      <c r="E133" s="179" t="str">
        <f>IF(C133&lt;&gt;"",VLOOKUP(Ranking!C133,Siembra,3,FALSE),"")</f>
        <v/>
      </c>
      <c r="F133" s="323" t="str">
        <f t="shared" si="10"/>
        <v/>
      </c>
    </row>
    <row r="134" spans="1:41" ht="12.75" customHeight="1" x14ac:dyDescent="0.25">
      <c r="A134" s="292">
        <v>131</v>
      </c>
      <c r="C134" s="180" t="str">
        <f>IF(ISTEXT(Sorteo!#REF!),VLOOKUP(A134,Results,3,FALSE),"")</f>
        <v/>
      </c>
      <c r="D134" s="180" t="str">
        <f t="shared" si="9"/>
        <v/>
      </c>
      <c r="E134" s="179" t="str">
        <f>IF(C134&lt;&gt;"",VLOOKUP(Ranking!C134,Siembra,3,FALSE),"")</f>
        <v/>
      </c>
      <c r="F134" s="323" t="str">
        <f t="shared" si="10"/>
        <v/>
      </c>
    </row>
    <row r="135" spans="1:41" ht="12.75" customHeight="1" x14ac:dyDescent="0.25">
      <c r="A135" s="292">
        <v>132</v>
      </c>
      <c r="C135" s="180" t="str">
        <f>IF(ISTEXT(Sorteo!#REF!),VLOOKUP(A135,Results,3,FALSE),"")</f>
        <v/>
      </c>
      <c r="D135" s="180" t="str">
        <f t="shared" si="9"/>
        <v/>
      </c>
      <c r="E135" s="179" t="str">
        <f>IF(C135&lt;&gt;"",VLOOKUP(Ranking!C135,Siembra,3,FALSE),"")</f>
        <v/>
      </c>
      <c r="F135" s="323" t="str">
        <f t="shared" si="10"/>
        <v/>
      </c>
    </row>
    <row r="136" spans="1:41" ht="12.75" customHeight="1" x14ac:dyDescent="0.25">
      <c r="A136" s="292">
        <v>133</v>
      </c>
      <c r="C136" s="180" t="str">
        <f>IF(ISTEXT(Sorteo!#REF!),VLOOKUP(A136,Results,3,FALSE),"")</f>
        <v/>
      </c>
      <c r="D136" s="180" t="str">
        <f t="shared" si="9"/>
        <v/>
      </c>
      <c r="E136" s="179" t="str">
        <f>IF(C136&lt;&gt;"",VLOOKUP(Ranking!C136,Siembra,3,FALSE),"")</f>
        <v/>
      </c>
      <c r="F136" s="323" t="str">
        <f t="shared" si="10"/>
        <v/>
      </c>
    </row>
    <row r="137" spans="1:41" ht="12.75" customHeight="1" x14ac:dyDescent="0.25">
      <c r="A137" s="292">
        <v>134</v>
      </c>
      <c r="C137" s="180" t="str">
        <f>IF(ISTEXT(Sorteo!#REF!),VLOOKUP(A137,Results,3,FALSE),"")</f>
        <v/>
      </c>
      <c r="D137" s="180" t="str">
        <f t="shared" si="9"/>
        <v/>
      </c>
      <c r="E137" s="179" t="str">
        <f>IF(C137&lt;&gt;"",VLOOKUP(Ranking!C137,Siembra,3,FALSE),"")</f>
        <v/>
      </c>
      <c r="F137" s="323" t="str">
        <f t="shared" si="10"/>
        <v/>
      </c>
    </row>
    <row r="138" spans="1:41" ht="12.75" customHeight="1" x14ac:dyDescent="0.25">
      <c r="A138" s="292">
        <v>135</v>
      </c>
      <c r="C138" s="180" t="str">
        <f>IF(ISTEXT(Sorteo!#REF!),VLOOKUP(A138,Results,3,FALSE),"")</f>
        <v/>
      </c>
      <c r="D138" s="180" t="str">
        <f t="shared" si="9"/>
        <v/>
      </c>
      <c r="E138" s="179" t="str">
        <f>IF(C138&lt;&gt;"",VLOOKUP(Ranking!C138,Siembra,3,FALSE),"")</f>
        <v/>
      </c>
      <c r="F138" s="323" t="str">
        <f t="shared" si="10"/>
        <v/>
      </c>
    </row>
    <row r="139" spans="1:41" ht="12.75" customHeight="1" x14ac:dyDescent="0.25">
      <c r="A139" s="292">
        <v>136</v>
      </c>
      <c r="C139" s="180" t="str">
        <f>IF(ISTEXT(Sorteo!#REF!),VLOOKUP(A139,Results,3,FALSE),"")</f>
        <v/>
      </c>
      <c r="D139" s="180" t="str">
        <f t="shared" si="9"/>
        <v/>
      </c>
      <c r="E139" s="179" t="str">
        <f>IF(C139&lt;&gt;"",VLOOKUP(Ranking!C139,Siembra,3,FALSE),"")</f>
        <v/>
      </c>
      <c r="F139" s="323" t="str">
        <f t="shared" si="10"/>
        <v/>
      </c>
    </row>
    <row r="140" spans="1:41" ht="12.75" customHeight="1" x14ac:dyDescent="0.25">
      <c r="A140" s="292">
        <v>137</v>
      </c>
      <c r="C140" s="180" t="str">
        <f>IF(ISTEXT(Sorteo!#REF!),VLOOKUP(A140,Results,3,FALSE),"")</f>
        <v/>
      </c>
      <c r="D140" s="180" t="str">
        <f t="shared" si="9"/>
        <v/>
      </c>
      <c r="E140" s="179" t="str">
        <f>IF(C140&lt;&gt;"",VLOOKUP(Ranking!C140,Siembra,3,FALSE),"")</f>
        <v/>
      </c>
      <c r="F140" s="323" t="str">
        <f t="shared" si="10"/>
        <v/>
      </c>
    </row>
    <row r="141" spans="1:41" ht="12.75" customHeight="1" x14ac:dyDescent="0.25">
      <c r="A141" s="292">
        <v>138</v>
      </c>
      <c r="C141" s="180" t="str">
        <f>IF(ISTEXT(Sorteo!#REF!),VLOOKUP(A141,Results,3,FALSE),"")</f>
        <v/>
      </c>
      <c r="D141" s="180" t="str">
        <f t="shared" si="9"/>
        <v/>
      </c>
      <c r="E141" s="179" t="str">
        <f>IF(C141&lt;&gt;"",VLOOKUP(Ranking!C141,Siembra,3,FALSE),"")</f>
        <v/>
      </c>
      <c r="F141" s="323" t="str">
        <f t="shared" si="10"/>
        <v/>
      </c>
    </row>
    <row r="142" spans="1:41" ht="12.75" customHeight="1" x14ac:dyDescent="0.25">
      <c r="A142" s="292">
        <v>139</v>
      </c>
      <c r="C142" s="180" t="str">
        <f>IF(ISTEXT(Sorteo!#REF!),VLOOKUP(A142,Results,3,FALSE),"")</f>
        <v/>
      </c>
      <c r="D142" s="180" t="str">
        <f t="shared" si="9"/>
        <v/>
      </c>
      <c r="E142" s="179" t="str">
        <f>IF(C142&lt;&gt;"",VLOOKUP(Ranking!C142,Siembra,3,FALSE),"")</f>
        <v/>
      </c>
      <c r="F142" s="323" t="str">
        <f t="shared" si="10"/>
        <v/>
      </c>
    </row>
    <row r="143" spans="1:41" ht="12.75" customHeight="1" x14ac:dyDescent="0.25">
      <c r="A143" s="292">
        <v>140</v>
      </c>
      <c r="C143" s="180" t="str">
        <f>IF(ISTEXT(Sorteo!#REF!),VLOOKUP(A143,Results,3,FALSE),"")</f>
        <v/>
      </c>
      <c r="D143" s="180" t="str">
        <f t="shared" si="9"/>
        <v/>
      </c>
      <c r="E143" s="179" t="str">
        <f>IF(C143&lt;&gt;"",VLOOKUP(Ranking!C143,Siembra,3,FALSE),"")</f>
        <v/>
      </c>
      <c r="F143" s="323" t="str">
        <f t="shared" si="10"/>
        <v/>
      </c>
    </row>
    <row r="144" spans="1:41" ht="12.75" customHeight="1" x14ac:dyDescent="0.25">
      <c r="A144" s="292">
        <v>141</v>
      </c>
      <c r="C144" s="180" t="str">
        <f>IF(ISTEXT(Sorteo!#REF!),VLOOKUP(A144,Results,3,FALSE),"")</f>
        <v/>
      </c>
      <c r="D144" s="180" t="str">
        <f t="shared" si="9"/>
        <v/>
      </c>
      <c r="E144" s="179" t="str">
        <f>IF(C144&lt;&gt;"",VLOOKUP(Ranking!C144,Siembra,3,FALSE),"")</f>
        <v/>
      </c>
      <c r="F144" s="323" t="str">
        <f t="shared" si="10"/>
        <v/>
      </c>
    </row>
    <row r="145" spans="1:6" ht="12.75" customHeight="1" x14ac:dyDescent="0.25">
      <c r="A145" s="292">
        <v>142</v>
      </c>
      <c r="C145" s="180" t="str">
        <f>IF(ISTEXT(Sorteo!#REF!),VLOOKUP(A145,Results,3,FALSE),"")</f>
        <v/>
      </c>
      <c r="D145" s="180" t="str">
        <f t="shared" si="9"/>
        <v/>
      </c>
      <c r="E145" s="179" t="str">
        <f>IF(C145&lt;&gt;"",VLOOKUP(Ranking!C145,Siembra,3,FALSE),"")</f>
        <v/>
      </c>
      <c r="F145" s="323" t="str">
        <f t="shared" si="10"/>
        <v/>
      </c>
    </row>
    <row r="146" spans="1:6" ht="12.75" customHeight="1" x14ac:dyDescent="0.25">
      <c r="A146" s="292">
        <v>143</v>
      </c>
      <c r="C146" s="180" t="str">
        <f>IF(ISTEXT(Sorteo!#REF!),VLOOKUP(A146,Results,3,FALSE),"")</f>
        <v/>
      </c>
      <c r="D146" s="180" t="str">
        <f t="shared" si="9"/>
        <v/>
      </c>
      <c r="E146" s="179" t="str">
        <f>IF(C146&lt;&gt;"",VLOOKUP(Ranking!C146,Siembra,3,FALSE),"")</f>
        <v/>
      </c>
      <c r="F146" s="323" t="str">
        <f t="shared" si="10"/>
        <v/>
      </c>
    </row>
    <row r="147" spans="1:6" ht="12.75" customHeight="1" x14ac:dyDescent="0.25">
      <c r="A147" s="292">
        <v>144</v>
      </c>
      <c r="C147" s="180" t="str">
        <f>IF(ISTEXT(Sorteo!#REF!),VLOOKUP(A147,Results,3,FALSE),"")</f>
        <v/>
      </c>
      <c r="D147" s="180" t="str">
        <f t="shared" si="9"/>
        <v/>
      </c>
      <c r="E147" s="179" t="str">
        <f>IF(C147&lt;&gt;"",VLOOKUP(Ranking!C147,Siembra,3,FALSE),"")</f>
        <v/>
      </c>
      <c r="F147" s="323" t="str">
        <f t="shared" si="10"/>
        <v/>
      </c>
    </row>
    <row r="148" spans="1:6" ht="12.75" customHeight="1" x14ac:dyDescent="0.25">
      <c r="A148" s="292">
        <v>145</v>
      </c>
      <c r="C148" s="180" t="str">
        <f>IF(ISTEXT(Sorteo!#REF!),VLOOKUP(A148,Results,3,FALSE),"")</f>
        <v/>
      </c>
      <c r="D148" s="180" t="str">
        <f t="shared" si="9"/>
        <v/>
      </c>
      <c r="E148" s="179" t="str">
        <f>IF(C148&lt;&gt;"",VLOOKUP(Ranking!C148,Siembra,3,FALSE),"")</f>
        <v/>
      </c>
      <c r="F148" s="323" t="str">
        <f t="shared" si="10"/>
        <v/>
      </c>
    </row>
    <row r="149" spans="1:6" ht="12.75" customHeight="1" x14ac:dyDescent="0.25">
      <c r="A149" s="292">
        <v>146</v>
      </c>
      <c r="C149" s="180" t="str">
        <f>IF(ISTEXT(Sorteo!#REF!),VLOOKUP(A149,Results,3,FALSE),"")</f>
        <v/>
      </c>
      <c r="D149" s="180" t="str">
        <f t="shared" si="9"/>
        <v/>
      </c>
      <c r="E149" s="179" t="str">
        <f>IF(C149&lt;&gt;"",VLOOKUP(Ranking!C149,Siembra,3,FALSE),"")</f>
        <v/>
      </c>
      <c r="F149" s="323" t="str">
        <f t="shared" si="10"/>
        <v/>
      </c>
    </row>
    <row r="150" spans="1:6" ht="12.75" customHeight="1" x14ac:dyDescent="0.25">
      <c r="A150" s="292">
        <v>147</v>
      </c>
      <c r="C150" s="180" t="str">
        <f>IF(ISTEXT(Sorteo!#REF!),VLOOKUP(A150,Results,3,FALSE),"")</f>
        <v/>
      </c>
      <c r="D150" s="180" t="str">
        <f t="shared" si="9"/>
        <v/>
      </c>
      <c r="E150" s="179" t="str">
        <f>IF(C150&lt;&gt;"",VLOOKUP(Ranking!C150,Siembra,3,FALSE),"")</f>
        <v/>
      </c>
      <c r="F150" s="323" t="str">
        <f t="shared" si="10"/>
        <v/>
      </c>
    </row>
    <row r="151" spans="1:6" ht="12.75" customHeight="1" x14ac:dyDescent="0.25">
      <c r="A151" s="292">
        <v>148</v>
      </c>
      <c r="C151" s="180" t="str">
        <f>IF(ISTEXT(Sorteo!#REF!),VLOOKUP(A151,Results,3,FALSE),"")</f>
        <v/>
      </c>
      <c r="D151" s="180" t="str">
        <f t="shared" si="9"/>
        <v/>
      </c>
      <c r="E151" s="179" t="str">
        <f>IF(C151&lt;&gt;"",VLOOKUP(Ranking!C151,Siembra,3,FALSE),"")</f>
        <v/>
      </c>
      <c r="F151" s="323" t="str">
        <f t="shared" si="10"/>
        <v/>
      </c>
    </row>
    <row r="152" spans="1:6" ht="12.75" customHeight="1" x14ac:dyDescent="0.25">
      <c r="A152" s="292">
        <v>149</v>
      </c>
      <c r="C152" s="180" t="str">
        <f>IF(ISTEXT(Sorteo!#REF!),VLOOKUP(A152,Results,3,FALSE),"")</f>
        <v/>
      </c>
      <c r="D152" s="180" t="str">
        <f t="shared" si="9"/>
        <v/>
      </c>
      <c r="E152" s="179" t="str">
        <f>IF(C152&lt;&gt;"",VLOOKUP(Ranking!C152,Siembra,3,FALSE),"")</f>
        <v/>
      </c>
      <c r="F152" s="323" t="str">
        <f t="shared" si="10"/>
        <v/>
      </c>
    </row>
    <row r="153" spans="1:6" ht="12.75" customHeight="1" x14ac:dyDescent="0.25">
      <c r="A153" s="292">
        <v>150</v>
      </c>
      <c r="C153" s="180" t="str">
        <f>IF(ISTEXT(Sorteo!#REF!),VLOOKUP(A153,Results,3,FALSE),"")</f>
        <v/>
      </c>
      <c r="D153" s="180" t="str">
        <f t="shared" si="9"/>
        <v/>
      </c>
      <c r="E153" s="179" t="str">
        <f>IF(C153&lt;&gt;"",VLOOKUP(Ranking!C153,Siembra,3,FALSE),"")</f>
        <v/>
      </c>
      <c r="F153" s="323" t="str">
        <f t="shared" si="10"/>
        <v/>
      </c>
    </row>
    <row r="154" spans="1:6" ht="12.75" customHeight="1" x14ac:dyDescent="0.25">
      <c r="A154" s="292">
        <v>151</v>
      </c>
      <c r="C154" s="180" t="str">
        <f>IF(ISTEXT(Sorteo!#REF!),VLOOKUP(A154,Results,3,FALSE),"")</f>
        <v/>
      </c>
      <c r="D154" s="180" t="str">
        <f t="shared" si="9"/>
        <v/>
      </c>
      <c r="E154" s="179" t="str">
        <f>IF(C154&lt;&gt;"",VLOOKUP(Ranking!C154,Siembra,3,FALSE),"")</f>
        <v/>
      </c>
      <c r="F154" s="323" t="str">
        <f t="shared" si="10"/>
        <v/>
      </c>
    </row>
    <row r="155" spans="1:6" ht="12.75" customHeight="1" x14ac:dyDescent="0.25">
      <c r="A155" s="292">
        <v>152</v>
      </c>
      <c r="C155" s="180" t="str">
        <f>IF(ISTEXT(Sorteo!#REF!),VLOOKUP(A155,Results,3,FALSE),"")</f>
        <v/>
      </c>
      <c r="D155" s="180" t="str">
        <f t="shared" si="9"/>
        <v/>
      </c>
      <c r="E155" s="179" t="str">
        <f>IF(C155&lt;&gt;"",VLOOKUP(Ranking!C155,Siembra,3,FALSE),"")</f>
        <v/>
      </c>
      <c r="F155" s="323" t="str">
        <f t="shared" si="10"/>
        <v/>
      </c>
    </row>
    <row r="156" spans="1:6" ht="12.75" customHeight="1" x14ac:dyDescent="0.25">
      <c r="A156" s="292">
        <v>153</v>
      </c>
      <c r="C156" s="180" t="str">
        <f>IF(ISTEXT(Sorteo!#REF!),VLOOKUP(A156,Results,3,FALSE),"")</f>
        <v/>
      </c>
      <c r="D156" s="180" t="str">
        <f t="shared" si="9"/>
        <v/>
      </c>
      <c r="E156" s="179" t="str">
        <f>IF(C156&lt;&gt;"",VLOOKUP(Ranking!C156,Siembra,3,FALSE),"")</f>
        <v/>
      </c>
      <c r="F156" s="323" t="str">
        <f t="shared" si="10"/>
        <v/>
      </c>
    </row>
    <row r="157" spans="1:6" ht="12.75" customHeight="1" x14ac:dyDescent="0.25">
      <c r="A157" s="292">
        <v>154</v>
      </c>
      <c r="C157" s="180" t="str">
        <f>IF(ISTEXT(Sorteo!#REF!),VLOOKUP(A157,Results,3,FALSE),"")</f>
        <v/>
      </c>
      <c r="D157" s="180" t="str">
        <f t="shared" si="9"/>
        <v/>
      </c>
      <c r="E157" s="179" t="str">
        <f>IF(C157&lt;&gt;"",VLOOKUP(Ranking!C157,Siembra,3,FALSE),"")</f>
        <v/>
      </c>
      <c r="F157" s="323" t="str">
        <f t="shared" si="10"/>
        <v/>
      </c>
    </row>
    <row r="158" spans="1:6" ht="12.75" customHeight="1" x14ac:dyDescent="0.25">
      <c r="A158" s="292">
        <v>155</v>
      </c>
      <c r="C158" s="180" t="str">
        <f>IF(ISTEXT(Sorteo!#REF!),VLOOKUP(A158,Results,3,FALSE),"")</f>
        <v/>
      </c>
      <c r="D158" s="180" t="str">
        <f t="shared" si="9"/>
        <v/>
      </c>
      <c r="E158" s="179" t="str">
        <f>IF(C158&lt;&gt;"",VLOOKUP(Ranking!C158,Siembra,3,FALSE),"")</f>
        <v/>
      </c>
      <c r="F158" s="323" t="str">
        <f t="shared" si="10"/>
        <v/>
      </c>
    </row>
    <row r="159" spans="1:6" ht="12.75" customHeight="1" x14ac:dyDescent="0.25">
      <c r="A159" s="292">
        <v>156</v>
      </c>
      <c r="C159" s="180" t="str">
        <f>IF(ISTEXT(Sorteo!#REF!),VLOOKUP(A159,Results,3,FALSE),"")</f>
        <v/>
      </c>
      <c r="D159" s="180" t="str">
        <f t="shared" si="9"/>
        <v/>
      </c>
      <c r="E159" s="179" t="str">
        <f>IF(C159&lt;&gt;"",VLOOKUP(Ranking!C159,Siembra,3,FALSE),"")</f>
        <v/>
      </c>
      <c r="F159" s="323" t="str">
        <f t="shared" si="10"/>
        <v/>
      </c>
    </row>
    <row r="160" spans="1:6" ht="12.75" customHeight="1" x14ac:dyDescent="0.25">
      <c r="A160" s="292">
        <v>157</v>
      </c>
      <c r="C160" s="180" t="str">
        <f>IF(ISTEXT(Sorteo!#REF!),VLOOKUP(A160,Results,3,FALSE),"")</f>
        <v/>
      </c>
      <c r="D160" s="180" t="str">
        <f t="shared" si="9"/>
        <v/>
      </c>
      <c r="E160" s="179" t="str">
        <f>IF(C160&lt;&gt;"",VLOOKUP(Ranking!C160,Siembra,3,FALSE),"")</f>
        <v/>
      </c>
      <c r="F160" s="323" t="str">
        <f t="shared" si="10"/>
        <v/>
      </c>
    </row>
    <row r="161" spans="1:6" ht="12.75" customHeight="1" x14ac:dyDescent="0.25">
      <c r="A161" s="292">
        <v>158</v>
      </c>
      <c r="C161" s="180" t="str">
        <f>IF(ISTEXT(Sorteo!#REF!),VLOOKUP(A161,Results,3,FALSE),"")</f>
        <v/>
      </c>
      <c r="D161" s="180" t="str">
        <f t="shared" si="9"/>
        <v/>
      </c>
      <c r="E161" s="179" t="str">
        <f>IF(C161&lt;&gt;"",VLOOKUP(Ranking!C161,Siembra,3,FALSE),"")</f>
        <v/>
      </c>
      <c r="F161" s="323" t="str">
        <f t="shared" si="10"/>
        <v/>
      </c>
    </row>
    <row r="162" spans="1:6" ht="12.75" customHeight="1" x14ac:dyDescent="0.25">
      <c r="A162" s="292">
        <v>159</v>
      </c>
      <c r="C162" s="180" t="str">
        <f>IF(ISTEXT(Sorteo!#REF!),VLOOKUP(A162,Results,3,FALSE),"")</f>
        <v/>
      </c>
      <c r="D162" s="180" t="str">
        <f t="shared" si="9"/>
        <v/>
      </c>
      <c r="E162" s="179" t="str">
        <f>IF(C162&lt;&gt;"",VLOOKUP(Ranking!C162,Siembra,3,FALSE),"")</f>
        <v/>
      </c>
      <c r="F162" s="323" t="str">
        <f t="shared" si="10"/>
        <v/>
      </c>
    </row>
    <row r="163" spans="1:6" ht="12.75" customHeight="1" x14ac:dyDescent="0.25">
      <c r="A163" s="292">
        <v>160</v>
      </c>
      <c r="C163" s="180" t="str">
        <f>IF(ISTEXT(Sorteo!#REF!),VLOOKUP(A163,Results,3,FALSE),"")</f>
        <v/>
      </c>
      <c r="D163" s="180" t="str">
        <f t="shared" si="9"/>
        <v/>
      </c>
      <c r="E163" s="179" t="str">
        <f>IF(C163&lt;&gt;"",VLOOKUP(Ranking!C163,Siembra,3,FALSE),"")</f>
        <v/>
      </c>
      <c r="F163" s="323" t="str">
        <f t="shared" si="10"/>
        <v/>
      </c>
    </row>
    <row r="164" spans="1:6" ht="12.75" customHeight="1" x14ac:dyDescent="0.25">
      <c r="A164" s="292">
        <v>161</v>
      </c>
      <c r="C164" s="180" t="str">
        <f>IF(ISTEXT(Sorteo!#REF!),VLOOKUP(A164,Results,3,FALSE),"")</f>
        <v/>
      </c>
      <c r="D164" s="180" t="str">
        <f t="shared" si="9"/>
        <v/>
      </c>
      <c r="E164" s="179" t="str">
        <f>IF(C164&lt;&gt;"",VLOOKUP(Ranking!C164,Siembra,3,FALSE),"")</f>
        <v/>
      </c>
      <c r="F164" s="323" t="str">
        <f t="shared" si="10"/>
        <v/>
      </c>
    </row>
    <row r="165" spans="1:6" ht="12.75" customHeight="1" x14ac:dyDescent="0.25">
      <c r="A165" s="292">
        <v>162</v>
      </c>
      <c r="C165" s="180" t="str">
        <f>IF(ISTEXT(Sorteo!#REF!),VLOOKUP(A165,Results,3,FALSE),"")</f>
        <v/>
      </c>
      <c r="D165" s="180" t="str">
        <f t="shared" si="9"/>
        <v/>
      </c>
      <c r="E165" s="179" t="str">
        <f>IF(C165&lt;&gt;"",VLOOKUP(Ranking!C165,Siembra,3,FALSE),"")</f>
        <v/>
      </c>
      <c r="F165" s="323" t="str">
        <f t="shared" si="10"/>
        <v/>
      </c>
    </row>
    <row r="166" spans="1:6" ht="12.75" customHeight="1" x14ac:dyDescent="0.25">
      <c r="A166" s="292">
        <v>163</v>
      </c>
      <c r="C166" s="180" t="str">
        <f>IF(ISTEXT(Sorteo!#REF!),VLOOKUP(A166,Results,3,FALSE),"")</f>
        <v/>
      </c>
      <c r="D166" s="180" t="str">
        <f t="shared" si="9"/>
        <v/>
      </c>
      <c r="E166" s="179" t="str">
        <f>IF(C166&lt;&gt;"",VLOOKUP(Ranking!C166,Siembra,3,FALSE),"")</f>
        <v/>
      </c>
      <c r="F166" s="323" t="str">
        <f t="shared" si="10"/>
        <v/>
      </c>
    </row>
    <row r="167" spans="1:6" ht="12.75" customHeight="1" x14ac:dyDescent="0.25">
      <c r="A167" s="292">
        <v>164</v>
      </c>
      <c r="C167" s="180" t="str">
        <f>IF(ISTEXT(Sorteo!#REF!),VLOOKUP(A167,Results,3,FALSE),"")</f>
        <v/>
      </c>
      <c r="D167" s="180" t="str">
        <f t="shared" si="9"/>
        <v/>
      </c>
      <c r="E167" s="179" t="str">
        <f>IF(C167&lt;&gt;"",VLOOKUP(Ranking!C167,Siembra,3,FALSE),"")</f>
        <v/>
      </c>
      <c r="F167" s="323" t="str">
        <f t="shared" si="10"/>
        <v/>
      </c>
    </row>
    <row r="168" spans="1:6" ht="12.75" customHeight="1" x14ac:dyDescent="0.25">
      <c r="A168" s="292">
        <v>165</v>
      </c>
      <c r="C168" s="180" t="str">
        <f>IF(ISTEXT(Sorteo!#REF!),VLOOKUP(A168,Results,3,FALSE),"")</f>
        <v/>
      </c>
      <c r="D168" s="180" t="str">
        <f t="shared" si="9"/>
        <v/>
      </c>
      <c r="E168" s="179" t="str">
        <f>IF(C168&lt;&gt;"",VLOOKUP(Ranking!C168,Siembra,3,FALSE),"")</f>
        <v/>
      </c>
      <c r="F168" s="323" t="str">
        <f t="shared" si="10"/>
        <v/>
      </c>
    </row>
    <row r="169" spans="1:6" ht="12.75" customHeight="1" x14ac:dyDescent="0.25">
      <c r="A169" s="292">
        <v>166</v>
      </c>
      <c r="C169" s="180" t="str">
        <f>IF(ISTEXT(Sorteo!#REF!),VLOOKUP(A169,Results,3,FALSE),"")</f>
        <v/>
      </c>
      <c r="D169" s="180" t="str">
        <f t="shared" si="9"/>
        <v/>
      </c>
      <c r="E169" s="179" t="str">
        <f>IF(C169&lt;&gt;"",VLOOKUP(Ranking!C169,Siembra,3,FALSE),"")</f>
        <v/>
      </c>
      <c r="F169" s="323" t="str">
        <f t="shared" si="10"/>
        <v/>
      </c>
    </row>
    <row r="170" spans="1:6" ht="12.75" customHeight="1" x14ac:dyDescent="0.25">
      <c r="A170" s="292">
        <v>167</v>
      </c>
      <c r="C170" s="180" t="str">
        <f>IF(ISTEXT(Sorteo!#REF!),VLOOKUP(A170,Results,3,FALSE),"")</f>
        <v/>
      </c>
      <c r="D170" s="180" t="str">
        <f t="shared" si="9"/>
        <v/>
      </c>
      <c r="E170" s="179" t="str">
        <f>IF(C170&lt;&gt;"",VLOOKUP(Ranking!C170,Siembra,3,FALSE),"")</f>
        <v/>
      </c>
      <c r="F170" s="323" t="str">
        <f t="shared" si="10"/>
        <v/>
      </c>
    </row>
    <row r="171" spans="1:6" ht="12.75" customHeight="1" x14ac:dyDescent="0.25">
      <c r="A171" s="292">
        <v>168</v>
      </c>
      <c r="C171" s="180" t="str">
        <f>IF(ISTEXT(Sorteo!#REF!),VLOOKUP(A171,Results,3,FALSE),"")</f>
        <v/>
      </c>
      <c r="D171" s="180" t="str">
        <f t="shared" si="9"/>
        <v/>
      </c>
      <c r="E171" s="179" t="str">
        <f>IF(C171&lt;&gt;"",VLOOKUP(Ranking!C171,Siembra,3,FALSE),"")</f>
        <v/>
      </c>
      <c r="F171" s="323" t="str">
        <f t="shared" si="10"/>
        <v/>
      </c>
    </row>
    <row r="172" spans="1:6" ht="12.75" customHeight="1" x14ac:dyDescent="0.25">
      <c r="A172" s="292">
        <v>169</v>
      </c>
      <c r="C172" s="180" t="str">
        <f>IF(ISTEXT(Sorteo!#REF!),VLOOKUP(A172,Results,3,FALSE),"")</f>
        <v/>
      </c>
      <c r="D172" s="180" t="str">
        <f t="shared" si="9"/>
        <v/>
      </c>
      <c r="E172" s="179" t="str">
        <f>IF(C172&lt;&gt;"",VLOOKUP(Ranking!C172,Siembra,3,FALSE),"")</f>
        <v/>
      </c>
      <c r="F172" s="323" t="str">
        <f t="shared" si="10"/>
        <v/>
      </c>
    </row>
    <row r="173" spans="1:6" ht="12.75" customHeight="1" x14ac:dyDescent="0.25">
      <c r="A173" s="292">
        <v>170</v>
      </c>
      <c r="C173" s="180" t="str">
        <f>IF(ISTEXT(Sorteo!#REF!),VLOOKUP(A173,Results,3,FALSE),"")</f>
        <v/>
      </c>
      <c r="D173" s="180" t="str">
        <f t="shared" si="9"/>
        <v/>
      </c>
      <c r="E173" s="179" t="str">
        <f>IF(C173&lt;&gt;"",VLOOKUP(Ranking!C173,Siembra,3,FALSE),"")</f>
        <v/>
      </c>
      <c r="F173" s="323" t="str">
        <f t="shared" si="10"/>
        <v/>
      </c>
    </row>
    <row r="174" spans="1:6" ht="12.75" customHeight="1" x14ac:dyDescent="0.25">
      <c r="A174" s="292">
        <v>171</v>
      </c>
      <c r="C174" s="180" t="str">
        <f>IF(ISTEXT(Sorteo!#REF!),VLOOKUP(A174,Results,3,FALSE),"")</f>
        <v/>
      </c>
      <c r="D174" s="180" t="str">
        <f t="shared" si="9"/>
        <v/>
      </c>
      <c r="E174" s="179" t="str">
        <f>IF(C174&lt;&gt;"",VLOOKUP(Ranking!C174,Siembra,3,FALSE),"")</f>
        <v/>
      </c>
      <c r="F174" s="323" t="str">
        <f t="shared" si="10"/>
        <v/>
      </c>
    </row>
    <row r="175" spans="1:6" ht="12.75" customHeight="1" x14ac:dyDescent="0.25">
      <c r="A175" s="292">
        <v>172</v>
      </c>
      <c r="C175" s="180" t="str">
        <f>IF(ISTEXT(Sorteo!#REF!),VLOOKUP(A175,Results,3,FALSE),"")</f>
        <v/>
      </c>
      <c r="D175" s="180" t="str">
        <f t="shared" si="9"/>
        <v/>
      </c>
      <c r="E175" s="179" t="str">
        <f>IF(C175&lt;&gt;"",VLOOKUP(Ranking!C175,Siembra,3,FALSE),"")</f>
        <v/>
      </c>
      <c r="F175" s="323" t="str">
        <f t="shared" si="10"/>
        <v/>
      </c>
    </row>
    <row r="176" spans="1:6" ht="12.75" customHeight="1" x14ac:dyDescent="0.25">
      <c r="A176" s="292">
        <v>173</v>
      </c>
      <c r="C176" s="180" t="str">
        <f>IF(ISTEXT(Sorteo!#REF!),VLOOKUP(A176,Results,3,FALSE),"")</f>
        <v/>
      </c>
      <c r="D176" s="180" t="str">
        <f t="shared" si="9"/>
        <v/>
      </c>
      <c r="E176" s="179" t="str">
        <f>IF(C176&lt;&gt;"",VLOOKUP(Ranking!C176,Siembra,3,FALSE),"")</f>
        <v/>
      </c>
      <c r="F176" s="323" t="str">
        <f t="shared" si="10"/>
        <v/>
      </c>
    </row>
    <row r="177" spans="1:6" ht="12.75" customHeight="1" x14ac:dyDescent="0.25">
      <c r="A177" s="292">
        <v>174</v>
      </c>
      <c r="C177" s="180" t="str">
        <f>IF(ISTEXT(Sorteo!#REF!),VLOOKUP(A177,Results,3,FALSE),"")</f>
        <v/>
      </c>
      <c r="D177" s="180" t="str">
        <f t="shared" si="9"/>
        <v/>
      </c>
      <c r="E177" s="179" t="str">
        <f>IF(C177&lt;&gt;"",VLOOKUP(Ranking!C177,Siembra,3,FALSE),"")</f>
        <v/>
      </c>
      <c r="F177" s="323" t="str">
        <f t="shared" si="10"/>
        <v/>
      </c>
    </row>
    <row r="178" spans="1:6" ht="12.75" customHeight="1" x14ac:dyDescent="0.25">
      <c r="A178" s="292">
        <v>175</v>
      </c>
      <c r="C178" s="180" t="str">
        <f>IF(ISTEXT(Sorteo!#REF!),VLOOKUP(A178,Results,3,FALSE),"")</f>
        <v/>
      </c>
      <c r="D178" s="180" t="str">
        <f t="shared" si="9"/>
        <v/>
      </c>
      <c r="E178" s="179" t="str">
        <f>IF(C178&lt;&gt;"",VLOOKUP(Ranking!C178,Siembra,3,FALSE),"")</f>
        <v/>
      </c>
      <c r="F178" s="323" t="str">
        <f t="shared" si="10"/>
        <v/>
      </c>
    </row>
    <row r="179" spans="1:6" ht="12.75" customHeight="1" x14ac:dyDescent="0.25">
      <c r="A179" s="292">
        <v>176</v>
      </c>
      <c r="C179" s="180" t="str">
        <f>IF(ISTEXT(Sorteo!#REF!),VLOOKUP(A179,Results,3,FALSE),"")</f>
        <v/>
      </c>
      <c r="D179" s="180" t="str">
        <f t="shared" si="9"/>
        <v/>
      </c>
      <c r="E179" s="179" t="str">
        <f>IF(C179&lt;&gt;"",VLOOKUP(Ranking!C179,Siembra,3,FALSE),"")</f>
        <v/>
      </c>
      <c r="F179" s="323" t="str">
        <f t="shared" si="10"/>
        <v/>
      </c>
    </row>
    <row r="180" spans="1:6" ht="12.75" customHeight="1" x14ac:dyDescent="0.25">
      <c r="A180" s="292">
        <v>177</v>
      </c>
      <c r="C180" s="180" t="str">
        <f>IF(ISTEXT(Sorteo!#REF!),VLOOKUP(A180,Results,3,FALSE),"")</f>
        <v/>
      </c>
      <c r="D180" s="180" t="str">
        <f t="shared" si="9"/>
        <v/>
      </c>
      <c r="E180" s="179" t="str">
        <f>IF(C180&lt;&gt;"",VLOOKUP(Ranking!C180,Siembra,3,FALSE),"")</f>
        <v/>
      </c>
      <c r="F180" s="323" t="str">
        <f t="shared" si="10"/>
        <v/>
      </c>
    </row>
    <row r="181" spans="1:6" ht="12.75" customHeight="1" x14ac:dyDescent="0.25">
      <c r="A181" s="292">
        <v>178</v>
      </c>
      <c r="C181" s="180" t="str">
        <f>IF(ISTEXT(Sorteo!#REF!),VLOOKUP(A181,Results,3,FALSE),"")</f>
        <v/>
      </c>
      <c r="D181" s="180" t="str">
        <f t="shared" si="9"/>
        <v/>
      </c>
      <c r="E181" s="179" t="str">
        <f>IF(C181&lt;&gt;"",VLOOKUP(Ranking!C181,Siembra,3,FALSE),"")</f>
        <v/>
      </c>
      <c r="F181" s="323" t="str">
        <f t="shared" si="10"/>
        <v/>
      </c>
    </row>
    <row r="182" spans="1:6" ht="12.75" customHeight="1" x14ac:dyDescent="0.25">
      <c r="A182" s="292">
        <v>179</v>
      </c>
      <c r="C182" s="180" t="str">
        <f>IF(ISTEXT(Sorteo!#REF!),VLOOKUP(A182,Results,3,FALSE),"")</f>
        <v/>
      </c>
      <c r="D182" s="180" t="str">
        <f t="shared" si="9"/>
        <v/>
      </c>
      <c r="E182" s="179" t="str">
        <f>IF(C182&lt;&gt;"",VLOOKUP(Ranking!C182,Siembra,3,FALSE),"")</f>
        <v/>
      </c>
      <c r="F182" s="323" t="str">
        <f t="shared" si="10"/>
        <v/>
      </c>
    </row>
    <row r="183" spans="1:6" ht="12.75" customHeight="1" x14ac:dyDescent="0.25">
      <c r="A183" s="292">
        <v>180</v>
      </c>
      <c r="C183" s="180" t="str">
        <f>IF(ISTEXT(Sorteo!#REF!),VLOOKUP(A183,Results,3,FALSE),"")</f>
        <v/>
      </c>
      <c r="D183" s="180" t="str">
        <f t="shared" si="9"/>
        <v/>
      </c>
      <c r="E183" s="179" t="str">
        <f>IF(C183&lt;&gt;"",VLOOKUP(Ranking!C183,Siembra,3,FALSE),"")</f>
        <v/>
      </c>
      <c r="F183" s="323" t="str">
        <f t="shared" si="10"/>
        <v/>
      </c>
    </row>
    <row r="184" spans="1:6" ht="12.75" customHeight="1" x14ac:dyDescent="0.25">
      <c r="A184" s="292">
        <v>181</v>
      </c>
      <c r="C184" s="180" t="str">
        <f>IF(ISTEXT(Sorteo!#REF!),VLOOKUP(A184,Results,3,FALSE),"")</f>
        <v/>
      </c>
      <c r="D184" s="180" t="str">
        <f t="shared" si="9"/>
        <v/>
      </c>
      <c r="E184" s="179" t="str">
        <f>IF(C184&lt;&gt;"",VLOOKUP(Ranking!C184,Siembra,3,FALSE),"")</f>
        <v/>
      </c>
      <c r="F184" s="323" t="str">
        <f t="shared" si="10"/>
        <v/>
      </c>
    </row>
    <row r="185" spans="1:6" ht="12.75" customHeight="1" x14ac:dyDescent="0.25">
      <c r="A185" s="292">
        <v>182</v>
      </c>
      <c r="C185" s="180" t="str">
        <f>IF(ISTEXT(Sorteo!#REF!),VLOOKUP(A185,Results,3,FALSE),"")</f>
        <v/>
      </c>
      <c r="D185" s="180" t="str">
        <f t="shared" si="9"/>
        <v/>
      </c>
      <c r="E185" s="179" t="str">
        <f>IF(C185&lt;&gt;"",VLOOKUP(Ranking!C185,Siembra,3,FALSE),"")</f>
        <v/>
      </c>
      <c r="F185" s="323" t="str">
        <f t="shared" si="10"/>
        <v/>
      </c>
    </row>
    <row r="186" spans="1:6" ht="12.75" customHeight="1" x14ac:dyDescent="0.25">
      <c r="A186" s="292">
        <v>183</v>
      </c>
      <c r="C186" s="180" t="str">
        <f>IF(ISTEXT(Sorteo!#REF!),VLOOKUP(A186,Results,3,FALSE),"")</f>
        <v/>
      </c>
      <c r="D186" s="180" t="str">
        <f t="shared" si="9"/>
        <v/>
      </c>
      <c r="E186" s="179" t="str">
        <f>IF(C186&lt;&gt;"",VLOOKUP(Ranking!C186,Siembra,3,FALSE),"")</f>
        <v/>
      </c>
      <c r="F186" s="323" t="str">
        <f t="shared" si="10"/>
        <v/>
      </c>
    </row>
    <row r="187" spans="1:6" ht="12.75" customHeight="1" x14ac:dyDescent="0.25">
      <c r="A187" s="292">
        <v>184</v>
      </c>
      <c r="C187" s="180" t="str">
        <f>IF(ISTEXT(Sorteo!#REF!),VLOOKUP(A187,Results,3,FALSE),"")</f>
        <v/>
      </c>
      <c r="D187" s="180" t="str">
        <f t="shared" si="9"/>
        <v/>
      </c>
      <c r="E187" s="179" t="str">
        <f>IF(C187&lt;&gt;"",VLOOKUP(Ranking!C187,Siembra,3,FALSE),"")</f>
        <v/>
      </c>
      <c r="F187" s="323" t="str">
        <f t="shared" si="10"/>
        <v/>
      </c>
    </row>
    <row r="188" spans="1:6" ht="12.75" customHeight="1" x14ac:dyDescent="0.25">
      <c r="A188" s="292">
        <v>185</v>
      </c>
      <c r="C188" s="180" t="str">
        <f>IF(ISTEXT(Sorteo!#REF!),VLOOKUP(A188,Results,3,FALSE),"")</f>
        <v/>
      </c>
      <c r="D188" s="180" t="str">
        <f t="shared" si="9"/>
        <v/>
      </c>
      <c r="E188" s="179" t="str">
        <f>IF(C188&lt;&gt;"",VLOOKUP(Ranking!C188,Siembra,3,FALSE),"")</f>
        <v/>
      </c>
      <c r="F188" s="323" t="str">
        <f t="shared" si="10"/>
        <v/>
      </c>
    </row>
    <row r="189" spans="1:6" ht="12.75" customHeight="1" x14ac:dyDescent="0.25">
      <c r="A189" s="292">
        <v>186</v>
      </c>
      <c r="C189" s="180" t="str">
        <f>IF(ISTEXT(Sorteo!#REF!),VLOOKUP(A189,Results,3,FALSE),"")</f>
        <v/>
      </c>
      <c r="D189" s="180" t="str">
        <f t="shared" si="9"/>
        <v/>
      </c>
      <c r="E189" s="179" t="str">
        <f>IF(C189&lt;&gt;"",VLOOKUP(Ranking!C189,Siembra,3,FALSE),"")</f>
        <v/>
      </c>
      <c r="F189" s="323" t="str">
        <f t="shared" si="10"/>
        <v/>
      </c>
    </row>
    <row r="190" spans="1:6" ht="12.75" customHeight="1" x14ac:dyDescent="0.25">
      <c r="A190" s="292">
        <v>187</v>
      </c>
      <c r="C190" s="180" t="str">
        <f>IF(ISTEXT(Sorteo!#REF!),VLOOKUP(A190,Results,3,FALSE),"")</f>
        <v/>
      </c>
      <c r="D190" s="180" t="str">
        <f t="shared" si="9"/>
        <v/>
      </c>
      <c r="E190" s="179" t="str">
        <f>IF(C190&lt;&gt;"",VLOOKUP(Ranking!C190,Siembra,3,FALSE),"")</f>
        <v/>
      </c>
      <c r="F190" s="323" t="str">
        <f t="shared" si="10"/>
        <v/>
      </c>
    </row>
    <row r="191" spans="1:6" ht="12.75" customHeight="1" x14ac:dyDescent="0.25">
      <c r="A191" s="292">
        <v>188</v>
      </c>
      <c r="C191" s="180" t="str">
        <f>IF(ISTEXT(Sorteo!#REF!),VLOOKUP(A191,Results,3,FALSE),"")</f>
        <v/>
      </c>
      <c r="D191" s="180" t="str">
        <f t="shared" si="9"/>
        <v/>
      </c>
      <c r="E191" s="179" t="str">
        <f>IF(C191&lt;&gt;"",VLOOKUP(Ranking!C191,Siembra,3,FALSE),"")</f>
        <v/>
      </c>
      <c r="F191" s="323" t="str">
        <f t="shared" si="10"/>
        <v/>
      </c>
    </row>
    <row r="192" spans="1:6" ht="12.75" customHeight="1" x14ac:dyDescent="0.25">
      <c r="A192" s="292">
        <v>189</v>
      </c>
      <c r="C192" s="180" t="str">
        <f>IF(ISTEXT(Sorteo!#REF!),VLOOKUP(A192,Results,3,FALSE),"")</f>
        <v/>
      </c>
      <c r="D192" s="180" t="str">
        <f t="shared" si="9"/>
        <v/>
      </c>
      <c r="E192" s="179" t="str">
        <f>IF(C192&lt;&gt;"",VLOOKUP(Ranking!C192,Siembra,3,FALSE),"")</f>
        <v/>
      </c>
      <c r="F192" s="323" t="str">
        <f t="shared" si="10"/>
        <v/>
      </c>
    </row>
    <row r="193" spans="1:6" ht="12.75" customHeight="1" x14ac:dyDescent="0.25">
      <c r="A193" s="292">
        <v>190</v>
      </c>
      <c r="C193" s="180" t="str">
        <f>IF(ISTEXT(Sorteo!#REF!),VLOOKUP(A193,Results,3,FALSE),"")</f>
        <v/>
      </c>
      <c r="D193" s="180" t="str">
        <f t="shared" si="9"/>
        <v/>
      </c>
      <c r="E193" s="179" t="str">
        <f>IF(C193&lt;&gt;"",VLOOKUP(Ranking!C193,Siembra,3,FALSE),"")</f>
        <v/>
      </c>
      <c r="F193" s="323" t="str">
        <f t="shared" si="10"/>
        <v/>
      </c>
    </row>
    <row r="194" spans="1:6" ht="12.75" customHeight="1" x14ac:dyDescent="0.25">
      <c r="A194" s="292">
        <v>191</v>
      </c>
      <c r="C194" s="180" t="str">
        <f>IF(ISTEXT(Sorteo!#REF!),VLOOKUP(A194,Results,3,FALSE),"")</f>
        <v/>
      </c>
      <c r="D194" s="180" t="str">
        <f t="shared" si="9"/>
        <v/>
      </c>
      <c r="E194" s="179" t="str">
        <f>IF(C194&lt;&gt;"",VLOOKUP(Ranking!C194,Siembra,3,FALSE),"")</f>
        <v/>
      </c>
      <c r="F194" s="323" t="str">
        <f t="shared" si="10"/>
        <v/>
      </c>
    </row>
    <row r="195" spans="1:6" ht="12.75" customHeight="1" x14ac:dyDescent="0.25">
      <c r="A195" s="292">
        <v>192</v>
      </c>
      <c r="C195" s="180" t="str">
        <f>IF(ISTEXT(Sorteo!#REF!),VLOOKUP(A195,Results,3,FALSE),"")</f>
        <v/>
      </c>
      <c r="D195" s="180" t="str">
        <f t="shared" si="9"/>
        <v/>
      </c>
      <c r="E195" s="179" t="str">
        <f>IF(C195&lt;&gt;"",VLOOKUP(Ranking!C195,Siembra,3,FALSE),"")</f>
        <v/>
      </c>
      <c r="F195" s="323" t="str">
        <f t="shared" si="10"/>
        <v/>
      </c>
    </row>
    <row r="196" spans="1:6" ht="12.75" customHeight="1" x14ac:dyDescent="0.25">
      <c r="A196" s="292">
        <v>193</v>
      </c>
      <c r="C196" s="180" t="str">
        <f>IF(ISTEXT(Sorteo!#REF!),VLOOKUP(A196,Results,3,FALSE),"")</f>
        <v/>
      </c>
      <c r="D196" s="180" t="str">
        <f t="shared" ref="D196:D259" si="11">IF(C196&lt;&gt;"",IF(A196&lt;=Tot_Jug,VLOOKUP(C196,Siembra,2,FALSE),""),"")</f>
        <v/>
      </c>
      <c r="E196" s="179" t="str">
        <f>IF(C196&lt;&gt;"",VLOOKUP(Ranking!C196,Siembra,3,FALSE),"")</f>
        <v/>
      </c>
      <c r="F196" s="323" t="str">
        <f t="shared" ref="F196:F259" si="12">IF(A196&lt;=Tot_Jug,VLOOKUP(A196,Results,4,FALSE),"")</f>
        <v/>
      </c>
    </row>
    <row r="197" spans="1:6" ht="12.75" customHeight="1" x14ac:dyDescent="0.25">
      <c r="A197" s="292">
        <v>194</v>
      </c>
      <c r="C197" s="180" t="str">
        <f>IF(ISTEXT(Sorteo!#REF!),VLOOKUP(A197,Results,3,FALSE),"")</f>
        <v/>
      </c>
      <c r="D197" s="180" t="str">
        <f t="shared" si="11"/>
        <v/>
      </c>
      <c r="E197" s="179" t="str">
        <f>IF(C197&lt;&gt;"",VLOOKUP(Ranking!C197,Siembra,3,FALSE),"")</f>
        <v/>
      </c>
      <c r="F197" s="323" t="str">
        <f t="shared" si="12"/>
        <v/>
      </c>
    </row>
    <row r="198" spans="1:6" ht="12.75" customHeight="1" x14ac:dyDescent="0.25">
      <c r="A198" s="292">
        <v>195</v>
      </c>
      <c r="C198" s="180" t="str">
        <f>IF(ISTEXT(Sorteo!#REF!),VLOOKUP(A198,Results,3,FALSE),"")</f>
        <v/>
      </c>
      <c r="D198" s="180" t="str">
        <f t="shared" si="11"/>
        <v/>
      </c>
      <c r="E198" s="179" t="str">
        <f>IF(C198&lt;&gt;"",VLOOKUP(Ranking!C198,Siembra,3,FALSE),"")</f>
        <v/>
      </c>
      <c r="F198" s="323" t="str">
        <f t="shared" si="12"/>
        <v/>
      </c>
    </row>
    <row r="199" spans="1:6" ht="12.75" customHeight="1" x14ac:dyDescent="0.25">
      <c r="A199" s="292">
        <v>196</v>
      </c>
      <c r="C199" s="180" t="str">
        <f>IF(ISTEXT(Sorteo!#REF!),VLOOKUP(A199,Results,3,FALSE),"")</f>
        <v/>
      </c>
      <c r="D199" s="180" t="str">
        <f t="shared" si="11"/>
        <v/>
      </c>
      <c r="E199" s="179" t="str">
        <f>IF(C199&lt;&gt;"",VLOOKUP(Ranking!C199,Siembra,3,FALSE),"")</f>
        <v/>
      </c>
      <c r="F199" s="323" t="str">
        <f t="shared" si="12"/>
        <v/>
      </c>
    </row>
    <row r="200" spans="1:6" ht="12.75" customHeight="1" x14ac:dyDescent="0.25">
      <c r="A200" s="292">
        <v>197</v>
      </c>
      <c r="C200" s="180" t="str">
        <f>IF(ISTEXT(Sorteo!#REF!),VLOOKUP(A200,Results,3,FALSE),"")</f>
        <v/>
      </c>
      <c r="D200" s="180" t="str">
        <f t="shared" si="11"/>
        <v/>
      </c>
      <c r="E200" s="179" t="str">
        <f>IF(C200&lt;&gt;"",VLOOKUP(Ranking!C200,Siembra,3,FALSE),"")</f>
        <v/>
      </c>
      <c r="F200" s="323" t="str">
        <f t="shared" si="12"/>
        <v/>
      </c>
    </row>
    <row r="201" spans="1:6" ht="12.75" customHeight="1" x14ac:dyDescent="0.25">
      <c r="A201" s="292">
        <v>198</v>
      </c>
      <c r="C201" s="180" t="str">
        <f>IF(ISTEXT(Sorteo!#REF!),VLOOKUP(A201,Results,3,FALSE),"")</f>
        <v/>
      </c>
      <c r="D201" s="180" t="str">
        <f t="shared" si="11"/>
        <v/>
      </c>
      <c r="E201" s="179" t="str">
        <f>IF(C201&lt;&gt;"",VLOOKUP(Ranking!C201,Siembra,3,FALSE),"")</f>
        <v/>
      </c>
      <c r="F201" s="323" t="str">
        <f t="shared" si="12"/>
        <v/>
      </c>
    </row>
    <row r="202" spans="1:6" ht="12.75" customHeight="1" x14ac:dyDescent="0.25">
      <c r="A202" s="292">
        <v>199</v>
      </c>
      <c r="C202" s="180" t="str">
        <f>IF(ISTEXT(Sorteo!#REF!),VLOOKUP(A202,Results,3,FALSE),"")</f>
        <v/>
      </c>
      <c r="D202" s="180" t="str">
        <f t="shared" si="11"/>
        <v/>
      </c>
      <c r="E202" s="179" t="str">
        <f>IF(C202&lt;&gt;"",VLOOKUP(Ranking!C202,Siembra,3,FALSE),"")</f>
        <v/>
      </c>
      <c r="F202" s="323" t="str">
        <f t="shared" si="12"/>
        <v/>
      </c>
    </row>
    <row r="203" spans="1:6" ht="12.75" customHeight="1" x14ac:dyDescent="0.25">
      <c r="A203" s="292">
        <v>200</v>
      </c>
      <c r="C203" s="180" t="str">
        <f>IF(ISTEXT(Sorteo!#REF!),VLOOKUP(A203,Results,3,FALSE),"")</f>
        <v/>
      </c>
      <c r="D203" s="180" t="str">
        <f t="shared" si="11"/>
        <v/>
      </c>
      <c r="E203" s="179" t="str">
        <f>IF(C203&lt;&gt;"",VLOOKUP(Ranking!C203,Siembra,3,FALSE),"")</f>
        <v/>
      </c>
      <c r="F203" s="323" t="str">
        <f t="shared" si="12"/>
        <v/>
      </c>
    </row>
    <row r="204" spans="1:6" ht="12.75" customHeight="1" x14ac:dyDescent="0.25">
      <c r="A204" s="292">
        <v>201</v>
      </c>
      <c r="C204" s="180" t="str">
        <f>IF(ISTEXT(Sorteo!#REF!),VLOOKUP(A204,Results,3,FALSE),"")</f>
        <v/>
      </c>
      <c r="D204" s="180" t="str">
        <f t="shared" si="11"/>
        <v/>
      </c>
      <c r="E204" s="179" t="str">
        <f>IF(C204&lt;&gt;"",VLOOKUP(Ranking!C204,Siembra,3,FALSE),"")</f>
        <v/>
      </c>
      <c r="F204" s="323" t="str">
        <f t="shared" si="12"/>
        <v/>
      </c>
    </row>
    <row r="205" spans="1:6" ht="12.75" customHeight="1" x14ac:dyDescent="0.25">
      <c r="A205" s="292">
        <v>202</v>
      </c>
      <c r="C205" s="180" t="str">
        <f>IF(ISTEXT(Sorteo!#REF!),VLOOKUP(A205,Results,3,FALSE),"")</f>
        <v/>
      </c>
      <c r="D205" s="180" t="str">
        <f t="shared" si="11"/>
        <v/>
      </c>
      <c r="E205" s="179" t="str">
        <f>IF(C205&lt;&gt;"",VLOOKUP(Ranking!C205,Siembra,3,FALSE),"")</f>
        <v/>
      </c>
      <c r="F205" s="323" t="str">
        <f t="shared" si="12"/>
        <v/>
      </c>
    </row>
    <row r="206" spans="1:6" ht="12.75" customHeight="1" x14ac:dyDescent="0.25">
      <c r="A206" s="292">
        <v>203</v>
      </c>
      <c r="C206" s="180" t="str">
        <f>IF(ISTEXT(Sorteo!#REF!),VLOOKUP(A206,Results,3,FALSE),"")</f>
        <v/>
      </c>
      <c r="D206" s="180" t="str">
        <f t="shared" si="11"/>
        <v/>
      </c>
      <c r="E206" s="179" t="str">
        <f>IF(C206&lt;&gt;"",VLOOKUP(Ranking!C206,Siembra,3,FALSE),"")</f>
        <v/>
      </c>
      <c r="F206" s="323" t="str">
        <f t="shared" si="12"/>
        <v/>
      </c>
    </row>
    <row r="207" spans="1:6" ht="12.75" customHeight="1" x14ac:dyDescent="0.25">
      <c r="A207" s="292">
        <v>204</v>
      </c>
      <c r="C207" s="180" t="str">
        <f>IF(ISTEXT(Sorteo!#REF!),VLOOKUP(A207,Results,3,FALSE),"")</f>
        <v/>
      </c>
      <c r="D207" s="180" t="str">
        <f t="shared" si="11"/>
        <v/>
      </c>
      <c r="E207" s="179" t="str">
        <f>IF(C207&lt;&gt;"",VLOOKUP(Ranking!C207,Siembra,3,FALSE),"")</f>
        <v/>
      </c>
      <c r="F207" s="323" t="str">
        <f t="shared" si="12"/>
        <v/>
      </c>
    </row>
    <row r="208" spans="1:6" ht="12.75" customHeight="1" x14ac:dyDescent="0.25">
      <c r="A208" s="292">
        <v>205</v>
      </c>
      <c r="C208" s="180" t="str">
        <f>IF(ISTEXT(Sorteo!#REF!),VLOOKUP(A208,Results,3,FALSE),"")</f>
        <v/>
      </c>
      <c r="D208" s="180" t="str">
        <f t="shared" si="11"/>
        <v/>
      </c>
      <c r="E208" s="179" t="str">
        <f>IF(C208&lt;&gt;"",VLOOKUP(Ranking!C208,Siembra,3,FALSE),"")</f>
        <v/>
      </c>
      <c r="F208" s="323" t="str">
        <f t="shared" si="12"/>
        <v/>
      </c>
    </row>
    <row r="209" spans="1:6" ht="12.75" customHeight="1" x14ac:dyDescent="0.25">
      <c r="A209" s="292">
        <v>206</v>
      </c>
      <c r="C209" s="180" t="str">
        <f>IF(ISTEXT(Sorteo!#REF!),VLOOKUP(A209,Results,3,FALSE),"")</f>
        <v/>
      </c>
      <c r="D209" s="180" t="str">
        <f t="shared" si="11"/>
        <v/>
      </c>
      <c r="E209" s="179" t="str">
        <f>IF(C209&lt;&gt;"",VLOOKUP(Ranking!C209,Siembra,3,FALSE),"")</f>
        <v/>
      </c>
      <c r="F209" s="323" t="str">
        <f t="shared" si="12"/>
        <v/>
      </c>
    </row>
    <row r="210" spans="1:6" ht="12.75" customHeight="1" x14ac:dyDescent="0.25">
      <c r="A210" s="292">
        <v>207</v>
      </c>
      <c r="C210" s="180" t="str">
        <f>IF(ISTEXT(Sorteo!#REF!),VLOOKUP(A210,Results,3,FALSE),"")</f>
        <v/>
      </c>
      <c r="D210" s="180" t="str">
        <f t="shared" si="11"/>
        <v/>
      </c>
      <c r="E210" s="179" t="str">
        <f>IF(C210&lt;&gt;"",VLOOKUP(Ranking!C210,Siembra,3,FALSE),"")</f>
        <v/>
      </c>
      <c r="F210" s="323" t="str">
        <f t="shared" si="12"/>
        <v/>
      </c>
    </row>
    <row r="211" spans="1:6" ht="12.75" customHeight="1" x14ac:dyDescent="0.25">
      <c r="A211" s="292">
        <v>208</v>
      </c>
      <c r="C211" s="180" t="str">
        <f>IF(ISTEXT(Sorteo!#REF!),VLOOKUP(A211,Results,3,FALSE),"")</f>
        <v/>
      </c>
      <c r="D211" s="180" t="str">
        <f t="shared" si="11"/>
        <v/>
      </c>
      <c r="E211" s="179" t="str">
        <f>IF(C211&lt;&gt;"",VLOOKUP(Ranking!C211,Siembra,3,FALSE),"")</f>
        <v/>
      </c>
      <c r="F211" s="323" t="str">
        <f t="shared" si="12"/>
        <v/>
      </c>
    </row>
    <row r="212" spans="1:6" ht="12.75" customHeight="1" x14ac:dyDescent="0.25">
      <c r="A212" s="292">
        <v>209</v>
      </c>
      <c r="C212" s="180" t="str">
        <f>IF(ISTEXT(Sorteo!#REF!),VLOOKUP(A212,Results,3,FALSE),"")</f>
        <v/>
      </c>
      <c r="D212" s="180" t="str">
        <f t="shared" si="11"/>
        <v/>
      </c>
      <c r="E212" s="179" t="str">
        <f>IF(C212&lt;&gt;"",VLOOKUP(Ranking!C212,Siembra,3,FALSE),"")</f>
        <v/>
      </c>
      <c r="F212" s="323" t="str">
        <f t="shared" si="12"/>
        <v/>
      </c>
    </row>
    <row r="213" spans="1:6" ht="12.75" customHeight="1" x14ac:dyDescent="0.25">
      <c r="A213" s="292">
        <v>210</v>
      </c>
      <c r="C213" s="180" t="str">
        <f>IF(ISTEXT(Sorteo!#REF!),VLOOKUP(A213,Results,3,FALSE),"")</f>
        <v/>
      </c>
      <c r="D213" s="180" t="str">
        <f t="shared" si="11"/>
        <v/>
      </c>
      <c r="E213" s="179" t="str">
        <f>IF(C213&lt;&gt;"",VLOOKUP(Ranking!C213,Siembra,3,FALSE),"")</f>
        <v/>
      </c>
      <c r="F213" s="323" t="str">
        <f t="shared" si="12"/>
        <v/>
      </c>
    </row>
    <row r="214" spans="1:6" ht="12.75" customHeight="1" x14ac:dyDescent="0.25">
      <c r="A214" s="292">
        <v>211</v>
      </c>
      <c r="C214" s="180" t="str">
        <f>IF(ISTEXT(Sorteo!#REF!),VLOOKUP(A214,Results,3,FALSE),"")</f>
        <v/>
      </c>
      <c r="D214" s="180" t="str">
        <f t="shared" si="11"/>
        <v/>
      </c>
      <c r="E214" s="179" t="str">
        <f>IF(C214&lt;&gt;"",VLOOKUP(Ranking!C214,Siembra,3,FALSE),"")</f>
        <v/>
      </c>
      <c r="F214" s="323" t="str">
        <f t="shared" si="12"/>
        <v/>
      </c>
    </row>
    <row r="215" spans="1:6" ht="12.75" customHeight="1" x14ac:dyDescent="0.25">
      <c r="A215" s="292">
        <v>212</v>
      </c>
      <c r="C215" s="180" t="str">
        <f>IF(ISTEXT(Sorteo!#REF!),VLOOKUP(A215,Results,3,FALSE),"")</f>
        <v/>
      </c>
      <c r="D215" s="180" t="str">
        <f t="shared" si="11"/>
        <v/>
      </c>
      <c r="E215" s="179" t="str">
        <f>IF(C215&lt;&gt;"",VLOOKUP(Ranking!C215,Siembra,3,FALSE),"")</f>
        <v/>
      </c>
      <c r="F215" s="323" t="str">
        <f t="shared" si="12"/>
        <v/>
      </c>
    </row>
    <row r="216" spans="1:6" ht="12.75" customHeight="1" x14ac:dyDescent="0.25">
      <c r="A216" s="292">
        <v>213</v>
      </c>
      <c r="C216" s="180" t="str">
        <f>IF(ISTEXT(Sorteo!#REF!),VLOOKUP(A216,Results,3,FALSE),"")</f>
        <v/>
      </c>
      <c r="D216" s="180" t="str">
        <f t="shared" si="11"/>
        <v/>
      </c>
      <c r="E216" s="179" t="str">
        <f>IF(C216&lt;&gt;"",VLOOKUP(Ranking!C216,Siembra,3,FALSE),"")</f>
        <v/>
      </c>
      <c r="F216" s="323" t="str">
        <f t="shared" si="12"/>
        <v/>
      </c>
    </row>
    <row r="217" spans="1:6" ht="12.75" customHeight="1" x14ac:dyDescent="0.25">
      <c r="A217" s="292">
        <v>214</v>
      </c>
      <c r="C217" s="180" t="str">
        <f>IF(ISTEXT(Sorteo!#REF!),VLOOKUP(A217,Results,3,FALSE),"")</f>
        <v/>
      </c>
      <c r="D217" s="180" t="str">
        <f t="shared" si="11"/>
        <v/>
      </c>
      <c r="E217" s="179" t="str">
        <f>IF(C217&lt;&gt;"",VLOOKUP(Ranking!C217,Siembra,3,FALSE),"")</f>
        <v/>
      </c>
      <c r="F217" s="323" t="str">
        <f t="shared" si="12"/>
        <v/>
      </c>
    </row>
    <row r="218" spans="1:6" ht="12.75" customHeight="1" x14ac:dyDescent="0.25">
      <c r="A218" s="292">
        <v>215</v>
      </c>
      <c r="C218" s="180" t="str">
        <f>IF(ISTEXT(Sorteo!#REF!),VLOOKUP(A218,Results,3,FALSE),"")</f>
        <v/>
      </c>
      <c r="D218" s="180" t="str">
        <f t="shared" si="11"/>
        <v/>
      </c>
      <c r="E218" s="179" t="str">
        <f>IF(C218&lt;&gt;"",VLOOKUP(Ranking!C218,Siembra,3,FALSE),"")</f>
        <v/>
      </c>
      <c r="F218" s="323" t="str">
        <f t="shared" si="12"/>
        <v/>
      </c>
    </row>
    <row r="219" spans="1:6" ht="12.75" customHeight="1" x14ac:dyDescent="0.25">
      <c r="A219" s="292">
        <v>216</v>
      </c>
      <c r="C219" s="180" t="str">
        <f>IF(ISTEXT(Sorteo!#REF!),VLOOKUP(A219,Results,3,FALSE),"")</f>
        <v/>
      </c>
      <c r="D219" s="180" t="str">
        <f t="shared" si="11"/>
        <v/>
      </c>
      <c r="E219" s="179" t="str">
        <f>IF(C219&lt;&gt;"",VLOOKUP(Ranking!C219,Siembra,3,FALSE),"")</f>
        <v/>
      </c>
      <c r="F219" s="323" t="str">
        <f t="shared" si="12"/>
        <v/>
      </c>
    </row>
    <row r="220" spans="1:6" ht="12.75" customHeight="1" x14ac:dyDescent="0.25">
      <c r="A220" s="292">
        <v>217</v>
      </c>
      <c r="C220" s="180" t="str">
        <f>IF(ISTEXT(Sorteo!#REF!),VLOOKUP(A220,Results,3,FALSE),"")</f>
        <v/>
      </c>
      <c r="D220" s="180" t="str">
        <f t="shared" si="11"/>
        <v/>
      </c>
      <c r="E220" s="179" t="str">
        <f>IF(C220&lt;&gt;"",VLOOKUP(Ranking!C220,Siembra,3,FALSE),"")</f>
        <v/>
      </c>
      <c r="F220" s="323" t="str">
        <f t="shared" si="12"/>
        <v/>
      </c>
    </row>
    <row r="221" spans="1:6" ht="12.75" customHeight="1" x14ac:dyDescent="0.25">
      <c r="A221" s="292">
        <v>218</v>
      </c>
      <c r="C221" s="180" t="str">
        <f>IF(ISTEXT(Sorteo!#REF!),VLOOKUP(A221,Results,3,FALSE),"")</f>
        <v/>
      </c>
      <c r="D221" s="180" t="str">
        <f t="shared" si="11"/>
        <v/>
      </c>
      <c r="E221" s="179" t="str">
        <f>IF(C221&lt;&gt;"",VLOOKUP(Ranking!C221,Siembra,3,FALSE),"")</f>
        <v/>
      </c>
      <c r="F221" s="323" t="str">
        <f t="shared" si="12"/>
        <v/>
      </c>
    </row>
    <row r="222" spans="1:6" ht="12.75" customHeight="1" x14ac:dyDescent="0.25">
      <c r="A222" s="292">
        <v>219</v>
      </c>
      <c r="C222" s="180" t="str">
        <f>IF(ISTEXT(Sorteo!#REF!),VLOOKUP(A222,Results,3,FALSE),"")</f>
        <v/>
      </c>
      <c r="D222" s="180" t="str">
        <f t="shared" si="11"/>
        <v/>
      </c>
      <c r="E222" s="179" t="str">
        <f>IF(C222&lt;&gt;"",VLOOKUP(Ranking!C222,Siembra,3,FALSE),"")</f>
        <v/>
      </c>
      <c r="F222" s="323" t="str">
        <f t="shared" si="12"/>
        <v/>
      </c>
    </row>
    <row r="223" spans="1:6" ht="12.75" customHeight="1" x14ac:dyDescent="0.25">
      <c r="A223" s="292">
        <v>220</v>
      </c>
      <c r="C223" s="180" t="str">
        <f>IF(ISTEXT(Sorteo!#REF!),VLOOKUP(A223,Results,3,FALSE),"")</f>
        <v/>
      </c>
      <c r="D223" s="180" t="str">
        <f t="shared" si="11"/>
        <v/>
      </c>
      <c r="E223" s="179" t="str">
        <f>IF(C223&lt;&gt;"",VLOOKUP(Ranking!C223,Siembra,3,FALSE),"")</f>
        <v/>
      </c>
      <c r="F223" s="323" t="str">
        <f t="shared" si="12"/>
        <v/>
      </c>
    </row>
    <row r="224" spans="1:6" ht="12.75" customHeight="1" x14ac:dyDescent="0.25">
      <c r="A224" s="292">
        <v>221</v>
      </c>
      <c r="C224" s="180" t="str">
        <f>IF(ISTEXT(Sorteo!#REF!),VLOOKUP(A224,Results,3,FALSE),"")</f>
        <v/>
      </c>
      <c r="D224" s="180" t="str">
        <f t="shared" si="11"/>
        <v/>
      </c>
      <c r="E224" s="179" t="str">
        <f>IF(C224&lt;&gt;"",VLOOKUP(Ranking!C224,Siembra,3,FALSE),"")</f>
        <v/>
      </c>
      <c r="F224" s="323" t="str">
        <f t="shared" si="12"/>
        <v/>
      </c>
    </row>
    <row r="225" spans="1:6" ht="12.75" customHeight="1" x14ac:dyDescent="0.25">
      <c r="A225" s="292">
        <v>222</v>
      </c>
      <c r="C225" s="180" t="str">
        <f>IF(ISTEXT(Sorteo!#REF!),VLOOKUP(A225,Results,3,FALSE),"")</f>
        <v/>
      </c>
      <c r="D225" s="180" t="str">
        <f t="shared" si="11"/>
        <v/>
      </c>
      <c r="E225" s="179" t="str">
        <f>IF(C225&lt;&gt;"",VLOOKUP(Ranking!C225,Siembra,3,FALSE),"")</f>
        <v/>
      </c>
      <c r="F225" s="323" t="str">
        <f t="shared" si="12"/>
        <v/>
      </c>
    </row>
    <row r="226" spans="1:6" ht="12.75" customHeight="1" x14ac:dyDescent="0.25">
      <c r="A226" s="292">
        <v>223</v>
      </c>
      <c r="C226" s="180" t="str">
        <f>IF(ISTEXT(Sorteo!#REF!),VLOOKUP(A226,Results,3,FALSE),"")</f>
        <v/>
      </c>
      <c r="D226" s="180" t="str">
        <f t="shared" si="11"/>
        <v/>
      </c>
      <c r="E226" s="179" t="str">
        <f>IF(C226&lt;&gt;"",VLOOKUP(Ranking!C226,Siembra,3,FALSE),"")</f>
        <v/>
      </c>
      <c r="F226" s="323" t="str">
        <f t="shared" si="12"/>
        <v/>
      </c>
    </row>
    <row r="227" spans="1:6" ht="12.75" customHeight="1" x14ac:dyDescent="0.25">
      <c r="A227" s="292">
        <v>224</v>
      </c>
      <c r="C227" s="180" t="str">
        <f>IF(ISTEXT(Sorteo!#REF!),VLOOKUP(A227,Results,3,FALSE),"")</f>
        <v/>
      </c>
      <c r="D227" s="180" t="str">
        <f t="shared" si="11"/>
        <v/>
      </c>
      <c r="E227" s="179" t="str">
        <f>IF(C227&lt;&gt;"",VLOOKUP(Ranking!C227,Siembra,3,FALSE),"")</f>
        <v/>
      </c>
      <c r="F227" s="323" t="str">
        <f t="shared" si="12"/>
        <v/>
      </c>
    </row>
    <row r="228" spans="1:6" ht="12.75" customHeight="1" x14ac:dyDescent="0.25">
      <c r="A228" s="292">
        <v>225</v>
      </c>
      <c r="C228" s="180" t="str">
        <f>IF(ISTEXT(Sorteo!#REF!),VLOOKUP(A228,Results,3,FALSE),"")</f>
        <v/>
      </c>
      <c r="D228" s="180" t="str">
        <f t="shared" si="11"/>
        <v/>
      </c>
      <c r="E228" s="179" t="str">
        <f>IF(C228&lt;&gt;"",VLOOKUP(Ranking!C228,Siembra,3,FALSE),"")</f>
        <v/>
      </c>
      <c r="F228" s="323" t="str">
        <f t="shared" si="12"/>
        <v/>
      </c>
    </row>
    <row r="229" spans="1:6" ht="12.75" customHeight="1" x14ac:dyDescent="0.25">
      <c r="A229" s="292">
        <v>226</v>
      </c>
      <c r="C229" s="180" t="str">
        <f>IF(ISTEXT(Sorteo!#REF!),VLOOKUP(A229,Results,3,FALSE),"")</f>
        <v/>
      </c>
      <c r="D229" s="180" t="str">
        <f t="shared" si="11"/>
        <v/>
      </c>
      <c r="E229" s="179" t="str">
        <f>IF(C229&lt;&gt;"",VLOOKUP(Ranking!C229,Siembra,3,FALSE),"")</f>
        <v/>
      </c>
      <c r="F229" s="323" t="str">
        <f t="shared" si="12"/>
        <v/>
      </c>
    </row>
    <row r="230" spans="1:6" ht="12.75" customHeight="1" x14ac:dyDescent="0.25">
      <c r="A230" s="292">
        <v>227</v>
      </c>
      <c r="C230" s="180" t="str">
        <f>IF(ISTEXT(Sorteo!#REF!),VLOOKUP(A230,Results,3,FALSE),"")</f>
        <v/>
      </c>
      <c r="D230" s="180" t="str">
        <f t="shared" si="11"/>
        <v/>
      </c>
      <c r="E230" s="179" t="str">
        <f>IF(C230&lt;&gt;"",VLOOKUP(Ranking!C230,Siembra,3,FALSE),"")</f>
        <v/>
      </c>
      <c r="F230" s="323" t="str">
        <f t="shared" si="12"/>
        <v/>
      </c>
    </row>
    <row r="231" spans="1:6" ht="12.75" customHeight="1" x14ac:dyDescent="0.25">
      <c r="A231" s="292">
        <v>228</v>
      </c>
      <c r="C231" s="180" t="str">
        <f>IF(ISTEXT(Sorteo!#REF!),VLOOKUP(A231,Results,3,FALSE),"")</f>
        <v/>
      </c>
      <c r="D231" s="180" t="str">
        <f t="shared" si="11"/>
        <v/>
      </c>
      <c r="E231" s="179" t="str">
        <f>IF(C231&lt;&gt;"",VLOOKUP(Ranking!C231,Siembra,3,FALSE),"")</f>
        <v/>
      </c>
      <c r="F231" s="323" t="str">
        <f t="shared" si="12"/>
        <v/>
      </c>
    </row>
    <row r="232" spans="1:6" ht="12.75" customHeight="1" x14ac:dyDescent="0.25">
      <c r="A232" s="292">
        <v>229</v>
      </c>
      <c r="C232" s="180" t="str">
        <f>IF(ISTEXT(Sorteo!#REF!),VLOOKUP(A232,Results,3,FALSE),"")</f>
        <v/>
      </c>
      <c r="D232" s="180" t="str">
        <f t="shared" si="11"/>
        <v/>
      </c>
      <c r="E232" s="179" t="str">
        <f>IF(C232&lt;&gt;"",VLOOKUP(Ranking!C232,Siembra,3,FALSE),"")</f>
        <v/>
      </c>
      <c r="F232" s="323" t="str">
        <f t="shared" si="12"/>
        <v/>
      </c>
    </row>
    <row r="233" spans="1:6" ht="12.75" customHeight="1" x14ac:dyDescent="0.25">
      <c r="A233" s="292">
        <v>230</v>
      </c>
      <c r="C233" s="180" t="str">
        <f>IF(ISTEXT(Sorteo!#REF!),VLOOKUP(A233,Results,3,FALSE),"")</f>
        <v/>
      </c>
      <c r="D233" s="180" t="str">
        <f t="shared" si="11"/>
        <v/>
      </c>
      <c r="E233" s="179" t="str">
        <f>IF(C233&lt;&gt;"",VLOOKUP(Ranking!C233,Siembra,3,FALSE),"")</f>
        <v/>
      </c>
      <c r="F233" s="323" t="str">
        <f t="shared" si="12"/>
        <v/>
      </c>
    </row>
    <row r="234" spans="1:6" ht="12.75" customHeight="1" x14ac:dyDescent="0.25">
      <c r="A234" s="292">
        <v>231</v>
      </c>
      <c r="C234" s="180" t="str">
        <f>IF(ISTEXT(Sorteo!#REF!),VLOOKUP(A234,Results,3,FALSE),"")</f>
        <v/>
      </c>
      <c r="D234" s="180" t="str">
        <f t="shared" si="11"/>
        <v/>
      </c>
      <c r="E234" s="179" t="str">
        <f>IF(C234&lt;&gt;"",VLOOKUP(Ranking!C234,Siembra,3,FALSE),"")</f>
        <v/>
      </c>
      <c r="F234" s="323" t="str">
        <f t="shared" si="12"/>
        <v/>
      </c>
    </row>
    <row r="235" spans="1:6" ht="12.75" customHeight="1" x14ac:dyDescent="0.25">
      <c r="A235" s="292">
        <v>232</v>
      </c>
      <c r="C235" s="180" t="str">
        <f>IF(ISTEXT(Sorteo!#REF!),VLOOKUP(A235,Results,3,FALSE),"")</f>
        <v/>
      </c>
      <c r="D235" s="180" t="str">
        <f t="shared" si="11"/>
        <v/>
      </c>
      <c r="E235" s="179" t="str">
        <f>IF(C235&lt;&gt;"",VLOOKUP(Ranking!C235,Siembra,3,FALSE),"")</f>
        <v/>
      </c>
      <c r="F235" s="323" t="str">
        <f t="shared" si="12"/>
        <v/>
      </c>
    </row>
    <row r="236" spans="1:6" ht="12.75" customHeight="1" x14ac:dyDescent="0.25">
      <c r="A236" s="292">
        <v>233</v>
      </c>
      <c r="C236" s="180" t="str">
        <f>IF(ISTEXT(Sorteo!#REF!),VLOOKUP(A236,Results,3,FALSE),"")</f>
        <v/>
      </c>
      <c r="D236" s="180" t="str">
        <f t="shared" si="11"/>
        <v/>
      </c>
      <c r="E236" s="179" t="str">
        <f>IF(C236&lt;&gt;"",VLOOKUP(Ranking!C236,Siembra,3,FALSE),"")</f>
        <v/>
      </c>
      <c r="F236" s="323" t="str">
        <f t="shared" si="12"/>
        <v/>
      </c>
    </row>
    <row r="237" spans="1:6" ht="12.75" customHeight="1" x14ac:dyDescent="0.25">
      <c r="A237" s="292">
        <v>234</v>
      </c>
      <c r="C237" s="180" t="str">
        <f>IF(ISTEXT(Sorteo!#REF!),VLOOKUP(A237,Results,3,FALSE),"")</f>
        <v/>
      </c>
      <c r="D237" s="180" t="str">
        <f t="shared" si="11"/>
        <v/>
      </c>
      <c r="E237" s="179" t="str">
        <f>IF(C237&lt;&gt;"",VLOOKUP(Ranking!C237,Siembra,3,FALSE),"")</f>
        <v/>
      </c>
      <c r="F237" s="323" t="str">
        <f t="shared" si="12"/>
        <v/>
      </c>
    </row>
    <row r="238" spans="1:6" ht="12.75" customHeight="1" x14ac:dyDescent="0.25">
      <c r="A238" s="292">
        <v>235</v>
      </c>
      <c r="C238" s="180" t="str">
        <f>IF(ISTEXT(Sorteo!#REF!),VLOOKUP(A238,Results,3,FALSE),"")</f>
        <v/>
      </c>
      <c r="D238" s="180" t="str">
        <f t="shared" si="11"/>
        <v/>
      </c>
      <c r="E238" s="179" t="str">
        <f>IF(C238&lt;&gt;"",VLOOKUP(Ranking!C238,Siembra,3,FALSE),"")</f>
        <v/>
      </c>
      <c r="F238" s="323" t="str">
        <f t="shared" si="12"/>
        <v/>
      </c>
    </row>
    <row r="239" spans="1:6" ht="12.75" customHeight="1" x14ac:dyDescent="0.25">
      <c r="A239" s="292">
        <v>236</v>
      </c>
      <c r="C239" s="180" t="str">
        <f>IF(ISTEXT(Sorteo!#REF!),VLOOKUP(A239,Results,3,FALSE),"")</f>
        <v/>
      </c>
      <c r="D239" s="180" t="str">
        <f t="shared" si="11"/>
        <v/>
      </c>
      <c r="E239" s="179" t="str">
        <f>IF(C239&lt;&gt;"",VLOOKUP(Ranking!C239,Siembra,3,FALSE),"")</f>
        <v/>
      </c>
      <c r="F239" s="323" t="str">
        <f t="shared" si="12"/>
        <v/>
      </c>
    </row>
    <row r="240" spans="1:6" ht="12.75" customHeight="1" x14ac:dyDescent="0.25">
      <c r="A240" s="292">
        <v>237</v>
      </c>
      <c r="C240" s="180" t="str">
        <f>IF(ISTEXT(Sorteo!#REF!),VLOOKUP(A240,Results,3,FALSE),"")</f>
        <v/>
      </c>
      <c r="D240" s="180" t="str">
        <f t="shared" si="11"/>
        <v/>
      </c>
      <c r="E240" s="179" t="str">
        <f>IF(C240&lt;&gt;"",VLOOKUP(Ranking!C240,Siembra,3,FALSE),"")</f>
        <v/>
      </c>
      <c r="F240" s="323" t="str">
        <f t="shared" si="12"/>
        <v/>
      </c>
    </row>
    <row r="241" spans="1:6" ht="12.75" customHeight="1" x14ac:dyDescent="0.25">
      <c r="A241" s="292">
        <v>238</v>
      </c>
      <c r="C241" s="180" t="str">
        <f>IF(ISTEXT(Sorteo!#REF!),VLOOKUP(A241,Results,3,FALSE),"")</f>
        <v/>
      </c>
      <c r="D241" s="180" t="str">
        <f t="shared" si="11"/>
        <v/>
      </c>
      <c r="E241" s="179" t="str">
        <f>IF(C241&lt;&gt;"",VLOOKUP(Ranking!C241,Siembra,3,FALSE),"")</f>
        <v/>
      </c>
      <c r="F241" s="323" t="str">
        <f t="shared" si="12"/>
        <v/>
      </c>
    </row>
    <row r="242" spans="1:6" ht="12.75" customHeight="1" x14ac:dyDescent="0.25">
      <c r="A242" s="292">
        <v>239</v>
      </c>
      <c r="C242" s="180" t="str">
        <f>IF(ISTEXT(Sorteo!#REF!),VLOOKUP(A242,Results,3,FALSE),"")</f>
        <v/>
      </c>
      <c r="D242" s="180" t="str">
        <f t="shared" si="11"/>
        <v/>
      </c>
      <c r="E242" s="179" t="str">
        <f>IF(C242&lt;&gt;"",VLOOKUP(Ranking!C242,Siembra,3,FALSE),"")</f>
        <v/>
      </c>
      <c r="F242" s="323" t="str">
        <f t="shared" si="12"/>
        <v/>
      </c>
    </row>
    <row r="243" spans="1:6" ht="12.75" customHeight="1" x14ac:dyDescent="0.25">
      <c r="A243" s="292">
        <v>240</v>
      </c>
      <c r="C243" s="180" t="str">
        <f>IF(ISTEXT(Sorteo!#REF!),VLOOKUP(A243,Results,3,FALSE),"")</f>
        <v/>
      </c>
      <c r="D243" s="180" t="str">
        <f t="shared" si="11"/>
        <v/>
      </c>
      <c r="E243" s="179" t="str">
        <f>IF(C243&lt;&gt;"",VLOOKUP(Ranking!C243,Siembra,3,FALSE),"")</f>
        <v/>
      </c>
      <c r="F243" s="323" t="str">
        <f t="shared" si="12"/>
        <v/>
      </c>
    </row>
    <row r="244" spans="1:6" ht="12.75" customHeight="1" x14ac:dyDescent="0.25">
      <c r="A244" s="292">
        <v>241</v>
      </c>
      <c r="C244" s="180" t="str">
        <f>IF(ISTEXT(Sorteo!#REF!),VLOOKUP(A244,Results,3,FALSE),"")</f>
        <v/>
      </c>
      <c r="D244" s="180" t="str">
        <f t="shared" si="11"/>
        <v/>
      </c>
      <c r="E244" s="179" t="str">
        <f>IF(C244&lt;&gt;"",VLOOKUP(Ranking!C244,Siembra,3,FALSE),"")</f>
        <v/>
      </c>
      <c r="F244" s="323" t="str">
        <f t="shared" si="12"/>
        <v/>
      </c>
    </row>
    <row r="245" spans="1:6" ht="12.75" customHeight="1" x14ac:dyDescent="0.25">
      <c r="A245" s="292">
        <v>242</v>
      </c>
      <c r="C245" s="180" t="str">
        <f>IF(ISTEXT(Sorteo!#REF!),VLOOKUP(A245,Results,3,FALSE),"")</f>
        <v/>
      </c>
      <c r="D245" s="180" t="str">
        <f t="shared" si="11"/>
        <v/>
      </c>
      <c r="E245" s="179" t="str">
        <f>IF(C245&lt;&gt;"",VLOOKUP(Ranking!C245,Siembra,3,FALSE),"")</f>
        <v/>
      </c>
      <c r="F245" s="323" t="str">
        <f t="shared" si="12"/>
        <v/>
      </c>
    </row>
    <row r="246" spans="1:6" ht="12.75" customHeight="1" x14ac:dyDescent="0.25">
      <c r="A246" s="292">
        <v>243</v>
      </c>
      <c r="C246" s="180" t="str">
        <f>IF(ISTEXT(Sorteo!#REF!),VLOOKUP(A246,Results,3,FALSE),"")</f>
        <v/>
      </c>
      <c r="D246" s="180" t="str">
        <f t="shared" si="11"/>
        <v/>
      </c>
      <c r="E246" s="179" t="str">
        <f>IF(C246&lt;&gt;"",VLOOKUP(Ranking!C246,Siembra,3,FALSE),"")</f>
        <v/>
      </c>
      <c r="F246" s="323" t="str">
        <f t="shared" si="12"/>
        <v/>
      </c>
    </row>
    <row r="247" spans="1:6" ht="12.75" customHeight="1" x14ac:dyDescent="0.25">
      <c r="A247" s="292">
        <v>244</v>
      </c>
      <c r="C247" s="180" t="str">
        <f>IF(ISTEXT(Sorteo!#REF!),VLOOKUP(A247,Results,3,FALSE),"")</f>
        <v/>
      </c>
      <c r="D247" s="180" t="str">
        <f t="shared" si="11"/>
        <v/>
      </c>
      <c r="E247" s="179" t="str">
        <f>IF(C247&lt;&gt;"",VLOOKUP(Ranking!C247,Siembra,3,FALSE),"")</f>
        <v/>
      </c>
      <c r="F247" s="323" t="str">
        <f t="shared" si="12"/>
        <v/>
      </c>
    </row>
    <row r="248" spans="1:6" ht="12.75" customHeight="1" x14ac:dyDescent="0.25">
      <c r="A248" s="292">
        <v>245</v>
      </c>
      <c r="C248" s="180" t="str">
        <f>IF(ISTEXT(Sorteo!#REF!),VLOOKUP(A248,Results,3,FALSE),"")</f>
        <v/>
      </c>
      <c r="D248" s="180" t="str">
        <f t="shared" si="11"/>
        <v/>
      </c>
      <c r="E248" s="179" t="str">
        <f>IF(C248&lt;&gt;"",VLOOKUP(Ranking!C248,Siembra,3,FALSE),"")</f>
        <v/>
      </c>
      <c r="F248" s="323" t="str">
        <f t="shared" si="12"/>
        <v/>
      </c>
    </row>
    <row r="249" spans="1:6" ht="12.75" customHeight="1" x14ac:dyDescent="0.25">
      <c r="A249" s="292">
        <v>246</v>
      </c>
      <c r="C249" s="180" t="str">
        <f>IF(ISTEXT(Sorteo!#REF!),VLOOKUP(A249,Results,3,FALSE),"")</f>
        <v/>
      </c>
      <c r="D249" s="180" t="str">
        <f t="shared" si="11"/>
        <v/>
      </c>
      <c r="E249" s="179" t="str">
        <f>IF(C249&lt;&gt;"",VLOOKUP(Ranking!C249,Siembra,3,FALSE),"")</f>
        <v/>
      </c>
      <c r="F249" s="323" t="str">
        <f t="shared" si="12"/>
        <v/>
      </c>
    </row>
    <row r="250" spans="1:6" ht="12.75" customHeight="1" x14ac:dyDescent="0.25">
      <c r="A250" s="292">
        <v>247</v>
      </c>
      <c r="C250" s="180" t="str">
        <f>IF(ISTEXT(Sorteo!#REF!),VLOOKUP(A250,Results,3,FALSE),"")</f>
        <v/>
      </c>
      <c r="D250" s="180" t="str">
        <f t="shared" si="11"/>
        <v/>
      </c>
      <c r="E250" s="179" t="str">
        <f>IF(C250&lt;&gt;"",VLOOKUP(Ranking!C250,Siembra,3,FALSE),"")</f>
        <v/>
      </c>
      <c r="F250" s="323" t="str">
        <f t="shared" si="12"/>
        <v/>
      </c>
    </row>
    <row r="251" spans="1:6" ht="12.75" customHeight="1" x14ac:dyDescent="0.25">
      <c r="A251" s="292">
        <v>248</v>
      </c>
      <c r="C251" s="180" t="str">
        <f>IF(ISTEXT(Sorteo!#REF!),VLOOKUP(A251,Results,3,FALSE),"")</f>
        <v/>
      </c>
      <c r="D251" s="180" t="str">
        <f t="shared" si="11"/>
        <v/>
      </c>
      <c r="E251" s="179" t="str">
        <f>IF(C251&lt;&gt;"",VLOOKUP(Ranking!C251,Siembra,3,FALSE),"")</f>
        <v/>
      </c>
      <c r="F251" s="323" t="str">
        <f t="shared" si="12"/>
        <v/>
      </c>
    </row>
    <row r="252" spans="1:6" ht="12.75" customHeight="1" x14ac:dyDescent="0.25">
      <c r="A252" s="292">
        <v>249</v>
      </c>
      <c r="C252" s="180" t="str">
        <f>IF(ISTEXT(Sorteo!#REF!),VLOOKUP(A252,Results,3,FALSE),"")</f>
        <v/>
      </c>
      <c r="D252" s="180" t="str">
        <f t="shared" si="11"/>
        <v/>
      </c>
      <c r="E252" s="179" t="str">
        <f>IF(C252&lt;&gt;"",VLOOKUP(Ranking!C252,Siembra,3,FALSE),"")</f>
        <v/>
      </c>
      <c r="F252" s="323" t="str">
        <f t="shared" si="12"/>
        <v/>
      </c>
    </row>
    <row r="253" spans="1:6" ht="12.75" customHeight="1" x14ac:dyDescent="0.25">
      <c r="A253" s="292">
        <v>250</v>
      </c>
      <c r="C253" s="180" t="str">
        <f>IF(ISTEXT(Sorteo!#REF!),VLOOKUP(A253,Results,3,FALSE),"")</f>
        <v/>
      </c>
      <c r="D253" s="180" t="str">
        <f t="shared" si="11"/>
        <v/>
      </c>
      <c r="E253" s="179" t="str">
        <f>IF(C253&lt;&gt;"",VLOOKUP(Ranking!C253,Siembra,3,FALSE),"")</f>
        <v/>
      </c>
      <c r="F253" s="323" t="str">
        <f t="shared" si="12"/>
        <v/>
      </c>
    </row>
    <row r="254" spans="1:6" ht="12.75" customHeight="1" x14ac:dyDescent="0.25">
      <c r="A254" s="292">
        <v>251</v>
      </c>
      <c r="C254" s="180" t="str">
        <f>IF(ISTEXT(Sorteo!#REF!),VLOOKUP(A254,Results,3,FALSE),"")</f>
        <v/>
      </c>
      <c r="D254" s="180" t="str">
        <f t="shared" si="11"/>
        <v/>
      </c>
      <c r="E254" s="179" t="str">
        <f>IF(C254&lt;&gt;"",VLOOKUP(Ranking!C254,Siembra,3,FALSE),"")</f>
        <v/>
      </c>
      <c r="F254" s="323" t="str">
        <f t="shared" si="12"/>
        <v/>
      </c>
    </row>
    <row r="255" spans="1:6" ht="12.75" customHeight="1" x14ac:dyDescent="0.25">
      <c r="A255" s="292">
        <v>252</v>
      </c>
      <c r="C255" s="180" t="str">
        <f>IF(ISTEXT(Sorteo!#REF!),VLOOKUP(A255,Results,3,FALSE),"")</f>
        <v/>
      </c>
      <c r="D255" s="180" t="str">
        <f t="shared" si="11"/>
        <v/>
      </c>
      <c r="E255" s="179" t="str">
        <f>IF(C255&lt;&gt;"",VLOOKUP(Ranking!C255,Siembra,3,FALSE),"")</f>
        <v/>
      </c>
      <c r="F255" s="323" t="str">
        <f t="shared" si="12"/>
        <v/>
      </c>
    </row>
    <row r="256" spans="1:6" ht="12.75" customHeight="1" x14ac:dyDescent="0.25">
      <c r="A256" s="292">
        <v>253</v>
      </c>
      <c r="C256" s="180" t="str">
        <f>IF(ISTEXT(Sorteo!#REF!),VLOOKUP(A256,Results,3,FALSE),"")</f>
        <v/>
      </c>
      <c r="D256" s="180" t="str">
        <f t="shared" si="11"/>
        <v/>
      </c>
      <c r="E256" s="179" t="str">
        <f>IF(C256&lt;&gt;"",VLOOKUP(Ranking!C256,Siembra,3,FALSE),"")</f>
        <v/>
      </c>
      <c r="F256" s="323" t="str">
        <f t="shared" si="12"/>
        <v/>
      </c>
    </row>
    <row r="257" spans="1:6" ht="12.75" customHeight="1" x14ac:dyDescent="0.25">
      <c r="A257" s="292">
        <v>254</v>
      </c>
      <c r="C257" s="180" t="str">
        <f>IF(ISTEXT(Sorteo!#REF!),VLOOKUP(A257,Results,3,FALSE),"")</f>
        <v/>
      </c>
      <c r="D257" s="180" t="str">
        <f t="shared" si="11"/>
        <v/>
      </c>
      <c r="E257" s="179" t="str">
        <f>IF(C257&lt;&gt;"",VLOOKUP(Ranking!C257,Siembra,3,FALSE),"")</f>
        <v/>
      </c>
      <c r="F257" s="323" t="str">
        <f t="shared" si="12"/>
        <v/>
      </c>
    </row>
    <row r="258" spans="1:6" ht="12.75" customHeight="1" x14ac:dyDescent="0.25">
      <c r="A258" s="292">
        <v>255</v>
      </c>
      <c r="C258" s="180" t="str">
        <f>IF(ISTEXT(Sorteo!#REF!),VLOOKUP(A258,Results,3,FALSE),"")</f>
        <v/>
      </c>
      <c r="D258" s="180" t="str">
        <f t="shared" si="11"/>
        <v/>
      </c>
      <c r="E258" s="179" t="str">
        <f>IF(C258&lt;&gt;"",VLOOKUP(Ranking!C258,Siembra,3,FALSE),"")</f>
        <v/>
      </c>
      <c r="F258" s="323" t="str">
        <f t="shared" si="12"/>
        <v/>
      </c>
    </row>
    <row r="259" spans="1:6" ht="12.75" customHeight="1" x14ac:dyDescent="0.25">
      <c r="A259" s="292">
        <v>256</v>
      </c>
      <c r="C259" s="180" t="str">
        <f>IF(ISTEXT(Sorteo!#REF!),VLOOKUP(A259,Results,3,FALSE),"")</f>
        <v/>
      </c>
      <c r="D259" s="180" t="str">
        <f t="shared" si="11"/>
        <v/>
      </c>
      <c r="E259" s="179" t="str">
        <f>IF(C259&lt;&gt;"",VLOOKUP(Ranking!C259,Siembra,3,FALSE),"")</f>
        <v/>
      </c>
      <c r="F259" s="323" t="str">
        <f t="shared" si="12"/>
        <v/>
      </c>
    </row>
    <row r="260" spans="1:6" ht="12.75" customHeight="1" x14ac:dyDescent="0.25">
      <c r="A260" s="292">
        <v>257</v>
      </c>
      <c r="C260" s="180" t="str">
        <f>IF(ISTEXT(Sorteo!#REF!),VLOOKUP(A260,Results,3,FALSE),"")</f>
        <v/>
      </c>
      <c r="D260" s="180" t="str">
        <f t="shared" ref="D260:D303" si="13">IF(C260&lt;&gt;"",IF(A260&lt;=Tot_Jug,VLOOKUP(C260,Siembra,2,FALSE),""),"")</f>
        <v/>
      </c>
      <c r="E260" s="179" t="str">
        <f>IF(C260&lt;&gt;"",VLOOKUP(Ranking!C260,Siembra,3,FALSE),"")</f>
        <v/>
      </c>
      <c r="F260" s="323" t="str">
        <f t="shared" ref="F260:F303" si="14">IF(A260&lt;=Tot_Jug,VLOOKUP(A260,Results,4,FALSE),"")</f>
        <v/>
      </c>
    </row>
    <row r="261" spans="1:6" ht="12.75" customHeight="1" x14ac:dyDescent="0.25">
      <c r="A261" s="292">
        <v>258</v>
      </c>
      <c r="C261" s="180" t="str">
        <f>IF(ISTEXT(Sorteo!#REF!),VLOOKUP(A261,Results,3,FALSE),"")</f>
        <v/>
      </c>
      <c r="D261" s="180" t="str">
        <f t="shared" si="13"/>
        <v/>
      </c>
      <c r="E261" s="179" t="str">
        <f>IF(C261&lt;&gt;"",VLOOKUP(Ranking!C261,Siembra,3,FALSE),"")</f>
        <v/>
      </c>
      <c r="F261" s="323" t="str">
        <f t="shared" si="14"/>
        <v/>
      </c>
    </row>
    <row r="262" spans="1:6" ht="12.75" customHeight="1" x14ac:dyDescent="0.25">
      <c r="A262" s="292">
        <v>259</v>
      </c>
      <c r="C262" s="180" t="str">
        <f>IF(ISTEXT(Sorteo!#REF!),VLOOKUP(A262,Results,3,FALSE),"")</f>
        <v/>
      </c>
      <c r="D262" s="180" t="str">
        <f t="shared" si="13"/>
        <v/>
      </c>
      <c r="E262" s="179" t="str">
        <f>IF(C262&lt;&gt;"",VLOOKUP(Ranking!C262,Siembra,3,FALSE),"")</f>
        <v/>
      </c>
      <c r="F262" s="323" t="str">
        <f t="shared" si="14"/>
        <v/>
      </c>
    </row>
    <row r="263" spans="1:6" ht="12.75" customHeight="1" x14ac:dyDescent="0.25">
      <c r="A263" s="292">
        <v>260</v>
      </c>
      <c r="C263" s="180" t="str">
        <f>IF(ISTEXT(Sorteo!#REF!),VLOOKUP(A263,Results,3,FALSE),"")</f>
        <v/>
      </c>
      <c r="D263" s="180" t="str">
        <f t="shared" si="13"/>
        <v/>
      </c>
      <c r="E263" s="179" t="str">
        <f>IF(C263&lt;&gt;"",VLOOKUP(Ranking!C263,Siembra,3,FALSE),"")</f>
        <v/>
      </c>
      <c r="F263" s="323" t="str">
        <f t="shared" si="14"/>
        <v/>
      </c>
    </row>
    <row r="264" spans="1:6" ht="12.75" customHeight="1" x14ac:dyDescent="0.25">
      <c r="A264" s="292">
        <v>261</v>
      </c>
      <c r="C264" s="180" t="str">
        <f>IF(ISTEXT(Sorteo!#REF!),VLOOKUP(A264,Results,3,FALSE),"")</f>
        <v/>
      </c>
      <c r="D264" s="180" t="str">
        <f t="shared" si="13"/>
        <v/>
      </c>
      <c r="E264" s="179" t="str">
        <f>IF(C264&lt;&gt;"",VLOOKUP(Ranking!C264,Siembra,3,FALSE),"")</f>
        <v/>
      </c>
      <c r="F264" s="323" t="str">
        <f t="shared" si="14"/>
        <v/>
      </c>
    </row>
    <row r="265" spans="1:6" ht="12.75" customHeight="1" x14ac:dyDescent="0.25">
      <c r="A265" s="292">
        <v>262</v>
      </c>
      <c r="C265" s="180" t="str">
        <f>IF(ISTEXT(Sorteo!#REF!),VLOOKUP(A265,Results,3,FALSE),"")</f>
        <v/>
      </c>
      <c r="D265" s="180" t="str">
        <f t="shared" si="13"/>
        <v/>
      </c>
      <c r="E265" s="179" t="str">
        <f>IF(C265&lt;&gt;"",VLOOKUP(Ranking!C265,Siembra,3,FALSE),"")</f>
        <v/>
      </c>
      <c r="F265" s="323" t="str">
        <f t="shared" si="14"/>
        <v/>
      </c>
    </row>
    <row r="266" spans="1:6" ht="12.75" customHeight="1" x14ac:dyDescent="0.25">
      <c r="A266" s="292">
        <v>263</v>
      </c>
      <c r="C266" s="180" t="str">
        <f>IF(ISTEXT(Sorteo!#REF!),VLOOKUP(A266,Results,3,FALSE),"")</f>
        <v/>
      </c>
      <c r="D266" s="180" t="str">
        <f t="shared" si="13"/>
        <v/>
      </c>
      <c r="E266" s="179" t="str">
        <f>IF(C266&lt;&gt;"",VLOOKUP(Ranking!C266,Siembra,3,FALSE),"")</f>
        <v/>
      </c>
      <c r="F266" s="323" t="str">
        <f t="shared" si="14"/>
        <v/>
      </c>
    </row>
    <row r="267" spans="1:6" ht="12.75" customHeight="1" x14ac:dyDescent="0.25">
      <c r="A267" s="292">
        <v>264</v>
      </c>
      <c r="C267" s="180" t="str">
        <f>IF(ISTEXT(Sorteo!#REF!),VLOOKUP(A267,Results,3,FALSE),"")</f>
        <v/>
      </c>
      <c r="D267" s="180" t="str">
        <f t="shared" si="13"/>
        <v/>
      </c>
      <c r="E267" s="179" t="str">
        <f>IF(C267&lt;&gt;"",VLOOKUP(Ranking!C267,Siembra,3,FALSE),"")</f>
        <v/>
      </c>
      <c r="F267" s="323" t="str">
        <f t="shared" si="14"/>
        <v/>
      </c>
    </row>
    <row r="268" spans="1:6" ht="12.75" customHeight="1" x14ac:dyDescent="0.25">
      <c r="A268" s="292">
        <v>265</v>
      </c>
      <c r="C268" s="180" t="str">
        <f>IF(ISTEXT(Sorteo!#REF!),VLOOKUP(A268,Results,3,FALSE),"")</f>
        <v/>
      </c>
      <c r="D268" s="180" t="str">
        <f t="shared" si="13"/>
        <v/>
      </c>
      <c r="E268" s="179" t="str">
        <f>IF(C268&lt;&gt;"",VLOOKUP(Ranking!C268,Siembra,3,FALSE),"")</f>
        <v/>
      </c>
      <c r="F268" s="323" t="str">
        <f t="shared" si="14"/>
        <v/>
      </c>
    </row>
    <row r="269" spans="1:6" ht="12.75" customHeight="1" x14ac:dyDescent="0.25">
      <c r="A269" s="292">
        <v>266</v>
      </c>
      <c r="C269" s="180" t="str">
        <f>IF(ISTEXT(Sorteo!#REF!),VLOOKUP(A269,Results,3,FALSE),"")</f>
        <v/>
      </c>
      <c r="D269" s="180" t="str">
        <f t="shared" si="13"/>
        <v/>
      </c>
      <c r="E269" s="179" t="str">
        <f>IF(C269&lt;&gt;"",VLOOKUP(Ranking!C269,Siembra,3,FALSE),"")</f>
        <v/>
      </c>
      <c r="F269" s="323" t="str">
        <f t="shared" si="14"/>
        <v/>
      </c>
    </row>
    <row r="270" spans="1:6" ht="12.75" customHeight="1" x14ac:dyDescent="0.25">
      <c r="A270" s="292">
        <v>267</v>
      </c>
      <c r="C270" s="180" t="str">
        <f>IF(ISTEXT(Sorteo!#REF!),VLOOKUP(A270,Results,3,FALSE),"")</f>
        <v/>
      </c>
      <c r="D270" s="180" t="str">
        <f t="shared" si="13"/>
        <v/>
      </c>
      <c r="E270" s="179" t="str">
        <f>IF(C270&lt;&gt;"",VLOOKUP(Ranking!C270,Siembra,3,FALSE),"")</f>
        <v/>
      </c>
      <c r="F270" s="323" t="str">
        <f t="shared" si="14"/>
        <v/>
      </c>
    </row>
    <row r="271" spans="1:6" ht="12.75" customHeight="1" x14ac:dyDescent="0.25">
      <c r="A271" s="292">
        <v>268</v>
      </c>
      <c r="C271" s="180" t="str">
        <f>IF(ISTEXT(Sorteo!#REF!),VLOOKUP(A271,Results,3,FALSE),"")</f>
        <v/>
      </c>
      <c r="D271" s="180" t="str">
        <f t="shared" si="13"/>
        <v/>
      </c>
      <c r="E271" s="179" t="str">
        <f>IF(C271&lt;&gt;"",VLOOKUP(Ranking!C271,Siembra,3,FALSE),"")</f>
        <v/>
      </c>
      <c r="F271" s="323" t="str">
        <f t="shared" si="14"/>
        <v/>
      </c>
    </row>
    <row r="272" spans="1:6" ht="12.75" customHeight="1" x14ac:dyDescent="0.25">
      <c r="A272" s="292">
        <v>269</v>
      </c>
      <c r="C272" s="180" t="str">
        <f>IF(ISTEXT(Sorteo!#REF!),VLOOKUP(A272,Results,3,FALSE),"")</f>
        <v/>
      </c>
      <c r="D272" s="180" t="str">
        <f t="shared" si="13"/>
        <v/>
      </c>
      <c r="E272" s="179" t="str">
        <f>IF(C272&lt;&gt;"",VLOOKUP(Ranking!C272,Siembra,3,FALSE),"")</f>
        <v/>
      </c>
      <c r="F272" s="323" t="str">
        <f t="shared" si="14"/>
        <v/>
      </c>
    </row>
    <row r="273" spans="1:6" ht="12.75" customHeight="1" x14ac:dyDescent="0.25">
      <c r="A273" s="292">
        <v>270</v>
      </c>
      <c r="C273" s="180" t="str">
        <f>IF(ISTEXT(Sorteo!#REF!),VLOOKUP(A273,Results,3,FALSE),"")</f>
        <v/>
      </c>
      <c r="D273" s="180" t="str">
        <f t="shared" si="13"/>
        <v/>
      </c>
      <c r="E273" s="179" t="str">
        <f>IF(C273&lt;&gt;"",VLOOKUP(Ranking!C273,Siembra,3,FALSE),"")</f>
        <v/>
      </c>
      <c r="F273" s="323" t="str">
        <f t="shared" si="14"/>
        <v/>
      </c>
    </row>
    <row r="274" spans="1:6" ht="12.75" customHeight="1" x14ac:dyDescent="0.25">
      <c r="A274" s="292">
        <v>271</v>
      </c>
      <c r="C274" s="180" t="str">
        <f>IF(ISTEXT(Sorteo!#REF!),VLOOKUP(A274,Results,3,FALSE),"")</f>
        <v/>
      </c>
      <c r="D274" s="180" t="str">
        <f t="shared" si="13"/>
        <v/>
      </c>
      <c r="E274" s="179" t="str">
        <f>IF(C274&lt;&gt;"",VLOOKUP(Ranking!C274,Siembra,3,FALSE),"")</f>
        <v/>
      </c>
      <c r="F274" s="323" t="str">
        <f t="shared" si="14"/>
        <v/>
      </c>
    </row>
    <row r="275" spans="1:6" ht="12.75" customHeight="1" x14ac:dyDescent="0.25">
      <c r="A275" s="292">
        <v>272</v>
      </c>
      <c r="C275" s="180" t="str">
        <f>IF(ISTEXT(Sorteo!#REF!),VLOOKUP(A275,Results,3,FALSE),"")</f>
        <v/>
      </c>
      <c r="D275" s="180" t="str">
        <f t="shared" si="13"/>
        <v/>
      </c>
      <c r="E275" s="179" t="str">
        <f>IF(C275&lt;&gt;"",VLOOKUP(Ranking!C275,Siembra,3,FALSE),"")</f>
        <v/>
      </c>
      <c r="F275" s="323" t="str">
        <f t="shared" si="14"/>
        <v/>
      </c>
    </row>
    <row r="276" spans="1:6" ht="12.75" customHeight="1" x14ac:dyDescent="0.25">
      <c r="A276" s="292">
        <v>273</v>
      </c>
      <c r="C276" s="180" t="str">
        <f>IF(ISTEXT(Sorteo!#REF!),VLOOKUP(A276,Results,3,FALSE),"")</f>
        <v/>
      </c>
      <c r="D276" s="180" t="str">
        <f t="shared" si="13"/>
        <v/>
      </c>
      <c r="E276" s="179" t="str">
        <f>IF(C276&lt;&gt;"",VLOOKUP(Ranking!C276,Siembra,3,FALSE),"")</f>
        <v/>
      </c>
      <c r="F276" s="323" t="str">
        <f t="shared" si="14"/>
        <v/>
      </c>
    </row>
    <row r="277" spans="1:6" ht="12.75" customHeight="1" x14ac:dyDescent="0.25">
      <c r="A277" s="292">
        <v>274</v>
      </c>
      <c r="C277" s="180" t="str">
        <f>IF(ISTEXT(Sorteo!#REF!),VLOOKUP(A277,Results,3,FALSE),"")</f>
        <v/>
      </c>
      <c r="D277" s="180" t="str">
        <f t="shared" si="13"/>
        <v/>
      </c>
      <c r="E277" s="179" t="str">
        <f>IF(C277&lt;&gt;"",VLOOKUP(Ranking!C277,Siembra,3,FALSE),"")</f>
        <v/>
      </c>
      <c r="F277" s="323" t="str">
        <f t="shared" si="14"/>
        <v/>
      </c>
    </row>
    <row r="278" spans="1:6" ht="12.75" customHeight="1" x14ac:dyDescent="0.25">
      <c r="A278" s="292">
        <v>275</v>
      </c>
      <c r="C278" s="180" t="str">
        <f>IF(ISTEXT(Sorteo!#REF!),VLOOKUP(A278,Results,3,FALSE),"")</f>
        <v/>
      </c>
      <c r="D278" s="180" t="str">
        <f t="shared" si="13"/>
        <v/>
      </c>
      <c r="E278" s="179" t="str">
        <f>IF(C278&lt;&gt;"",VLOOKUP(Ranking!C278,Siembra,3,FALSE),"")</f>
        <v/>
      </c>
      <c r="F278" s="323" t="str">
        <f t="shared" si="14"/>
        <v/>
      </c>
    </row>
    <row r="279" spans="1:6" ht="12.75" customHeight="1" x14ac:dyDescent="0.25">
      <c r="A279" s="292">
        <v>276</v>
      </c>
      <c r="C279" s="180" t="str">
        <f>IF(ISTEXT(Sorteo!#REF!),VLOOKUP(A279,Results,3,FALSE),"")</f>
        <v/>
      </c>
      <c r="D279" s="180" t="str">
        <f t="shared" si="13"/>
        <v/>
      </c>
      <c r="E279" s="179" t="str">
        <f>IF(C279&lt;&gt;"",VLOOKUP(Ranking!C279,Siembra,3,FALSE),"")</f>
        <v/>
      </c>
      <c r="F279" s="323" t="str">
        <f t="shared" si="14"/>
        <v/>
      </c>
    </row>
    <row r="280" spans="1:6" ht="12.75" customHeight="1" x14ac:dyDescent="0.25">
      <c r="A280" s="292">
        <v>277</v>
      </c>
      <c r="C280" s="180" t="str">
        <f>IF(ISTEXT(Sorteo!#REF!),VLOOKUP(A280,Results,3,FALSE),"")</f>
        <v/>
      </c>
      <c r="D280" s="180" t="str">
        <f t="shared" si="13"/>
        <v/>
      </c>
      <c r="E280" s="179" t="str">
        <f>IF(C280&lt;&gt;"",VLOOKUP(Ranking!C280,Siembra,3,FALSE),"")</f>
        <v/>
      </c>
      <c r="F280" s="323" t="str">
        <f t="shared" si="14"/>
        <v/>
      </c>
    </row>
    <row r="281" spans="1:6" ht="12.75" customHeight="1" x14ac:dyDescent="0.25">
      <c r="A281" s="292">
        <v>278</v>
      </c>
      <c r="C281" s="180" t="str">
        <f>IF(ISTEXT(Sorteo!#REF!),VLOOKUP(A281,Results,3,FALSE),"")</f>
        <v/>
      </c>
      <c r="D281" s="180" t="str">
        <f t="shared" si="13"/>
        <v/>
      </c>
      <c r="E281" s="179" t="str">
        <f>IF(C281&lt;&gt;"",VLOOKUP(Ranking!C281,Siembra,3,FALSE),"")</f>
        <v/>
      </c>
      <c r="F281" s="323" t="str">
        <f t="shared" si="14"/>
        <v/>
      </c>
    </row>
    <row r="282" spans="1:6" ht="12.75" customHeight="1" x14ac:dyDescent="0.25">
      <c r="A282" s="292">
        <v>279</v>
      </c>
      <c r="C282" s="180" t="str">
        <f>IF(ISTEXT(Sorteo!#REF!),VLOOKUP(A282,Results,3,FALSE),"")</f>
        <v/>
      </c>
      <c r="D282" s="180" t="str">
        <f t="shared" si="13"/>
        <v/>
      </c>
      <c r="E282" s="179" t="str">
        <f>IF(C282&lt;&gt;"",VLOOKUP(Ranking!C282,Siembra,3,FALSE),"")</f>
        <v/>
      </c>
      <c r="F282" s="323" t="str">
        <f t="shared" si="14"/>
        <v/>
      </c>
    </row>
    <row r="283" spans="1:6" ht="12.75" customHeight="1" x14ac:dyDescent="0.25">
      <c r="A283" s="292">
        <v>280</v>
      </c>
      <c r="C283" s="180" t="str">
        <f>IF(ISTEXT(Sorteo!#REF!),VLOOKUP(A283,Results,3,FALSE),"")</f>
        <v/>
      </c>
      <c r="D283" s="180" t="str">
        <f t="shared" si="13"/>
        <v/>
      </c>
      <c r="E283" s="179" t="str">
        <f>IF(C283&lt;&gt;"",VLOOKUP(Ranking!C283,Siembra,3,FALSE),"")</f>
        <v/>
      </c>
      <c r="F283" s="323" t="str">
        <f t="shared" si="14"/>
        <v/>
      </c>
    </row>
    <row r="284" spans="1:6" ht="12.75" customHeight="1" x14ac:dyDescent="0.25">
      <c r="A284" s="292">
        <v>281</v>
      </c>
      <c r="C284" s="180" t="str">
        <f>IF(ISTEXT(Sorteo!#REF!),VLOOKUP(A284,Results,3,FALSE),"")</f>
        <v/>
      </c>
      <c r="D284" s="180" t="str">
        <f t="shared" si="13"/>
        <v/>
      </c>
      <c r="E284" s="179" t="str">
        <f>IF(C284&lt;&gt;"",VLOOKUP(Ranking!C284,Siembra,3,FALSE),"")</f>
        <v/>
      </c>
      <c r="F284" s="323" t="str">
        <f t="shared" si="14"/>
        <v/>
      </c>
    </row>
    <row r="285" spans="1:6" ht="12.75" customHeight="1" x14ac:dyDescent="0.25">
      <c r="A285" s="292">
        <v>282</v>
      </c>
      <c r="C285" s="180" t="str">
        <f>IF(ISTEXT(Sorteo!#REF!),VLOOKUP(A285,Results,3,FALSE),"")</f>
        <v/>
      </c>
      <c r="D285" s="180" t="str">
        <f t="shared" si="13"/>
        <v/>
      </c>
      <c r="E285" s="179" t="str">
        <f>IF(C285&lt;&gt;"",VLOOKUP(Ranking!C285,Siembra,3,FALSE),"")</f>
        <v/>
      </c>
      <c r="F285" s="323" t="str">
        <f t="shared" si="14"/>
        <v/>
      </c>
    </row>
    <row r="286" spans="1:6" ht="12.75" customHeight="1" x14ac:dyDescent="0.25">
      <c r="A286" s="292">
        <v>283</v>
      </c>
      <c r="C286" s="180" t="str">
        <f>IF(ISTEXT(Sorteo!#REF!),VLOOKUP(A286,Results,3,FALSE),"")</f>
        <v/>
      </c>
      <c r="D286" s="180" t="str">
        <f t="shared" si="13"/>
        <v/>
      </c>
      <c r="E286" s="179" t="str">
        <f>IF(C286&lt;&gt;"",VLOOKUP(Ranking!C286,Siembra,3,FALSE),"")</f>
        <v/>
      </c>
      <c r="F286" s="323" t="str">
        <f t="shared" si="14"/>
        <v/>
      </c>
    </row>
    <row r="287" spans="1:6" ht="12.75" customHeight="1" x14ac:dyDescent="0.25">
      <c r="A287" s="292">
        <v>284</v>
      </c>
      <c r="C287" s="180" t="str">
        <f>IF(ISTEXT(Sorteo!#REF!),VLOOKUP(A287,Results,3,FALSE),"")</f>
        <v/>
      </c>
      <c r="D287" s="180" t="str">
        <f t="shared" si="13"/>
        <v/>
      </c>
      <c r="E287" s="179" t="str">
        <f>IF(C287&lt;&gt;"",VLOOKUP(Ranking!C287,Siembra,3,FALSE),"")</f>
        <v/>
      </c>
      <c r="F287" s="323" t="str">
        <f t="shared" si="14"/>
        <v/>
      </c>
    </row>
    <row r="288" spans="1:6" ht="12.75" customHeight="1" x14ac:dyDescent="0.25">
      <c r="A288" s="292">
        <v>285</v>
      </c>
      <c r="C288" s="180" t="str">
        <f>IF(ISTEXT(Sorteo!#REF!),VLOOKUP(A288,Results,3,FALSE),"")</f>
        <v/>
      </c>
      <c r="D288" s="180" t="str">
        <f t="shared" si="13"/>
        <v/>
      </c>
      <c r="E288" s="179" t="str">
        <f>IF(C288&lt;&gt;"",VLOOKUP(Ranking!C288,Siembra,3,FALSE),"")</f>
        <v/>
      </c>
      <c r="F288" s="323" t="str">
        <f t="shared" si="14"/>
        <v/>
      </c>
    </row>
    <row r="289" spans="1:6" ht="12.75" customHeight="1" x14ac:dyDescent="0.25">
      <c r="A289" s="292">
        <v>286</v>
      </c>
      <c r="C289" s="180" t="str">
        <f>IF(ISTEXT(Sorteo!#REF!),VLOOKUP(A289,Results,3,FALSE),"")</f>
        <v/>
      </c>
      <c r="D289" s="180" t="str">
        <f t="shared" si="13"/>
        <v/>
      </c>
      <c r="E289" s="179" t="str">
        <f>IF(C289&lt;&gt;"",VLOOKUP(Ranking!C289,Siembra,3,FALSE),"")</f>
        <v/>
      </c>
      <c r="F289" s="323" t="str">
        <f t="shared" si="14"/>
        <v/>
      </c>
    </row>
    <row r="290" spans="1:6" ht="12.75" customHeight="1" x14ac:dyDescent="0.25">
      <c r="A290" s="292">
        <v>287</v>
      </c>
      <c r="C290" s="180" t="str">
        <f>IF(ISTEXT(Sorteo!#REF!),VLOOKUP(A290,Results,3,FALSE),"")</f>
        <v/>
      </c>
      <c r="D290" s="180" t="str">
        <f t="shared" si="13"/>
        <v/>
      </c>
      <c r="E290" s="179" t="str">
        <f>IF(C290&lt;&gt;"",VLOOKUP(Ranking!C290,Siembra,3,FALSE),"")</f>
        <v/>
      </c>
      <c r="F290" s="323" t="str">
        <f t="shared" si="14"/>
        <v/>
      </c>
    </row>
    <row r="291" spans="1:6" ht="12.75" customHeight="1" x14ac:dyDescent="0.25">
      <c r="A291" s="292">
        <v>288</v>
      </c>
      <c r="C291" s="180" t="str">
        <f>IF(ISTEXT(Sorteo!#REF!),VLOOKUP(A291,Results,3,FALSE),"")</f>
        <v/>
      </c>
      <c r="D291" s="180" t="str">
        <f t="shared" si="13"/>
        <v/>
      </c>
      <c r="E291" s="179" t="str">
        <f>IF(C291&lt;&gt;"",VLOOKUP(Ranking!C291,Siembra,3,FALSE),"")</f>
        <v/>
      </c>
      <c r="F291" s="323" t="str">
        <f t="shared" si="14"/>
        <v/>
      </c>
    </row>
    <row r="292" spans="1:6" ht="12.75" customHeight="1" x14ac:dyDescent="0.25">
      <c r="A292" s="292">
        <v>289</v>
      </c>
      <c r="C292" s="180" t="str">
        <f>IF(ISTEXT(Sorteo!#REF!),VLOOKUP(A292,Results,3,FALSE),"")</f>
        <v/>
      </c>
      <c r="D292" s="180" t="str">
        <f t="shared" si="13"/>
        <v/>
      </c>
      <c r="E292" s="179" t="str">
        <f>IF(C292&lt;&gt;"",VLOOKUP(Ranking!C292,Siembra,3,FALSE),"")</f>
        <v/>
      </c>
      <c r="F292" s="323" t="str">
        <f t="shared" si="14"/>
        <v/>
      </c>
    </row>
    <row r="293" spans="1:6" ht="12.75" customHeight="1" x14ac:dyDescent="0.25">
      <c r="A293" s="292">
        <v>290</v>
      </c>
      <c r="C293" s="180" t="str">
        <f>IF(ISTEXT(Sorteo!#REF!),VLOOKUP(A293,Results,3,FALSE),"")</f>
        <v/>
      </c>
      <c r="D293" s="180" t="str">
        <f t="shared" si="13"/>
        <v/>
      </c>
      <c r="E293" s="179" t="str">
        <f>IF(C293&lt;&gt;"",VLOOKUP(Ranking!C293,Siembra,3,FALSE),"")</f>
        <v/>
      </c>
      <c r="F293" s="323" t="str">
        <f t="shared" si="14"/>
        <v/>
      </c>
    </row>
    <row r="294" spans="1:6" ht="12.75" customHeight="1" x14ac:dyDescent="0.25">
      <c r="A294" s="292">
        <v>291</v>
      </c>
      <c r="C294" s="180" t="str">
        <f>IF(ISTEXT(Sorteo!#REF!),VLOOKUP(A294,Results,3,FALSE),"")</f>
        <v/>
      </c>
      <c r="D294" s="180" t="str">
        <f t="shared" si="13"/>
        <v/>
      </c>
      <c r="E294" s="179" t="str">
        <f>IF(C294&lt;&gt;"",VLOOKUP(Ranking!C294,Siembra,3,FALSE),"")</f>
        <v/>
      </c>
      <c r="F294" s="323" t="str">
        <f t="shared" si="14"/>
        <v/>
      </c>
    </row>
    <row r="295" spans="1:6" ht="12.75" customHeight="1" x14ac:dyDescent="0.25">
      <c r="A295" s="292">
        <v>292</v>
      </c>
      <c r="C295" s="180" t="str">
        <f>IF(ISTEXT(Sorteo!#REF!),VLOOKUP(A295,Results,3,FALSE),"")</f>
        <v/>
      </c>
      <c r="D295" s="180" t="str">
        <f t="shared" si="13"/>
        <v/>
      </c>
      <c r="E295" s="179" t="str">
        <f>IF(C295&lt;&gt;"",VLOOKUP(Ranking!C295,Siembra,3,FALSE),"")</f>
        <v/>
      </c>
      <c r="F295" s="323" t="str">
        <f t="shared" si="14"/>
        <v/>
      </c>
    </row>
    <row r="296" spans="1:6" ht="12.75" customHeight="1" x14ac:dyDescent="0.25">
      <c r="A296" s="292">
        <v>293</v>
      </c>
      <c r="C296" s="180" t="str">
        <f>IF(ISTEXT(Sorteo!#REF!),VLOOKUP(A296,Results,3,FALSE),"")</f>
        <v/>
      </c>
      <c r="D296" s="180" t="str">
        <f t="shared" si="13"/>
        <v/>
      </c>
      <c r="E296" s="179" t="str">
        <f>IF(C296&lt;&gt;"",VLOOKUP(Ranking!C296,Siembra,3,FALSE),"")</f>
        <v/>
      </c>
      <c r="F296" s="323" t="str">
        <f t="shared" si="14"/>
        <v/>
      </c>
    </row>
    <row r="297" spans="1:6" ht="12.75" customHeight="1" x14ac:dyDescent="0.25">
      <c r="A297" s="292">
        <v>294</v>
      </c>
      <c r="C297" s="180" t="str">
        <f>IF(ISTEXT(Sorteo!#REF!),VLOOKUP(A297,Results,3,FALSE),"")</f>
        <v/>
      </c>
      <c r="D297" s="180" t="str">
        <f t="shared" si="13"/>
        <v/>
      </c>
      <c r="E297" s="179" t="str">
        <f>IF(C297&lt;&gt;"",VLOOKUP(Ranking!C297,Siembra,3,FALSE),"")</f>
        <v/>
      </c>
      <c r="F297" s="323" t="str">
        <f t="shared" si="14"/>
        <v/>
      </c>
    </row>
    <row r="298" spans="1:6" ht="12.75" customHeight="1" x14ac:dyDescent="0.25">
      <c r="A298" s="292">
        <v>295</v>
      </c>
      <c r="C298" s="180" t="str">
        <f>IF(ISTEXT(Sorteo!#REF!),VLOOKUP(A298,Results,3,FALSE),"")</f>
        <v/>
      </c>
      <c r="D298" s="180" t="str">
        <f t="shared" si="13"/>
        <v/>
      </c>
      <c r="E298" s="179" t="str">
        <f>IF(C298&lt;&gt;"",VLOOKUP(Ranking!C298,Siembra,3,FALSE),"")</f>
        <v/>
      </c>
      <c r="F298" s="323" t="str">
        <f t="shared" si="14"/>
        <v/>
      </c>
    </row>
    <row r="299" spans="1:6" ht="12.75" customHeight="1" x14ac:dyDescent="0.25">
      <c r="A299" s="292">
        <v>296</v>
      </c>
      <c r="C299" s="180" t="str">
        <f>IF(ISTEXT(Sorteo!#REF!),VLOOKUP(A299,Results,3,FALSE),"")</f>
        <v/>
      </c>
      <c r="D299" s="180" t="str">
        <f t="shared" si="13"/>
        <v/>
      </c>
      <c r="E299" s="179" t="str">
        <f>IF(C299&lt;&gt;"",VLOOKUP(Ranking!C299,Siembra,3,FALSE),"")</f>
        <v/>
      </c>
      <c r="F299" s="323" t="str">
        <f t="shared" si="14"/>
        <v/>
      </c>
    </row>
    <row r="300" spans="1:6" ht="12.75" customHeight="1" x14ac:dyDescent="0.25">
      <c r="A300" s="292">
        <v>297</v>
      </c>
      <c r="C300" s="180" t="str">
        <f>IF(ISTEXT(Sorteo!#REF!),VLOOKUP(A300,Results,3,FALSE),"")</f>
        <v/>
      </c>
      <c r="D300" s="180" t="str">
        <f t="shared" si="13"/>
        <v/>
      </c>
      <c r="E300" s="179" t="str">
        <f>IF(C300&lt;&gt;"",VLOOKUP(Ranking!C300,Siembra,3,FALSE),"")</f>
        <v/>
      </c>
      <c r="F300" s="323" t="str">
        <f t="shared" si="14"/>
        <v/>
      </c>
    </row>
    <row r="301" spans="1:6" ht="12.75" customHeight="1" x14ac:dyDescent="0.25">
      <c r="A301" s="292">
        <v>298</v>
      </c>
      <c r="C301" s="180" t="str">
        <f>IF(ISTEXT(Sorteo!#REF!),VLOOKUP(A301,Results,3,FALSE),"")</f>
        <v/>
      </c>
      <c r="D301" s="180" t="str">
        <f t="shared" si="13"/>
        <v/>
      </c>
      <c r="E301" s="179" t="str">
        <f>IF(C301&lt;&gt;"",VLOOKUP(Ranking!C301,Siembra,3,FALSE),"")</f>
        <v/>
      </c>
      <c r="F301" s="323" t="str">
        <f t="shared" si="14"/>
        <v/>
      </c>
    </row>
    <row r="302" spans="1:6" ht="12.75" customHeight="1" x14ac:dyDescent="0.25">
      <c r="A302" s="292">
        <v>299</v>
      </c>
      <c r="C302" s="180" t="str">
        <f>IF(ISTEXT(Sorteo!#REF!),VLOOKUP(A302,Results,3,FALSE),"")</f>
        <v/>
      </c>
      <c r="D302" s="180" t="str">
        <f t="shared" si="13"/>
        <v/>
      </c>
      <c r="E302" s="179" t="str">
        <f>IF(C302&lt;&gt;"",VLOOKUP(Ranking!C302,Siembra,3,FALSE),"")</f>
        <v/>
      </c>
      <c r="F302" s="323" t="str">
        <f t="shared" si="14"/>
        <v/>
      </c>
    </row>
    <row r="303" spans="1:6" ht="12.75" customHeight="1" x14ac:dyDescent="0.25">
      <c r="A303" s="292">
        <v>300</v>
      </c>
      <c r="C303" s="180" t="str">
        <f>IF(ISTEXT(Sorteo!#REF!),VLOOKUP(A303,Results,3,FALSE),"")</f>
        <v/>
      </c>
      <c r="D303" s="180" t="str">
        <f t="shared" si="13"/>
        <v/>
      </c>
      <c r="E303" s="179" t="str">
        <f>IF(C303&lt;&gt;"",VLOOKUP(Ranking!C303,Siembra,3,FALSE),"")</f>
        <v/>
      </c>
      <c r="F303" s="323" t="str">
        <f t="shared" si="14"/>
        <v/>
      </c>
    </row>
  </sheetData>
  <sheetProtection algorithmName="SHA-512" hashValue="8hN9or/QE0eHPfqILB42lwsQVsojSeXGxJwLNxKZuovIVFDauSxUz0OGgXiZV92FbY1rt3CoBp1G3xYmTbCCnw==" saltValue="6SSzQUpjkSAXFsIKoxfgIQ==" spinCount="100000" sheet="1" objects="1" scenarios="1"/>
  <protectedRanges>
    <protectedRange algorithmName="SHA-512" hashValue="foF8gH0nS+S1lHAjW1WbvEgX3KUjmiEqoDnecPoiPuDsP+Ot18BzAlxUZVOxQXPyOhHVchcYdqnWkqDJrL6OUA==" saltValue="HCzIQqioGpz5vQB5RV7liw==" spinCount="100000" sqref="C4:C303" name="Range2_1"/>
    <protectedRange algorithmName="SHA-512" hashValue="xKFlDps/UfbBgKUUnRT59NKBT1DrPj3QMPU4ds/b2LzUsbc8zTrwQ14IhRx6M1tgYpGOJzRT8gRzI7YcSu1EMA==" saltValue="fq2eGmfvyJuyEXbKWqD39g==" spinCount="100000" sqref="C4:C303" name="Sorteo"/>
    <protectedRange algorithmName="SHA-512" hashValue="foF8gH0nS+S1lHAjW1WbvEgX3KUjmiEqoDnecPoiPuDsP+Ot18BzAlxUZVOxQXPyOhHVchcYdqnWkqDJrL6OUA==" saltValue="HCzIQqioGpz5vQB5RV7liw==" spinCount="100000" sqref="D4:D303" name="Range2_1_1"/>
    <protectedRange algorithmName="SHA-512" hashValue="xKFlDps/UfbBgKUUnRT59NKBT1DrPj3QMPU4ds/b2LzUsbc8zTrwQ14IhRx6M1tgYpGOJzRT8gRzI7YcSu1EMA==" saltValue="fq2eGmfvyJuyEXbKWqD39g==" spinCount="100000" sqref="D4:D303" name="Sorteo_1"/>
  </protectedRanges>
  <sortState xmlns:xlrd2="http://schemas.microsoft.com/office/spreadsheetml/2017/richdata2" ref="C4:F46">
    <sortCondition ref="C4:C46"/>
  </sortState>
  <customSheetViews>
    <customSheetView guid="{38F6D2D9-C407-4ECC-89E8-8F1090CBE836}" showAutoFilter="1" hiddenColumns="1">
      <selection activeCell="C7" sqref="C7:C23"/>
      <pageMargins left="0" right="0" top="0" bottom="0" header="0" footer="0"/>
      <pageSetup orientation="landscape" r:id="rId1"/>
      <headerFooter>
        <oddHeader>&amp;C&amp;"-,Bold"&amp;18&amp;G
Federación Puertorriqueña de Tenis de Mesa
Ponce Open
Open - Clase A&amp;R23/9/12
1:00 PM</oddHeader>
        <oddFooter>&amp;C&amp;P de &amp;N</oddFooter>
      </headerFooter>
      <autoFilter ref="C6:H63" xr:uid="{5591D9B4-8B9B-4856-8BA7-6FCF545AC286}">
        <filterColumn colId="4" showButton="0"/>
      </autoFilter>
    </customSheetView>
  </customSheetViews>
  <mergeCells count="4">
    <mergeCell ref="C1:F1"/>
    <mergeCell ref="AI111:AK111"/>
    <mergeCell ref="AE118:AG118"/>
    <mergeCell ref="AM129:AO129"/>
  </mergeCells>
  <pageMargins left="0.7" right="0.7" top="2" bottom="0.75" header="0.3" footer="0.3"/>
  <pageSetup fitToHeight="5" orientation="portrait" r:id="rId2"/>
  <headerFooter>
    <oddHeader>&amp;C&amp;"-,Bold"&amp;18&amp;G
Federación Puertorriqueña de Tenis de Mesa</oddHeader>
    <oddFooter>&amp;C&amp;P de &amp;N</oddFooter>
  </headerFooter>
  <ignoredErrors>
    <ignoredError sqref="C73:C131 C4:C72 C132:C303 F132:F303 D4:D303" unlockedFormula="1"/>
  </ignoredErrors>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B1:GN8274"/>
  <sheetViews>
    <sheetView workbookViewId="0"/>
  </sheetViews>
  <sheetFormatPr defaultRowHeight="14.4" x14ac:dyDescent="0.3"/>
  <cols>
    <col min="7" max="9" width="6.88671875" customWidth="1"/>
    <col min="60" max="171" width="9.109375" customWidth="1"/>
  </cols>
  <sheetData>
    <row r="1" spans="2:196" x14ac:dyDescent="0.3">
      <c r="G1" t="s">
        <v>183</v>
      </c>
      <c r="BH1" t="s">
        <v>297</v>
      </c>
    </row>
    <row r="2" spans="2:196" ht="15" thickBot="1" x14ac:dyDescent="0.35">
      <c r="G2" t="s">
        <v>208</v>
      </c>
      <c r="BG2">
        <f>Sorteo!H11</f>
        <v>0</v>
      </c>
      <c r="BH2" s="27">
        <v>1</v>
      </c>
      <c r="BI2" s="27">
        <v>2</v>
      </c>
      <c r="BJ2" s="27">
        <v>3</v>
      </c>
      <c r="BK2" s="27">
        <v>4</v>
      </c>
      <c r="BL2" s="27">
        <v>5</v>
      </c>
      <c r="BM2" s="27">
        <v>6</v>
      </c>
      <c r="BN2" s="27">
        <v>7</v>
      </c>
      <c r="BO2" s="27">
        <v>8</v>
      </c>
      <c r="BP2" s="27">
        <v>9</v>
      </c>
      <c r="BQ2" s="27">
        <v>10</v>
      </c>
      <c r="BR2" s="27">
        <v>11</v>
      </c>
      <c r="BS2" s="27">
        <v>12</v>
      </c>
      <c r="BT2" s="27">
        <v>13</v>
      </c>
      <c r="BU2" s="27">
        <v>14</v>
      </c>
      <c r="BV2" s="27">
        <v>15</v>
      </c>
      <c r="BW2" s="27">
        <v>16</v>
      </c>
      <c r="BX2" s="27">
        <v>17</v>
      </c>
      <c r="BY2" s="27">
        <v>18</v>
      </c>
      <c r="BZ2" s="27">
        <v>19</v>
      </c>
      <c r="CA2" s="27">
        <v>20</v>
      </c>
      <c r="CB2" s="27">
        <v>21</v>
      </c>
      <c r="CC2" s="27">
        <v>22</v>
      </c>
      <c r="CD2" s="27">
        <v>23</v>
      </c>
      <c r="CE2" s="27">
        <v>24</v>
      </c>
      <c r="CF2" s="27">
        <v>25</v>
      </c>
      <c r="CG2" s="27">
        <v>26</v>
      </c>
      <c r="CH2" s="27">
        <v>27</v>
      </c>
      <c r="CI2" s="27">
        <v>28</v>
      </c>
      <c r="CJ2" s="27">
        <v>29</v>
      </c>
      <c r="CK2" s="27">
        <v>30</v>
      </c>
      <c r="CL2" s="27">
        <v>31</v>
      </c>
      <c r="CM2" s="27">
        <v>32</v>
      </c>
      <c r="CN2" s="27">
        <v>33</v>
      </c>
      <c r="CO2" s="27">
        <v>34</v>
      </c>
      <c r="CP2" s="27">
        <v>35</v>
      </c>
      <c r="CQ2" s="27">
        <v>36</v>
      </c>
      <c r="CR2" s="27">
        <v>37</v>
      </c>
      <c r="CS2" s="27">
        <v>38</v>
      </c>
      <c r="CT2" s="27">
        <v>39</v>
      </c>
      <c r="CU2" s="27">
        <v>40</v>
      </c>
      <c r="CV2" s="27">
        <v>41</v>
      </c>
      <c r="CW2" s="27">
        <v>42</v>
      </c>
      <c r="CX2" s="27">
        <v>43</v>
      </c>
      <c r="CY2" s="27">
        <v>44</v>
      </c>
      <c r="CZ2" s="27">
        <v>45</v>
      </c>
      <c r="DA2" s="27">
        <v>46</v>
      </c>
      <c r="DB2" s="27">
        <v>47</v>
      </c>
      <c r="DC2" s="27">
        <v>48</v>
      </c>
      <c r="DD2" s="27">
        <v>49</v>
      </c>
      <c r="DE2" s="27">
        <v>50</v>
      </c>
      <c r="DF2" s="27">
        <v>51</v>
      </c>
      <c r="DG2" s="27">
        <v>52</v>
      </c>
      <c r="DH2" s="27">
        <v>53</v>
      </c>
      <c r="DI2" s="27">
        <v>54</v>
      </c>
      <c r="DJ2" s="27">
        <v>55</v>
      </c>
      <c r="DK2" s="27">
        <v>56</v>
      </c>
      <c r="DL2" s="27">
        <v>57</v>
      </c>
      <c r="DM2" s="27">
        <v>58</v>
      </c>
      <c r="DN2" s="27">
        <v>59</v>
      </c>
      <c r="DO2" s="27">
        <v>60</v>
      </c>
      <c r="DP2" s="27">
        <v>61</v>
      </c>
      <c r="DQ2" s="27">
        <v>62</v>
      </c>
      <c r="DR2" s="27">
        <v>63</v>
      </c>
      <c r="DS2" s="27">
        <v>64</v>
      </c>
      <c r="DT2" s="26"/>
      <c r="GJ2" t="s">
        <v>298</v>
      </c>
      <c r="GK2" s="26" t="s">
        <v>299</v>
      </c>
      <c r="GL2" t="s">
        <v>300</v>
      </c>
    </row>
    <row r="3" spans="2:196" ht="15" thickTop="1" x14ac:dyDescent="0.3">
      <c r="G3" t="s">
        <v>176</v>
      </c>
      <c r="BG3" s="4" t="s">
        <v>301</v>
      </c>
      <c r="BH3">
        <v>1</v>
      </c>
      <c r="BI3" t="str">
        <f>IF(BG2&lt;5,"",IF($BG$2/4=BH2,"",BH3+1))</f>
        <v/>
      </c>
      <c r="BJ3" t="str">
        <f>IF(BG2&lt;9,"",IF($BG$2/4=BI2,"",BI3+1))</f>
        <v/>
      </c>
      <c r="BK3" t="str">
        <f t="shared" ref="BK3:CP3" si="0">IF($BG$2/4&lt;=BJ2,"",BJ3+1)</f>
        <v/>
      </c>
      <c r="BL3" t="str">
        <f t="shared" si="0"/>
        <v/>
      </c>
      <c r="BM3" t="str">
        <f t="shared" si="0"/>
        <v/>
      </c>
      <c r="BN3" t="str">
        <f t="shared" si="0"/>
        <v/>
      </c>
      <c r="BO3" t="str">
        <f t="shared" si="0"/>
        <v/>
      </c>
      <c r="BP3" t="str">
        <f t="shared" si="0"/>
        <v/>
      </c>
      <c r="BQ3" t="str">
        <f t="shared" si="0"/>
        <v/>
      </c>
      <c r="BR3" t="str">
        <f t="shared" si="0"/>
        <v/>
      </c>
      <c r="BS3" t="str">
        <f t="shared" si="0"/>
        <v/>
      </c>
      <c r="BT3" t="str">
        <f t="shared" si="0"/>
        <v/>
      </c>
      <c r="BU3" t="str">
        <f t="shared" si="0"/>
        <v/>
      </c>
      <c r="BV3" t="str">
        <f t="shared" si="0"/>
        <v/>
      </c>
      <c r="BW3" t="str">
        <f t="shared" si="0"/>
        <v/>
      </c>
      <c r="BX3" t="str">
        <f t="shared" si="0"/>
        <v/>
      </c>
      <c r="BY3" t="str">
        <f t="shared" si="0"/>
        <v/>
      </c>
      <c r="BZ3" t="str">
        <f t="shared" si="0"/>
        <v/>
      </c>
      <c r="CA3" t="str">
        <f t="shared" si="0"/>
        <v/>
      </c>
      <c r="CB3" t="str">
        <f t="shared" si="0"/>
        <v/>
      </c>
      <c r="CC3" t="str">
        <f t="shared" si="0"/>
        <v/>
      </c>
      <c r="CD3" t="str">
        <f t="shared" si="0"/>
        <v/>
      </c>
      <c r="CE3" t="str">
        <f t="shared" si="0"/>
        <v/>
      </c>
      <c r="CF3" t="str">
        <f t="shared" si="0"/>
        <v/>
      </c>
      <c r="CG3" t="str">
        <f t="shared" si="0"/>
        <v/>
      </c>
      <c r="CH3" t="str">
        <f t="shared" si="0"/>
        <v/>
      </c>
      <c r="CI3" t="str">
        <f t="shared" si="0"/>
        <v/>
      </c>
      <c r="CJ3" t="str">
        <f t="shared" si="0"/>
        <v/>
      </c>
      <c r="CK3" t="str">
        <f t="shared" si="0"/>
        <v/>
      </c>
      <c r="CL3" t="str">
        <f t="shared" si="0"/>
        <v/>
      </c>
      <c r="CM3" t="str">
        <f t="shared" si="0"/>
        <v/>
      </c>
      <c r="CN3" t="str">
        <f t="shared" si="0"/>
        <v/>
      </c>
      <c r="CO3" t="str">
        <f t="shared" si="0"/>
        <v/>
      </c>
      <c r="CP3" t="str">
        <f t="shared" si="0"/>
        <v/>
      </c>
      <c r="CQ3" t="str">
        <f t="shared" ref="CQ3:DS3" si="1">IF($BG$2/4&lt;=CP2,"",CP3+1)</f>
        <v/>
      </c>
      <c r="CR3" t="str">
        <f t="shared" si="1"/>
        <v/>
      </c>
      <c r="CS3" t="str">
        <f t="shared" si="1"/>
        <v/>
      </c>
      <c r="CT3" t="str">
        <f t="shared" si="1"/>
        <v/>
      </c>
      <c r="CU3" t="str">
        <f t="shared" si="1"/>
        <v/>
      </c>
      <c r="CV3" t="str">
        <f t="shared" si="1"/>
        <v/>
      </c>
      <c r="CW3" t="str">
        <f t="shared" si="1"/>
        <v/>
      </c>
      <c r="CX3" t="str">
        <f t="shared" si="1"/>
        <v/>
      </c>
      <c r="CY3" t="str">
        <f t="shared" si="1"/>
        <v/>
      </c>
      <c r="CZ3" t="str">
        <f t="shared" si="1"/>
        <v/>
      </c>
      <c r="DA3" t="str">
        <f t="shared" si="1"/>
        <v/>
      </c>
      <c r="DB3" t="str">
        <f t="shared" si="1"/>
        <v/>
      </c>
      <c r="DC3" t="str">
        <f t="shared" si="1"/>
        <v/>
      </c>
      <c r="DD3" t="str">
        <f t="shared" si="1"/>
        <v/>
      </c>
      <c r="DE3" t="str">
        <f t="shared" si="1"/>
        <v/>
      </c>
      <c r="DF3" t="str">
        <f t="shared" si="1"/>
        <v/>
      </c>
      <c r="DG3" t="str">
        <f t="shared" si="1"/>
        <v/>
      </c>
      <c r="DH3" t="str">
        <f t="shared" si="1"/>
        <v/>
      </c>
      <c r="DI3" t="str">
        <f t="shared" si="1"/>
        <v/>
      </c>
      <c r="DJ3" t="str">
        <f t="shared" si="1"/>
        <v/>
      </c>
      <c r="DK3" t="str">
        <f t="shared" si="1"/>
        <v/>
      </c>
      <c r="DL3" t="str">
        <f t="shared" si="1"/>
        <v/>
      </c>
      <c r="DM3" t="str">
        <f t="shared" si="1"/>
        <v/>
      </c>
      <c r="DN3" t="str">
        <f t="shared" si="1"/>
        <v/>
      </c>
      <c r="DO3" t="str">
        <f t="shared" si="1"/>
        <v/>
      </c>
      <c r="DP3" t="str">
        <f t="shared" si="1"/>
        <v/>
      </c>
      <c r="DQ3" t="str">
        <f t="shared" si="1"/>
        <v/>
      </c>
      <c r="DR3" t="str">
        <f t="shared" si="1"/>
        <v/>
      </c>
      <c r="DS3" t="str">
        <f t="shared" si="1"/>
        <v/>
      </c>
      <c r="DT3" s="26"/>
      <c r="GJ3">
        <v>1</v>
      </c>
      <c r="GK3">
        <v>1</v>
      </c>
      <c r="GM3" t="str">
        <f>Grupos!O9</f>
        <v/>
      </c>
      <c r="GN3" t="str">
        <f>Grupos!I9</f>
        <v/>
      </c>
    </row>
    <row r="4" spans="2:196" x14ac:dyDescent="0.3">
      <c r="G4" t="s">
        <v>171</v>
      </c>
      <c r="BG4" s="4" t="s">
        <v>302</v>
      </c>
      <c r="BH4">
        <f>IF(BG2=1,"",IF(BG2=2,2,IF(BG2&lt;5,BH3+1,IF(BG2&gt;4,BI4+1,""))))</f>
        <v>2</v>
      </c>
      <c r="BI4" t="str">
        <f t="shared" ref="BI4:CN4" si="2">IF($BG$2/4&lt;=BH2,"",IF(BJ3="",IF($BG$2/4&gt;=BH2,1+BI3,99),IF($BG$2/4&gt;=BI2,1+BJ4,99)))</f>
        <v/>
      </c>
      <c r="BJ4" t="str">
        <f t="shared" si="2"/>
        <v/>
      </c>
      <c r="BK4" t="str">
        <f t="shared" si="2"/>
        <v/>
      </c>
      <c r="BL4" t="str">
        <f t="shared" si="2"/>
        <v/>
      </c>
      <c r="BM4" t="str">
        <f t="shared" si="2"/>
        <v/>
      </c>
      <c r="BN4" t="str">
        <f t="shared" si="2"/>
        <v/>
      </c>
      <c r="BO4" t="str">
        <f t="shared" si="2"/>
        <v/>
      </c>
      <c r="BP4" t="str">
        <f t="shared" si="2"/>
        <v/>
      </c>
      <c r="BQ4" t="str">
        <f t="shared" si="2"/>
        <v/>
      </c>
      <c r="BR4" t="str">
        <f t="shared" si="2"/>
        <v/>
      </c>
      <c r="BS4" t="str">
        <f t="shared" si="2"/>
        <v/>
      </c>
      <c r="BT4" t="str">
        <f t="shared" si="2"/>
        <v/>
      </c>
      <c r="BU4" t="str">
        <f t="shared" si="2"/>
        <v/>
      </c>
      <c r="BV4" t="str">
        <f t="shared" si="2"/>
        <v/>
      </c>
      <c r="BW4" t="str">
        <f t="shared" si="2"/>
        <v/>
      </c>
      <c r="BX4" t="str">
        <f t="shared" si="2"/>
        <v/>
      </c>
      <c r="BY4" t="str">
        <f t="shared" si="2"/>
        <v/>
      </c>
      <c r="BZ4" t="str">
        <f t="shared" si="2"/>
        <v/>
      </c>
      <c r="CA4" t="str">
        <f t="shared" si="2"/>
        <v/>
      </c>
      <c r="CB4" t="str">
        <f t="shared" si="2"/>
        <v/>
      </c>
      <c r="CC4" t="str">
        <f t="shared" si="2"/>
        <v/>
      </c>
      <c r="CD4" t="str">
        <f t="shared" si="2"/>
        <v/>
      </c>
      <c r="CE4" t="str">
        <f t="shared" si="2"/>
        <v/>
      </c>
      <c r="CF4" t="str">
        <f t="shared" si="2"/>
        <v/>
      </c>
      <c r="CG4" t="str">
        <f t="shared" si="2"/>
        <v/>
      </c>
      <c r="CH4" t="str">
        <f t="shared" si="2"/>
        <v/>
      </c>
      <c r="CI4" t="str">
        <f t="shared" si="2"/>
        <v/>
      </c>
      <c r="CJ4" t="str">
        <f t="shared" si="2"/>
        <v/>
      </c>
      <c r="CK4" t="str">
        <f t="shared" si="2"/>
        <v/>
      </c>
      <c r="CL4" t="str">
        <f t="shared" si="2"/>
        <v/>
      </c>
      <c r="CM4" t="str">
        <f t="shared" si="2"/>
        <v/>
      </c>
      <c r="CN4" t="str">
        <f t="shared" si="2"/>
        <v/>
      </c>
      <c r="CO4" t="str">
        <f t="shared" ref="CO4:DR4" si="3">IF($BG$2/4&lt;=CN2,"",IF(CP3="",IF($BG$2/4&gt;=CN2,1+CO3,99),IF($BG$2/4&gt;=CO2,1+CP4,99)))</f>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IF(DS3="","",IF($BG$2/4&gt;=DR2,DS3+1,99))</f>
        <v/>
      </c>
      <c r="DT4" s="26"/>
      <c r="GK4">
        <f>IF(Grps=GJ3,2,Grps+GJ3)</f>
        <v>1</v>
      </c>
      <c r="GM4" t="str">
        <f>Grupos!O10</f>
        <v/>
      </c>
      <c r="GN4" t="str">
        <f>Grupos!I10</f>
        <v/>
      </c>
    </row>
    <row r="5" spans="2:196" x14ac:dyDescent="0.3">
      <c r="G5" t="s">
        <v>96</v>
      </c>
      <c r="BG5" s="4" t="s">
        <v>303</v>
      </c>
      <c r="BH5" t="str">
        <f>IF(BG2&lt;3,"",IF(BG2&lt;5,BH4+1,IF(BG2=5,BH4+1,IF(BG2&lt;9,5,BH4+1))))</f>
        <v/>
      </c>
      <c r="BI5" t="str">
        <f>IF(BG2&gt;5,BH5+1,"")</f>
        <v/>
      </c>
      <c r="BJ5" t="str">
        <f>IF(BG2&gt;8,BI5+1,"")</f>
        <v/>
      </c>
      <c r="BK5" t="str">
        <f>IF(BG2&gt;12,BJ5+1,"")</f>
        <v/>
      </c>
      <c r="BL5" t="str">
        <f t="shared" ref="BL5:CQ5" si="4">IF(BL2&lt;=ROUNDUP($BG$2/4,0),BK5+1,"")</f>
        <v/>
      </c>
      <c r="BM5" t="str">
        <f t="shared" si="4"/>
        <v/>
      </c>
      <c r="BN5" t="str">
        <f t="shared" si="4"/>
        <v/>
      </c>
      <c r="BO5" t="str">
        <f t="shared" si="4"/>
        <v/>
      </c>
      <c r="BP5" t="str">
        <f t="shared" si="4"/>
        <v/>
      </c>
      <c r="BQ5" t="str">
        <f t="shared" si="4"/>
        <v/>
      </c>
      <c r="BR5" t="str">
        <f t="shared" si="4"/>
        <v/>
      </c>
      <c r="BS5" t="str">
        <f t="shared" si="4"/>
        <v/>
      </c>
      <c r="BT5" t="str">
        <f t="shared" si="4"/>
        <v/>
      </c>
      <c r="BU5" t="str">
        <f t="shared" si="4"/>
        <v/>
      </c>
      <c r="BV5" t="str">
        <f t="shared" si="4"/>
        <v/>
      </c>
      <c r="BW5" t="str">
        <f t="shared" si="4"/>
        <v/>
      </c>
      <c r="BX5" t="str">
        <f t="shared" si="4"/>
        <v/>
      </c>
      <c r="BY5" t="str">
        <f t="shared" si="4"/>
        <v/>
      </c>
      <c r="BZ5" t="str">
        <f t="shared" si="4"/>
        <v/>
      </c>
      <c r="CA5" t="str">
        <f t="shared" si="4"/>
        <v/>
      </c>
      <c r="CB5" t="str">
        <f t="shared" si="4"/>
        <v/>
      </c>
      <c r="CC5" t="str">
        <f t="shared" si="4"/>
        <v/>
      </c>
      <c r="CD5" t="str">
        <f t="shared" si="4"/>
        <v/>
      </c>
      <c r="CE5" t="str">
        <f t="shared" si="4"/>
        <v/>
      </c>
      <c r="CF5" t="str">
        <f t="shared" si="4"/>
        <v/>
      </c>
      <c r="CG5" t="str">
        <f t="shared" si="4"/>
        <v/>
      </c>
      <c r="CH5" t="str">
        <f t="shared" si="4"/>
        <v/>
      </c>
      <c r="CI5" t="str">
        <f t="shared" si="4"/>
        <v/>
      </c>
      <c r="CJ5" t="str">
        <f t="shared" si="4"/>
        <v/>
      </c>
      <c r="CK5" t="str">
        <f t="shared" si="4"/>
        <v/>
      </c>
      <c r="CL5" t="str">
        <f t="shared" si="4"/>
        <v/>
      </c>
      <c r="CM5" t="str">
        <f t="shared" si="4"/>
        <v/>
      </c>
      <c r="CN5" t="str">
        <f t="shared" si="4"/>
        <v/>
      </c>
      <c r="CO5" t="str">
        <f t="shared" si="4"/>
        <v/>
      </c>
      <c r="CP5" t="str">
        <f t="shared" si="4"/>
        <v/>
      </c>
      <c r="CQ5" t="str">
        <f t="shared" si="4"/>
        <v/>
      </c>
      <c r="CR5" t="str">
        <f t="shared" ref="CR5:DS5" si="5">IF(CR2&lt;=ROUNDUP($BG$2/4,0),CQ5+1,"")</f>
        <v/>
      </c>
      <c r="CS5" t="str">
        <f t="shared" si="5"/>
        <v/>
      </c>
      <c r="CT5" t="str">
        <f t="shared" si="5"/>
        <v/>
      </c>
      <c r="CU5" t="str">
        <f t="shared" si="5"/>
        <v/>
      </c>
      <c r="CV5" t="str">
        <f t="shared" si="5"/>
        <v/>
      </c>
      <c r="CW5" t="str">
        <f t="shared" si="5"/>
        <v/>
      </c>
      <c r="CX5" t="str">
        <f t="shared" si="5"/>
        <v/>
      </c>
      <c r="CY5" t="str">
        <f t="shared" si="5"/>
        <v/>
      </c>
      <c r="CZ5" t="str">
        <f t="shared" si="5"/>
        <v/>
      </c>
      <c r="DA5" t="str">
        <f t="shared" si="5"/>
        <v/>
      </c>
      <c r="DB5" t="str">
        <f t="shared" si="5"/>
        <v/>
      </c>
      <c r="DC5" t="str">
        <f t="shared" si="5"/>
        <v/>
      </c>
      <c r="DD5" t="str">
        <f t="shared" si="5"/>
        <v/>
      </c>
      <c r="DE5" t="str">
        <f t="shared" si="5"/>
        <v/>
      </c>
      <c r="DF5" t="str">
        <f t="shared" si="5"/>
        <v/>
      </c>
      <c r="DG5" t="str">
        <f t="shared" si="5"/>
        <v/>
      </c>
      <c r="DH5" t="str">
        <f t="shared" si="5"/>
        <v/>
      </c>
      <c r="DI5" t="str">
        <f t="shared" si="5"/>
        <v/>
      </c>
      <c r="DJ5" t="str">
        <f t="shared" si="5"/>
        <v/>
      </c>
      <c r="DK5" t="str">
        <f t="shared" si="5"/>
        <v/>
      </c>
      <c r="DL5" t="str">
        <f t="shared" si="5"/>
        <v/>
      </c>
      <c r="DM5" t="str">
        <f t="shared" si="5"/>
        <v/>
      </c>
      <c r="DN5" t="str">
        <f t="shared" si="5"/>
        <v/>
      </c>
      <c r="DO5" t="str">
        <f t="shared" si="5"/>
        <v/>
      </c>
      <c r="DP5" t="str">
        <f t="shared" si="5"/>
        <v/>
      </c>
      <c r="DQ5" t="str">
        <f t="shared" si="5"/>
        <v/>
      </c>
      <c r="DR5" t="str">
        <f t="shared" si="5"/>
        <v/>
      </c>
      <c r="DS5" t="str">
        <f t="shared" si="5"/>
        <v/>
      </c>
      <c r="DT5" s="26"/>
      <c r="GK5">
        <f>IF(Grps=1,3,Grps*2+GJ3)</f>
        <v>1</v>
      </c>
      <c r="GM5" t="str">
        <f>Grupos!O11</f>
        <v/>
      </c>
      <c r="GN5" t="str">
        <f>Grupos!I11</f>
        <v/>
      </c>
    </row>
    <row r="6" spans="2:196" x14ac:dyDescent="0.3">
      <c r="G6" t="s">
        <v>304</v>
      </c>
      <c r="BG6" s="4" t="s">
        <v>305</v>
      </c>
      <c r="BH6" t="str">
        <f>IF(BG2&lt;4,"",IF(BG2=8,8,IF(BG2=4,4,IF(BI6=BG2,"",IF(BI6="","",BI6+1)))))</f>
        <v/>
      </c>
      <c r="BI6" t="str">
        <f>IF(OR(BG2=7,BG2=8),BI5+1,IF(BJ6=BG2,"",IF(BJ6="","",BJ6+1)))</f>
        <v/>
      </c>
      <c r="BJ6" t="str">
        <f>IF(BG2=BJ5,"",IF(BG2=BK6,"",IF($BG$2/4&lt;=BI2,"",IF(BK5="",IF($BG$2/4&gt;=BI2,1+BJ5,99),IF($BG$2/4&gt;=BJ2,1+BK6,99)))))</f>
        <v/>
      </c>
      <c r="BK6" t="str">
        <f t="shared" ref="BK6:CP6" si="6">IF($BG$2/4&lt;=BJ2,"",IF(BL5="",IF($BG$2/4&gt;=BJ2,1+BK5,99),IF($BG$2/4&gt;=BK2,1+BL6,99)))</f>
        <v/>
      </c>
      <c r="BL6" t="str">
        <f t="shared" si="6"/>
        <v/>
      </c>
      <c r="BM6" t="str">
        <f t="shared" si="6"/>
        <v/>
      </c>
      <c r="BN6" t="str">
        <f t="shared" si="6"/>
        <v/>
      </c>
      <c r="BO6" t="str">
        <f t="shared" si="6"/>
        <v/>
      </c>
      <c r="BP6" t="str">
        <f t="shared" si="6"/>
        <v/>
      </c>
      <c r="BQ6" t="str">
        <f t="shared" si="6"/>
        <v/>
      </c>
      <c r="BR6" t="str">
        <f t="shared" si="6"/>
        <v/>
      </c>
      <c r="BS6" t="str">
        <f t="shared" si="6"/>
        <v/>
      </c>
      <c r="BT6" t="str">
        <f t="shared" si="6"/>
        <v/>
      </c>
      <c r="BU6" t="str">
        <f t="shared" si="6"/>
        <v/>
      </c>
      <c r="BV6" t="str">
        <f t="shared" si="6"/>
        <v/>
      </c>
      <c r="BW6" t="str">
        <f t="shared" si="6"/>
        <v/>
      </c>
      <c r="BX6" t="str">
        <f t="shared" si="6"/>
        <v/>
      </c>
      <c r="BY6" t="str">
        <f t="shared" si="6"/>
        <v/>
      </c>
      <c r="BZ6" t="str">
        <f t="shared" si="6"/>
        <v/>
      </c>
      <c r="CA6" t="str">
        <f t="shared" si="6"/>
        <v/>
      </c>
      <c r="CB6" t="str">
        <f t="shared" si="6"/>
        <v/>
      </c>
      <c r="CC6" t="str">
        <f t="shared" si="6"/>
        <v/>
      </c>
      <c r="CD6" t="str">
        <f t="shared" si="6"/>
        <v/>
      </c>
      <c r="CE6" t="str">
        <f t="shared" si="6"/>
        <v/>
      </c>
      <c r="CF6" t="str">
        <f t="shared" si="6"/>
        <v/>
      </c>
      <c r="CG6" t="str">
        <f t="shared" si="6"/>
        <v/>
      </c>
      <c r="CH6" t="str">
        <f t="shared" si="6"/>
        <v/>
      </c>
      <c r="CI6" t="str">
        <f t="shared" si="6"/>
        <v/>
      </c>
      <c r="CJ6" t="str">
        <f t="shared" si="6"/>
        <v/>
      </c>
      <c r="CK6" t="str">
        <f t="shared" si="6"/>
        <v/>
      </c>
      <c r="CL6" t="str">
        <f t="shared" si="6"/>
        <v/>
      </c>
      <c r="CM6" t="str">
        <f t="shared" si="6"/>
        <v/>
      </c>
      <c r="CN6" t="str">
        <f t="shared" si="6"/>
        <v/>
      </c>
      <c r="CO6" t="str">
        <f t="shared" si="6"/>
        <v/>
      </c>
      <c r="CP6" t="str">
        <f t="shared" si="6"/>
        <v/>
      </c>
      <c r="CQ6" t="str">
        <f t="shared" ref="CQ6:DR6" si="7">IF($BG$2/4&lt;=CP2,"",IF(CR5="",IF($BG$2/4&gt;=CP2,1+CQ5,99),IF($BG$2/4&gt;=CQ2,1+CR6,99)))</f>
        <v/>
      </c>
      <c r="CR6" t="str">
        <f t="shared" si="7"/>
        <v/>
      </c>
      <c r="CS6" t="str">
        <f t="shared" si="7"/>
        <v/>
      </c>
      <c r="CT6" t="str">
        <f t="shared" si="7"/>
        <v/>
      </c>
      <c r="CU6" t="str">
        <f t="shared" si="7"/>
        <v/>
      </c>
      <c r="CV6" t="str">
        <f t="shared" si="7"/>
        <v/>
      </c>
      <c r="CW6" t="str">
        <f t="shared" si="7"/>
        <v/>
      </c>
      <c r="CX6" t="str">
        <f t="shared" si="7"/>
        <v/>
      </c>
      <c r="CY6" t="str">
        <f t="shared" si="7"/>
        <v/>
      </c>
      <c r="CZ6" t="str">
        <f t="shared" si="7"/>
        <v/>
      </c>
      <c r="DA6" t="str">
        <f t="shared" si="7"/>
        <v/>
      </c>
      <c r="DB6" t="str">
        <f t="shared" si="7"/>
        <v/>
      </c>
      <c r="DC6" t="str">
        <f t="shared" si="7"/>
        <v/>
      </c>
      <c r="DD6" t="str">
        <f t="shared" si="7"/>
        <v/>
      </c>
      <c r="DE6" t="str">
        <f t="shared" si="7"/>
        <v/>
      </c>
      <c r="DF6" t="str">
        <f t="shared" si="7"/>
        <v/>
      </c>
      <c r="DG6" t="str">
        <f t="shared" si="7"/>
        <v/>
      </c>
      <c r="DH6" t="str">
        <f t="shared" si="7"/>
        <v/>
      </c>
      <c r="DI6" t="str">
        <f t="shared" si="7"/>
        <v/>
      </c>
      <c r="DJ6" t="str">
        <f t="shared" si="7"/>
        <v/>
      </c>
      <c r="DK6" t="str">
        <f t="shared" si="7"/>
        <v/>
      </c>
      <c r="DL6" t="str">
        <f t="shared" si="7"/>
        <v/>
      </c>
      <c r="DM6" t="str">
        <f t="shared" si="7"/>
        <v/>
      </c>
      <c r="DN6" t="str">
        <f t="shared" si="7"/>
        <v/>
      </c>
      <c r="DO6" t="str">
        <f t="shared" si="7"/>
        <v/>
      </c>
      <c r="DP6" t="str">
        <f t="shared" si="7"/>
        <v/>
      </c>
      <c r="DQ6" t="str">
        <f t="shared" si="7"/>
        <v/>
      </c>
      <c r="DR6" t="str">
        <f t="shared" si="7"/>
        <v/>
      </c>
      <c r="DS6" t="str">
        <f>IF(DS5="","",IF($BG$2/4&gt;=DR2,DS5+1,99))</f>
        <v/>
      </c>
      <c r="GK6">
        <f>IF(Grps=3,"",IF(Grps=1,4,Grps*3+GJ3))</f>
        <v>1</v>
      </c>
      <c r="GM6" t="str">
        <f>Grupos!O12</f>
        <v/>
      </c>
      <c r="GN6" t="str">
        <f>Grupos!I12</f>
        <v/>
      </c>
    </row>
    <row r="7" spans="2:196" x14ac:dyDescent="0.3">
      <c r="G7" t="s">
        <v>97</v>
      </c>
      <c r="BG7" s="4"/>
      <c r="GJ7">
        <f>GJ3+1</f>
        <v>2</v>
      </c>
      <c r="GK7" t="str">
        <f>IF(Grps&gt;GJ3,GJ7,"")</f>
        <v/>
      </c>
    </row>
    <row r="8" spans="2:196" x14ac:dyDescent="0.3">
      <c r="B8" t="s">
        <v>306</v>
      </c>
      <c r="BG8" s="4"/>
      <c r="GK8" t="str">
        <f>IF(Grps&gt;GJ3,GK4+1,"")</f>
        <v/>
      </c>
    </row>
    <row r="9" spans="2:196" x14ac:dyDescent="0.3">
      <c r="BH9" t="s">
        <v>297</v>
      </c>
      <c r="GK9">
        <f>IF(Grps=1,3,Grps*2+GJ7)</f>
        <v>2</v>
      </c>
    </row>
    <row r="10" spans="2:196" ht="15" customHeight="1" thickBot="1" x14ac:dyDescent="0.35">
      <c r="B10" s="333" t="s">
        <v>307</v>
      </c>
      <c r="C10" s="333"/>
      <c r="D10" s="333"/>
      <c r="E10" s="333"/>
      <c r="F10" s="10"/>
      <c r="G10" s="10"/>
      <c r="H10" s="10"/>
      <c r="I10" s="10"/>
      <c r="J10" s="10"/>
      <c r="K10" s="10"/>
      <c r="L10" s="10"/>
      <c r="M10" s="10"/>
      <c r="N10" s="10"/>
      <c r="O10" s="10"/>
      <c r="P10" s="10"/>
      <c r="Q10" s="10"/>
      <c r="R10" s="10"/>
      <c r="S10" s="10"/>
      <c r="T10" s="10"/>
      <c r="U10" s="10"/>
      <c r="V10" s="10"/>
      <c r="W10" s="10"/>
      <c r="X10" s="10"/>
      <c r="Y10" s="10"/>
      <c r="Z10" s="10"/>
      <c r="BH10" s="27">
        <v>1</v>
      </c>
      <c r="BI10" s="27">
        <v>2</v>
      </c>
      <c r="BJ10" s="27">
        <v>3</v>
      </c>
      <c r="BK10" s="27">
        <v>4</v>
      </c>
      <c r="BL10" s="27">
        <v>5</v>
      </c>
      <c r="BM10" s="27">
        <v>6</v>
      </c>
      <c r="BN10" s="27">
        <v>7</v>
      </c>
      <c r="BO10" s="27">
        <v>8</v>
      </c>
      <c r="BP10" s="27">
        <v>9</v>
      </c>
      <c r="BQ10" s="27">
        <v>10</v>
      </c>
      <c r="BR10" s="27">
        <v>11</v>
      </c>
      <c r="BS10" s="27">
        <v>12</v>
      </c>
      <c r="BT10" s="27">
        <v>13</v>
      </c>
      <c r="BU10" s="27">
        <v>14</v>
      </c>
      <c r="BV10" s="27">
        <v>15</v>
      </c>
      <c r="BW10" s="27">
        <v>16</v>
      </c>
      <c r="BX10" s="27">
        <v>17</v>
      </c>
      <c r="BY10" s="27">
        <v>18</v>
      </c>
      <c r="BZ10" s="27">
        <v>19</v>
      </c>
      <c r="CA10" s="27">
        <v>20</v>
      </c>
      <c r="CB10" s="27">
        <v>21</v>
      </c>
      <c r="CC10" s="27">
        <v>22</v>
      </c>
      <c r="CD10" s="27">
        <v>23</v>
      </c>
      <c r="CE10" s="27">
        <v>24</v>
      </c>
      <c r="CF10" s="27">
        <v>25</v>
      </c>
      <c r="CG10" s="27">
        <v>26</v>
      </c>
      <c r="CH10" s="27">
        <v>27</v>
      </c>
      <c r="CI10" s="27">
        <v>28</v>
      </c>
      <c r="CJ10" s="27">
        <v>29</v>
      </c>
      <c r="CK10" s="27">
        <v>30</v>
      </c>
      <c r="CL10" s="27">
        <v>31</v>
      </c>
      <c r="CM10" s="27">
        <v>32</v>
      </c>
      <c r="CN10" s="27">
        <v>33</v>
      </c>
      <c r="CO10" s="27">
        <v>34</v>
      </c>
      <c r="CP10" s="27">
        <v>35</v>
      </c>
      <c r="CQ10" s="27">
        <v>36</v>
      </c>
      <c r="CR10" s="27">
        <v>37</v>
      </c>
      <c r="CS10" s="27">
        <v>38</v>
      </c>
      <c r="CT10" s="27">
        <v>39</v>
      </c>
      <c r="CU10" s="27">
        <v>40</v>
      </c>
      <c r="CV10" s="27">
        <v>41</v>
      </c>
      <c r="CW10" s="27">
        <v>42</v>
      </c>
      <c r="CX10" s="27">
        <v>43</v>
      </c>
      <c r="CY10" s="27">
        <v>44</v>
      </c>
      <c r="CZ10" s="27">
        <v>45</v>
      </c>
      <c r="DA10" s="27">
        <v>46</v>
      </c>
      <c r="DB10" s="27">
        <v>47</v>
      </c>
      <c r="DC10" s="27">
        <v>48</v>
      </c>
      <c r="DD10" s="27">
        <v>49</v>
      </c>
      <c r="DE10" s="27">
        <v>50</v>
      </c>
      <c r="DF10" s="27">
        <v>51</v>
      </c>
      <c r="DG10" s="27">
        <v>52</v>
      </c>
      <c r="DH10" s="27">
        <v>53</v>
      </c>
      <c r="DI10" s="27">
        <v>54</v>
      </c>
      <c r="DJ10" s="27">
        <v>55</v>
      </c>
      <c r="DK10" s="27">
        <v>56</v>
      </c>
      <c r="DL10" s="27">
        <v>57</v>
      </c>
      <c r="DM10" s="27">
        <v>58</v>
      </c>
      <c r="DN10" s="27">
        <v>59</v>
      </c>
      <c r="DO10" s="27">
        <v>60</v>
      </c>
      <c r="DP10" s="27">
        <v>61</v>
      </c>
      <c r="DQ10" s="27">
        <v>62</v>
      </c>
      <c r="DR10" s="27">
        <v>63</v>
      </c>
      <c r="DS10" s="27">
        <v>64</v>
      </c>
      <c r="DT10" s="27">
        <v>65</v>
      </c>
      <c r="DU10" s="27">
        <v>66</v>
      </c>
      <c r="DV10" s="27">
        <v>67</v>
      </c>
      <c r="DW10" s="27">
        <v>68</v>
      </c>
      <c r="DX10" s="27">
        <v>69</v>
      </c>
      <c r="DY10" s="27">
        <v>70</v>
      </c>
      <c r="DZ10" s="27">
        <v>71</v>
      </c>
      <c r="EA10" s="27">
        <v>72</v>
      </c>
      <c r="EB10" s="27">
        <v>73</v>
      </c>
      <c r="EC10" s="27">
        <v>74</v>
      </c>
      <c r="ED10" s="27">
        <v>75</v>
      </c>
      <c r="EE10" s="27">
        <v>76</v>
      </c>
      <c r="EF10" s="27">
        <v>77</v>
      </c>
      <c r="EG10" s="27">
        <v>78</v>
      </c>
      <c r="EH10" s="27">
        <v>79</v>
      </c>
      <c r="EI10" s="27">
        <v>80</v>
      </c>
      <c r="EJ10" s="27">
        <v>81</v>
      </c>
      <c r="EK10" s="27">
        <v>82</v>
      </c>
      <c r="EL10" s="27">
        <v>83</v>
      </c>
      <c r="EM10" s="27">
        <v>84</v>
      </c>
      <c r="EN10" s="27">
        <v>85</v>
      </c>
      <c r="EO10" s="27">
        <v>86</v>
      </c>
      <c r="GK10">
        <f>IF(Grps=1,4,Grps*3+GJ7)</f>
        <v>2</v>
      </c>
    </row>
    <row r="11" spans="2:196" ht="15" thickTop="1" x14ac:dyDescent="0.3">
      <c r="B11" s="333"/>
      <c r="C11" s="333"/>
      <c r="D11" s="333"/>
      <c r="E11" s="333"/>
      <c r="F11" s="10"/>
      <c r="G11" s="10"/>
      <c r="H11" s="10"/>
      <c r="I11" s="10"/>
      <c r="J11" s="10"/>
      <c r="K11" s="10"/>
      <c r="L11" s="10"/>
      <c r="M11" s="10"/>
      <c r="N11" s="10"/>
      <c r="O11" s="10"/>
      <c r="P11" s="10"/>
      <c r="Q11" s="10"/>
      <c r="R11" s="10"/>
      <c r="S11" s="10"/>
      <c r="T11" s="10"/>
      <c r="U11" s="10"/>
      <c r="V11" s="10"/>
      <c r="W11" s="10"/>
      <c r="X11" s="10"/>
      <c r="Y11" s="10"/>
      <c r="Z11" s="10"/>
      <c r="BG11" s="4" t="s">
        <v>301</v>
      </c>
      <c r="BH11" t="str">
        <f>IF(Tot_Jug&gt;1,1,"")</f>
        <v/>
      </c>
      <c r="BI11" t="str">
        <f>IF(Tot_Jug&gt;3,BH11+1,IF(Tot_Jug/3&lt;=BH10,"",IF(Tot_Jug&gt;BH10,BH11+1,"")))</f>
        <v/>
      </c>
      <c r="BJ11" t="str">
        <f t="shared" ref="BJ11:CO11" si="8">IF(Tot_Jug&gt;BI10*3,BI11+1,"")</f>
        <v/>
      </c>
      <c r="BK11" t="str">
        <f t="shared" si="8"/>
        <v/>
      </c>
      <c r="BL11" t="str">
        <f t="shared" si="8"/>
        <v/>
      </c>
      <c r="BM11" t="str">
        <f t="shared" si="8"/>
        <v/>
      </c>
      <c r="BN11" t="str">
        <f t="shared" si="8"/>
        <v/>
      </c>
      <c r="BO11" t="str">
        <f t="shared" si="8"/>
        <v/>
      </c>
      <c r="BP11" t="str">
        <f t="shared" si="8"/>
        <v/>
      </c>
      <c r="BQ11" t="str">
        <f t="shared" si="8"/>
        <v/>
      </c>
      <c r="BR11" t="str">
        <f t="shared" si="8"/>
        <v/>
      </c>
      <c r="BS11" t="str">
        <f t="shared" si="8"/>
        <v/>
      </c>
      <c r="BT11" t="str">
        <f t="shared" si="8"/>
        <v/>
      </c>
      <c r="BU11" t="str">
        <f t="shared" si="8"/>
        <v/>
      </c>
      <c r="BV11" t="str">
        <f t="shared" si="8"/>
        <v/>
      </c>
      <c r="BW11" t="str">
        <f t="shared" si="8"/>
        <v/>
      </c>
      <c r="BX11" t="str">
        <f t="shared" si="8"/>
        <v/>
      </c>
      <c r="BY11" t="str">
        <f t="shared" si="8"/>
        <v/>
      </c>
      <c r="BZ11" t="str">
        <f t="shared" si="8"/>
        <v/>
      </c>
      <c r="CA11" t="str">
        <f t="shared" si="8"/>
        <v/>
      </c>
      <c r="CB11" t="str">
        <f t="shared" si="8"/>
        <v/>
      </c>
      <c r="CC11" t="str">
        <f t="shared" si="8"/>
        <v/>
      </c>
      <c r="CD11" t="str">
        <f t="shared" si="8"/>
        <v/>
      </c>
      <c r="CE11" t="str">
        <f t="shared" si="8"/>
        <v/>
      </c>
      <c r="CF11" t="str">
        <f t="shared" si="8"/>
        <v/>
      </c>
      <c r="CG11" t="str">
        <f t="shared" si="8"/>
        <v/>
      </c>
      <c r="CH11" t="str">
        <f t="shared" si="8"/>
        <v/>
      </c>
      <c r="CI11" t="str">
        <f t="shared" si="8"/>
        <v/>
      </c>
      <c r="CJ11" t="str">
        <f t="shared" si="8"/>
        <v/>
      </c>
      <c r="CK11" t="str">
        <f t="shared" si="8"/>
        <v/>
      </c>
      <c r="CL11" t="str">
        <f t="shared" si="8"/>
        <v/>
      </c>
      <c r="CM11" t="str">
        <f t="shared" si="8"/>
        <v/>
      </c>
      <c r="CN11" t="str">
        <f t="shared" si="8"/>
        <v/>
      </c>
      <c r="CO11" t="str">
        <f t="shared" si="8"/>
        <v/>
      </c>
      <c r="CP11" t="str">
        <f t="shared" ref="CP11:DU11" si="9">IF(Tot_Jug&gt;CO10*3,CO11+1,"")</f>
        <v/>
      </c>
      <c r="CQ11" t="str">
        <f t="shared" si="9"/>
        <v/>
      </c>
      <c r="CR11" t="str">
        <f t="shared" si="9"/>
        <v/>
      </c>
      <c r="CS11" t="str">
        <f t="shared" si="9"/>
        <v/>
      </c>
      <c r="CT11" t="str">
        <f t="shared" si="9"/>
        <v/>
      </c>
      <c r="CU11" t="str">
        <f t="shared" si="9"/>
        <v/>
      </c>
      <c r="CV11" t="str">
        <f t="shared" si="9"/>
        <v/>
      </c>
      <c r="CW11" t="str">
        <f t="shared" si="9"/>
        <v/>
      </c>
      <c r="CX11" t="str">
        <f t="shared" si="9"/>
        <v/>
      </c>
      <c r="CY11" t="str">
        <f t="shared" si="9"/>
        <v/>
      </c>
      <c r="CZ11" t="str">
        <f t="shared" si="9"/>
        <v/>
      </c>
      <c r="DA11" t="str">
        <f t="shared" si="9"/>
        <v/>
      </c>
      <c r="DB11" t="str">
        <f t="shared" si="9"/>
        <v/>
      </c>
      <c r="DC11" t="str">
        <f t="shared" si="9"/>
        <v/>
      </c>
      <c r="DD11" t="str">
        <f t="shared" si="9"/>
        <v/>
      </c>
      <c r="DE11" t="str">
        <f t="shared" si="9"/>
        <v/>
      </c>
      <c r="DF11" t="str">
        <f t="shared" si="9"/>
        <v/>
      </c>
      <c r="DG11" t="str">
        <f t="shared" si="9"/>
        <v/>
      </c>
      <c r="DH11" t="str">
        <f t="shared" si="9"/>
        <v/>
      </c>
      <c r="DI11" t="str">
        <f t="shared" si="9"/>
        <v/>
      </c>
      <c r="DJ11" t="str">
        <f t="shared" si="9"/>
        <v/>
      </c>
      <c r="DK11" t="str">
        <f t="shared" si="9"/>
        <v/>
      </c>
      <c r="DL11" t="str">
        <f t="shared" si="9"/>
        <v/>
      </c>
      <c r="DM11" t="str">
        <f t="shared" si="9"/>
        <v/>
      </c>
      <c r="DN11" t="str">
        <f t="shared" si="9"/>
        <v/>
      </c>
      <c r="DO11" t="str">
        <f t="shared" si="9"/>
        <v/>
      </c>
      <c r="DP11" t="str">
        <f t="shared" si="9"/>
        <v/>
      </c>
      <c r="DQ11" t="str">
        <f t="shared" si="9"/>
        <v/>
      </c>
      <c r="DR11" t="str">
        <f t="shared" si="9"/>
        <v/>
      </c>
      <c r="DS11" t="str">
        <f t="shared" si="9"/>
        <v/>
      </c>
      <c r="DT11" t="str">
        <f t="shared" si="9"/>
        <v/>
      </c>
      <c r="DU11" t="str">
        <f t="shared" si="9"/>
        <v/>
      </c>
      <c r="DV11" t="str">
        <f t="shared" ref="DV11:EO11" si="10">IF(Tot_Jug&gt;DU10*3,DU11+1,"")</f>
        <v/>
      </c>
      <c r="DW11" t="str">
        <f t="shared" si="10"/>
        <v/>
      </c>
      <c r="DX11" t="str">
        <f t="shared" si="10"/>
        <v/>
      </c>
      <c r="DY11" t="str">
        <f t="shared" si="10"/>
        <v/>
      </c>
      <c r="DZ11" t="str">
        <f t="shared" si="10"/>
        <v/>
      </c>
      <c r="EA11" t="str">
        <f t="shared" si="10"/>
        <v/>
      </c>
      <c r="EB11" t="str">
        <f t="shared" si="10"/>
        <v/>
      </c>
      <c r="EC11" t="str">
        <f t="shared" si="10"/>
        <v/>
      </c>
      <c r="ED11" t="str">
        <f t="shared" si="10"/>
        <v/>
      </c>
      <c r="EE11" t="str">
        <f t="shared" si="10"/>
        <v/>
      </c>
      <c r="EF11" t="str">
        <f t="shared" si="10"/>
        <v/>
      </c>
      <c r="EG11" t="str">
        <f t="shared" si="10"/>
        <v/>
      </c>
      <c r="EH11" t="str">
        <f t="shared" si="10"/>
        <v/>
      </c>
      <c r="EI11" t="str">
        <f>IF(Tot_Jug&gt;EH10*3,EH11+1,"")</f>
        <v/>
      </c>
      <c r="EJ11" t="str">
        <f t="shared" si="10"/>
        <v/>
      </c>
      <c r="EK11" t="str">
        <f t="shared" si="10"/>
        <v/>
      </c>
      <c r="EL11" t="str">
        <f t="shared" si="10"/>
        <v/>
      </c>
      <c r="EM11" t="str">
        <f t="shared" si="10"/>
        <v/>
      </c>
      <c r="EN11" t="str">
        <f t="shared" si="10"/>
        <v/>
      </c>
      <c r="EO11" t="str">
        <f t="shared" si="10"/>
        <v/>
      </c>
      <c r="EZ11" s="61">
        <v>1</v>
      </c>
      <c r="FA11" s="61">
        <v>2</v>
      </c>
      <c r="FB11" s="61">
        <v>3</v>
      </c>
      <c r="FC11" s="61">
        <v>4</v>
      </c>
      <c r="FD11" s="61">
        <v>5</v>
      </c>
      <c r="FE11" s="61">
        <v>6</v>
      </c>
      <c r="FF11" s="61">
        <f>FE11+1</f>
        <v>7</v>
      </c>
      <c r="FG11" s="61">
        <f>FF11+1</f>
        <v>8</v>
      </c>
      <c r="FH11" s="61">
        <f t="shared" ref="FH11:FN11" si="11">FG11+1</f>
        <v>9</v>
      </c>
      <c r="FI11" s="61">
        <f t="shared" si="11"/>
        <v>10</v>
      </c>
      <c r="FJ11" s="61">
        <f t="shared" si="11"/>
        <v>11</v>
      </c>
      <c r="FK11" s="61">
        <f t="shared" si="11"/>
        <v>12</v>
      </c>
      <c r="FL11" s="61">
        <f t="shared" si="11"/>
        <v>13</v>
      </c>
      <c r="FM11" s="61">
        <f t="shared" si="11"/>
        <v>14</v>
      </c>
      <c r="FN11" s="61">
        <f t="shared" si="11"/>
        <v>15</v>
      </c>
      <c r="FV11" s="26"/>
      <c r="GJ11">
        <f>GJ7+1</f>
        <v>3</v>
      </c>
      <c r="GK11" t="str">
        <f>IF(Grps&gt;GJ7,GJ11,"")</f>
        <v/>
      </c>
    </row>
    <row r="12" spans="2:196" x14ac:dyDescent="0.3">
      <c r="B12" s="333"/>
      <c r="C12" s="333"/>
      <c r="D12" s="333"/>
      <c r="E12" s="333"/>
      <c r="F12" s="10"/>
      <c r="G12" s="10"/>
      <c r="H12" s="10"/>
      <c r="I12" s="10"/>
      <c r="J12" s="10"/>
      <c r="K12" s="10"/>
      <c r="L12" s="10"/>
      <c r="M12" s="10"/>
      <c r="N12" s="10"/>
      <c r="O12" s="10"/>
      <c r="P12" s="10"/>
      <c r="Q12" s="10"/>
      <c r="R12" s="10"/>
      <c r="S12" s="10"/>
      <c r="T12" s="10"/>
      <c r="U12" s="10"/>
      <c r="V12" s="10"/>
      <c r="W12" s="10"/>
      <c r="X12" s="10"/>
      <c r="Y12" s="10"/>
      <c r="Z12" s="10"/>
      <c r="BG12" s="4" t="s">
        <v>302</v>
      </c>
      <c r="BH12" t="str">
        <f>IF(Tot_Jug&gt;1,IF(ISNUMBER(BI12),BI12+1,IF(Tot_Jug&gt;BG10*3,MAX($BG$11:$EN$11)+1,IF(Tot_Jug/3&gt;=BH10,BH12+1,IF(BI11="","")))),"")</f>
        <v/>
      </c>
      <c r="BI12" t="str">
        <f t="shared" ref="BI12:CN12" si="12">IF(ISNUMBER(BJ12),BJ12+1,IF(Tot_Jug&gt;BH10*3,MAX($BG$11:$EN$11)+1,IF(Tot_Jug/3&gt;=BI10,BI12+1,IF(BJ11="",""))))</f>
        <v/>
      </c>
      <c r="BJ12" t="str">
        <f t="shared" si="12"/>
        <v/>
      </c>
      <c r="BK12" t="str">
        <f t="shared" si="12"/>
        <v/>
      </c>
      <c r="BL12" t="str">
        <f t="shared" si="12"/>
        <v/>
      </c>
      <c r="BM12" t="str">
        <f t="shared" si="12"/>
        <v/>
      </c>
      <c r="BN12" t="str">
        <f t="shared" si="12"/>
        <v/>
      </c>
      <c r="BO12" t="str">
        <f t="shared" si="12"/>
        <v/>
      </c>
      <c r="BP12" t="str">
        <f t="shared" si="12"/>
        <v/>
      </c>
      <c r="BQ12" t="str">
        <f t="shared" si="12"/>
        <v/>
      </c>
      <c r="BR12" t="str">
        <f t="shared" si="12"/>
        <v/>
      </c>
      <c r="BS12" t="str">
        <f t="shared" si="12"/>
        <v/>
      </c>
      <c r="BT12" t="str">
        <f t="shared" si="12"/>
        <v/>
      </c>
      <c r="BU12" t="str">
        <f t="shared" si="12"/>
        <v/>
      </c>
      <c r="BV12" t="str">
        <f t="shared" si="12"/>
        <v/>
      </c>
      <c r="BW12" t="str">
        <f t="shared" si="12"/>
        <v/>
      </c>
      <c r="BX12" t="str">
        <f t="shared" si="12"/>
        <v/>
      </c>
      <c r="BY12" t="str">
        <f t="shared" si="12"/>
        <v/>
      </c>
      <c r="BZ12" t="str">
        <f t="shared" si="12"/>
        <v/>
      </c>
      <c r="CA12" t="str">
        <f t="shared" si="12"/>
        <v/>
      </c>
      <c r="CB12" t="str">
        <f t="shared" si="12"/>
        <v/>
      </c>
      <c r="CC12" t="str">
        <f t="shared" si="12"/>
        <v/>
      </c>
      <c r="CD12" t="str">
        <f t="shared" si="12"/>
        <v/>
      </c>
      <c r="CE12" t="str">
        <f t="shared" si="12"/>
        <v/>
      </c>
      <c r="CF12" t="str">
        <f t="shared" si="12"/>
        <v/>
      </c>
      <c r="CG12" t="str">
        <f t="shared" si="12"/>
        <v/>
      </c>
      <c r="CH12" t="str">
        <f t="shared" si="12"/>
        <v/>
      </c>
      <c r="CI12" t="str">
        <f t="shared" si="12"/>
        <v/>
      </c>
      <c r="CJ12" t="str">
        <f t="shared" si="12"/>
        <v/>
      </c>
      <c r="CK12" t="str">
        <f t="shared" si="12"/>
        <v/>
      </c>
      <c r="CL12" t="str">
        <f t="shared" si="12"/>
        <v/>
      </c>
      <c r="CM12" t="str">
        <f t="shared" si="12"/>
        <v/>
      </c>
      <c r="CN12" t="str">
        <f t="shared" si="12"/>
        <v/>
      </c>
      <c r="CO12" t="str">
        <f t="shared" ref="CO12:DT12" si="13">IF(ISNUMBER(CP12),CP12+1,IF(Tot_Jug&gt;CN10*3,MAX($BG$11:$EN$11)+1,IF(Tot_Jug/3&gt;=CO10,CO12+1,IF(CP11="",""))))</f>
        <v/>
      </c>
      <c r="CP12" t="str">
        <f t="shared" si="13"/>
        <v/>
      </c>
      <c r="CQ12" t="str">
        <f t="shared" si="13"/>
        <v/>
      </c>
      <c r="CR12" t="str">
        <f t="shared" si="13"/>
        <v/>
      </c>
      <c r="CS12" t="str">
        <f t="shared" si="13"/>
        <v/>
      </c>
      <c r="CT12" t="str">
        <f t="shared" si="13"/>
        <v/>
      </c>
      <c r="CU12" t="str">
        <f t="shared" si="13"/>
        <v/>
      </c>
      <c r="CV12" t="str">
        <f t="shared" si="13"/>
        <v/>
      </c>
      <c r="CW12" t="str">
        <f t="shared" si="13"/>
        <v/>
      </c>
      <c r="CX12" t="str">
        <f t="shared" si="13"/>
        <v/>
      </c>
      <c r="CY12" t="str">
        <f t="shared" si="13"/>
        <v/>
      </c>
      <c r="CZ12" t="str">
        <f t="shared" si="13"/>
        <v/>
      </c>
      <c r="DA12" t="str">
        <f t="shared" si="13"/>
        <v/>
      </c>
      <c r="DB12" t="str">
        <f t="shared" si="13"/>
        <v/>
      </c>
      <c r="DC12" t="str">
        <f t="shared" si="13"/>
        <v/>
      </c>
      <c r="DD12" t="str">
        <f t="shared" si="13"/>
        <v/>
      </c>
      <c r="DE12" t="str">
        <f t="shared" si="13"/>
        <v/>
      </c>
      <c r="DF12" t="str">
        <f t="shared" si="13"/>
        <v/>
      </c>
      <c r="DG12" t="str">
        <f t="shared" si="13"/>
        <v/>
      </c>
      <c r="DH12" t="str">
        <f t="shared" si="13"/>
        <v/>
      </c>
      <c r="DI12" t="str">
        <f t="shared" si="13"/>
        <v/>
      </c>
      <c r="DJ12" t="str">
        <f t="shared" si="13"/>
        <v/>
      </c>
      <c r="DK12" t="str">
        <f t="shared" si="13"/>
        <v/>
      </c>
      <c r="DL12" t="str">
        <f t="shared" si="13"/>
        <v/>
      </c>
      <c r="DM12" t="str">
        <f t="shared" si="13"/>
        <v/>
      </c>
      <c r="DN12" t="str">
        <f t="shared" si="13"/>
        <v/>
      </c>
      <c r="DO12" t="str">
        <f t="shared" si="13"/>
        <v/>
      </c>
      <c r="DP12" t="str">
        <f t="shared" si="13"/>
        <v/>
      </c>
      <c r="DQ12" t="str">
        <f t="shared" si="13"/>
        <v/>
      </c>
      <c r="DR12" t="str">
        <f t="shared" si="13"/>
        <v/>
      </c>
      <c r="DS12" t="str">
        <f>IF(ISNUMBER(DT12),DT12+1,IF(Tot_Jug&gt;DR10*3,MAX($BG$11:$EN$11)+1,IF(Tot_Jug/3&gt;=DS10,DS12+1,IF(DT11="",""))))</f>
        <v/>
      </c>
      <c r="DT12" t="str">
        <f t="shared" si="13"/>
        <v/>
      </c>
      <c r="DU12" t="str">
        <f t="shared" ref="DU12:EO12" si="14">IF(ISNUMBER(DV12),DV12+1,IF(Tot_Jug&gt;DT10*3,MAX($BG$11:$EN$11)+1,IF(Tot_Jug/3&gt;=DU10,DU12+1,IF(DV11="",""))))</f>
        <v/>
      </c>
      <c r="DV12" t="str">
        <f t="shared" si="14"/>
        <v/>
      </c>
      <c r="DW12" t="str">
        <f t="shared" si="14"/>
        <v/>
      </c>
      <c r="DX12" t="str">
        <f t="shared" si="14"/>
        <v/>
      </c>
      <c r="DY12" t="str">
        <f t="shared" si="14"/>
        <v/>
      </c>
      <c r="DZ12" t="str">
        <f t="shared" si="14"/>
        <v/>
      </c>
      <c r="EA12" t="str">
        <f t="shared" si="14"/>
        <v/>
      </c>
      <c r="EB12" t="str">
        <f t="shared" si="14"/>
        <v/>
      </c>
      <c r="EC12" t="str">
        <f t="shared" si="14"/>
        <v/>
      </c>
      <c r="ED12" t="str">
        <f t="shared" si="14"/>
        <v/>
      </c>
      <c r="EE12" t="str">
        <f t="shared" si="14"/>
        <v/>
      </c>
      <c r="EF12" t="str">
        <f t="shared" si="14"/>
        <v/>
      </c>
      <c r="EG12" t="str">
        <f t="shared" si="14"/>
        <v/>
      </c>
      <c r="EH12" t="str">
        <f t="shared" si="14"/>
        <v/>
      </c>
      <c r="EI12" t="str">
        <f t="shared" si="14"/>
        <v/>
      </c>
      <c r="EJ12" t="str">
        <f t="shared" si="14"/>
        <v/>
      </c>
      <c r="EK12" t="str">
        <f t="shared" si="14"/>
        <v/>
      </c>
      <c r="EL12" t="str">
        <f t="shared" si="14"/>
        <v/>
      </c>
      <c r="EM12" t="str">
        <f t="shared" si="14"/>
        <v/>
      </c>
      <c r="EN12" t="str">
        <f t="shared" si="14"/>
        <v/>
      </c>
      <c r="EO12" t="str">
        <f t="shared" si="14"/>
        <v/>
      </c>
      <c r="EZ12" s="26">
        <v>1</v>
      </c>
      <c r="FA12" s="26">
        <f>EZ12+1</f>
        <v>2</v>
      </c>
      <c r="FB12" s="26">
        <f>FA12+1</f>
        <v>3</v>
      </c>
      <c r="FC12" s="26">
        <f>FB12+1</f>
        <v>4</v>
      </c>
      <c r="FD12" s="26">
        <f>FC12+1</f>
        <v>5</v>
      </c>
      <c r="FE12" s="26">
        <v>6</v>
      </c>
      <c r="FF12" s="26">
        <v>7</v>
      </c>
      <c r="FG12" s="26">
        <v>8</v>
      </c>
      <c r="FH12" s="26">
        <f>FG12+1</f>
        <v>9</v>
      </c>
      <c r="FI12" s="26">
        <f>FH12+1</f>
        <v>10</v>
      </c>
      <c r="FJ12" s="26">
        <f>FI12+1</f>
        <v>11</v>
      </c>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t="str">
        <f>IF(Grps&gt;GJ7,GK8+1,"")</f>
        <v/>
      </c>
      <c r="GL12" s="26"/>
      <c r="GM12" s="26"/>
    </row>
    <row r="13" spans="2:196" x14ac:dyDescent="0.3">
      <c r="B13" s="333"/>
      <c r="C13" s="333"/>
      <c r="D13" s="333"/>
      <c r="E13" s="333"/>
      <c r="F13" s="10"/>
      <c r="G13" s="10"/>
      <c r="H13" s="10"/>
      <c r="I13" s="10"/>
      <c r="J13" s="10"/>
      <c r="K13" s="10"/>
      <c r="L13" s="10"/>
      <c r="M13" s="10"/>
      <c r="N13" s="10"/>
      <c r="O13" s="10"/>
      <c r="P13" s="10"/>
      <c r="Q13" s="10"/>
      <c r="R13" s="10"/>
      <c r="S13" s="10"/>
      <c r="T13" s="10"/>
      <c r="U13" s="10"/>
      <c r="V13" s="10"/>
      <c r="W13" s="10"/>
      <c r="X13" s="10"/>
      <c r="Y13" s="10"/>
      <c r="Z13" s="10"/>
      <c r="BG13" s="4" t="s">
        <v>303</v>
      </c>
      <c r="BH13" t="str">
        <f>IF(Groups&lt;1,"",IF(MOD(Tot_Jug,3)=0,BH12+1,""))</f>
        <v/>
      </c>
      <c r="BI13" t="str">
        <f>IF(Groups&lt;BI10,"",IF(MOD(Tot_Jug,3)=0,BH13+1,IF(MOD(Tot_Jug,3)=2,BH12+1,"")))</f>
        <v/>
      </c>
      <c r="BJ13" t="str">
        <f>IF(Groups&lt;BJ10,"",IF(MOD(Tot_Jug,3)=0,BI13+1,IF(MOD(Tot_Jug,3)=2,BI13+1,IF(MOD(Tot_Jug,3)=1,BH12+1,""))))</f>
        <v/>
      </c>
      <c r="BK13" t="str">
        <f t="shared" ref="BK13:CP13" si="15">IF(Tot_Jug&gt;BJ13,BJ13+1,"")</f>
        <v/>
      </c>
      <c r="BL13" t="str">
        <f t="shared" si="15"/>
        <v/>
      </c>
      <c r="BM13" t="str">
        <f t="shared" si="15"/>
        <v/>
      </c>
      <c r="BN13" t="str">
        <f t="shared" si="15"/>
        <v/>
      </c>
      <c r="BO13" t="str">
        <f t="shared" si="15"/>
        <v/>
      </c>
      <c r="BP13" t="str">
        <f t="shared" si="15"/>
        <v/>
      </c>
      <c r="BQ13" t="str">
        <f t="shared" si="15"/>
        <v/>
      </c>
      <c r="BR13" t="str">
        <f t="shared" si="15"/>
        <v/>
      </c>
      <c r="BS13" t="str">
        <f t="shared" si="15"/>
        <v/>
      </c>
      <c r="BT13" t="str">
        <f t="shared" si="15"/>
        <v/>
      </c>
      <c r="BU13" t="str">
        <f t="shared" si="15"/>
        <v/>
      </c>
      <c r="BV13" t="str">
        <f t="shared" si="15"/>
        <v/>
      </c>
      <c r="BW13" t="str">
        <f t="shared" si="15"/>
        <v/>
      </c>
      <c r="BX13" t="str">
        <f t="shared" si="15"/>
        <v/>
      </c>
      <c r="BY13" t="str">
        <f t="shared" si="15"/>
        <v/>
      </c>
      <c r="BZ13" t="str">
        <f t="shared" si="15"/>
        <v/>
      </c>
      <c r="CA13" t="str">
        <f t="shared" si="15"/>
        <v/>
      </c>
      <c r="CB13" t="str">
        <f t="shared" si="15"/>
        <v/>
      </c>
      <c r="CC13" t="str">
        <f t="shared" si="15"/>
        <v/>
      </c>
      <c r="CD13" t="str">
        <f t="shared" si="15"/>
        <v/>
      </c>
      <c r="CE13" t="str">
        <f t="shared" si="15"/>
        <v/>
      </c>
      <c r="CF13" t="str">
        <f t="shared" si="15"/>
        <v/>
      </c>
      <c r="CG13" t="str">
        <f t="shared" si="15"/>
        <v/>
      </c>
      <c r="CH13" t="str">
        <f t="shared" si="15"/>
        <v/>
      </c>
      <c r="CI13" t="str">
        <f t="shared" si="15"/>
        <v/>
      </c>
      <c r="CJ13" t="str">
        <f t="shared" si="15"/>
        <v/>
      </c>
      <c r="CK13" t="str">
        <f t="shared" si="15"/>
        <v/>
      </c>
      <c r="CL13" t="str">
        <f t="shared" si="15"/>
        <v/>
      </c>
      <c r="CM13" t="str">
        <f t="shared" si="15"/>
        <v/>
      </c>
      <c r="CN13" t="str">
        <f t="shared" si="15"/>
        <v/>
      </c>
      <c r="CO13" t="str">
        <f t="shared" si="15"/>
        <v/>
      </c>
      <c r="CP13" t="str">
        <f t="shared" si="15"/>
        <v/>
      </c>
      <c r="CQ13" t="str">
        <f t="shared" ref="CQ13:DV13" si="16">IF(Tot_Jug&gt;CP13,CP13+1,"")</f>
        <v/>
      </c>
      <c r="CR13" t="str">
        <f t="shared" si="16"/>
        <v/>
      </c>
      <c r="CS13" t="str">
        <f t="shared" si="16"/>
        <v/>
      </c>
      <c r="CT13" t="str">
        <f t="shared" si="16"/>
        <v/>
      </c>
      <c r="CU13" t="str">
        <f t="shared" si="16"/>
        <v/>
      </c>
      <c r="CV13" t="str">
        <f t="shared" si="16"/>
        <v/>
      </c>
      <c r="CW13" t="str">
        <f t="shared" si="16"/>
        <v/>
      </c>
      <c r="CX13" t="str">
        <f t="shared" si="16"/>
        <v/>
      </c>
      <c r="CY13" t="str">
        <f t="shared" si="16"/>
        <v/>
      </c>
      <c r="CZ13" t="str">
        <f t="shared" si="16"/>
        <v/>
      </c>
      <c r="DA13" t="str">
        <f t="shared" si="16"/>
        <v/>
      </c>
      <c r="DB13" t="str">
        <f t="shared" si="16"/>
        <v/>
      </c>
      <c r="DC13" t="str">
        <f t="shared" si="16"/>
        <v/>
      </c>
      <c r="DD13" t="str">
        <f t="shared" si="16"/>
        <v/>
      </c>
      <c r="DE13" t="str">
        <f t="shared" si="16"/>
        <v/>
      </c>
      <c r="DF13" t="str">
        <f t="shared" si="16"/>
        <v/>
      </c>
      <c r="DG13" t="str">
        <f t="shared" si="16"/>
        <v/>
      </c>
      <c r="DH13" t="str">
        <f t="shared" si="16"/>
        <v/>
      </c>
      <c r="DI13" t="str">
        <f t="shared" si="16"/>
        <v/>
      </c>
      <c r="DJ13" t="str">
        <f t="shared" si="16"/>
        <v/>
      </c>
      <c r="DK13" t="str">
        <f t="shared" si="16"/>
        <v/>
      </c>
      <c r="DL13" t="str">
        <f t="shared" si="16"/>
        <v/>
      </c>
      <c r="DM13" t="str">
        <f t="shared" si="16"/>
        <v/>
      </c>
      <c r="DN13" t="str">
        <f t="shared" si="16"/>
        <v/>
      </c>
      <c r="DO13" t="str">
        <f t="shared" si="16"/>
        <v/>
      </c>
      <c r="DP13" t="str">
        <f t="shared" si="16"/>
        <v/>
      </c>
      <c r="DQ13" t="str">
        <f t="shared" si="16"/>
        <v/>
      </c>
      <c r="DR13" t="str">
        <f t="shared" si="16"/>
        <v/>
      </c>
      <c r="DS13" t="str">
        <f t="shared" si="16"/>
        <v/>
      </c>
      <c r="DT13" t="str">
        <f t="shared" si="16"/>
        <v/>
      </c>
      <c r="DU13" t="str">
        <f t="shared" si="16"/>
        <v/>
      </c>
      <c r="DV13" t="str">
        <f t="shared" si="16"/>
        <v/>
      </c>
      <c r="DW13" t="str">
        <f t="shared" ref="DW13:EO13" si="17">IF(Tot_Jug&gt;DV13,DV13+1,"")</f>
        <v/>
      </c>
      <c r="DX13" t="str">
        <f t="shared" si="17"/>
        <v/>
      </c>
      <c r="DY13" t="str">
        <f t="shared" si="17"/>
        <v/>
      </c>
      <c r="DZ13" t="str">
        <f t="shared" si="17"/>
        <v/>
      </c>
      <c r="EA13" t="str">
        <f t="shared" si="17"/>
        <v/>
      </c>
      <c r="EB13" t="str">
        <f t="shared" si="17"/>
        <v/>
      </c>
      <c r="EC13" t="str">
        <f t="shared" si="17"/>
        <v/>
      </c>
      <c r="ED13" t="str">
        <f t="shared" si="17"/>
        <v/>
      </c>
      <c r="EE13" t="str">
        <f t="shared" si="17"/>
        <v/>
      </c>
      <c r="EF13" t="str">
        <f t="shared" si="17"/>
        <v/>
      </c>
      <c r="EG13" t="str">
        <f t="shared" si="17"/>
        <v/>
      </c>
      <c r="EH13" t="str">
        <f t="shared" si="17"/>
        <v/>
      </c>
      <c r="EI13" t="str">
        <f t="shared" si="17"/>
        <v/>
      </c>
      <c r="EJ13" t="str">
        <f t="shared" si="17"/>
        <v/>
      </c>
      <c r="EK13" t="str">
        <f t="shared" si="17"/>
        <v/>
      </c>
      <c r="EL13" t="str">
        <f t="shared" si="17"/>
        <v/>
      </c>
      <c r="EM13" t="str">
        <f t="shared" si="17"/>
        <v/>
      </c>
      <c r="EN13" t="str">
        <f t="shared" si="17"/>
        <v/>
      </c>
      <c r="EO13" t="str">
        <f t="shared" si="17"/>
        <v/>
      </c>
      <c r="EZ13" s="26">
        <f>FA13+1</f>
        <v>22</v>
      </c>
      <c r="FA13" s="26">
        <f>FB13+1</f>
        <v>21</v>
      </c>
      <c r="FB13" s="26">
        <f>FC13+1</f>
        <v>20</v>
      </c>
      <c r="FC13" s="26">
        <f t="shared" ref="FC13:FI14" si="18">FD13+1</f>
        <v>19</v>
      </c>
      <c r="FD13" s="26">
        <f t="shared" si="18"/>
        <v>18</v>
      </c>
      <c r="FE13" s="26">
        <f t="shared" si="18"/>
        <v>17</v>
      </c>
      <c r="FF13" s="26">
        <f t="shared" si="18"/>
        <v>16</v>
      </c>
      <c r="FG13" s="26">
        <f t="shared" si="18"/>
        <v>15</v>
      </c>
      <c r="FH13" s="26">
        <f t="shared" si="18"/>
        <v>14</v>
      </c>
      <c r="FI13" s="26">
        <f t="shared" si="18"/>
        <v>13</v>
      </c>
      <c r="FJ13" s="26">
        <f>FJ12+1</f>
        <v>12</v>
      </c>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f>IF(Grps=1,3,Grps*2+GJ11)</f>
        <v>3</v>
      </c>
      <c r="GL13" s="26"/>
      <c r="GM13" s="26"/>
    </row>
    <row r="14" spans="2:196" ht="15" customHeight="1" thickBot="1" x14ac:dyDescent="0.35">
      <c r="B14" s="333"/>
      <c r="C14" s="333"/>
      <c r="D14" s="333"/>
      <c r="E14" s="333"/>
      <c r="F14" s="10"/>
      <c r="G14" s="10"/>
      <c r="H14" s="10"/>
      <c r="I14" s="10"/>
      <c r="J14" s="10"/>
      <c r="K14" s="10"/>
      <c r="L14" s="10"/>
      <c r="M14" s="10"/>
      <c r="N14" s="10"/>
      <c r="O14" s="10"/>
      <c r="P14" s="10"/>
      <c r="Q14" s="10"/>
      <c r="R14" s="10"/>
      <c r="S14" s="10"/>
      <c r="T14" s="10"/>
      <c r="U14" s="10"/>
      <c r="V14" s="10"/>
      <c r="W14" s="10"/>
      <c r="X14" s="10"/>
      <c r="Y14" s="10"/>
      <c r="Z14" s="10"/>
      <c r="EV14" s="9"/>
      <c r="EZ14" s="26"/>
      <c r="FA14" s="26">
        <f>FB14+1</f>
        <v>32</v>
      </c>
      <c r="FB14" s="26">
        <f>FC14+1</f>
        <v>31</v>
      </c>
      <c r="FC14" s="26">
        <f t="shared" si="18"/>
        <v>30</v>
      </c>
      <c r="FD14" s="26">
        <f t="shared" si="18"/>
        <v>29</v>
      </c>
      <c r="FE14" s="26">
        <f t="shared" si="18"/>
        <v>28</v>
      </c>
      <c r="FF14" s="26">
        <f t="shared" si="18"/>
        <v>27</v>
      </c>
      <c r="FG14" s="26">
        <f t="shared" si="18"/>
        <v>26</v>
      </c>
      <c r="FH14" s="26">
        <f t="shared" si="18"/>
        <v>25</v>
      </c>
      <c r="FI14" s="26">
        <f t="shared" si="18"/>
        <v>24</v>
      </c>
      <c r="FJ14" s="26">
        <f>EZ13+1</f>
        <v>23</v>
      </c>
      <c r="FM14" s="111"/>
      <c r="FN14" s="111"/>
      <c r="FP14" s="111"/>
      <c r="FR14" s="111"/>
      <c r="FV14" s="26"/>
      <c r="FW14" s="111"/>
      <c r="FY14" s="111"/>
      <c r="GK14">
        <f>IF(Grps=3,"",IF(Grps=1,4,Grps*3+GJ11))</f>
        <v>3</v>
      </c>
    </row>
    <row r="15" spans="2:196" ht="15.6" thickTop="1" thickBot="1" x14ac:dyDescent="0.35">
      <c r="B15" s="450" t="s">
        <v>308</v>
      </c>
      <c r="C15" s="451"/>
      <c r="D15" s="450" t="s">
        <v>309</v>
      </c>
      <c r="E15" s="451"/>
      <c r="F15" s="10"/>
      <c r="G15" s="10"/>
      <c r="H15" s="10"/>
      <c r="I15" s="10"/>
      <c r="J15" s="10"/>
      <c r="K15" s="10"/>
      <c r="L15" s="10"/>
      <c r="M15" s="10"/>
      <c r="N15" s="10"/>
      <c r="O15" s="10"/>
      <c r="P15" s="10"/>
      <c r="Q15" s="10"/>
      <c r="R15" s="10"/>
      <c r="S15" s="10"/>
      <c r="T15" s="10"/>
      <c r="U15" s="10"/>
      <c r="V15" s="10"/>
      <c r="W15" s="10"/>
      <c r="X15" s="10"/>
      <c r="Y15" s="10"/>
      <c r="Z15" s="10"/>
      <c r="BH15" s="26">
        <f>ROUNDUP(BH20/3,0)</f>
        <v>43</v>
      </c>
      <c r="BI15" s="26">
        <f t="shared" ref="BI15:DT15" si="19">ROUNDUP(BI20/3,0)</f>
        <v>43</v>
      </c>
      <c r="BJ15" s="26">
        <f t="shared" si="19"/>
        <v>42</v>
      </c>
      <c r="BK15" s="26">
        <f t="shared" si="19"/>
        <v>42</v>
      </c>
      <c r="BL15" s="26">
        <f t="shared" si="19"/>
        <v>42</v>
      </c>
      <c r="BM15" s="26">
        <f t="shared" si="19"/>
        <v>41</v>
      </c>
      <c r="BN15" s="26">
        <f t="shared" si="19"/>
        <v>41</v>
      </c>
      <c r="BO15" s="26">
        <f t="shared" si="19"/>
        <v>41</v>
      </c>
      <c r="BP15" s="26">
        <f t="shared" si="19"/>
        <v>40</v>
      </c>
      <c r="BQ15" s="26">
        <f t="shared" si="19"/>
        <v>40</v>
      </c>
      <c r="BR15" s="26">
        <f t="shared" si="19"/>
        <v>40</v>
      </c>
      <c r="BS15" s="26">
        <f t="shared" si="19"/>
        <v>39</v>
      </c>
      <c r="BT15" s="26">
        <f t="shared" si="19"/>
        <v>39</v>
      </c>
      <c r="BU15" s="26">
        <f t="shared" si="19"/>
        <v>39</v>
      </c>
      <c r="BV15" s="26">
        <f t="shared" si="19"/>
        <v>38</v>
      </c>
      <c r="BW15" s="26">
        <f t="shared" si="19"/>
        <v>38</v>
      </c>
      <c r="BX15" s="26">
        <f t="shared" si="19"/>
        <v>38</v>
      </c>
      <c r="BY15" s="26">
        <f t="shared" si="19"/>
        <v>37</v>
      </c>
      <c r="BZ15" s="26">
        <f t="shared" si="19"/>
        <v>37</v>
      </c>
      <c r="CA15" s="26">
        <f t="shared" si="19"/>
        <v>37</v>
      </c>
      <c r="CB15" s="26">
        <f t="shared" si="19"/>
        <v>36</v>
      </c>
      <c r="CC15" s="26">
        <f t="shared" si="19"/>
        <v>36</v>
      </c>
      <c r="CD15" s="26">
        <f t="shared" si="19"/>
        <v>36</v>
      </c>
      <c r="CE15" s="26">
        <f t="shared" si="19"/>
        <v>35</v>
      </c>
      <c r="CF15" s="26">
        <f t="shared" si="19"/>
        <v>35</v>
      </c>
      <c r="CG15" s="26">
        <f t="shared" si="19"/>
        <v>35</v>
      </c>
      <c r="CH15" s="26">
        <f t="shared" si="19"/>
        <v>34</v>
      </c>
      <c r="CI15" s="26">
        <f t="shared" si="19"/>
        <v>34</v>
      </c>
      <c r="CJ15" s="26">
        <f t="shared" si="19"/>
        <v>34</v>
      </c>
      <c r="CK15" s="26">
        <f t="shared" si="19"/>
        <v>33</v>
      </c>
      <c r="CL15" s="26">
        <f t="shared" si="19"/>
        <v>33</v>
      </c>
      <c r="CM15" s="26">
        <f t="shared" si="19"/>
        <v>33</v>
      </c>
      <c r="CN15" s="26">
        <f t="shared" si="19"/>
        <v>32</v>
      </c>
      <c r="CO15" s="26">
        <f t="shared" si="19"/>
        <v>32</v>
      </c>
      <c r="CP15" s="26">
        <f t="shared" si="19"/>
        <v>32</v>
      </c>
      <c r="CQ15" s="26">
        <f t="shared" si="19"/>
        <v>31</v>
      </c>
      <c r="CR15" s="26">
        <f t="shared" si="19"/>
        <v>31</v>
      </c>
      <c r="CS15" s="26">
        <f t="shared" si="19"/>
        <v>31</v>
      </c>
      <c r="CT15" s="26">
        <f t="shared" si="19"/>
        <v>30</v>
      </c>
      <c r="CU15" s="26">
        <f t="shared" si="19"/>
        <v>30</v>
      </c>
      <c r="CV15" s="26">
        <f t="shared" si="19"/>
        <v>30</v>
      </c>
      <c r="CW15" s="26">
        <f t="shared" si="19"/>
        <v>29</v>
      </c>
      <c r="CX15" s="26">
        <f t="shared" si="19"/>
        <v>29</v>
      </c>
      <c r="CY15" s="26">
        <f t="shared" si="19"/>
        <v>29</v>
      </c>
      <c r="CZ15" s="26">
        <f t="shared" si="19"/>
        <v>28</v>
      </c>
      <c r="DA15" s="26">
        <f t="shared" si="19"/>
        <v>28</v>
      </c>
      <c r="DB15" s="26">
        <f t="shared" si="19"/>
        <v>28</v>
      </c>
      <c r="DC15" s="26">
        <f t="shared" si="19"/>
        <v>27</v>
      </c>
      <c r="DD15" s="26">
        <f t="shared" si="19"/>
        <v>27</v>
      </c>
      <c r="DE15" s="26">
        <f t="shared" si="19"/>
        <v>27</v>
      </c>
      <c r="DF15" s="26">
        <f t="shared" si="19"/>
        <v>26</v>
      </c>
      <c r="DG15" s="26">
        <f t="shared" si="19"/>
        <v>26</v>
      </c>
      <c r="DH15" s="26">
        <f t="shared" si="19"/>
        <v>26</v>
      </c>
      <c r="DI15" s="26">
        <f t="shared" si="19"/>
        <v>25</v>
      </c>
      <c r="DJ15" s="26">
        <f t="shared" si="19"/>
        <v>25</v>
      </c>
      <c r="DK15" s="26">
        <f t="shared" si="19"/>
        <v>25</v>
      </c>
      <c r="DL15" s="26">
        <f t="shared" si="19"/>
        <v>24</v>
      </c>
      <c r="DM15" s="26">
        <f t="shared" si="19"/>
        <v>24</v>
      </c>
      <c r="DN15" s="26">
        <f t="shared" si="19"/>
        <v>24</v>
      </c>
      <c r="DO15" s="26">
        <f t="shared" si="19"/>
        <v>23</v>
      </c>
      <c r="DP15" s="26">
        <f t="shared" si="19"/>
        <v>23</v>
      </c>
      <c r="DQ15" s="26">
        <f t="shared" si="19"/>
        <v>23</v>
      </c>
      <c r="DR15" s="26">
        <f t="shared" si="19"/>
        <v>22</v>
      </c>
      <c r="DS15" s="26">
        <f t="shared" si="19"/>
        <v>22</v>
      </c>
      <c r="DT15" s="26">
        <f t="shared" si="19"/>
        <v>22</v>
      </c>
      <c r="DU15" s="26">
        <f t="shared" ref="DU15:GD15" si="20">ROUNDUP(DU20/3,0)</f>
        <v>21</v>
      </c>
      <c r="DV15" s="26">
        <f t="shared" si="20"/>
        <v>21</v>
      </c>
      <c r="DW15" s="26">
        <f t="shared" si="20"/>
        <v>21</v>
      </c>
      <c r="DX15" s="26">
        <f t="shared" si="20"/>
        <v>20</v>
      </c>
      <c r="DY15" s="26">
        <f t="shared" si="20"/>
        <v>20</v>
      </c>
      <c r="DZ15" s="26">
        <f t="shared" si="20"/>
        <v>20</v>
      </c>
      <c r="EA15" s="26">
        <f t="shared" si="20"/>
        <v>19</v>
      </c>
      <c r="EB15" s="26">
        <f t="shared" si="20"/>
        <v>19</v>
      </c>
      <c r="EC15" s="26">
        <f t="shared" si="20"/>
        <v>19</v>
      </c>
      <c r="ED15" s="26">
        <f t="shared" si="20"/>
        <v>18</v>
      </c>
      <c r="EE15" s="26">
        <f t="shared" si="20"/>
        <v>18</v>
      </c>
      <c r="EF15" s="26">
        <f t="shared" si="20"/>
        <v>18</v>
      </c>
      <c r="EG15" s="26">
        <f t="shared" si="20"/>
        <v>17</v>
      </c>
      <c r="EH15" s="26">
        <f t="shared" si="20"/>
        <v>17</v>
      </c>
      <c r="EI15" s="26">
        <f t="shared" si="20"/>
        <v>17</v>
      </c>
      <c r="EJ15" s="26">
        <f t="shared" si="20"/>
        <v>16</v>
      </c>
      <c r="EK15" s="26">
        <f t="shared" si="20"/>
        <v>16</v>
      </c>
      <c r="EL15" s="26">
        <f t="shared" si="20"/>
        <v>16</v>
      </c>
      <c r="EM15" s="26">
        <f t="shared" si="20"/>
        <v>15</v>
      </c>
      <c r="EN15" s="26">
        <f t="shared" si="20"/>
        <v>15</v>
      </c>
      <c r="EO15" s="26">
        <f t="shared" si="20"/>
        <v>15</v>
      </c>
      <c r="EP15" s="26">
        <f t="shared" si="20"/>
        <v>14</v>
      </c>
      <c r="EQ15" s="26">
        <f t="shared" si="20"/>
        <v>14</v>
      </c>
      <c r="ER15" s="26">
        <f t="shared" si="20"/>
        <v>14</v>
      </c>
      <c r="ES15" s="26">
        <f t="shared" si="20"/>
        <v>13</v>
      </c>
      <c r="ET15" s="26">
        <f t="shared" si="20"/>
        <v>13</v>
      </c>
      <c r="EU15" s="26">
        <f t="shared" si="20"/>
        <v>13</v>
      </c>
      <c r="EV15" s="26">
        <f t="shared" si="20"/>
        <v>12</v>
      </c>
      <c r="EW15" s="26">
        <f t="shared" si="20"/>
        <v>12</v>
      </c>
      <c r="EX15" s="26">
        <f t="shared" si="20"/>
        <v>12</v>
      </c>
      <c r="EY15" s="26">
        <f t="shared" si="20"/>
        <v>11</v>
      </c>
      <c r="EZ15" s="26">
        <f t="shared" si="20"/>
        <v>11</v>
      </c>
      <c r="FA15" s="26">
        <f t="shared" si="20"/>
        <v>11</v>
      </c>
      <c r="FB15" s="26">
        <f t="shared" si="20"/>
        <v>10</v>
      </c>
      <c r="FC15" s="26">
        <f t="shared" si="20"/>
        <v>10</v>
      </c>
      <c r="FD15" s="26">
        <f t="shared" si="20"/>
        <v>10</v>
      </c>
      <c r="FE15" s="26">
        <f t="shared" si="20"/>
        <v>9</v>
      </c>
      <c r="FF15" s="26">
        <f t="shared" si="20"/>
        <v>9</v>
      </c>
      <c r="FG15" s="26">
        <f t="shared" si="20"/>
        <v>9</v>
      </c>
      <c r="FH15" s="26">
        <f t="shared" si="20"/>
        <v>8</v>
      </c>
      <c r="FI15" s="26">
        <f t="shared" si="20"/>
        <v>8</v>
      </c>
      <c r="FJ15" s="26">
        <f t="shared" si="20"/>
        <v>8</v>
      </c>
      <c r="FK15" s="26">
        <f t="shared" si="20"/>
        <v>7</v>
      </c>
      <c r="FL15" s="26">
        <f t="shared" si="20"/>
        <v>7</v>
      </c>
      <c r="FM15" s="26">
        <f t="shared" si="20"/>
        <v>7</v>
      </c>
      <c r="FN15" s="26">
        <f t="shared" si="20"/>
        <v>6</v>
      </c>
      <c r="FO15" s="26">
        <f t="shared" si="20"/>
        <v>6</v>
      </c>
      <c r="FP15" s="26">
        <f t="shared" si="20"/>
        <v>6</v>
      </c>
      <c r="FQ15" s="26">
        <f t="shared" si="20"/>
        <v>5</v>
      </c>
      <c r="FR15" s="26">
        <f t="shared" si="20"/>
        <v>5</v>
      </c>
      <c r="FS15" s="26">
        <f t="shared" si="20"/>
        <v>5</v>
      </c>
      <c r="FT15" s="26">
        <f t="shared" si="20"/>
        <v>4</v>
      </c>
      <c r="FU15" s="26">
        <f t="shared" si="20"/>
        <v>4</v>
      </c>
      <c r="FV15" s="26">
        <f t="shared" si="20"/>
        <v>4</v>
      </c>
      <c r="FW15" s="26">
        <f t="shared" si="20"/>
        <v>3</v>
      </c>
      <c r="FX15" s="26">
        <f t="shared" si="20"/>
        <v>3</v>
      </c>
      <c r="FY15" s="26">
        <f t="shared" si="20"/>
        <v>3</v>
      </c>
      <c r="FZ15" s="26">
        <f t="shared" si="20"/>
        <v>2</v>
      </c>
      <c r="GA15" s="26">
        <f t="shared" si="20"/>
        <v>2</v>
      </c>
      <c r="GB15" s="26">
        <f t="shared" si="20"/>
        <v>2</v>
      </c>
      <c r="GC15" s="26">
        <f t="shared" si="20"/>
        <v>1</v>
      </c>
      <c r="GD15" s="26">
        <f t="shared" si="20"/>
        <v>1</v>
      </c>
      <c r="GJ15">
        <f>GJ11+1</f>
        <v>4</v>
      </c>
      <c r="GK15" t="str">
        <f>IF(Grps&gt;GJ11,GJ15,"")</f>
        <v/>
      </c>
    </row>
    <row r="16" spans="2:196" ht="15" customHeight="1" thickTop="1" thickBot="1" x14ac:dyDescent="0.35">
      <c r="B16" s="446" t="s">
        <v>310</v>
      </c>
      <c r="C16" s="448" t="s">
        <v>311</v>
      </c>
      <c r="D16" s="446" t="s">
        <v>310</v>
      </c>
      <c r="E16" s="448" t="s">
        <v>311</v>
      </c>
      <c r="BD16" s="26"/>
      <c r="BG16" s="444">
        <v>1</v>
      </c>
      <c r="BH16" t="s">
        <v>312</v>
      </c>
      <c r="GK16" t="str">
        <f>IF(Grps&gt;GJ11,GK12+1,"")</f>
        <v/>
      </c>
    </row>
    <row r="17" spans="2:193" ht="15" customHeight="1" thickTop="1" thickBot="1" x14ac:dyDescent="0.35">
      <c r="B17" s="446"/>
      <c r="C17" s="448"/>
      <c r="D17" s="446"/>
      <c r="E17" s="448"/>
      <c r="BD17" s="26"/>
      <c r="BG17" s="445"/>
      <c r="BH17" s="26">
        <f>BH20+BH19</f>
        <v>128</v>
      </c>
      <c r="BI17" s="26">
        <f t="shared" ref="BI17:DT17" si="21">BI20+BI19</f>
        <v>128</v>
      </c>
      <c r="BJ17" s="26">
        <f t="shared" si="21"/>
        <v>128</v>
      </c>
      <c r="BK17" s="26">
        <f t="shared" si="21"/>
        <v>125</v>
      </c>
      <c r="BL17" s="26">
        <f t="shared" si="21"/>
        <v>128</v>
      </c>
      <c r="BM17" s="26">
        <f t="shared" si="21"/>
        <v>128</v>
      </c>
      <c r="BN17" s="26">
        <f t="shared" si="21"/>
        <v>128</v>
      </c>
      <c r="BO17" s="26">
        <f t="shared" si="21"/>
        <v>128</v>
      </c>
      <c r="BP17" s="26">
        <f t="shared" si="21"/>
        <v>128</v>
      </c>
      <c r="BQ17" s="26">
        <f t="shared" si="21"/>
        <v>128</v>
      </c>
      <c r="BR17" s="26">
        <f t="shared" si="21"/>
        <v>128</v>
      </c>
      <c r="BS17" s="26">
        <f t="shared" si="21"/>
        <v>128</v>
      </c>
      <c r="BT17" s="26">
        <f t="shared" si="21"/>
        <v>128</v>
      </c>
      <c r="BU17" s="26">
        <f t="shared" si="21"/>
        <v>128</v>
      </c>
      <c r="BV17" s="26">
        <f t="shared" si="21"/>
        <v>128</v>
      </c>
      <c r="BW17" s="26">
        <f t="shared" si="21"/>
        <v>128</v>
      </c>
      <c r="BX17" s="26">
        <f t="shared" si="21"/>
        <v>128</v>
      </c>
      <c r="BY17" s="26">
        <f t="shared" si="21"/>
        <v>128</v>
      </c>
      <c r="BZ17" s="26">
        <f t="shared" si="21"/>
        <v>128</v>
      </c>
      <c r="CA17" s="26">
        <f t="shared" si="21"/>
        <v>128</v>
      </c>
      <c r="CB17" s="26">
        <f t="shared" si="21"/>
        <v>128</v>
      </c>
      <c r="CC17" s="26">
        <f t="shared" si="21"/>
        <v>128</v>
      </c>
      <c r="CD17" s="26">
        <f t="shared" si="21"/>
        <v>128</v>
      </c>
      <c r="CE17" s="26">
        <f t="shared" si="21"/>
        <v>128</v>
      </c>
      <c r="CF17" s="26">
        <f t="shared" si="21"/>
        <v>128</v>
      </c>
      <c r="CG17" s="26">
        <f t="shared" si="21"/>
        <v>128</v>
      </c>
      <c r="CH17" s="26">
        <f t="shared" si="21"/>
        <v>128</v>
      </c>
      <c r="CI17" s="26">
        <f t="shared" si="21"/>
        <v>128</v>
      </c>
      <c r="CJ17" s="26">
        <f t="shared" si="21"/>
        <v>128</v>
      </c>
      <c r="CK17" s="26">
        <f t="shared" si="21"/>
        <v>128</v>
      </c>
      <c r="CL17" s="26">
        <f t="shared" si="21"/>
        <v>128</v>
      </c>
      <c r="CM17" s="26">
        <f t="shared" si="21"/>
        <v>128</v>
      </c>
      <c r="CN17" s="26">
        <f t="shared" si="21"/>
        <v>128</v>
      </c>
      <c r="CO17" s="26">
        <f t="shared" si="21"/>
        <v>128</v>
      </c>
      <c r="CP17" s="26">
        <f t="shared" si="21"/>
        <v>128</v>
      </c>
      <c r="CQ17" s="26">
        <f t="shared" si="21"/>
        <v>128</v>
      </c>
      <c r="CR17" s="26">
        <f t="shared" si="21"/>
        <v>128</v>
      </c>
      <c r="CS17" s="26">
        <f t="shared" si="21"/>
        <v>128</v>
      </c>
      <c r="CT17" s="26">
        <f t="shared" si="21"/>
        <v>128</v>
      </c>
      <c r="CU17" s="26">
        <f t="shared" si="21"/>
        <v>128</v>
      </c>
      <c r="CV17" s="26">
        <f t="shared" si="21"/>
        <v>128</v>
      </c>
      <c r="CW17" s="26">
        <f t="shared" si="21"/>
        <v>128</v>
      </c>
      <c r="CX17" s="26">
        <f t="shared" si="21"/>
        <v>128</v>
      </c>
      <c r="CY17" s="26">
        <f t="shared" si="21"/>
        <v>128</v>
      </c>
      <c r="CZ17" s="26">
        <f t="shared" si="21"/>
        <v>128</v>
      </c>
      <c r="DA17" s="26">
        <f t="shared" si="21"/>
        <v>128</v>
      </c>
      <c r="DB17" s="26">
        <f t="shared" si="21"/>
        <v>128</v>
      </c>
      <c r="DC17" s="26">
        <f t="shared" si="21"/>
        <v>128</v>
      </c>
      <c r="DD17" s="26">
        <f t="shared" si="21"/>
        <v>128</v>
      </c>
      <c r="DE17" s="26">
        <f t="shared" si="21"/>
        <v>128</v>
      </c>
      <c r="DF17" s="26">
        <f t="shared" si="21"/>
        <v>128</v>
      </c>
      <c r="DG17" s="26">
        <f t="shared" si="21"/>
        <v>128</v>
      </c>
      <c r="DH17" s="26">
        <f t="shared" si="21"/>
        <v>128</v>
      </c>
      <c r="DI17" s="26">
        <f t="shared" si="21"/>
        <v>128</v>
      </c>
      <c r="DJ17" s="26">
        <f t="shared" si="21"/>
        <v>128</v>
      </c>
      <c r="DK17" s="26">
        <f t="shared" si="21"/>
        <v>128</v>
      </c>
      <c r="DL17" s="26">
        <f t="shared" si="21"/>
        <v>128</v>
      </c>
      <c r="DM17" s="26">
        <f t="shared" si="21"/>
        <v>128</v>
      </c>
      <c r="DN17" s="26">
        <f t="shared" si="21"/>
        <v>128</v>
      </c>
      <c r="DO17" s="26">
        <f t="shared" si="21"/>
        <v>128</v>
      </c>
      <c r="DP17" s="26">
        <f t="shared" si="21"/>
        <v>128</v>
      </c>
      <c r="DQ17" s="26">
        <f t="shared" si="21"/>
        <v>128</v>
      </c>
      <c r="DR17" s="26">
        <f t="shared" si="21"/>
        <v>128</v>
      </c>
      <c r="DS17" s="26">
        <f t="shared" si="21"/>
        <v>128</v>
      </c>
      <c r="DT17" s="26">
        <f t="shared" si="21"/>
        <v>64</v>
      </c>
      <c r="DU17" s="26">
        <f t="shared" ref="DU17:GD17" si="22">DU20+DU19</f>
        <v>64</v>
      </c>
      <c r="DV17" s="26">
        <f t="shared" si="22"/>
        <v>64</v>
      </c>
      <c r="DW17" s="26">
        <f t="shared" si="22"/>
        <v>64</v>
      </c>
      <c r="DX17" s="26">
        <f t="shared" si="22"/>
        <v>64</v>
      </c>
      <c r="DY17" s="26">
        <f t="shared" si="22"/>
        <v>64</v>
      </c>
      <c r="DZ17" s="26">
        <f t="shared" si="22"/>
        <v>64</v>
      </c>
      <c r="EA17" s="26">
        <f t="shared" si="22"/>
        <v>64</v>
      </c>
      <c r="EB17" s="26">
        <f t="shared" si="22"/>
        <v>64</v>
      </c>
      <c r="EC17" s="26">
        <f t="shared" si="22"/>
        <v>64</v>
      </c>
      <c r="ED17" s="26">
        <f t="shared" si="22"/>
        <v>64</v>
      </c>
      <c r="EE17" s="26">
        <f t="shared" si="22"/>
        <v>64</v>
      </c>
      <c r="EF17" s="26">
        <f t="shared" si="22"/>
        <v>64</v>
      </c>
      <c r="EG17" s="26">
        <f t="shared" si="22"/>
        <v>64</v>
      </c>
      <c r="EH17" s="26">
        <f t="shared" si="22"/>
        <v>64</v>
      </c>
      <c r="EI17" s="26">
        <f t="shared" si="22"/>
        <v>64</v>
      </c>
      <c r="EJ17" s="26">
        <f t="shared" si="22"/>
        <v>64</v>
      </c>
      <c r="EK17" s="26">
        <f t="shared" si="22"/>
        <v>64</v>
      </c>
      <c r="EL17" s="26">
        <f t="shared" si="22"/>
        <v>64</v>
      </c>
      <c r="EM17" s="26">
        <f t="shared" si="22"/>
        <v>64</v>
      </c>
      <c r="EN17" s="26">
        <f t="shared" si="22"/>
        <v>64</v>
      </c>
      <c r="EO17" s="26">
        <f t="shared" si="22"/>
        <v>64</v>
      </c>
      <c r="EP17" s="26">
        <f t="shared" si="22"/>
        <v>64</v>
      </c>
      <c r="EQ17" s="26">
        <f t="shared" si="22"/>
        <v>64</v>
      </c>
      <c r="ER17" s="26">
        <f t="shared" si="22"/>
        <v>64</v>
      </c>
      <c r="ES17" s="26">
        <f t="shared" si="22"/>
        <v>64</v>
      </c>
      <c r="ET17" s="26">
        <f t="shared" si="22"/>
        <v>64</v>
      </c>
      <c r="EU17" s="26">
        <f t="shared" si="22"/>
        <v>64</v>
      </c>
      <c r="EV17" s="26">
        <f t="shared" si="22"/>
        <v>64</v>
      </c>
      <c r="EW17" s="26">
        <f t="shared" si="22"/>
        <v>64</v>
      </c>
      <c r="EX17" s="26">
        <f t="shared" si="22"/>
        <v>64</v>
      </c>
      <c r="EY17" s="26">
        <f t="shared" si="22"/>
        <v>64</v>
      </c>
      <c r="EZ17" s="62">
        <f t="shared" si="22"/>
        <v>32</v>
      </c>
      <c r="FA17" s="63">
        <f t="shared" si="22"/>
        <v>32</v>
      </c>
      <c r="FB17" s="63">
        <f t="shared" si="22"/>
        <v>32</v>
      </c>
      <c r="FC17" s="63">
        <f t="shared" si="22"/>
        <v>32</v>
      </c>
      <c r="FD17" s="63">
        <f t="shared" si="22"/>
        <v>32</v>
      </c>
      <c r="FE17" s="63">
        <f t="shared" si="22"/>
        <v>32</v>
      </c>
      <c r="FF17" s="63">
        <f t="shared" si="22"/>
        <v>32</v>
      </c>
      <c r="FG17" s="63">
        <f t="shared" si="22"/>
        <v>32</v>
      </c>
      <c r="FH17" s="63">
        <f t="shared" si="22"/>
        <v>32</v>
      </c>
      <c r="FI17" s="63">
        <f t="shared" si="22"/>
        <v>32</v>
      </c>
      <c r="FJ17" s="63">
        <f t="shared" si="22"/>
        <v>32</v>
      </c>
      <c r="FK17" s="63">
        <f t="shared" si="22"/>
        <v>32</v>
      </c>
      <c r="FL17" s="63">
        <f t="shared" si="22"/>
        <v>32</v>
      </c>
      <c r="FM17" s="63">
        <f t="shared" si="22"/>
        <v>32</v>
      </c>
      <c r="FN17" s="63">
        <f t="shared" si="22"/>
        <v>32</v>
      </c>
      <c r="FO17" s="64">
        <f t="shared" si="22"/>
        <v>32</v>
      </c>
      <c r="FP17" s="62">
        <f t="shared" si="22"/>
        <v>16</v>
      </c>
      <c r="FQ17" s="63">
        <f t="shared" si="22"/>
        <v>16</v>
      </c>
      <c r="FR17" s="63">
        <f t="shared" si="22"/>
        <v>16</v>
      </c>
      <c r="FS17" s="63">
        <f t="shared" si="22"/>
        <v>16</v>
      </c>
      <c r="FT17" s="63">
        <f t="shared" si="22"/>
        <v>16</v>
      </c>
      <c r="FU17" s="63">
        <f t="shared" si="22"/>
        <v>16</v>
      </c>
      <c r="FV17" s="63">
        <f t="shared" si="22"/>
        <v>16</v>
      </c>
      <c r="FW17" s="64">
        <f t="shared" si="22"/>
        <v>16</v>
      </c>
      <c r="FX17" s="62">
        <f t="shared" si="22"/>
        <v>8</v>
      </c>
      <c r="FY17" s="63">
        <f t="shared" si="22"/>
        <v>8</v>
      </c>
      <c r="FZ17" s="63">
        <f t="shared" si="22"/>
        <v>8</v>
      </c>
      <c r="GA17" s="64">
        <f t="shared" si="22"/>
        <v>8</v>
      </c>
      <c r="GB17" s="62">
        <f t="shared" si="22"/>
        <v>4</v>
      </c>
      <c r="GC17" s="64">
        <f t="shared" si="22"/>
        <v>4</v>
      </c>
      <c r="GD17" s="106">
        <f t="shared" si="22"/>
        <v>2</v>
      </c>
      <c r="GK17">
        <f>IF(Grps=1,3,Grps*2+GJ15)</f>
        <v>4</v>
      </c>
    </row>
    <row r="18" spans="2:193" ht="15.6" thickTop="1" thickBot="1" x14ac:dyDescent="0.35">
      <c r="B18" s="447"/>
      <c r="C18" s="449"/>
      <c r="D18" s="447"/>
      <c r="E18" s="449"/>
      <c r="G18" s="16" t="s">
        <v>20</v>
      </c>
      <c r="H18" s="16" t="s">
        <v>313</v>
      </c>
      <c r="I18" s="16" t="s">
        <v>314</v>
      </c>
      <c r="K18" s="16" t="s">
        <v>20</v>
      </c>
      <c r="L18" s="16" t="s">
        <v>21</v>
      </c>
      <c r="M18" s="16" t="s">
        <v>22</v>
      </c>
      <c r="AC18">
        <v>128</v>
      </c>
      <c r="AF18" t="s">
        <v>315</v>
      </c>
      <c r="BD18" s="26"/>
      <c r="BH18" s="26"/>
      <c r="BI18" s="26">
        <f>COUNTIF(BI21:BI148,"Bye")</f>
        <v>1</v>
      </c>
      <c r="BJ18" s="26">
        <f t="shared" ref="BJ18:DU18" si="23">COUNTIF(BJ21:BJ148,"Bye")</f>
        <v>2</v>
      </c>
      <c r="BK18" s="26">
        <f t="shared" si="23"/>
        <v>0</v>
      </c>
      <c r="BL18" s="26">
        <f t="shared" si="23"/>
        <v>4</v>
      </c>
      <c r="BM18" s="26">
        <f t="shared" si="23"/>
        <v>5</v>
      </c>
      <c r="BN18" s="26">
        <f t="shared" si="23"/>
        <v>6</v>
      </c>
      <c r="BO18" s="26">
        <f t="shared" si="23"/>
        <v>7</v>
      </c>
      <c r="BP18" s="26">
        <f t="shared" si="23"/>
        <v>8</v>
      </c>
      <c r="BQ18" s="26">
        <f t="shared" si="23"/>
        <v>9</v>
      </c>
      <c r="BR18" s="26">
        <f t="shared" si="23"/>
        <v>10</v>
      </c>
      <c r="BS18" s="26">
        <f t="shared" si="23"/>
        <v>11</v>
      </c>
      <c r="BT18" s="26">
        <f t="shared" si="23"/>
        <v>12</v>
      </c>
      <c r="BU18" s="26">
        <f t="shared" si="23"/>
        <v>13</v>
      </c>
      <c r="BV18" s="26">
        <f t="shared" si="23"/>
        <v>14</v>
      </c>
      <c r="BW18" s="26">
        <f t="shared" si="23"/>
        <v>15</v>
      </c>
      <c r="BX18" s="26">
        <f t="shared" si="23"/>
        <v>16</v>
      </c>
      <c r="BY18" s="26">
        <f t="shared" si="23"/>
        <v>17</v>
      </c>
      <c r="BZ18" s="26">
        <f t="shared" si="23"/>
        <v>18</v>
      </c>
      <c r="CA18" s="26">
        <f t="shared" si="23"/>
        <v>19</v>
      </c>
      <c r="CB18" s="26">
        <f t="shared" si="23"/>
        <v>20</v>
      </c>
      <c r="CC18" s="26">
        <f t="shared" si="23"/>
        <v>21</v>
      </c>
      <c r="CD18" s="26">
        <f t="shared" si="23"/>
        <v>22</v>
      </c>
      <c r="CE18" s="26">
        <f t="shared" si="23"/>
        <v>23</v>
      </c>
      <c r="CF18" s="26">
        <f t="shared" si="23"/>
        <v>24</v>
      </c>
      <c r="CG18" s="26">
        <f t="shared" si="23"/>
        <v>25</v>
      </c>
      <c r="CH18" s="26">
        <f t="shared" si="23"/>
        <v>26</v>
      </c>
      <c r="CI18" s="26">
        <f t="shared" si="23"/>
        <v>27</v>
      </c>
      <c r="CJ18" s="26">
        <f t="shared" si="23"/>
        <v>28</v>
      </c>
      <c r="CK18" s="26">
        <f t="shared" si="23"/>
        <v>29</v>
      </c>
      <c r="CL18" s="26">
        <f t="shared" si="23"/>
        <v>30</v>
      </c>
      <c r="CM18" s="26">
        <f t="shared" si="23"/>
        <v>31</v>
      </c>
      <c r="CN18" s="26">
        <f t="shared" si="23"/>
        <v>32</v>
      </c>
      <c r="CO18" s="26">
        <f t="shared" si="23"/>
        <v>33</v>
      </c>
      <c r="CP18" s="26">
        <f t="shared" si="23"/>
        <v>34</v>
      </c>
      <c r="CQ18" s="26">
        <f t="shared" si="23"/>
        <v>35</v>
      </c>
      <c r="CR18" s="26">
        <f t="shared" si="23"/>
        <v>36</v>
      </c>
      <c r="CS18" s="26">
        <f t="shared" si="23"/>
        <v>37</v>
      </c>
      <c r="CT18" s="26">
        <f t="shared" si="23"/>
        <v>38</v>
      </c>
      <c r="CU18" s="26">
        <f t="shared" si="23"/>
        <v>39</v>
      </c>
      <c r="CV18" s="26">
        <f t="shared" si="23"/>
        <v>40</v>
      </c>
      <c r="CW18" s="26">
        <f t="shared" si="23"/>
        <v>41</v>
      </c>
      <c r="CX18" s="26">
        <f t="shared" si="23"/>
        <v>42</v>
      </c>
      <c r="CY18" s="26">
        <f t="shared" si="23"/>
        <v>43</v>
      </c>
      <c r="CZ18" s="26">
        <f t="shared" si="23"/>
        <v>44</v>
      </c>
      <c r="DA18" s="26">
        <f t="shared" si="23"/>
        <v>45</v>
      </c>
      <c r="DB18" s="26">
        <f t="shared" si="23"/>
        <v>46</v>
      </c>
      <c r="DC18" s="26">
        <f t="shared" si="23"/>
        <v>47</v>
      </c>
      <c r="DD18" s="26">
        <f t="shared" si="23"/>
        <v>48</v>
      </c>
      <c r="DE18" s="26">
        <f t="shared" si="23"/>
        <v>49</v>
      </c>
      <c r="DF18" s="26">
        <f t="shared" si="23"/>
        <v>50</v>
      </c>
      <c r="DG18" s="26">
        <f t="shared" si="23"/>
        <v>51</v>
      </c>
      <c r="DH18" s="26">
        <f t="shared" si="23"/>
        <v>52</v>
      </c>
      <c r="DI18" s="26">
        <f t="shared" si="23"/>
        <v>53</v>
      </c>
      <c r="DJ18" s="26">
        <f t="shared" si="23"/>
        <v>54</v>
      </c>
      <c r="DK18" s="26">
        <f t="shared" si="23"/>
        <v>55</v>
      </c>
      <c r="DL18" s="26">
        <f t="shared" si="23"/>
        <v>56</v>
      </c>
      <c r="DM18" s="26">
        <f t="shared" si="23"/>
        <v>57</v>
      </c>
      <c r="DN18" s="26">
        <f t="shared" si="23"/>
        <v>58</v>
      </c>
      <c r="DO18" s="26">
        <f t="shared" si="23"/>
        <v>59</v>
      </c>
      <c r="DP18" s="26">
        <f t="shared" si="23"/>
        <v>60</v>
      </c>
      <c r="DQ18" s="26">
        <f t="shared" si="23"/>
        <v>61</v>
      </c>
      <c r="DR18" s="26">
        <f t="shared" si="23"/>
        <v>62</v>
      </c>
      <c r="DS18" s="26">
        <f t="shared" si="23"/>
        <v>63</v>
      </c>
      <c r="DT18" s="26">
        <f t="shared" si="23"/>
        <v>0</v>
      </c>
      <c r="DU18" s="26">
        <f t="shared" si="23"/>
        <v>1</v>
      </c>
      <c r="DV18" s="26">
        <f t="shared" ref="DV18:GD18" si="24">COUNTIF(DV21:DV148,"Bye")</f>
        <v>2</v>
      </c>
      <c r="DW18" s="26">
        <f t="shared" si="24"/>
        <v>3</v>
      </c>
      <c r="DX18" s="26">
        <f t="shared" si="24"/>
        <v>4</v>
      </c>
      <c r="DY18" s="26">
        <f t="shared" si="24"/>
        <v>5</v>
      </c>
      <c r="DZ18" s="26">
        <f t="shared" si="24"/>
        <v>6</v>
      </c>
      <c r="EA18" s="26">
        <f t="shared" si="24"/>
        <v>7</v>
      </c>
      <c r="EB18" s="26">
        <f t="shared" si="24"/>
        <v>8</v>
      </c>
      <c r="EC18" s="26">
        <f t="shared" si="24"/>
        <v>9</v>
      </c>
      <c r="ED18" s="26">
        <f t="shared" si="24"/>
        <v>10</v>
      </c>
      <c r="EE18" s="26">
        <f t="shared" si="24"/>
        <v>11</v>
      </c>
      <c r="EF18" s="26">
        <f t="shared" si="24"/>
        <v>12</v>
      </c>
      <c r="EG18" s="26">
        <f t="shared" si="24"/>
        <v>13</v>
      </c>
      <c r="EH18" s="26">
        <f t="shared" si="24"/>
        <v>14</v>
      </c>
      <c r="EI18" s="26">
        <f t="shared" si="24"/>
        <v>15</v>
      </c>
      <c r="EJ18" s="26">
        <f t="shared" si="24"/>
        <v>16</v>
      </c>
      <c r="EK18" s="26">
        <f t="shared" si="24"/>
        <v>17</v>
      </c>
      <c r="EL18" s="26">
        <f t="shared" si="24"/>
        <v>18</v>
      </c>
      <c r="EM18" s="26">
        <f t="shared" si="24"/>
        <v>19</v>
      </c>
      <c r="EN18" s="26">
        <f t="shared" si="24"/>
        <v>20</v>
      </c>
      <c r="EO18" s="26">
        <f t="shared" si="24"/>
        <v>21</v>
      </c>
      <c r="EP18" s="26">
        <f t="shared" si="24"/>
        <v>22</v>
      </c>
      <c r="EQ18" s="26">
        <f t="shared" si="24"/>
        <v>23</v>
      </c>
      <c r="ER18" s="26">
        <f t="shared" si="24"/>
        <v>24</v>
      </c>
      <c r="ES18" s="26">
        <f t="shared" si="24"/>
        <v>25</v>
      </c>
      <c r="ET18" s="26">
        <f t="shared" si="24"/>
        <v>26</v>
      </c>
      <c r="EU18" s="26">
        <f t="shared" si="24"/>
        <v>27</v>
      </c>
      <c r="EV18" s="26">
        <f t="shared" si="24"/>
        <v>28</v>
      </c>
      <c r="EW18" s="26">
        <f t="shared" si="24"/>
        <v>29</v>
      </c>
      <c r="EX18" s="26">
        <f t="shared" si="24"/>
        <v>30</v>
      </c>
      <c r="EY18" s="26">
        <f t="shared" si="24"/>
        <v>31</v>
      </c>
      <c r="EZ18" s="65">
        <f t="shared" si="24"/>
        <v>0</v>
      </c>
      <c r="FA18" s="26">
        <f t="shared" si="24"/>
        <v>1</v>
      </c>
      <c r="FB18" s="26">
        <f t="shared" si="24"/>
        <v>2</v>
      </c>
      <c r="FC18" s="26">
        <f t="shared" si="24"/>
        <v>3</v>
      </c>
      <c r="FD18" s="26">
        <f t="shared" si="24"/>
        <v>4</v>
      </c>
      <c r="FE18" s="26">
        <f t="shared" si="24"/>
        <v>5</v>
      </c>
      <c r="FF18" s="26">
        <f t="shared" si="24"/>
        <v>6</v>
      </c>
      <c r="FG18" s="26">
        <f t="shared" si="24"/>
        <v>7</v>
      </c>
      <c r="FH18" s="26">
        <f t="shared" si="24"/>
        <v>8</v>
      </c>
      <c r="FI18" s="26">
        <f t="shared" si="24"/>
        <v>9</v>
      </c>
      <c r="FJ18" s="26">
        <f t="shared" si="24"/>
        <v>10</v>
      </c>
      <c r="FK18" s="26">
        <f t="shared" si="24"/>
        <v>11</v>
      </c>
      <c r="FL18" s="26">
        <f t="shared" si="24"/>
        <v>12</v>
      </c>
      <c r="FM18" s="26">
        <f t="shared" si="24"/>
        <v>13</v>
      </c>
      <c r="FN18" s="26">
        <f t="shared" si="24"/>
        <v>14</v>
      </c>
      <c r="FO18" s="66">
        <f t="shared" si="24"/>
        <v>15</v>
      </c>
      <c r="FP18" s="65">
        <f t="shared" si="24"/>
        <v>0</v>
      </c>
      <c r="FQ18" s="26">
        <f t="shared" si="24"/>
        <v>1</v>
      </c>
      <c r="FR18" s="26">
        <f t="shared" si="24"/>
        <v>2</v>
      </c>
      <c r="FS18" s="26">
        <f t="shared" si="24"/>
        <v>3</v>
      </c>
      <c r="FT18" s="26">
        <f t="shared" si="24"/>
        <v>4</v>
      </c>
      <c r="FU18" s="26">
        <f t="shared" si="24"/>
        <v>5</v>
      </c>
      <c r="FV18" s="26">
        <f t="shared" si="24"/>
        <v>6</v>
      </c>
      <c r="FW18" s="66">
        <f t="shared" si="24"/>
        <v>7</v>
      </c>
      <c r="FX18" s="65">
        <f t="shared" si="24"/>
        <v>0</v>
      </c>
      <c r="FY18" s="26">
        <f t="shared" si="24"/>
        <v>1</v>
      </c>
      <c r="FZ18" s="26">
        <f t="shared" si="24"/>
        <v>2</v>
      </c>
      <c r="GA18" s="66">
        <f t="shared" si="24"/>
        <v>3</v>
      </c>
      <c r="GB18" s="65">
        <f t="shared" si="24"/>
        <v>0</v>
      </c>
      <c r="GC18" s="66">
        <f t="shared" si="24"/>
        <v>1</v>
      </c>
      <c r="GD18" s="107">
        <f t="shared" si="24"/>
        <v>0</v>
      </c>
      <c r="GK18">
        <f>IF(Grps=3,"",IF(Grps=1,4,Grps*3+GJ15))</f>
        <v>4</v>
      </c>
    </row>
    <row r="19" spans="2:193" ht="15" thickTop="1" x14ac:dyDescent="0.3">
      <c r="B19" s="17" t="s">
        <v>316</v>
      </c>
      <c r="C19" s="12">
        <v>1</v>
      </c>
      <c r="D19" s="20" t="s">
        <v>317</v>
      </c>
      <c r="E19" s="23">
        <v>7</v>
      </c>
      <c r="G19" s="1">
        <v>0</v>
      </c>
      <c r="H19" s="11">
        <v>8</v>
      </c>
      <c r="I19" s="12">
        <v>8</v>
      </c>
      <c r="K19" s="26" t="s">
        <v>23</v>
      </c>
      <c r="L19" s="26">
        <v>8</v>
      </c>
      <c r="M19" s="113" t="s">
        <v>24</v>
      </c>
      <c r="O19" s="7"/>
      <c r="T19" s="7"/>
      <c r="AA19">
        <v>1</v>
      </c>
      <c r="AB19" t="s">
        <v>318</v>
      </c>
      <c r="AC19">
        <v>1</v>
      </c>
      <c r="AD19">
        <v>128</v>
      </c>
      <c r="AE19" s="7" t="s">
        <v>301</v>
      </c>
      <c r="AF19" s="8">
        <v>1</v>
      </c>
      <c r="AG19" t="str">
        <f t="shared" ref="AG19:AG24" si="25">CONCATENATE(AE19,AF19)</f>
        <v>A1</v>
      </c>
      <c r="AH19">
        <v>1</v>
      </c>
      <c r="BD19" s="26"/>
      <c r="BG19" t="s">
        <v>319</v>
      </c>
      <c r="BH19" s="28"/>
      <c r="BI19" s="28">
        <f>COUNTIF(BI21:BI148,"Bye")</f>
        <v>1</v>
      </c>
      <c r="BJ19" s="28">
        <f t="shared" ref="BJ19:DU19" si="26">COUNTIF(BJ21:BJ148,"Bye")</f>
        <v>2</v>
      </c>
      <c r="BK19" s="28">
        <f t="shared" si="26"/>
        <v>0</v>
      </c>
      <c r="BL19" s="28">
        <f t="shared" si="26"/>
        <v>4</v>
      </c>
      <c r="BM19" s="28">
        <f t="shared" si="26"/>
        <v>5</v>
      </c>
      <c r="BN19" s="28">
        <f t="shared" si="26"/>
        <v>6</v>
      </c>
      <c r="BO19" s="28">
        <f t="shared" si="26"/>
        <v>7</v>
      </c>
      <c r="BP19" s="28">
        <f t="shared" si="26"/>
        <v>8</v>
      </c>
      <c r="BQ19" s="28">
        <f t="shared" si="26"/>
        <v>9</v>
      </c>
      <c r="BR19" s="28">
        <f t="shared" si="26"/>
        <v>10</v>
      </c>
      <c r="BS19" s="28">
        <f t="shared" si="26"/>
        <v>11</v>
      </c>
      <c r="BT19" s="28">
        <f t="shared" si="26"/>
        <v>12</v>
      </c>
      <c r="BU19" s="28">
        <f t="shared" si="26"/>
        <v>13</v>
      </c>
      <c r="BV19" s="28">
        <f t="shared" si="26"/>
        <v>14</v>
      </c>
      <c r="BW19" s="28">
        <f t="shared" si="26"/>
        <v>15</v>
      </c>
      <c r="BX19" s="28">
        <f t="shared" si="26"/>
        <v>16</v>
      </c>
      <c r="BY19" s="28">
        <f t="shared" si="26"/>
        <v>17</v>
      </c>
      <c r="BZ19" s="28">
        <f t="shared" si="26"/>
        <v>18</v>
      </c>
      <c r="CA19" s="28">
        <f t="shared" si="26"/>
        <v>19</v>
      </c>
      <c r="CB19" s="28">
        <f t="shared" si="26"/>
        <v>20</v>
      </c>
      <c r="CC19" s="28">
        <f t="shared" si="26"/>
        <v>21</v>
      </c>
      <c r="CD19" s="28">
        <f t="shared" si="26"/>
        <v>22</v>
      </c>
      <c r="CE19" s="28">
        <f t="shared" si="26"/>
        <v>23</v>
      </c>
      <c r="CF19" s="28">
        <f t="shared" si="26"/>
        <v>24</v>
      </c>
      <c r="CG19" s="28">
        <f t="shared" si="26"/>
        <v>25</v>
      </c>
      <c r="CH19" s="28">
        <f t="shared" si="26"/>
        <v>26</v>
      </c>
      <c r="CI19" s="28">
        <f t="shared" si="26"/>
        <v>27</v>
      </c>
      <c r="CJ19" s="28">
        <f t="shared" si="26"/>
        <v>28</v>
      </c>
      <c r="CK19" s="28">
        <f t="shared" si="26"/>
        <v>29</v>
      </c>
      <c r="CL19" s="28">
        <f t="shared" si="26"/>
        <v>30</v>
      </c>
      <c r="CM19" s="28">
        <f t="shared" si="26"/>
        <v>31</v>
      </c>
      <c r="CN19" s="28">
        <f t="shared" si="26"/>
        <v>32</v>
      </c>
      <c r="CO19" s="28">
        <f t="shared" si="26"/>
        <v>33</v>
      </c>
      <c r="CP19" s="28">
        <f t="shared" si="26"/>
        <v>34</v>
      </c>
      <c r="CQ19" s="28">
        <f t="shared" si="26"/>
        <v>35</v>
      </c>
      <c r="CR19" s="28">
        <f t="shared" si="26"/>
        <v>36</v>
      </c>
      <c r="CS19" s="28">
        <f t="shared" si="26"/>
        <v>37</v>
      </c>
      <c r="CT19" s="28">
        <f t="shared" si="26"/>
        <v>38</v>
      </c>
      <c r="CU19" s="28">
        <f t="shared" si="26"/>
        <v>39</v>
      </c>
      <c r="CV19" s="28">
        <f t="shared" si="26"/>
        <v>40</v>
      </c>
      <c r="CW19" s="28">
        <f t="shared" si="26"/>
        <v>41</v>
      </c>
      <c r="CX19" s="28">
        <f t="shared" si="26"/>
        <v>42</v>
      </c>
      <c r="CY19" s="28">
        <f t="shared" si="26"/>
        <v>43</v>
      </c>
      <c r="CZ19" s="28">
        <f t="shared" si="26"/>
        <v>44</v>
      </c>
      <c r="DA19" s="28">
        <f t="shared" si="26"/>
        <v>45</v>
      </c>
      <c r="DB19" s="28">
        <f t="shared" si="26"/>
        <v>46</v>
      </c>
      <c r="DC19" s="28">
        <f t="shared" si="26"/>
        <v>47</v>
      </c>
      <c r="DD19" s="28">
        <f t="shared" si="26"/>
        <v>48</v>
      </c>
      <c r="DE19" s="28">
        <f t="shared" si="26"/>
        <v>49</v>
      </c>
      <c r="DF19" s="28">
        <f t="shared" si="26"/>
        <v>50</v>
      </c>
      <c r="DG19" s="28">
        <f t="shared" si="26"/>
        <v>51</v>
      </c>
      <c r="DH19" s="28">
        <f t="shared" si="26"/>
        <v>52</v>
      </c>
      <c r="DI19" s="28">
        <f t="shared" si="26"/>
        <v>53</v>
      </c>
      <c r="DJ19" s="28">
        <f t="shared" si="26"/>
        <v>54</v>
      </c>
      <c r="DK19" s="28">
        <f t="shared" si="26"/>
        <v>55</v>
      </c>
      <c r="DL19" s="28">
        <f t="shared" si="26"/>
        <v>56</v>
      </c>
      <c r="DM19" s="28">
        <f t="shared" si="26"/>
        <v>57</v>
      </c>
      <c r="DN19" s="28">
        <f t="shared" si="26"/>
        <v>58</v>
      </c>
      <c r="DO19" s="28">
        <f t="shared" si="26"/>
        <v>59</v>
      </c>
      <c r="DP19" s="28">
        <f t="shared" si="26"/>
        <v>60</v>
      </c>
      <c r="DQ19" s="28">
        <f t="shared" si="26"/>
        <v>61</v>
      </c>
      <c r="DR19" s="28">
        <f t="shared" si="26"/>
        <v>62</v>
      </c>
      <c r="DS19" s="28">
        <f t="shared" si="26"/>
        <v>63</v>
      </c>
      <c r="DT19" s="28">
        <f t="shared" si="26"/>
        <v>0</v>
      </c>
      <c r="DU19" s="28">
        <f t="shared" si="26"/>
        <v>1</v>
      </c>
      <c r="DV19" s="28">
        <f t="shared" ref="DV19:GD19" si="27">COUNTIF(DV21:DV148,"Bye")</f>
        <v>2</v>
      </c>
      <c r="DW19" s="28">
        <f t="shared" si="27"/>
        <v>3</v>
      </c>
      <c r="DX19" s="28">
        <f t="shared" si="27"/>
        <v>4</v>
      </c>
      <c r="DY19" s="28">
        <f t="shared" si="27"/>
        <v>5</v>
      </c>
      <c r="DZ19" s="28">
        <f t="shared" si="27"/>
        <v>6</v>
      </c>
      <c r="EA19" s="28">
        <f t="shared" si="27"/>
        <v>7</v>
      </c>
      <c r="EB19" s="28">
        <f t="shared" si="27"/>
        <v>8</v>
      </c>
      <c r="EC19" s="28">
        <f t="shared" si="27"/>
        <v>9</v>
      </c>
      <c r="ED19" s="28">
        <f t="shared" si="27"/>
        <v>10</v>
      </c>
      <c r="EE19" s="28">
        <f t="shared" si="27"/>
        <v>11</v>
      </c>
      <c r="EF19" s="28">
        <f t="shared" si="27"/>
        <v>12</v>
      </c>
      <c r="EG19" s="28">
        <f t="shared" si="27"/>
        <v>13</v>
      </c>
      <c r="EH19" s="28">
        <f t="shared" si="27"/>
        <v>14</v>
      </c>
      <c r="EI19" s="28">
        <f t="shared" si="27"/>
        <v>15</v>
      </c>
      <c r="EJ19" s="28">
        <f t="shared" si="27"/>
        <v>16</v>
      </c>
      <c r="EK19" s="28">
        <f t="shared" si="27"/>
        <v>17</v>
      </c>
      <c r="EL19" s="28">
        <f t="shared" si="27"/>
        <v>18</v>
      </c>
      <c r="EM19" s="28">
        <f t="shared" si="27"/>
        <v>19</v>
      </c>
      <c r="EN19" s="28">
        <f t="shared" si="27"/>
        <v>20</v>
      </c>
      <c r="EO19" s="28">
        <f t="shared" si="27"/>
        <v>21</v>
      </c>
      <c r="EP19" s="28">
        <f t="shared" si="27"/>
        <v>22</v>
      </c>
      <c r="EQ19" s="28">
        <f t="shared" si="27"/>
        <v>23</v>
      </c>
      <c r="ER19" s="28">
        <f t="shared" si="27"/>
        <v>24</v>
      </c>
      <c r="ES19" s="28">
        <f t="shared" si="27"/>
        <v>25</v>
      </c>
      <c r="ET19" s="28">
        <f t="shared" si="27"/>
        <v>26</v>
      </c>
      <c r="EU19" s="28">
        <f t="shared" si="27"/>
        <v>27</v>
      </c>
      <c r="EV19" s="28">
        <f t="shared" si="27"/>
        <v>28</v>
      </c>
      <c r="EW19" s="28">
        <f t="shared" si="27"/>
        <v>29</v>
      </c>
      <c r="EX19" s="28">
        <f t="shared" si="27"/>
        <v>30</v>
      </c>
      <c r="EY19" s="28">
        <f t="shared" si="27"/>
        <v>31</v>
      </c>
      <c r="EZ19" s="67">
        <f t="shared" si="27"/>
        <v>0</v>
      </c>
      <c r="FA19" s="28">
        <f t="shared" si="27"/>
        <v>1</v>
      </c>
      <c r="FB19" s="28">
        <f t="shared" si="27"/>
        <v>2</v>
      </c>
      <c r="FC19" s="28">
        <f t="shared" si="27"/>
        <v>3</v>
      </c>
      <c r="FD19" s="28">
        <f t="shared" si="27"/>
        <v>4</v>
      </c>
      <c r="FE19" s="28">
        <f t="shared" si="27"/>
        <v>5</v>
      </c>
      <c r="FF19" s="28">
        <f t="shared" si="27"/>
        <v>6</v>
      </c>
      <c r="FG19" s="28">
        <f t="shared" si="27"/>
        <v>7</v>
      </c>
      <c r="FH19" s="28">
        <f t="shared" si="27"/>
        <v>8</v>
      </c>
      <c r="FI19" s="28">
        <f t="shared" si="27"/>
        <v>9</v>
      </c>
      <c r="FJ19" s="28">
        <f t="shared" si="27"/>
        <v>10</v>
      </c>
      <c r="FK19" s="28">
        <f t="shared" si="27"/>
        <v>11</v>
      </c>
      <c r="FL19" s="28">
        <f t="shared" si="27"/>
        <v>12</v>
      </c>
      <c r="FM19" s="28">
        <f t="shared" si="27"/>
        <v>13</v>
      </c>
      <c r="FN19" s="28">
        <f t="shared" si="27"/>
        <v>14</v>
      </c>
      <c r="FO19" s="68">
        <f t="shared" si="27"/>
        <v>15</v>
      </c>
      <c r="FP19" s="67">
        <f t="shared" si="27"/>
        <v>0</v>
      </c>
      <c r="FQ19" s="28">
        <f t="shared" si="27"/>
        <v>1</v>
      </c>
      <c r="FR19" s="28">
        <f t="shared" si="27"/>
        <v>2</v>
      </c>
      <c r="FS19" s="28">
        <f t="shared" si="27"/>
        <v>3</v>
      </c>
      <c r="FT19" s="28">
        <f t="shared" si="27"/>
        <v>4</v>
      </c>
      <c r="FU19" s="28">
        <f t="shared" si="27"/>
        <v>5</v>
      </c>
      <c r="FV19" s="28">
        <f t="shared" si="27"/>
        <v>6</v>
      </c>
      <c r="FW19" s="68">
        <f t="shared" si="27"/>
        <v>7</v>
      </c>
      <c r="FX19" s="67">
        <f t="shared" si="27"/>
        <v>0</v>
      </c>
      <c r="FY19" s="28">
        <f t="shared" si="27"/>
        <v>1</v>
      </c>
      <c r="FZ19" s="28">
        <f t="shared" si="27"/>
        <v>2</v>
      </c>
      <c r="GA19" s="68">
        <f t="shared" si="27"/>
        <v>3</v>
      </c>
      <c r="GB19" s="67">
        <f t="shared" si="27"/>
        <v>0</v>
      </c>
      <c r="GC19" s="68">
        <f t="shared" si="27"/>
        <v>1</v>
      </c>
      <c r="GD19" s="108">
        <f t="shared" si="27"/>
        <v>0</v>
      </c>
      <c r="GJ19">
        <f>GJ15+1</f>
        <v>5</v>
      </c>
      <c r="GK19" t="str">
        <f>IF(Grps&gt;GJ15,GJ19,"")</f>
        <v/>
      </c>
    </row>
    <row r="20" spans="2:193" x14ac:dyDescent="0.3">
      <c r="B20" s="18" t="s">
        <v>320</v>
      </c>
      <c r="C20" s="13">
        <v>10</v>
      </c>
      <c r="D20" s="21" t="s">
        <v>321</v>
      </c>
      <c r="E20" s="24">
        <v>8</v>
      </c>
      <c r="G20" s="2">
        <v>1</v>
      </c>
      <c r="H20" s="5">
        <v>8</v>
      </c>
      <c r="I20" s="13">
        <v>8</v>
      </c>
      <c r="K20" s="26" t="s">
        <v>25</v>
      </c>
      <c r="L20" s="26">
        <v>7</v>
      </c>
      <c r="M20" s="113" t="s">
        <v>26</v>
      </c>
      <c r="O20" s="7"/>
      <c r="T20" s="7"/>
      <c r="AA20">
        <f>AA19+1</f>
        <v>2</v>
      </c>
      <c r="AB20" t="s">
        <v>318</v>
      </c>
      <c r="AC20">
        <f>AC19+1</f>
        <v>2</v>
      </c>
      <c r="AD20">
        <v>128</v>
      </c>
      <c r="AE20" s="7" t="s">
        <v>302</v>
      </c>
      <c r="AF20">
        <v>1</v>
      </c>
      <c r="AG20" t="str">
        <f t="shared" si="25"/>
        <v>B1</v>
      </c>
      <c r="AH20">
        <f>AH19+1</f>
        <v>2</v>
      </c>
      <c r="BD20" s="26"/>
      <c r="BE20">
        <f>COUNTIF(BE21:BE148,"Bye")</f>
        <v>62</v>
      </c>
      <c r="BF20" t="s">
        <v>90</v>
      </c>
      <c r="BH20" s="28">
        <v>128</v>
      </c>
      <c r="BI20" s="28">
        <f>BH20-1</f>
        <v>127</v>
      </c>
      <c r="BJ20" s="28">
        <f t="shared" ref="BJ20:DU20" si="28">BI20-1</f>
        <v>126</v>
      </c>
      <c r="BK20" s="28">
        <f t="shared" si="28"/>
        <v>125</v>
      </c>
      <c r="BL20" s="28">
        <f t="shared" si="28"/>
        <v>124</v>
      </c>
      <c r="BM20" s="28">
        <f t="shared" si="28"/>
        <v>123</v>
      </c>
      <c r="BN20" s="28">
        <f t="shared" si="28"/>
        <v>122</v>
      </c>
      <c r="BO20" s="28">
        <f t="shared" si="28"/>
        <v>121</v>
      </c>
      <c r="BP20" s="28">
        <f t="shared" si="28"/>
        <v>120</v>
      </c>
      <c r="BQ20" s="28">
        <f t="shared" si="28"/>
        <v>119</v>
      </c>
      <c r="BR20" s="28">
        <f t="shared" si="28"/>
        <v>118</v>
      </c>
      <c r="BS20" s="28">
        <f t="shared" si="28"/>
        <v>117</v>
      </c>
      <c r="BT20" s="28">
        <f t="shared" si="28"/>
        <v>116</v>
      </c>
      <c r="BU20" s="28">
        <f t="shared" si="28"/>
        <v>115</v>
      </c>
      <c r="BV20" s="28">
        <f t="shared" si="28"/>
        <v>114</v>
      </c>
      <c r="BW20" s="28">
        <f t="shared" si="28"/>
        <v>113</v>
      </c>
      <c r="BX20" s="28">
        <f t="shared" si="28"/>
        <v>112</v>
      </c>
      <c r="BY20" s="28">
        <f t="shared" si="28"/>
        <v>111</v>
      </c>
      <c r="BZ20" s="28">
        <f t="shared" si="28"/>
        <v>110</v>
      </c>
      <c r="CA20" s="28">
        <f t="shared" si="28"/>
        <v>109</v>
      </c>
      <c r="CB20" s="28">
        <f t="shared" si="28"/>
        <v>108</v>
      </c>
      <c r="CC20" s="28">
        <f t="shared" si="28"/>
        <v>107</v>
      </c>
      <c r="CD20" s="28">
        <f t="shared" si="28"/>
        <v>106</v>
      </c>
      <c r="CE20" s="28">
        <f t="shared" si="28"/>
        <v>105</v>
      </c>
      <c r="CF20" s="28">
        <f t="shared" si="28"/>
        <v>104</v>
      </c>
      <c r="CG20" s="28">
        <f t="shared" si="28"/>
        <v>103</v>
      </c>
      <c r="CH20" s="28">
        <f t="shared" si="28"/>
        <v>102</v>
      </c>
      <c r="CI20" s="28">
        <f t="shared" si="28"/>
        <v>101</v>
      </c>
      <c r="CJ20" s="28">
        <f t="shared" si="28"/>
        <v>100</v>
      </c>
      <c r="CK20" s="28">
        <f t="shared" si="28"/>
        <v>99</v>
      </c>
      <c r="CL20" s="28">
        <f t="shared" si="28"/>
        <v>98</v>
      </c>
      <c r="CM20" s="28">
        <f t="shared" si="28"/>
        <v>97</v>
      </c>
      <c r="CN20" s="28">
        <f t="shared" si="28"/>
        <v>96</v>
      </c>
      <c r="CO20" s="28">
        <f t="shared" si="28"/>
        <v>95</v>
      </c>
      <c r="CP20" s="28">
        <f t="shared" si="28"/>
        <v>94</v>
      </c>
      <c r="CQ20" s="28">
        <f t="shared" si="28"/>
        <v>93</v>
      </c>
      <c r="CR20" s="28">
        <f t="shared" si="28"/>
        <v>92</v>
      </c>
      <c r="CS20" s="28">
        <f t="shared" si="28"/>
        <v>91</v>
      </c>
      <c r="CT20" s="28">
        <f t="shared" si="28"/>
        <v>90</v>
      </c>
      <c r="CU20" s="28">
        <f t="shared" si="28"/>
        <v>89</v>
      </c>
      <c r="CV20" s="28">
        <f t="shared" si="28"/>
        <v>88</v>
      </c>
      <c r="CW20" s="28">
        <f t="shared" si="28"/>
        <v>87</v>
      </c>
      <c r="CX20" s="28">
        <f t="shared" si="28"/>
        <v>86</v>
      </c>
      <c r="CY20" s="28">
        <f t="shared" si="28"/>
        <v>85</v>
      </c>
      <c r="CZ20" s="28">
        <f t="shared" si="28"/>
        <v>84</v>
      </c>
      <c r="DA20" s="28">
        <f t="shared" si="28"/>
        <v>83</v>
      </c>
      <c r="DB20" s="28">
        <f t="shared" si="28"/>
        <v>82</v>
      </c>
      <c r="DC20" s="28">
        <f t="shared" si="28"/>
        <v>81</v>
      </c>
      <c r="DD20" s="28">
        <f t="shared" si="28"/>
        <v>80</v>
      </c>
      <c r="DE20" s="28">
        <f t="shared" si="28"/>
        <v>79</v>
      </c>
      <c r="DF20" s="28">
        <f t="shared" si="28"/>
        <v>78</v>
      </c>
      <c r="DG20" s="28">
        <f t="shared" si="28"/>
        <v>77</v>
      </c>
      <c r="DH20" s="28">
        <f t="shared" si="28"/>
        <v>76</v>
      </c>
      <c r="DI20" s="28">
        <f t="shared" si="28"/>
        <v>75</v>
      </c>
      <c r="DJ20" s="28">
        <f t="shared" si="28"/>
        <v>74</v>
      </c>
      <c r="DK20" s="28">
        <f t="shared" si="28"/>
        <v>73</v>
      </c>
      <c r="DL20" s="28">
        <f t="shared" si="28"/>
        <v>72</v>
      </c>
      <c r="DM20" s="28">
        <f t="shared" si="28"/>
        <v>71</v>
      </c>
      <c r="DN20" s="28">
        <f t="shared" si="28"/>
        <v>70</v>
      </c>
      <c r="DO20" s="28">
        <f t="shared" si="28"/>
        <v>69</v>
      </c>
      <c r="DP20" s="28">
        <f t="shared" si="28"/>
        <v>68</v>
      </c>
      <c r="DQ20" s="28">
        <f t="shared" si="28"/>
        <v>67</v>
      </c>
      <c r="DR20" s="28">
        <f t="shared" si="28"/>
        <v>66</v>
      </c>
      <c r="DS20" s="28">
        <f t="shared" si="28"/>
        <v>65</v>
      </c>
      <c r="DT20" s="28">
        <f t="shared" si="28"/>
        <v>64</v>
      </c>
      <c r="DU20" s="28">
        <f t="shared" si="28"/>
        <v>63</v>
      </c>
      <c r="DV20" s="28">
        <f t="shared" ref="DV20:GD20" si="29">DU20-1</f>
        <v>62</v>
      </c>
      <c r="DW20" s="28">
        <f t="shared" si="29"/>
        <v>61</v>
      </c>
      <c r="DX20" s="28">
        <f t="shared" si="29"/>
        <v>60</v>
      </c>
      <c r="DY20" s="28">
        <f t="shared" si="29"/>
        <v>59</v>
      </c>
      <c r="DZ20" s="28">
        <f t="shared" si="29"/>
        <v>58</v>
      </c>
      <c r="EA20" s="28">
        <f t="shared" si="29"/>
        <v>57</v>
      </c>
      <c r="EB20" s="28">
        <f t="shared" si="29"/>
        <v>56</v>
      </c>
      <c r="EC20" s="28">
        <f t="shared" si="29"/>
        <v>55</v>
      </c>
      <c r="ED20" s="28">
        <f t="shared" si="29"/>
        <v>54</v>
      </c>
      <c r="EE20" s="28">
        <f t="shared" si="29"/>
        <v>53</v>
      </c>
      <c r="EF20" s="28">
        <f t="shared" si="29"/>
        <v>52</v>
      </c>
      <c r="EG20" s="28">
        <f t="shared" si="29"/>
        <v>51</v>
      </c>
      <c r="EH20" s="28">
        <f t="shared" si="29"/>
        <v>50</v>
      </c>
      <c r="EI20" s="28">
        <f t="shared" si="29"/>
        <v>49</v>
      </c>
      <c r="EJ20" s="28">
        <f t="shared" si="29"/>
        <v>48</v>
      </c>
      <c r="EK20" s="28">
        <f t="shared" si="29"/>
        <v>47</v>
      </c>
      <c r="EL20" s="28">
        <f t="shared" si="29"/>
        <v>46</v>
      </c>
      <c r="EM20" s="28">
        <f t="shared" si="29"/>
        <v>45</v>
      </c>
      <c r="EN20" s="28">
        <f t="shared" si="29"/>
        <v>44</v>
      </c>
      <c r="EO20" s="28">
        <f t="shared" si="29"/>
        <v>43</v>
      </c>
      <c r="EP20" s="28">
        <f t="shared" si="29"/>
        <v>42</v>
      </c>
      <c r="EQ20" s="28">
        <f t="shared" si="29"/>
        <v>41</v>
      </c>
      <c r="ER20" s="28">
        <f t="shared" si="29"/>
        <v>40</v>
      </c>
      <c r="ES20" s="28">
        <f t="shared" si="29"/>
        <v>39</v>
      </c>
      <c r="ET20" s="28">
        <f t="shared" si="29"/>
        <v>38</v>
      </c>
      <c r="EU20" s="28">
        <f t="shared" si="29"/>
        <v>37</v>
      </c>
      <c r="EV20" s="28">
        <f t="shared" si="29"/>
        <v>36</v>
      </c>
      <c r="EW20" s="28">
        <f t="shared" si="29"/>
        <v>35</v>
      </c>
      <c r="EX20" s="28">
        <f t="shared" si="29"/>
        <v>34</v>
      </c>
      <c r="EY20" s="28">
        <f t="shared" si="29"/>
        <v>33</v>
      </c>
      <c r="EZ20" s="67">
        <f t="shared" si="29"/>
        <v>32</v>
      </c>
      <c r="FA20" s="28">
        <f t="shared" si="29"/>
        <v>31</v>
      </c>
      <c r="FB20" s="28">
        <f t="shared" si="29"/>
        <v>30</v>
      </c>
      <c r="FC20" s="28">
        <f t="shared" si="29"/>
        <v>29</v>
      </c>
      <c r="FD20" s="28">
        <f t="shared" si="29"/>
        <v>28</v>
      </c>
      <c r="FE20" s="28">
        <f t="shared" si="29"/>
        <v>27</v>
      </c>
      <c r="FF20" s="28">
        <f t="shared" si="29"/>
        <v>26</v>
      </c>
      <c r="FG20" s="28">
        <f t="shared" si="29"/>
        <v>25</v>
      </c>
      <c r="FH20" s="28">
        <f t="shared" si="29"/>
        <v>24</v>
      </c>
      <c r="FI20" s="28">
        <f t="shared" si="29"/>
        <v>23</v>
      </c>
      <c r="FJ20" s="28">
        <f t="shared" si="29"/>
        <v>22</v>
      </c>
      <c r="FK20" s="28">
        <f t="shared" si="29"/>
        <v>21</v>
      </c>
      <c r="FL20" s="28">
        <f t="shared" si="29"/>
        <v>20</v>
      </c>
      <c r="FM20" s="28">
        <f t="shared" si="29"/>
        <v>19</v>
      </c>
      <c r="FN20" s="28">
        <f t="shared" si="29"/>
        <v>18</v>
      </c>
      <c r="FO20" s="68">
        <f t="shared" si="29"/>
        <v>17</v>
      </c>
      <c r="FP20" s="67">
        <f t="shared" si="29"/>
        <v>16</v>
      </c>
      <c r="FQ20" s="28">
        <f t="shared" si="29"/>
        <v>15</v>
      </c>
      <c r="FR20" s="28">
        <f t="shared" si="29"/>
        <v>14</v>
      </c>
      <c r="FS20" s="28">
        <f t="shared" si="29"/>
        <v>13</v>
      </c>
      <c r="FT20" s="28">
        <f t="shared" si="29"/>
        <v>12</v>
      </c>
      <c r="FU20" s="28">
        <f t="shared" si="29"/>
        <v>11</v>
      </c>
      <c r="FV20" s="28">
        <f t="shared" si="29"/>
        <v>10</v>
      </c>
      <c r="FW20" s="68">
        <f t="shared" si="29"/>
        <v>9</v>
      </c>
      <c r="FX20" s="67">
        <f t="shared" si="29"/>
        <v>8</v>
      </c>
      <c r="FY20" s="28">
        <f t="shared" si="29"/>
        <v>7</v>
      </c>
      <c r="FZ20" s="28">
        <f t="shared" si="29"/>
        <v>6</v>
      </c>
      <c r="GA20" s="68">
        <f t="shared" si="29"/>
        <v>5</v>
      </c>
      <c r="GB20" s="67">
        <f t="shared" si="29"/>
        <v>4</v>
      </c>
      <c r="GC20" s="68">
        <f t="shared" si="29"/>
        <v>3</v>
      </c>
      <c r="GD20" s="108">
        <f t="shared" si="29"/>
        <v>2</v>
      </c>
      <c r="GK20" t="str">
        <f>IF(Grps&gt;GJ15,GK16+1,"")</f>
        <v/>
      </c>
    </row>
    <row r="21" spans="2:193" x14ac:dyDescent="0.3">
      <c r="B21" s="18" t="s">
        <v>322</v>
      </c>
      <c r="C21" s="13">
        <v>12</v>
      </c>
      <c r="D21" s="21" t="s">
        <v>323</v>
      </c>
      <c r="E21" s="24">
        <v>6</v>
      </c>
      <c r="G21" s="2">
        <v>2</v>
      </c>
      <c r="H21" s="5">
        <v>8</v>
      </c>
      <c r="I21" s="13">
        <v>8</v>
      </c>
      <c r="K21" s="26" t="s">
        <v>27</v>
      </c>
      <c r="L21" s="26">
        <v>5</v>
      </c>
      <c r="M21" s="113" t="s">
        <v>28</v>
      </c>
      <c r="O21" s="7"/>
      <c r="T21" s="7"/>
      <c r="AA21">
        <f>AA20+1</f>
        <v>3</v>
      </c>
      <c r="AB21" t="s">
        <v>318</v>
      </c>
      <c r="AC21">
        <f>AC20+1</f>
        <v>3</v>
      </c>
      <c r="AD21">
        <v>128</v>
      </c>
      <c r="AE21" s="7" t="s">
        <v>305</v>
      </c>
      <c r="AF21">
        <v>1</v>
      </c>
      <c r="AG21" t="str">
        <f t="shared" si="25"/>
        <v>D1</v>
      </c>
      <c r="AH21">
        <f>AH20+1</f>
        <v>3</v>
      </c>
      <c r="BD21" s="26"/>
      <c r="BE21" s="26">
        <f>IF(BF21&gt;66,"BYE",BF21)</f>
        <v>1</v>
      </c>
      <c r="BF21">
        <v>1</v>
      </c>
      <c r="BG21">
        <v>1</v>
      </c>
      <c r="BH21" s="38">
        <v>1</v>
      </c>
      <c r="BI21" s="39">
        <v>1</v>
      </c>
      <c r="BJ21" s="39">
        <v>1</v>
      </c>
      <c r="BK21" s="39">
        <v>1</v>
      </c>
      <c r="BL21" s="39">
        <v>1</v>
      </c>
      <c r="BM21" s="39">
        <v>1</v>
      </c>
      <c r="BN21" s="39">
        <v>1</v>
      </c>
      <c r="BO21" s="39">
        <v>1</v>
      </c>
      <c r="BP21" s="39">
        <v>1</v>
      </c>
      <c r="BQ21" s="39">
        <v>1</v>
      </c>
      <c r="BR21" s="39">
        <v>1</v>
      </c>
      <c r="BS21" s="39">
        <v>1</v>
      </c>
      <c r="BT21" s="39">
        <v>1</v>
      </c>
      <c r="BU21" s="39">
        <v>1</v>
      </c>
      <c r="BV21" s="39">
        <v>1</v>
      </c>
      <c r="BW21" s="39">
        <v>1</v>
      </c>
      <c r="BX21" s="39">
        <v>1</v>
      </c>
      <c r="BY21" s="39">
        <v>1</v>
      </c>
      <c r="BZ21" s="39">
        <v>1</v>
      </c>
      <c r="CA21" s="39">
        <v>1</v>
      </c>
      <c r="CB21" s="39">
        <v>1</v>
      </c>
      <c r="CC21" s="39">
        <v>1</v>
      </c>
      <c r="CD21" s="39">
        <v>1</v>
      </c>
      <c r="CE21" s="39">
        <v>1</v>
      </c>
      <c r="CF21" s="39">
        <v>1</v>
      </c>
      <c r="CG21" s="39">
        <v>1</v>
      </c>
      <c r="CH21" s="39">
        <v>1</v>
      </c>
      <c r="CI21" s="39">
        <v>1</v>
      </c>
      <c r="CJ21" s="39">
        <v>1</v>
      </c>
      <c r="CK21" s="39">
        <v>1</v>
      </c>
      <c r="CL21" s="39">
        <v>1</v>
      </c>
      <c r="CM21" s="39">
        <v>1</v>
      </c>
      <c r="CN21" s="39">
        <v>1</v>
      </c>
      <c r="CO21" s="39">
        <v>1</v>
      </c>
      <c r="CP21" s="39">
        <v>1</v>
      </c>
      <c r="CQ21" s="39">
        <v>1</v>
      </c>
      <c r="CR21" s="39">
        <v>1</v>
      </c>
      <c r="CS21" s="39">
        <v>1</v>
      </c>
      <c r="CT21" s="39">
        <v>1</v>
      </c>
      <c r="CU21" s="39">
        <v>1</v>
      </c>
      <c r="CV21" s="39">
        <v>1</v>
      </c>
      <c r="CW21" s="39">
        <v>1</v>
      </c>
      <c r="CX21" s="39">
        <v>1</v>
      </c>
      <c r="CY21" s="39">
        <v>1</v>
      </c>
      <c r="CZ21" s="39">
        <v>1</v>
      </c>
      <c r="DA21" s="39">
        <v>1</v>
      </c>
      <c r="DB21" s="39">
        <v>1</v>
      </c>
      <c r="DC21" s="39">
        <v>1</v>
      </c>
      <c r="DD21" s="39">
        <v>1</v>
      </c>
      <c r="DE21" s="39">
        <v>1</v>
      </c>
      <c r="DF21" s="39">
        <v>1</v>
      </c>
      <c r="DG21" s="39">
        <v>1</v>
      </c>
      <c r="DH21" s="39">
        <v>1</v>
      </c>
      <c r="DI21" s="39">
        <v>1</v>
      </c>
      <c r="DJ21" s="39">
        <v>1</v>
      </c>
      <c r="DK21" s="39">
        <v>1</v>
      </c>
      <c r="DL21" s="39">
        <v>1</v>
      </c>
      <c r="DM21" s="39">
        <v>1</v>
      </c>
      <c r="DN21" s="39">
        <v>1</v>
      </c>
      <c r="DO21" s="36">
        <v>1</v>
      </c>
      <c r="DP21" s="36">
        <v>1</v>
      </c>
      <c r="DQ21" s="36">
        <v>1</v>
      </c>
      <c r="DR21" s="36">
        <v>1</v>
      </c>
      <c r="DS21" s="36">
        <v>1</v>
      </c>
      <c r="DT21" s="36">
        <v>1</v>
      </c>
      <c r="DU21" s="36">
        <v>1</v>
      </c>
      <c r="DV21" s="36">
        <v>1</v>
      </c>
      <c r="DW21" s="36">
        <v>1</v>
      </c>
      <c r="DX21" s="36">
        <v>1</v>
      </c>
      <c r="DY21" s="36">
        <v>1</v>
      </c>
      <c r="DZ21" s="36">
        <v>1</v>
      </c>
      <c r="EA21" s="36">
        <v>1</v>
      </c>
      <c r="EB21" s="36">
        <v>1</v>
      </c>
      <c r="EC21" s="36">
        <v>1</v>
      </c>
      <c r="ED21" s="36">
        <v>1</v>
      </c>
      <c r="EE21" s="36">
        <v>1</v>
      </c>
      <c r="EF21" s="36">
        <v>1</v>
      </c>
      <c r="EG21" s="36">
        <v>1</v>
      </c>
      <c r="EH21" s="36">
        <v>1</v>
      </c>
      <c r="EI21" s="36">
        <v>1</v>
      </c>
      <c r="EJ21" s="36">
        <v>1</v>
      </c>
      <c r="EK21" s="36">
        <v>1</v>
      </c>
      <c r="EL21" s="36">
        <v>1</v>
      </c>
      <c r="EM21" s="36">
        <v>1</v>
      </c>
      <c r="EN21" s="36">
        <v>1</v>
      </c>
      <c r="EO21" s="36">
        <v>1</v>
      </c>
      <c r="EP21" s="36">
        <v>1</v>
      </c>
      <c r="EQ21" s="36">
        <v>1</v>
      </c>
      <c r="ER21" s="36">
        <v>1</v>
      </c>
      <c r="ES21" s="36">
        <v>1</v>
      </c>
      <c r="ET21" s="36">
        <v>1</v>
      </c>
      <c r="EU21" s="36">
        <v>1</v>
      </c>
      <c r="EV21" s="36">
        <v>1</v>
      </c>
      <c r="EW21" s="36">
        <v>1</v>
      </c>
      <c r="EX21" s="36">
        <v>1</v>
      </c>
      <c r="EY21" s="36">
        <v>1</v>
      </c>
      <c r="EZ21" s="69">
        <v>1</v>
      </c>
      <c r="FA21" s="36">
        <v>1</v>
      </c>
      <c r="FB21" s="36">
        <v>1</v>
      </c>
      <c r="FC21" s="36">
        <v>1</v>
      </c>
      <c r="FD21" s="36">
        <v>1</v>
      </c>
      <c r="FE21" s="36">
        <v>1</v>
      </c>
      <c r="FF21" s="36">
        <v>1</v>
      </c>
      <c r="FG21" s="36">
        <v>1</v>
      </c>
      <c r="FH21" s="36">
        <v>1</v>
      </c>
      <c r="FI21" s="36">
        <v>1</v>
      </c>
      <c r="FJ21" s="36">
        <v>1</v>
      </c>
      <c r="FK21" s="36">
        <v>1</v>
      </c>
      <c r="FL21" s="36">
        <v>1</v>
      </c>
      <c r="FM21" s="36">
        <v>1</v>
      </c>
      <c r="FN21" s="36">
        <v>1</v>
      </c>
      <c r="FO21" s="70">
        <v>1</v>
      </c>
      <c r="FP21" s="69">
        <v>1</v>
      </c>
      <c r="FQ21" s="36">
        <v>1</v>
      </c>
      <c r="FR21" s="36">
        <v>1</v>
      </c>
      <c r="FS21" s="36">
        <v>1</v>
      </c>
      <c r="FT21" s="36">
        <v>1</v>
      </c>
      <c r="FU21" s="36">
        <v>1</v>
      </c>
      <c r="FV21" s="36">
        <v>1</v>
      </c>
      <c r="FW21" s="70">
        <v>1</v>
      </c>
      <c r="FX21" s="69">
        <v>1</v>
      </c>
      <c r="FY21" s="36">
        <v>1</v>
      </c>
      <c r="FZ21" s="36">
        <v>1</v>
      </c>
      <c r="GA21" s="70">
        <v>1</v>
      </c>
      <c r="GB21" s="69">
        <v>1</v>
      </c>
      <c r="GC21" s="70">
        <v>1</v>
      </c>
      <c r="GD21" s="109">
        <v>1</v>
      </c>
      <c r="GG21" s="26"/>
      <c r="GH21" s="26"/>
      <c r="GK21">
        <f>IF(Grps=1,3,Grps*2+GJ19)</f>
        <v>5</v>
      </c>
    </row>
    <row r="22" spans="2:193" ht="15" thickBot="1" x14ac:dyDescent="0.35">
      <c r="B22" s="18" t="s">
        <v>324</v>
      </c>
      <c r="C22" s="13">
        <v>13</v>
      </c>
      <c r="D22" s="21" t="s">
        <v>325</v>
      </c>
      <c r="E22" s="24">
        <v>5</v>
      </c>
      <c r="G22" s="2">
        <v>3</v>
      </c>
      <c r="H22" s="5">
        <v>8</v>
      </c>
      <c r="I22" s="13">
        <v>8</v>
      </c>
      <c r="K22" s="26" t="s">
        <v>29</v>
      </c>
      <c r="L22" s="26">
        <v>3</v>
      </c>
      <c r="M22" s="113" t="s">
        <v>30</v>
      </c>
      <c r="O22" s="7"/>
      <c r="T22" s="7"/>
      <c r="AA22">
        <f>AA21+1</f>
        <v>4</v>
      </c>
      <c r="AB22" t="s">
        <v>318</v>
      </c>
      <c r="AC22">
        <f>AC21+1</f>
        <v>4</v>
      </c>
      <c r="AD22">
        <v>128</v>
      </c>
      <c r="AE22" s="7" t="s">
        <v>301</v>
      </c>
      <c r="AF22">
        <f>AF19+1</f>
        <v>2</v>
      </c>
      <c r="AG22" t="str">
        <f t="shared" si="25"/>
        <v>A2</v>
      </c>
      <c r="AH22">
        <f>AH21+1</f>
        <v>4</v>
      </c>
      <c r="BD22" s="26"/>
      <c r="BE22" s="26" t="str">
        <f t="shared" ref="BE22:BE85" si="30">IF(BF22&gt;66,"BYE",BF22)</f>
        <v>BYE</v>
      </c>
      <c r="BF22">
        <v>128</v>
      </c>
      <c r="BG22">
        <v>2</v>
      </c>
      <c r="BH22" s="40">
        <v>128</v>
      </c>
      <c r="BI22" s="41" t="s">
        <v>326</v>
      </c>
      <c r="BJ22" s="41" t="s">
        <v>326</v>
      </c>
      <c r="BK22" s="41">
        <v>128</v>
      </c>
      <c r="BL22" s="41" t="s">
        <v>326</v>
      </c>
      <c r="BM22" s="41" t="s">
        <v>326</v>
      </c>
      <c r="BN22" s="41" t="s">
        <v>326</v>
      </c>
      <c r="BO22" s="41" t="s">
        <v>326</v>
      </c>
      <c r="BP22" s="41" t="s">
        <v>326</v>
      </c>
      <c r="BQ22" s="41" t="s">
        <v>326</v>
      </c>
      <c r="BR22" s="41" t="s">
        <v>326</v>
      </c>
      <c r="BS22" s="41" t="s">
        <v>326</v>
      </c>
      <c r="BT22" s="41" t="s">
        <v>326</v>
      </c>
      <c r="BU22" s="41" t="s">
        <v>326</v>
      </c>
      <c r="BV22" s="41" t="s">
        <v>326</v>
      </c>
      <c r="BW22" s="41" t="s">
        <v>326</v>
      </c>
      <c r="BX22" s="41" t="s">
        <v>326</v>
      </c>
      <c r="BY22" s="41" t="s">
        <v>326</v>
      </c>
      <c r="BZ22" s="41" t="s">
        <v>326</v>
      </c>
      <c r="CA22" s="41" t="s">
        <v>326</v>
      </c>
      <c r="CB22" s="41" t="s">
        <v>326</v>
      </c>
      <c r="CC22" s="41" t="s">
        <v>326</v>
      </c>
      <c r="CD22" s="41" t="s">
        <v>326</v>
      </c>
      <c r="CE22" s="41" t="s">
        <v>326</v>
      </c>
      <c r="CF22" s="41" t="s">
        <v>326</v>
      </c>
      <c r="CG22" s="41" t="s">
        <v>326</v>
      </c>
      <c r="CH22" s="41" t="s">
        <v>326</v>
      </c>
      <c r="CI22" s="41" t="s">
        <v>326</v>
      </c>
      <c r="CJ22" s="41" t="s">
        <v>326</v>
      </c>
      <c r="CK22" s="41" t="s">
        <v>326</v>
      </c>
      <c r="CL22" s="41" t="s">
        <v>326</v>
      </c>
      <c r="CM22" s="41" t="s">
        <v>326</v>
      </c>
      <c r="CN22" s="41" t="s">
        <v>326</v>
      </c>
      <c r="CO22" s="41" t="s">
        <v>326</v>
      </c>
      <c r="CP22" s="41" t="s">
        <v>326</v>
      </c>
      <c r="CQ22" s="41" t="s">
        <v>326</v>
      </c>
      <c r="CR22" s="41" t="s">
        <v>326</v>
      </c>
      <c r="CS22" s="41" t="s">
        <v>326</v>
      </c>
      <c r="CT22" s="41" t="s">
        <v>326</v>
      </c>
      <c r="CU22" s="41" t="s">
        <v>326</v>
      </c>
      <c r="CV22" s="41" t="s">
        <v>326</v>
      </c>
      <c r="CW22" s="41" t="s">
        <v>326</v>
      </c>
      <c r="CX22" s="41" t="s">
        <v>326</v>
      </c>
      <c r="CY22" s="41" t="s">
        <v>326</v>
      </c>
      <c r="CZ22" s="41" t="s">
        <v>326</v>
      </c>
      <c r="DA22" s="41" t="s">
        <v>326</v>
      </c>
      <c r="DB22" s="41" t="s">
        <v>326</v>
      </c>
      <c r="DC22" s="41" t="s">
        <v>326</v>
      </c>
      <c r="DD22" s="41" t="s">
        <v>326</v>
      </c>
      <c r="DE22" s="41" t="s">
        <v>326</v>
      </c>
      <c r="DF22" s="41" t="s">
        <v>326</v>
      </c>
      <c r="DG22" s="41" t="s">
        <v>327</v>
      </c>
      <c r="DH22" s="41" t="s">
        <v>326</v>
      </c>
      <c r="DI22" s="41" t="s">
        <v>326</v>
      </c>
      <c r="DJ22" s="41" t="s">
        <v>326</v>
      </c>
      <c r="DK22" s="41" t="s">
        <v>326</v>
      </c>
      <c r="DL22" s="41" t="s">
        <v>326</v>
      </c>
      <c r="DM22" s="41" t="s">
        <v>326</v>
      </c>
      <c r="DN22" s="41" t="s">
        <v>326</v>
      </c>
      <c r="DO22" s="37" t="s">
        <v>326</v>
      </c>
      <c r="DP22" s="37" t="s">
        <v>326</v>
      </c>
      <c r="DQ22" s="37" t="s">
        <v>326</v>
      </c>
      <c r="DR22" s="37" t="s">
        <v>326</v>
      </c>
      <c r="DS22" s="37" t="s">
        <v>326</v>
      </c>
      <c r="DT22" s="37">
        <v>63</v>
      </c>
      <c r="DU22" s="37" t="s">
        <v>326</v>
      </c>
      <c r="DV22" s="37" t="s">
        <v>326</v>
      </c>
      <c r="DW22" s="37" t="s">
        <v>326</v>
      </c>
      <c r="DX22" s="37" t="s">
        <v>326</v>
      </c>
      <c r="DY22" s="37" t="s">
        <v>326</v>
      </c>
      <c r="DZ22" s="37" t="s">
        <v>326</v>
      </c>
      <c r="EA22" s="37" t="s">
        <v>326</v>
      </c>
      <c r="EB22" s="37" t="s">
        <v>326</v>
      </c>
      <c r="EC22" s="37" t="s">
        <v>326</v>
      </c>
      <c r="ED22" s="37" t="s">
        <v>326</v>
      </c>
      <c r="EE22" s="37" t="s">
        <v>326</v>
      </c>
      <c r="EF22" s="37" t="s">
        <v>326</v>
      </c>
      <c r="EG22" s="37" t="s">
        <v>326</v>
      </c>
      <c r="EH22" s="37" t="s">
        <v>326</v>
      </c>
      <c r="EI22" s="37" t="s">
        <v>326</v>
      </c>
      <c r="EJ22" s="37" t="s">
        <v>326</v>
      </c>
      <c r="EK22" s="37" t="s">
        <v>326</v>
      </c>
      <c r="EL22" s="37" t="s">
        <v>326</v>
      </c>
      <c r="EM22" s="37" t="s">
        <v>326</v>
      </c>
      <c r="EN22" s="37" t="s">
        <v>326</v>
      </c>
      <c r="EO22" s="37" t="s">
        <v>326</v>
      </c>
      <c r="EP22" s="37" t="s">
        <v>326</v>
      </c>
      <c r="EQ22" s="37" t="s">
        <v>326</v>
      </c>
      <c r="ER22" s="37" t="s">
        <v>326</v>
      </c>
      <c r="ES22" s="37" t="s">
        <v>326</v>
      </c>
      <c r="ET22" s="37" t="s">
        <v>326</v>
      </c>
      <c r="EU22" s="37" t="s">
        <v>326</v>
      </c>
      <c r="EV22" s="37" t="s">
        <v>326</v>
      </c>
      <c r="EW22" s="37" t="s">
        <v>326</v>
      </c>
      <c r="EX22" s="37" t="s">
        <v>326</v>
      </c>
      <c r="EY22" s="37" t="s">
        <v>326</v>
      </c>
      <c r="EZ22" s="71">
        <v>31</v>
      </c>
      <c r="FA22" s="37" t="s">
        <v>326</v>
      </c>
      <c r="FB22" s="37" t="s">
        <v>326</v>
      </c>
      <c r="FC22" s="37" t="s">
        <v>326</v>
      </c>
      <c r="FD22" s="37" t="s">
        <v>326</v>
      </c>
      <c r="FE22" s="37" t="s">
        <v>326</v>
      </c>
      <c r="FF22" s="37" t="s">
        <v>326</v>
      </c>
      <c r="FG22" s="37" t="s">
        <v>326</v>
      </c>
      <c r="FH22" s="37" t="s">
        <v>326</v>
      </c>
      <c r="FI22" s="37" t="s">
        <v>326</v>
      </c>
      <c r="FJ22" s="37" t="s">
        <v>326</v>
      </c>
      <c r="FK22" s="37" t="s">
        <v>326</v>
      </c>
      <c r="FL22" s="37" t="s">
        <v>326</v>
      </c>
      <c r="FM22" s="37" t="s">
        <v>326</v>
      </c>
      <c r="FN22" s="37" t="s">
        <v>326</v>
      </c>
      <c r="FO22" s="72" t="s">
        <v>326</v>
      </c>
      <c r="FP22" s="71">
        <v>15</v>
      </c>
      <c r="FQ22" s="37" t="s">
        <v>326</v>
      </c>
      <c r="FR22" s="37" t="s">
        <v>326</v>
      </c>
      <c r="FS22" s="37" t="s">
        <v>326</v>
      </c>
      <c r="FT22" s="37" t="s">
        <v>326</v>
      </c>
      <c r="FU22" s="37" t="s">
        <v>326</v>
      </c>
      <c r="FV22" s="37" t="s">
        <v>326</v>
      </c>
      <c r="FW22" s="72" t="s">
        <v>326</v>
      </c>
      <c r="FX22" s="71">
        <v>7</v>
      </c>
      <c r="FY22" s="37" t="s">
        <v>326</v>
      </c>
      <c r="FZ22" s="37" t="s">
        <v>326</v>
      </c>
      <c r="GA22" s="72" t="s">
        <v>326</v>
      </c>
      <c r="GB22" s="71">
        <v>3</v>
      </c>
      <c r="GC22" s="72" t="s">
        <v>327</v>
      </c>
      <c r="GD22" s="110">
        <v>2</v>
      </c>
      <c r="GG22" s="26"/>
      <c r="GK22">
        <f>IF(Grps=3,"",IF(Grps=1,4,Grps*3+GJ19))</f>
        <v>5</v>
      </c>
    </row>
    <row r="23" spans="2:193" ht="15" thickTop="1" x14ac:dyDescent="0.3">
      <c r="B23" s="18" t="s">
        <v>328</v>
      </c>
      <c r="C23" s="13">
        <v>14</v>
      </c>
      <c r="D23" s="21" t="s">
        <v>329</v>
      </c>
      <c r="E23" s="24">
        <v>4</v>
      </c>
      <c r="G23" s="2">
        <v>4</v>
      </c>
      <c r="H23" s="5">
        <v>8</v>
      </c>
      <c r="I23" s="13">
        <v>8</v>
      </c>
      <c r="K23" s="26" t="s">
        <v>31</v>
      </c>
      <c r="L23" s="26">
        <v>2</v>
      </c>
      <c r="M23" s="113" t="s">
        <v>32</v>
      </c>
      <c r="O23" s="7"/>
      <c r="T23" s="7"/>
      <c r="AA23">
        <f>AA22+1</f>
        <v>5</v>
      </c>
      <c r="AB23" t="s">
        <v>318</v>
      </c>
      <c r="AC23">
        <f>AC22+1</f>
        <v>5</v>
      </c>
      <c r="AD23">
        <v>128</v>
      </c>
      <c r="AE23" s="7" t="s">
        <v>302</v>
      </c>
      <c r="AF23">
        <f>AF20+1</f>
        <v>2</v>
      </c>
      <c r="AG23" t="str">
        <f t="shared" si="25"/>
        <v>B2</v>
      </c>
      <c r="AH23">
        <f>AH22+1</f>
        <v>5</v>
      </c>
      <c r="BD23" s="26"/>
      <c r="BE23" s="26" t="str">
        <f t="shared" si="30"/>
        <v>BYE</v>
      </c>
      <c r="BF23">
        <v>86</v>
      </c>
      <c r="BG23">
        <v>3</v>
      </c>
      <c r="BH23" s="42">
        <v>65</v>
      </c>
      <c r="BI23" s="42">
        <v>65</v>
      </c>
      <c r="BJ23" s="42">
        <v>66</v>
      </c>
      <c r="BK23" s="42">
        <v>66</v>
      </c>
      <c r="BL23" s="42">
        <v>66</v>
      </c>
      <c r="BM23" s="42">
        <v>65</v>
      </c>
      <c r="BN23" s="42">
        <v>65</v>
      </c>
      <c r="BO23" s="42">
        <v>65</v>
      </c>
      <c r="BP23" s="42">
        <v>66</v>
      </c>
      <c r="BQ23" s="42">
        <v>66</v>
      </c>
      <c r="BR23" s="42">
        <v>66</v>
      </c>
      <c r="BS23" s="42">
        <v>65</v>
      </c>
      <c r="BT23" s="42">
        <v>65</v>
      </c>
      <c r="BU23" s="42">
        <v>65</v>
      </c>
      <c r="BV23" s="42">
        <v>66</v>
      </c>
      <c r="BW23" s="42">
        <v>66</v>
      </c>
      <c r="BX23" s="42">
        <v>66</v>
      </c>
      <c r="BY23" s="42">
        <v>65</v>
      </c>
      <c r="BZ23" s="42">
        <v>65</v>
      </c>
      <c r="CA23" s="42">
        <v>65</v>
      </c>
      <c r="CB23" s="42">
        <v>66</v>
      </c>
      <c r="CC23" s="42">
        <v>66</v>
      </c>
      <c r="CD23" s="42">
        <v>66</v>
      </c>
      <c r="CE23" s="42">
        <v>65</v>
      </c>
      <c r="CF23" s="42">
        <v>65</v>
      </c>
      <c r="CG23" s="42">
        <v>65</v>
      </c>
      <c r="CH23" s="42">
        <v>66</v>
      </c>
      <c r="CI23" s="42">
        <v>66</v>
      </c>
      <c r="CJ23" s="42">
        <v>66</v>
      </c>
      <c r="CK23" s="42">
        <v>65</v>
      </c>
      <c r="CL23" s="42">
        <v>65</v>
      </c>
      <c r="CM23" s="42">
        <v>65</v>
      </c>
      <c r="CN23" s="42">
        <v>67</v>
      </c>
      <c r="CO23" s="42">
        <v>67</v>
      </c>
      <c r="CP23" s="42">
        <v>65</v>
      </c>
      <c r="CQ23" s="42">
        <v>65</v>
      </c>
      <c r="CR23" s="42">
        <v>65</v>
      </c>
      <c r="CS23" s="42">
        <v>65</v>
      </c>
      <c r="CT23" s="42">
        <v>65</v>
      </c>
      <c r="CU23" s="42">
        <v>63</v>
      </c>
      <c r="CV23" s="42">
        <v>65</v>
      </c>
      <c r="CW23" s="42">
        <v>65</v>
      </c>
      <c r="CX23" s="42">
        <v>61</v>
      </c>
      <c r="CY23" s="42">
        <v>62</v>
      </c>
      <c r="CZ23" s="42">
        <v>67</v>
      </c>
      <c r="DA23" s="42">
        <v>67</v>
      </c>
      <c r="DB23" s="42">
        <v>65</v>
      </c>
      <c r="DC23" s="42">
        <v>65</v>
      </c>
      <c r="DD23" s="42">
        <v>65</v>
      </c>
      <c r="DE23" s="42">
        <v>65</v>
      </c>
      <c r="DF23" s="42">
        <v>65</v>
      </c>
      <c r="DG23" s="42">
        <v>64</v>
      </c>
      <c r="DH23" s="42">
        <v>65</v>
      </c>
      <c r="DI23" s="42">
        <v>65</v>
      </c>
      <c r="DJ23" s="42">
        <v>61</v>
      </c>
      <c r="DK23" s="42">
        <v>68</v>
      </c>
      <c r="DL23" s="42">
        <v>67</v>
      </c>
      <c r="DM23" s="42">
        <v>68</v>
      </c>
      <c r="DN23" s="42">
        <v>65</v>
      </c>
      <c r="DO23" s="26">
        <v>65</v>
      </c>
      <c r="DP23" s="26">
        <v>65</v>
      </c>
      <c r="DQ23" s="26">
        <v>65</v>
      </c>
      <c r="DR23" s="26">
        <v>65</v>
      </c>
      <c r="DS23" s="26">
        <v>63</v>
      </c>
      <c r="DT23" s="26">
        <v>34</v>
      </c>
      <c r="DU23" s="26">
        <v>33</v>
      </c>
      <c r="DV23" s="26">
        <v>33</v>
      </c>
      <c r="DW23" s="26">
        <v>33</v>
      </c>
      <c r="DX23" s="26">
        <v>34</v>
      </c>
      <c r="DY23" s="26">
        <v>34</v>
      </c>
      <c r="DZ23" s="26">
        <v>34</v>
      </c>
      <c r="EA23" s="26">
        <v>33</v>
      </c>
      <c r="EB23" s="26">
        <v>33</v>
      </c>
      <c r="EC23" s="26">
        <v>33</v>
      </c>
      <c r="ED23" s="26">
        <v>34</v>
      </c>
      <c r="EE23" s="26">
        <v>34</v>
      </c>
      <c r="EF23" s="26">
        <v>34</v>
      </c>
      <c r="EG23" s="26">
        <v>33</v>
      </c>
      <c r="EH23" s="26">
        <v>33</v>
      </c>
      <c r="EI23" s="26">
        <v>33</v>
      </c>
      <c r="EJ23" s="26">
        <v>35</v>
      </c>
      <c r="EK23" s="26">
        <v>36</v>
      </c>
      <c r="EL23" s="26">
        <v>33</v>
      </c>
      <c r="EM23" s="26">
        <v>33</v>
      </c>
      <c r="EN23" s="26">
        <v>33</v>
      </c>
      <c r="EO23" s="26">
        <v>33</v>
      </c>
      <c r="EP23" s="26">
        <v>33</v>
      </c>
      <c r="EQ23" s="26">
        <v>31</v>
      </c>
      <c r="ER23" s="26">
        <v>33</v>
      </c>
      <c r="ES23" s="26">
        <v>33</v>
      </c>
      <c r="ET23" s="26">
        <v>30</v>
      </c>
      <c r="EU23" s="26">
        <v>36</v>
      </c>
      <c r="EV23" s="26">
        <v>35</v>
      </c>
      <c r="EW23" s="26">
        <v>35</v>
      </c>
      <c r="EX23" s="26">
        <v>33</v>
      </c>
      <c r="EY23" s="26">
        <v>33</v>
      </c>
      <c r="EZ23" s="65">
        <v>17</v>
      </c>
      <c r="FA23" s="26">
        <v>17</v>
      </c>
      <c r="FB23" s="26">
        <v>18</v>
      </c>
      <c r="FC23" s="26">
        <v>18</v>
      </c>
      <c r="FD23" s="26">
        <v>18</v>
      </c>
      <c r="FE23" s="26">
        <v>17</v>
      </c>
      <c r="FF23" s="26">
        <v>17</v>
      </c>
      <c r="FG23" s="26">
        <v>17</v>
      </c>
      <c r="FH23" s="26">
        <v>19</v>
      </c>
      <c r="FI23" s="26">
        <v>19</v>
      </c>
      <c r="FJ23" s="26">
        <v>17</v>
      </c>
      <c r="FK23" s="26">
        <v>17</v>
      </c>
      <c r="FL23" s="26">
        <v>18</v>
      </c>
      <c r="FM23" s="26">
        <v>17</v>
      </c>
      <c r="FN23" s="26">
        <v>17</v>
      </c>
      <c r="FO23" s="66">
        <v>15</v>
      </c>
      <c r="FP23" s="65">
        <v>10</v>
      </c>
      <c r="FQ23" s="26">
        <v>9</v>
      </c>
      <c r="FR23" s="26">
        <v>14</v>
      </c>
      <c r="FS23" s="26">
        <v>13</v>
      </c>
      <c r="FT23" s="26">
        <v>11</v>
      </c>
      <c r="FU23" s="26">
        <v>11</v>
      </c>
      <c r="FV23" s="26">
        <v>9</v>
      </c>
      <c r="FW23" s="66">
        <v>9</v>
      </c>
      <c r="FX23" s="65">
        <v>5</v>
      </c>
      <c r="FY23" s="26">
        <v>5</v>
      </c>
      <c r="FZ23" s="26">
        <v>5</v>
      </c>
      <c r="GA23" s="66" t="s">
        <v>326</v>
      </c>
      <c r="GB23" s="102">
        <v>4</v>
      </c>
      <c r="GC23" s="103">
        <v>3</v>
      </c>
      <c r="GD23" s="26"/>
      <c r="GG23" s="26"/>
      <c r="GJ23">
        <f>GJ19+1</f>
        <v>6</v>
      </c>
      <c r="GK23" t="str">
        <f>IF(Grps&gt;GJ19,GJ23,"")</f>
        <v/>
      </c>
    </row>
    <row r="24" spans="2:193" ht="15" thickBot="1" x14ac:dyDescent="0.35">
      <c r="B24" s="18" t="s">
        <v>330</v>
      </c>
      <c r="C24" s="13">
        <v>15</v>
      </c>
      <c r="D24" s="21" t="s">
        <v>331</v>
      </c>
      <c r="E24" s="24">
        <v>3</v>
      </c>
      <c r="G24" s="2">
        <v>5</v>
      </c>
      <c r="H24" s="5">
        <v>8</v>
      </c>
      <c r="I24" s="13">
        <v>8</v>
      </c>
      <c r="K24" s="26" t="s">
        <v>33</v>
      </c>
      <c r="L24" s="26">
        <v>1</v>
      </c>
      <c r="M24" s="113" t="s">
        <v>34</v>
      </c>
      <c r="O24" s="7"/>
      <c r="T24" s="7"/>
      <c r="AA24">
        <f>AA23+1</f>
        <v>6</v>
      </c>
      <c r="AB24" t="s">
        <v>318</v>
      </c>
      <c r="AC24">
        <f>AC23+1</f>
        <v>6</v>
      </c>
      <c r="AD24">
        <v>128</v>
      </c>
      <c r="AE24" s="7" t="s">
        <v>303</v>
      </c>
      <c r="AF24">
        <f>AF19+1</f>
        <v>2</v>
      </c>
      <c r="AG24" t="str">
        <f t="shared" si="25"/>
        <v>C2</v>
      </c>
      <c r="AH24">
        <f>AH23+1</f>
        <v>6</v>
      </c>
      <c r="BD24" s="26"/>
      <c r="BE24" s="26">
        <f t="shared" si="30"/>
        <v>65</v>
      </c>
      <c r="BF24">
        <v>65</v>
      </c>
      <c r="BG24">
        <v>4</v>
      </c>
      <c r="BH24" s="42">
        <v>64</v>
      </c>
      <c r="BI24" s="42">
        <v>64</v>
      </c>
      <c r="BJ24" s="42">
        <v>63</v>
      </c>
      <c r="BK24" s="42">
        <v>63</v>
      </c>
      <c r="BL24" s="42">
        <v>63</v>
      </c>
      <c r="BM24" s="42">
        <v>64</v>
      </c>
      <c r="BN24" s="42">
        <v>64</v>
      </c>
      <c r="BO24" s="42">
        <v>64</v>
      </c>
      <c r="BP24" s="42">
        <v>63</v>
      </c>
      <c r="BQ24" s="42">
        <v>63</v>
      </c>
      <c r="BR24" s="42">
        <v>63</v>
      </c>
      <c r="BS24" s="42">
        <v>64</v>
      </c>
      <c r="BT24" s="42">
        <v>64</v>
      </c>
      <c r="BU24" s="42">
        <v>64</v>
      </c>
      <c r="BV24" s="42">
        <v>63</v>
      </c>
      <c r="BW24" s="42">
        <v>63</v>
      </c>
      <c r="BX24" s="42">
        <v>63</v>
      </c>
      <c r="BY24" s="42">
        <v>64</v>
      </c>
      <c r="BZ24" s="42">
        <v>64</v>
      </c>
      <c r="CA24" s="42">
        <v>64</v>
      </c>
      <c r="CB24" s="42">
        <v>63</v>
      </c>
      <c r="CC24" s="42">
        <v>63</v>
      </c>
      <c r="CD24" s="42">
        <v>63</v>
      </c>
      <c r="CE24" s="42">
        <v>64</v>
      </c>
      <c r="CF24" s="42">
        <v>64</v>
      </c>
      <c r="CG24" s="42">
        <v>64</v>
      </c>
      <c r="CH24" s="42">
        <v>63</v>
      </c>
      <c r="CI24" s="42">
        <v>63</v>
      </c>
      <c r="CJ24" s="42">
        <v>63</v>
      </c>
      <c r="CK24" s="42">
        <v>64</v>
      </c>
      <c r="CL24" s="42">
        <v>64</v>
      </c>
      <c r="CM24" s="42">
        <v>64</v>
      </c>
      <c r="CN24" s="42">
        <v>63</v>
      </c>
      <c r="CO24" s="42">
        <v>63</v>
      </c>
      <c r="CP24" s="42">
        <v>63</v>
      </c>
      <c r="CQ24" s="42">
        <v>64</v>
      </c>
      <c r="CR24" s="42">
        <v>64</v>
      </c>
      <c r="CS24" s="42">
        <v>64</v>
      </c>
      <c r="CT24" s="42">
        <v>64</v>
      </c>
      <c r="CU24" s="42">
        <v>64</v>
      </c>
      <c r="CV24" s="42">
        <v>63</v>
      </c>
      <c r="CW24" s="42">
        <v>64</v>
      </c>
      <c r="CX24" s="42">
        <v>64</v>
      </c>
      <c r="CY24" s="42">
        <v>61</v>
      </c>
      <c r="CZ24" s="42">
        <v>62</v>
      </c>
      <c r="DA24" s="42">
        <v>61</v>
      </c>
      <c r="DB24" s="42">
        <v>60</v>
      </c>
      <c r="DC24" s="42">
        <v>64</v>
      </c>
      <c r="DD24" s="42">
        <v>64</v>
      </c>
      <c r="DE24" s="42">
        <v>64</v>
      </c>
      <c r="DF24" s="42">
        <v>64</v>
      </c>
      <c r="DG24" s="42">
        <v>65</v>
      </c>
      <c r="DH24" s="42">
        <v>63</v>
      </c>
      <c r="DI24" s="42">
        <v>64</v>
      </c>
      <c r="DJ24" s="42">
        <v>64</v>
      </c>
      <c r="DK24" s="42">
        <v>61</v>
      </c>
      <c r="DL24" s="42">
        <v>62</v>
      </c>
      <c r="DM24" s="42">
        <v>67</v>
      </c>
      <c r="DN24" s="42">
        <v>60</v>
      </c>
      <c r="DO24" s="26">
        <v>64</v>
      </c>
      <c r="DP24" s="26">
        <v>64</v>
      </c>
      <c r="DQ24" s="26">
        <v>64</v>
      </c>
      <c r="DR24" s="26">
        <v>64</v>
      </c>
      <c r="DS24" s="26">
        <v>64</v>
      </c>
      <c r="DT24" s="26">
        <v>31</v>
      </c>
      <c r="DU24" s="26">
        <v>32</v>
      </c>
      <c r="DV24" s="26">
        <v>32</v>
      </c>
      <c r="DW24" s="26">
        <v>32</v>
      </c>
      <c r="DX24" s="26">
        <v>31</v>
      </c>
      <c r="DY24" s="26">
        <v>31</v>
      </c>
      <c r="DZ24" s="26">
        <v>31</v>
      </c>
      <c r="EA24" s="26">
        <v>32</v>
      </c>
      <c r="EB24" s="26">
        <v>32</v>
      </c>
      <c r="EC24" s="26">
        <v>32</v>
      </c>
      <c r="ED24" s="26">
        <v>31</v>
      </c>
      <c r="EE24" s="26">
        <v>31</v>
      </c>
      <c r="EF24" s="26">
        <v>31</v>
      </c>
      <c r="EG24" s="26">
        <v>32</v>
      </c>
      <c r="EH24" s="26">
        <v>32</v>
      </c>
      <c r="EI24" s="26">
        <v>32</v>
      </c>
      <c r="EJ24" s="26">
        <v>31</v>
      </c>
      <c r="EK24" s="26">
        <v>31</v>
      </c>
      <c r="EL24" s="26">
        <v>19</v>
      </c>
      <c r="EM24" s="26">
        <v>32</v>
      </c>
      <c r="EN24" s="26">
        <v>31</v>
      </c>
      <c r="EO24" s="26">
        <v>32</v>
      </c>
      <c r="EP24" s="26">
        <v>32</v>
      </c>
      <c r="EQ24" s="26">
        <v>32</v>
      </c>
      <c r="ER24" s="26">
        <v>31</v>
      </c>
      <c r="ES24" s="26">
        <v>32</v>
      </c>
      <c r="ET24" s="26">
        <v>32</v>
      </c>
      <c r="EU24" s="26">
        <v>29</v>
      </c>
      <c r="EV24" s="26">
        <v>30</v>
      </c>
      <c r="EW24" s="26">
        <v>29</v>
      </c>
      <c r="EX24" s="26">
        <v>28</v>
      </c>
      <c r="EY24" s="26">
        <v>32</v>
      </c>
      <c r="EZ24" s="65">
        <v>16</v>
      </c>
      <c r="FA24" s="26">
        <v>16</v>
      </c>
      <c r="FB24" s="26">
        <v>15</v>
      </c>
      <c r="FC24" s="26">
        <v>29</v>
      </c>
      <c r="FD24" s="26">
        <v>15</v>
      </c>
      <c r="FE24" s="26">
        <v>16</v>
      </c>
      <c r="FF24" s="26">
        <v>16</v>
      </c>
      <c r="FG24" s="26">
        <v>16</v>
      </c>
      <c r="FH24" s="26">
        <v>15</v>
      </c>
      <c r="FI24" s="26">
        <v>15</v>
      </c>
      <c r="FJ24" s="26">
        <v>20</v>
      </c>
      <c r="FK24" s="26">
        <v>16</v>
      </c>
      <c r="FL24" s="26">
        <v>16</v>
      </c>
      <c r="FM24" s="26">
        <v>16</v>
      </c>
      <c r="FN24" s="26">
        <v>16</v>
      </c>
      <c r="FO24" s="66">
        <v>16</v>
      </c>
      <c r="FP24" s="65">
        <v>7</v>
      </c>
      <c r="FQ24" s="26">
        <v>8</v>
      </c>
      <c r="FR24" s="26">
        <v>8</v>
      </c>
      <c r="FS24" s="26">
        <v>8</v>
      </c>
      <c r="FT24" s="26">
        <v>7</v>
      </c>
      <c r="FU24" s="26">
        <v>7</v>
      </c>
      <c r="FV24" s="26">
        <v>7</v>
      </c>
      <c r="FW24" s="66">
        <v>8</v>
      </c>
      <c r="FX24" s="65">
        <v>4</v>
      </c>
      <c r="FY24" s="26">
        <v>4</v>
      </c>
      <c r="FZ24" s="26">
        <v>3</v>
      </c>
      <c r="GA24" s="66">
        <v>3</v>
      </c>
      <c r="GB24" s="104">
        <v>2</v>
      </c>
      <c r="GC24" s="105">
        <v>2</v>
      </c>
      <c r="GD24" s="26"/>
      <c r="GG24" s="26"/>
      <c r="GK24" t="str">
        <f>IF(Grps&gt;GJ19,GK20+1,"")</f>
        <v/>
      </c>
    </row>
    <row r="25" spans="2:193" ht="15" thickTop="1" x14ac:dyDescent="0.3">
      <c r="B25" s="18" t="s">
        <v>332</v>
      </c>
      <c r="C25" s="13">
        <v>16</v>
      </c>
      <c r="D25" s="21" t="s">
        <v>333</v>
      </c>
      <c r="E25" s="24">
        <v>2</v>
      </c>
      <c r="G25" s="2">
        <v>6</v>
      </c>
      <c r="H25" s="5">
        <v>8</v>
      </c>
      <c r="I25" s="13">
        <v>8</v>
      </c>
      <c r="K25" s="26" t="s">
        <v>35</v>
      </c>
      <c r="L25" s="26">
        <v>0</v>
      </c>
      <c r="M25" s="113" t="s">
        <v>36</v>
      </c>
      <c r="O25" s="7"/>
      <c r="T25" s="7"/>
      <c r="AE25" s="7"/>
      <c r="BD25" s="26"/>
      <c r="BE25" s="26">
        <f t="shared" si="30"/>
        <v>32</v>
      </c>
      <c r="BF25">
        <v>32</v>
      </c>
      <c r="BG25">
        <v>5</v>
      </c>
      <c r="BH25" s="38">
        <v>33</v>
      </c>
      <c r="BI25" s="39">
        <v>33</v>
      </c>
      <c r="BJ25" s="39">
        <v>33</v>
      </c>
      <c r="BK25" s="39">
        <v>33</v>
      </c>
      <c r="BL25" s="39">
        <v>33</v>
      </c>
      <c r="BM25" s="39">
        <v>33</v>
      </c>
      <c r="BN25" s="39">
        <v>33</v>
      </c>
      <c r="BO25" s="39">
        <v>33</v>
      </c>
      <c r="BP25" s="39">
        <v>33</v>
      </c>
      <c r="BQ25" s="39">
        <v>33</v>
      </c>
      <c r="BR25" s="39">
        <v>33</v>
      </c>
      <c r="BS25" s="39">
        <v>33</v>
      </c>
      <c r="BT25" s="39">
        <v>33</v>
      </c>
      <c r="BU25" s="39">
        <v>33</v>
      </c>
      <c r="BV25" s="39">
        <v>33</v>
      </c>
      <c r="BW25" s="39">
        <v>33</v>
      </c>
      <c r="BX25" s="39">
        <v>33</v>
      </c>
      <c r="BY25" s="39">
        <v>33</v>
      </c>
      <c r="BZ25" s="39">
        <v>33</v>
      </c>
      <c r="CA25" s="39">
        <v>33</v>
      </c>
      <c r="CB25" s="39">
        <v>33</v>
      </c>
      <c r="CC25" s="39">
        <v>33</v>
      </c>
      <c r="CD25" s="39">
        <v>33</v>
      </c>
      <c r="CE25" s="39">
        <v>33</v>
      </c>
      <c r="CF25" s="39">
        <v>33</v>
      </c>
      <c r="CG25" s="39">
        <v>33</v>
      </c>
      <c r="CH25" s="39">
        <v>33</v>
      </c>
      <c r="CI25" s="39">
        <v>33</v>
      </c>
      <c r="CJ25" s="39">
        <v>33</v>
      </c>
      <c r="CK25" s="39">
        <v>33</v>
      </c>
      <c r="CL25" s="39">
        <v>33</v>
      </c>
      <c r="CM25" s="39">
        <v>33</v>
      </c>
      <c r="CN25" s="39">
        <v>34</v>
      </c>
      <c r="CO25" s="39">
        <v>35</v>
      </c>
      <c r="CP25" s="39">
        <v>36</v>
      </c>
      <c r="CQ25" s="39">
        <v>33</v>
      </c>
      <c r="CR25" s="39">
        <v>33</v>
      </c>
      <c r="CS25" s="39">
        <v>33</v>
      </c>
      <c r="CT25" s="39">
        <v>34</v>
      </c>
      <c r="CU25" s="39">
        <v>34</v>
      </c>
      <c r="CV25" s="39">
        <v>34</v>
      </c>
      <c r="CW25" s="39">
        <v>33</v>
      </c>
      <c r="CX25" s="39">
        <v>33</v>
      </c>
      <c r="CY25" s="39">
        <v>33</v>
      </c>
      <c r="CZ25" s="39">
        <v>34</v>
      </c>
      <c r="DA25" s="39">
        <v>34</v>
      </c>
      <c r="DB25" s="39">
        <v>34</v>
      </c>
      <c r="DC25" s="39">
        <v>33</v>
      </c>
      <c r="DD25" s="39">
        <v>33</v>
      </c>
      <c r="DE25" s="39">
        <v>33</v>
      </c>
      <c r="DF25" s="39">
        <v>34</v>
      </c>
      <c r="DG25" s="39">
        <v>31</v>
      </c>
      <c r="DH25" s="39">
        <v>34</v>
      </c>
      <c r="DI25" s="39">
        <v>33</v>
      </c>
      <c r="DJ25" s="39">
        <v>33</v>
      </c>
      <c r="DK25" s="39">
        <v>33</v>
      </c>
      <c r="DL25" s="39">
        <v>34</v>
      </c>
      <c r="DM25" s="39">
        <v>34</v>
      </c>
      <c r="DN25" s="39">
        <v>34</v>
      </c>
      <c r="DO25" s="36">
        <v>33</v>
      </c>
      <c r="DP25" s="36">
        <v>33</v>
      </c>
      <c r="DQ25" s="36">
        <v>33</v>
      </c>
      <c r="DR25" s="36">
        <v>34</v>
      </c>
      <c r="DS25" s="36">
        <v>34</v>
      </c>
      <c r="DT25" s="36">
        <v>17</v>
      </c>
      <c r="DU25" s="36">
        <v>17</v>
      </c>
      <c r="DV25" s="36">
        <v>17</v>
      </c>
      <c r="DW25" s="36">
        <v>17</v>
      </c>
      <c r="DX25" s="36">
        <v>17</v>
      </c>
      <c r="DY25" s="36">
        <v>17</v>
      </c>
      <c r="DZ25" s="36">
        <v>17</v>
      </c>
      <c r="EA25" s="36">
        <v>17</v>
      </c>
      <c r="EB25" s="36">
        <v>17</v>
      </c>
      <c r="EC25" s="36">
        <v>17</v>
      </c>
      <c r="ED25" s="36">
        <v>17</v>
      </c>
      <c r="EE25" s="36">
        <v>17</v>
      </c>
      <c r="EF25" s="36">
        <v>17</v>
      </c>
      <c r="EG25" s="36">
        <v>17</v>
      </c>
      <c r="EH25" s="36">
        <v>17</v>
      </c>
      <c r="EI25" s="36">
        <v>17</v>
      </c>
      <c r="EJ25" s="36">
        <v>18</v>
      </c>
      <c r="EK25" s="36">
        <v>19</v>
      </c>
      <c r="EL25" s="36">
        <v>18</v>
      </c>
      <c r="EM25" s="36">
        <v>17</v>
      </c>
      <c r="EN25" s="36">
        <v>17</v>
      </c>
      <c r="EO25" s="36">
        <v>17</v>
      </c>
      <c r="EP25" s="36">
        <v>18</v>
      </c>
      <c r="EQ25" s="36">
        <v>18</v>
      </c>
      <c r="ER25" s="36">
        <v>18</v>
      </c>
      <c r="ES25" s="36">
        <v>17</v>
      </c>
      <c r="ET25" s="36">
        <v>17</v>
      </c>
      <c r="EU25" s="36">
        <v>17</v>
      </c>
      <c r="EV25" s="36">
        <v>18</v>
      </c>
      <c r="EW25" s="36">
        <v>18</v>
      </c>
      <c r="EX25" s="36">
        <v>18</v>
      </c>
      <c r="EY25" s="36">
        <v>17</v>
      </c>
      <c r="EZ25" s="69">
        <v>9</v>
      </c>
      <c r="FA25" s="36">
        <v>9</v>
      </c>
      <c r="FB25" s="36">
        <v>9</v>
      </c>
      <c r="FC25" s="36">
        <v>9</v>
      </c>
      <c r="FD25" s="36">
        <v>9</v>
      </c>
      <c r="FE25" s="36">
        <v>9</v>
      </c>
      <c r="FF25" s="36">
        <v>9</v>
      </c>
      <c r="FG25" s="36">
        <v>9</v>
      </c>
      <c r="FH25" s="36">
        <v>10</v>
      </c>
      <c r="FI25" s="36">
        <v>11</v>
      </c>
      <c r="FJ25" s="36">
        <v>10</v>
      </c>
      <c r="FK25" s="36">
        <v>9</v>
      </c>
      <c r="FL25" s="36">
        <v>9</v>
      </c>
      <c r="FM25" s="36">
        <v>9</v>
      </c>
      <c r="FN25" s="36">
        <v>10</v>
      </c>
      <c r="FO25" s="70">
        <v>10</v>
      </c>
      <c r="FP25" s="69">
        <v>5</v>
      </c>
      <c r="FQ25" s="36">
        <v>5</v>
      </c>
      <c r="FR25" s="36">
        <v>5</v>
      </c>
      <c r="FS25" s="36">
        <v>5</v>
      </c>
      <c r="FT25" s="36">
        <v>6</v>
      </c>
      <c r="FU25" s="36">
        <v>6</v>
      </c>
      <c r="FV25" s="36">
        <v>6</v>
      </c>
      <c r="FW25" s="70">
        <v>5</v>
      </c>
      <c r="FX25" s="92">
        <v>3</v>
      </c>
      <c r="FY25" s="59">
        <v>3</v>
      </c>
      <c r="FZ25" s="59">
        <v>4</v>
      </c>
      <c r="GA25" s="93">
        <v>4</v>
      </c>
      <c r="GB25" s="26"/>
      <c r="GC25" s="26"/>
      <c r="GD25" s="26"/>
      <c r="GG25" s="26"/>
      <c r="GK25">
        <f>IF(Grps=1,3,Grps*2+GJ23)</f>
        <v>6</v>
      </c>
    </row>
    <row r="26" spans="2:193" x14ac:dyDescent="0.3">
      <c r="B26" s="18" t="s">
        <v>334</v>
      </c>
      <c r="C26" s="13">
        <v>17</v>
      </c>
      <c r="D26" s="21" t="s">
        <v>335</v>
      </c>
      <c r="E26" s="24">
        <v>1</v>
      </c>
      <c r="G26" s="2">
        <v>7</v>
      </c>
      <c r="H26" s="5">
        <v>8</v>
      </c>
      <c r="I26" s="13">
        <v>8</v>
      </c>
      <c r="K26" s="26"/>
      <c r="L26" s="26"/>
      <c r="M26" s="113"/>
      <c r="O26" s="7"/>
      <c r="T26" s="7"/>
      <c r="AE26" s="7"/>
      <c r="BD26" s="26"/>
      <c r="BE26" s="26" t="str">
        <f t="shared" si="30"/>
        <v>BYE</v>
      </c>
      <c r="BF26">
        <v>97</v>
      </c>
      <c r="BG26">
        <v>6</v>
      </c>
      <c r="BH26" s="40">
        <v>96</v>
      </c>
      <c r="BI26" s="41">
        <v>96</v>
      </c>
      <c r="BJ26" s="41">
        <v>96</v>
      </c>
      <c r="BK26" s="41">
        <v>96</v>
      </c>
      <c r="BL26" s="41">
        <v>95</v>
      </c>
      <c r="BM26" s="41">
        <v>96</v>
      </c>
      <c r="BN26" s="41">
        <v>96</v>
      </c>
      <c r="BO26" s="41">
        <v>95</v>
      </c>
      <c r="BP26" s="41">
        <v>93</v>
      </c>
      <c r="BQ26" s="41">
        <v>100</v>
      </c>
      <c r="BR26" s="41">
        <v>92</v>
      </c>
      <c r="BS26" s="41">
        <v>96</v>
      </c>
      <c r="BT26" s="41">
        <v>96</v>
      </c>
      <c r="BU26" s="41">
        <v>96</v>
      </c>
      <c r="BV26" s="41">
        <v>96</v>
      </c>
      <c r="BW26" s="41">
        <v>95</v>
      </c>
      <c r="BX26" s="41">
        <v>95</v>
      </c>
      <c r="BY26" s="41">
        <v>96</v>
      </c>
      <c r="BZ26" s="41">
        <v>96</v>
      </c>
      <c r="CA26" s="41">
        <v>93</v>
      </c>
      <c r="CB26" s="41">
        <v>94</v>
      </c>
      <c r="CC26" s="41">
        <v>92</v>
      </c>
      <c r="CD26" s="41">
        <v>92</v>
      </c>
      <c r="CE26" s="41">
        <v>96</v>
      </c>
      <c r="CF26" s="41">
        <v>96</v>
      </c>
      <c r="CG26" s="41">
        <v>96</v>
      </c>
      <c r="CH26" s="41">
        <v>96</v>
      </c>
      <c r="CI26" s="41">
        <v>96</v>
      </c>
      <c r="CJ26" s="41">
        <v>95</v>
      </c>
      <c r="CK26" s="41">
        <v>96</v>
      </c>
      <c r="CL26" s="41">
        <v>96</v>
      </c>
      <c r="CM26" s="41">
        <v>93</v>
      </c>
      <c r="CN26" s="41">
        <v>94</v>
      </c>
      <c r="CO26" s="41" t="s">
        <v>326</v>
      </c>
      <c r="CP26" s="41" t="s">
        <v>326</v>
      </c>
      <c r="CQ26" s="41" t="s">
        <v>326</v>
      </c>
      <c r="CR26" s="41" t="s">
        <v>326</v>
      </c>
      <c r="CS26" s="41" t="s">
        <v>326</v>
      </c>
      <c r="CT26" s="41" t="s">
        <v>326</v>
      </c>
      <c r="CU26" s="41" t="s">
        <v>326</v>
      </c>
      <c r="CV26" s="41" t="s">
        <v>326</v>
      </c>
      <c r="CW26" s="41" t="s">
        <v>326</v>
      </c>
      <c r="CX26" s="41" t="s">
        <v>326</v>
      </c>
      <c r="CY26" s="41" t="s">
        <v>326</v>
      </c>
      <c r="CZ26" s="41" t="s">
        <v>326</v>
      </c>
      <c r="DA26" s="41" t="s">
        <v>326</v>
      </c>
      <c r="DB26" s="41" t="s">
        <v>326</v>
      </c>
      <c r="DC26" s="41" t="s">
        <v>326</v>
      </c>
      <c r="DD26" s="41" t="s">
        <v>326</v>
      </c>
      <c r="DE26" s="41" t="s">
        <v>326</v>
      </c>
      <c r="DF26" s="41" t="s">
        <v>326</v>
      </c>
      <c r="DG26" s="41" t="s">
        <v>327</v>
      </c>
      <c r="DH26" s="41" t="s">
        <v>326</v>
      </c>
      <c r="DI26" s="41" t="s">
        <v>326</v>
      </c>
      <c r="DJ26" s="41" t="s">
        <v>326</v>
      </c>
      <c r="DK26" s="41" t="s">
        <v>326</v>
      </c>
      <c r="DL26" s="41" t="s">
        <v>326</v>
      </c>
      <c r="DM26" s="41" t="s">
        <v>326</v>
      </c>
      <c r="DN26" s="41" t="s">
        <v>326</v>
      </c>
      <c r="DO26" s="37" t="s">
        <v>326</v>
      </c>
      <c r="DP26" s="37" t="s">
        <v>326</v>
      </c>
      <c r="DQ26" s="37" t="s">
        <v>326</v>
      </c>
      <c r="DR26" s="37" t="s">
        <v>326</v>
      </c>
      <c r="DS26" s="37" t="s">
        <v>326</v>
      </c>
      <c r="DT26" s="37">
        <v>47</v>
      </c>
      <c r="DU26" s="37">
        <v>48</v>
      </c>
      <c r="DV26" s="37">
        <v>48</v>
      </c>
      <c r="DW26" s="37">
        <v>52</v>
      </c>
      <c r="DX26" s="37">
        <v>46</v>
      </c>
      <c r="DY26" s="37">
        <v>44</v>
      </c>
      <c r="DZ26" s="37">
        <v>44</v>
      </c>
      <c r="EA26" s="37">
        <v>48</v>
      </c>
      <c r="EB26" s="37">
        <v>48</v>
      </c>
      <c r="EC26" s="37">
        <v>48</v>
      </c>
      <c r="ED26" s="37">
        <v>48</v>
      </c>
      <c r="EE26" s="37">
        <v>48</v>
      </c>
      <c r="EF26" s="37">
        <v>47</v>
      </c>
      <c r="EG26" s="37">
        <v>48</v>
      </c>
      <c r="EH26" s="37">
        <v>48</v>
      </c>
      <c r="EI26" s="37">
        <v>45</v>
      </c>
      <c r="EJ26" s="37">
        <v>46</v>
      </c>
      <c r="EK26" s="37" t="s">
        <v>326</v>
      </c>
      <c r="EL26" s="37" t="s">
        <v>326</v>
      </c>
      <c r="EM26" s="37" t="s">
        <v>326</v>
      </c>
      <c r="EN26" s="37" t="s">
        <v>326</v>
      </c>
      <c r="EO26" s="37" t="s">
        <v>326</v>
      </c>
      <c r="EP26" s="37" t="s">
        <v>326</v>
      </c>
      <c r="EQ26" s="37" t="s">
        <v>326</v>
      </c>
      <c r="ER26" s="37" t="s">
        <v>326</v>
      </c>
      <c r="ES26" s="37" t="s">
        <v>326</v>
      </c>
      <c r="ET26" s="37" t="s">
        <v>326</v>
      </c>
      <c r="EU26" s="37" t="s">
        <v>326</v>
      </c>
      <c r="EV26" s="37" t="s">
        <v>326</v>
      </c>
      <c r="EW26" s="37" t="s">
        <v>326</v>
      </c>
      <c r="EX26" s="37" t="s">
        <v>326</v>
      </c>
      <c r="EY26" s="37" t="s">
        <v>326</v>
      </c>
      <c r="EZ26" s="71">
        <v>24</v>
      </c>
      <c r="FA26" s="37">
        <v>24</v>
      </c>
      <c r="FB26" s="37">
        <v>24</v>
      </c>
      <c r="FC26" s="37">
        <v>24</v>
      </c>
      <c r="FD26" s="37">
        <v>23</v>
      </c>
      <c r="FE26" s="37">
        <v>24</v>
      </c>
      <c r="FF26" s="37">
        <v>24</v>
      </c>
      <c r="FG26" s="37">
        <v>23</v>
      </c>
      <c r="FH26" s="37">
        <v>22</v>
      </c>
      <c r="FI26" s="37" t="s">
        <v>326</v>
      </c>
      <c r="FJ26" s="37" t="s">
        <v>326</v>
      </c>
      <c r="FK26" s="37" t="s">
        <v>326</v>
      </c>
      <c r="FL26" s="37" t="s">
        <v>326</v>
      </c>
      <c r="FM26" s="37" t="s">
        <v>326</v>
      </c>
      <c r="FN26" s="37" t="s">
        <v>326</v>
      </c>
      <c r="FO26" s="72" t="s">
        <v>326</v>
      </c>
      <c r="FP26" s="71">
        <v>11</v>
      </c>
      <c r="FQ26" s="37">
        <v>12</v>
      </c>
      <c r="FR26" s="37">
        <v>12</v>
      </c>
      <c r="FS26" s="37">
        <v>11</v>
      </c>
      <c r="FT26" s="37">
        <v>10</v>
      </c>
      <c r="FU26" s="37" t="s">
        <v>326</v>
      </c>
      <c r="FV26" s="37" t="s">
        <v>326</v>
      </c>
      <c r="FW26" s="72" t="s">
        <v>326</v>
      </c>
      <c r="FX26" s="94">
        <v>6</v>
      </c>
      <c r="FY26" s="60">
        <v>6</v>
      </c>
      <c r="FZ26" s="60">
        <v>6</v>
      </c>
      <c r="GA26" s="95">
        <v>5</v>
      </c>
      <c r="GB26" s="26"/>
      <c r="GC26" s="26"/>
      <c r="GD26" s="26"/>
      <c r="GG26" s="26"/>
      <c r="GK26">
        <f>IF(Grps=3,"",IF(Grps=1,4,Grps*3+GJ23))</f>
        <v>6</v>
      </c>
    </row>
    <row r="27" spans="2:193" x14ac:dyDescent="0.3">
      <c r="B27" s="18" t="s">
        <v>336</v>
      </c>
      <c r="C27" s="13">
        <v>18</v>
      </c>
      <c r="D27" s="21" t="s">
        <v>337</v>
      </c>
      <c r="E27" s="24">
        <v>88</v>
      </c>
      <c r="G27" s="2">
        <v>8</v>
      </c>
      <c r="H27" s="5">
        <v>8</v>
      </c>
      <c r="I27" s="13">
        <v>8</v>
      </c>
      <c r="K27" s="26"/>
      <c r="L27" s="26"/>
      <c r="M27" s="113"/>
      <c r="O27" s="7"/>
      <c r="T27" s="7"/>
      <c r="AE27" s="7"/>
      <c r="BD27" s="26"/>
      <c r="BE27" s="26" t="str">
        <f t="shared" si="30"/>
        <v>BYE</v>
      </c>
      <c r="BF27">
        <v>90</v>
      </c>
      <c r="BG27">
        <v>7</v>
      </c>
      <c r="BH27" s="42">
        <v>97</v>
      </c>
      <c r="BI27" s="42">
        <v>97</v>
      </c>
      <c r="BJ27" s="42">
        <v>97</v>
      </c>
      <c r="BK27" s="42">
        <v>95</v>
      </c>
      <c r="BL27" s="42">
        <v>97</v>
      </c>
      <c r="BM27" s="42">
        <v>97</v>
      </c>
      <c r="BN27" s="42">
        <v>93</v>
      </c>
      <c r="BO27" s="42">
        <v>93</v>
      </c>
      <c r="BP27" s="42">
        <v>94</v>
      </c>
      <c r="BQ27" s="42">
        <v>93</v>
      </c>
      <c r="BR27" s="42">
        <v>97</v>
      </c>
      <c r="BS27" s="42">
        <v>97</v>
      </c>
      <c r="BT27" s="42">
        <v>97</v>
      </c>
      <c r="BU27" s="42">
        <v>97</v>
      </c>
      <c r="BV27" s="42">
        <v>97</v>
      </c>
      <c r="BW27" s="42">
        <v>96</v>
      </c>
      <c r="BX27" s="42">
        <v>97</v>
      </c>
      <c r="BY27" s="42">
        <v>97</v>
      </c>
      <c r="BZ27" s="42">
        <v>93</v>
      </c>
      <c r="CA27" s="42">
        <v>100</v>
      </c>
      <c r="CB27" s="42">
        <v>99</v>
      </c>
      <c r="CC27" s="42">
        <v>93</v>
      </c>
      <c r="CD27" s="42">
        <v>97</v>
      </c>
      <c r="CE27" s="42">
        <v>97</v>
      </c>
      <c r="CF27" s="42">
        <v>97</v>
      </c>
      <c r="CG27" s="42">
        <v>97</v>
      </c>
      <c r="CH27" s="42">
        <v>97</v>
      </c>
      <c r="CI27" s="42">
        <v>95</v>
      </c>
      <c r="CJ27" s="42">
        <v>97</v>
      </c>
      <c r="CK27" s="42">
        <v>97</v>
      </c>
      <c r="CL27" s="42">
        <v>93</v>
      </c>
      <c r="CM27" s="42">
        <v>95</v>
      </c>
      <c r="CN27" s="42" t="s">
        <v>326</v>
      </c>
      <c r="CO27" s="42" t="s">
        <v>326</v>
      </c>
      <c r="CP27" s="42" t="s">
        <v>326</v>
      </c>
      <c r="CQ27" s="42" t="s">
        <v>326</v>
      </c>
      <c r="CR27" s="42" t="s">
        <v>326</v>
      </c>
      <c r="CS27" s="42" t="s">
        <v>326</v>
      </c>
      <c r="CT27" s="42" t="s">
        <v>326</v>
      </c>
      <c r="CU27" s="42" t="s">
        <v>326</v>
      </c>
      <c r="CV27" s="42" t="s">
        <v>326</v>
      </c>
      <c r="CW27" s="42" t="s">
        <v>326</v>
      </c>
      <c r="CX27" s="42" t="s">
        <v>326</v>
      </c>
      <c r="CY27" s="42" t="s">
        <v>326</v>
      </c>
      <c r="CZ27" s="42" t="s">
        <v>326</v>
      </c>
      <c r="DA27" s="42" t="s">
        <v>326</v>
      </c>
      <c r="DB27" s="42" t="s">
        <v>326</v>
      </c>
      <c r="DC27" s="42" t="s">
        <v>326</v>
      </c>
      <c r="DD27" s="42" t="s">
        <v>326</v>
      </c>
      <c r="DE27" s="42" t="s">
        <v>326</v>
      </c>
      <c r="DF27" s="42" t="s">
        <v>326</v>
      </c>
      <c r="DG27" s="42" t="s">
        <v>327</v>
      </c>
      <c r="DH27" s="42" t="s">
        <v>326</v>
      </c>
      <c r="DI27" s="42" t="s">
        <v>326</v>
      </c>
      <c r="DJ27" s="42" t="s">
        <v>326</v>
      </c>
      <c r="DK27" s="42" t="s">
        <v>326</v>
      </c>
      <c r="DL27" s="42" t="s">
        <v>326</v>
      </c>
      <c r="DM27" s="42" t="s">
        <v>326</v>
      </c>
      <c r="DN27" s="42" t="s">
        <v>326</v>
      </c>
      <c r="DO27" s="26" t="s">
        <v>326</v>
      </c>
      <c r="DP27" s="26" t="s">
        <v>326</v>
      </c>
      <c r="DQ27" s="26" t="s">
        <v>326</v>
      </c>
      <c r="DR27" s="26" t="s">
        <v>326</v>
      </c>
      <c r="DS27" s="26" t="s">
        <v>326</v>
      </c>
      <c r="DT27" s="26">
        <v>49</v>
      </c>
      <c r="DU27" s="26">
        <v>49</v>
      </c>
      <c r="DV27" s="26">
        <v>46</v>
      </c>
      <c r="DW27" s="26">
        <v>45</v>
      </c>
      <c r="DX27" s="26">
        <v>51</v>
      </c>
      <c r="DY27" s="26">
        <v>45</v>
      </c>
      <c r="DZ27" s="26">
        <v>49</v>
      </c>
      <c r="EA27" s="26">
        <v>49</v>
      </c>
      <c r="EB27" s="26">
        <v>49</v>
      </c>
      <c r="EC27" s="26">
        <v>49</v>
      </c>
      <c r="ED27" s="26">
        <v>49</v>
      </c>
      <c r="EE27" s="26">
        <v>50</v>
      </c>
      <c r="EF27" s="26">
        <v>49</v>
      </c>
      <c r="EG27" s="26">
        <v>49</v>
      </c>
      <c r="EH27" s="26">
        <v>45</v>
      </c>
      <c r="EI27" s="26">
        <v>47</v>
      </c>
      <c r="EJ27" s="26" t="s">
        <v>326</v>
      </c>
      <c r="EK27" s="26" t="s">
        <v>326</v>
      </c>
      <c r="EL27" s="26" t="s">
        <v>326</v>
      </c>
      <c r="EM27" s="26" t="s">
        <v>326</v>
      </c>
      <c r="EN27" s="26" t="s">
        <v>326</v>
      </c>
      <c r="EO27" s="26" t="s">
        <v>326</v>
      </c>
      <c r="EP27" s="26" t="s">
        <v>326</v>
      </c>
      <c r="EQ27" s="26" t="s">
        <v>326</v>
      </c>
      <c r="ER27" s="26" t="s">
        <v>326</v>
      </c>
      <c r="ES27" s="26" t="s">
        <v>326</v>
      </c>
      <c r="ET27" s="26" t="s">
        <v>326</v>
      </c>
      <c r="EU27" s="26" t="s">
        <v>326</v>
      </c>
      <c r="EV27" s="26" t="s">
        <v>326</v>
      </c>
      <c r="EW27" s="26" t="s">
        <v>326</v>
      </c>
      <c r="EX27" s="26" t="s">
        <v>326</v>
      </c>
      <c r="EY27" s="26" t="s">
        <v>326</v>
      </c>
      <c r="EZ27" s="65">
        <v>25</v>
      </c>
      <c r="FA27" s="26">
        <v>25</v>
      </c>
      <c r="FB27" s="26">
        <v>25</v>
      </c>
      <c r="FC27" s="26">
        <v>23</v>
      </c>
      <c r="FD27" s="26">
        <v>25</v>
      </c>
      <c r="FE27" s="26">
        <v>25</v>
      </c>
      <c r="FF27" s="26">
        <v>21</v>
      </c>
      <c r="FG27" s="26">
        <v>22</v>
      </c>
      <c r="FH27" s="26" t="s">
        <v>326</v>
      </c>
      <c r="FI27" s="26" t="s">
        <v>326</v>
      </c>
      <c r="FJ27" s="26" t="s">
        <v>326</v>
      </c>
      <c r="FK27" s="26" t="s">
        <v>326</v>
      </c>
      <c r="FL27" s="26" t="s">
        <v>326</v>
      </c>
      <c r="FM27" s="26" t="s">
        <v>326</v>
      </c>
      <c r="FN27" s="26" t="s">
        <v>326</v>
      </c>
      <c r="FO27" s="66" t="s">
        <v>326</v>
      </c>
      <c r="FP27" s="65">
        <v>13</v>
      </c>
      <c r="FQ27" s="26">
        <v>13</v>
      </c>
      <c r="FR27" s="26">
        <v>9</v>
      </c>
      <c r="FS27" s="26">
        <v>9</v>
      </c>
      <c r="FT27" s="26" t="s">
        <v>326</v>
      </c>
      <c r="FU27" s="26" t="s">
        <v>326</v>
      </c>
      <c r="FV27" s="26" t="s">
        <v>326</v>
      </c>
      <c r="FW27" s="66" t="s">
        <v>326</v>
      </c>
      <c r="FX27" s="96">
        <v>8</v>
      </c>
      <c r="FY27" s="97">
        <v>7</v>
      </c>
      <c r="FZ27" s="97" t="s">
        <v>326</v>
      </c>
      <c r="GA27" s="98" t="s">
        <v>326</v>
      </c>
      <c r="GB27" s="26"/>
      <c r="GC27" s="26"/>
      <c r="GD27" s="26"/>
      <c r="GG27" s="26"/>
      <c r="GJ27">
        <f>GJ23+1</f>
        <v>7</v>
      </c>
      <c r="GK27" t="str">
        <f>IF(Grps&gt;GJ23,GJ27,"")</f>
        <v/>
      </c>
    </row>
    <row r="28" spans="2:193" ht="15" thickBot="1" x14ac:dyDescent="0.35">
      <c r="B28" s="18" t="s">
        <v>338</v>
      </c>
      <c r="C28" s="13">
        <v>19</v>
      </c>
      <c r="D28" s="21" t="s">
        <v>339</v>
      </c>
      <c r="E28" s="24">
        <v>89</v>
      </c>
      <c r="G28" s="2">
        <v>9</v>
      </c>
      <c r="H28" s="5">
        <v>8</v>
      </c>
      <c r="I28" s="13">
        <v>8</v>
      </c>
      <c r="K28" s="26"/>
      <c r="L28" s="26"/>
      <c r="M28" s="113"/>
      <c r="O28" s="7"/>
      <c r="T28" s="7"/>
      <c r="AE28" s="7"/>
      <c r="BD28" s="26"/>
      <c r="BE28" s="26">
        <f t="shared" si="30"/>
        <v>39</v>
      </c>
      <c r="BF28">
        <v>39</v>
      </c>
      <c r="BG28">
        <v>8</v>
      </c>
      <c r="BH28" s="42">
        <v>32</v>
      </c>
      <c r="BI28" s="42">
        <v>32</v>
      </c>
      <c r="BJ28" s="42">
        <v>32</v>
      </c>
      <c r="BK28" s="42">
        <v>32</v>
      </c>
      <c r="BL28" s="42">
        <v>32</v>
      </c>
      <c r="BM28" s="42">
        <v>32</v>
      </c>
      <c r="BN28" s="42">
        <v>32</v>
      </c>
      <c r="BO28" s="42">
        <v>32</v>
      </c>
      <c r="BP28" s="42">
        <v>32</v>
      </c>
      <c r="BQ28" s="42">
        <v>32</v>
      </c>
      <c r="BR28" s="42">
        <v>32</v>
      </c>
      <c r="BS28" s="42">
        <v>32</v>
      </c>
      <c r="BT28" s="42">
        <v>32</v>
      </c>
      <c r="BU28" s="42">
        <v>32</v>
      </c>
      <c r="BV28" s="42">
        <v>32</v>
      </c>
      <c r="BW28" s="42">
        <v>32</v>
      </c>
      <c r="BX28" s="42">
        <v>32</v>
      </c>
      <c r="BY28" s="42">
        <v>32</v>
      </c>
      <c r="BZ28" s="42">
        <v>32</v>
      </c>
      <c r="CA28" s="42">
        <v>32</v>
      </c>
      <c r="CB28" s="42">
        <v>32</v>
      </c>
      <c r="CC28" s="42">
        <v>32</v>
      </c>
      <c r="CD28" s="42">
        <v>32</v>
      </c>
      <c r="CE28" s="42">
        <v>32</v>
      </c>
      <c r="CF28" s="42">
        <v>32</v>
      </c>
      <c r="CG28" s="42">
        <v>32</v>
      </c>
      <c r="CH28" s="42">
        <v>32</v>
      </c>
      <c r="CI28" s="42">
        <v>32</v>
      </c>
      <c r="CJ28" s="42">
        <v>32</v>
      </c>
      <c r="CK28" s="42">
        <v>32</v>
      </c>
      <c r="CL28" s="42">
        <v>32</v>
      </c>
      <c r="CM28" s="42">
        <v>32</v>
      </c>
      <c r="CN28" s="42">
        <v>32</v>
      </c>
      <c r="CO28" s="42">
        <v>32</v>
      </c>
      <c r="CP28" s="42">
        <v>32</v>
      </c>
      <c r="CQ28" s="42">
        <v>32</v>
      </c>
      <c r="CR28" s="42">
        <v>32</v>
      </c>
      <c r="CS28" s="42">
        <v>32</v>
      </c>
      <c r="CT28" s="42">
        <v>31</v>
      </c>
      <c r="CU28" s="42">
        <v>31</v>
      </c>
      <c r="CV28" s="42">
        <v>31</v>
      </c>
      <c r="CW28" s="42">
        <v>32</v>
      </c>
      <c r="CX28" s="42">
        <v>32</v>
      </c>
      <c r="CY28" s="42">
        <v>32</v>
      </c>
      <c r="CZ28" s="42">
        <v>31</v>
      </c>
      <c r="DA28" s="42">
        <v>31</v>
      </c>
      <c r="DB28" s="42">
        <v>31</v>
      </c>
      <c r="DC28" s="42">
        <v>32</v>
      </c>
      <c r="DD28" s="42">
        <v>32</v>
      </c>
      <c r="DE28" s="42">
        <v>32</v>
      </c>
      <c r="DF28" s="42">
        <v>31</v>
      </c>
      <c r="DG28" s="42">
        <v>42</v>
      </c>
      <c r="DH28" s="42">
        <v>31</v>
      </c>
      <c r="DI28" s="42">
        <v>32</v>
      </c>
      <c r="DJ28" s="42">
        <v>32</v>
      </c>
      <c r="DK28" s="42">
        <v>32</v>
      </c>
      <c r="DL28" s="42">
        <v>31</v>
      </c>
      <c r="DM28" s="42">
        <v>31</v>
      </c>
      <c r="DN28" s="42">
        <v>31</v>
      </c>
      <c r="DO28" s="26">
        <v>32</v>
      </c>
      <c r="DP28" s="26">
        <v>32</v>
      </c>
      <c r="DQ28" s="26">
        <v>32</v>
      </c>
      <c r="DR28" s="26">
        <v>31</v>
      </c>
      <c r="DS28" s="26">
        <v>31</v>
      </c>
      <c r="DT28" s="26">
        <v>16</v>
      </c>
      <c r="DU28" s="26">
        <v>16</v>
      </c>
      <c r="DV28" s="26">
        <v>16</v>
      </c>
      <c r="DW28" s="26">
        <v>16</v>
      </c>
      <c r="DX28" s="26">
        <v>16</v>
      </c>
      <c r="DY28" s="26">
        <v>16</v>
      </c>
      <c r="DZ28" s="26">
        <v>16</v>
      </c>
      <c r="EA28" s="26">
        <v>16</v>
      </c>
      <c r="EB28" s="26">
        <v>16</v>
      </c>
      <c r="EC28" s="26">
        <v>16</v>
      </c>
      <c r="ED28" s="26">
        <v>16</v>
      </c>
      <c r="EE28" s="26">
        <v>16</v>
      </c>
      <c r="EF28" s="26">
        <v>16</v>
      </c>
      <c r="EG28" s="26">
        <v>16</v>
      </c>
      <c r="EH28" s="26">
        <v>16</v>
      </c>
      <c r="EI28" s="26">
        <v>16</v>
      </c>
      <c r="EJ28" s="26">
        <v>16</v>
      </c>
      <c r="EK28" s="26">
        <v>16</v>
      </c>
      <c r="EL28" s="26">
        <v>16</v>
      </c>
      <c r="EM28" s="26">
        <v>16</v>
      </c>
      <c r="EN28" s="26">
        <v>16</v>
      </c>
      <c r="EO28" s="26">
        <v>16</v>
      </c>
      <c r="EP28" s="26">
        <v>15</v>
      </c>
      <c r="EQ28" s="26">
        <v>15</v>
      </c>
      <c r="ER28" s="26">
        <v>15</v>
      </c>
      <c r="ES28" s="26">
        <v>16</v>
      </c>
      <c r="ET28" s="26">
        <v>16</v>
      </c>
      <c r="EU28" s="26">
        <v>16</v>
      </c>
      <c r="EV28" s="26">
        <v>15</v>
      </c>
      <c r="EW28" s="26">
        <v>15</v>
      </c>
      <c r="EX28" s="26">
        <v>15</v>
      </c>
      <c r="EY28" s="26">
        <v>16</v>
      </c>
      <c r="EZ28" s="65">
        <v>8</v>
      </c>
      <c r="FA28" s="26">
        <v>8</v>
      </c>
      <c r="FB28" s="26">
        <v>8</v>
      </c>
      <c r="FC28" s="26">
        <v>8</v>
      </c>
      <c r="FD28" s="26">
        <v>8</v>
      </c>
      <c r="FE28" s="26">
        <v>8</v>
      </c>
      <c r="FF28" s="26">
        <v>8</v>
      </c>
      <c r="FG28" s="26">
        <v>8</v>
      </c>
      <c r="FH28" s="26">
        <v>8</v>
      </c>
      <c r="FI28" s="26">
        <v>8</v>
      </c>
      <c r="FJ28" s="26">
        <v>8</v>
      </c>
      <c r="FK28" s="26">
        <v>8</v>
      </c>
      <c r="FL28" s="26">
        <v>8</v>
      </c>
      <c r="FM28" s="26">
        <v>8</v>
      </c>
      <c r="FN28" s="26">
        <v>7</v>
      </c>
      <c r="FO28" s="66">
        <v>7</v>
      </c>
      <c r="FP28" s="65">
        <v>4</v>
      </c>
      <c r="FQ28" s="26">
        <v>4</v>
      </c>
      <c r="FR28" s="26">
        <v>4</v>
      </c>
      <c r="FS28" s="26">
        <v>4</v>
      </c>
      <c r="FT28" s="26">
        <v>4</v>
      </c>
      <c r="FU28" s="26">
        <v>4</v>
      </c>
      <c r="FV28" s="26">
        <v>4</v>
      </c>
      <c r="FW28" s="66">
        <v>4</v>
      </c>
      <c r="FX28" s="99">
        <v>2</v>
      </c>
      <c r="FY28" s="100">
        <v>2</v>
      </c>
      <c r="FZ28" s="100">
        <v>2</v>
      </c>
      <c r="GA28" s="101">
        <v>2</v>
      </c>
      <c r="GB28" s="26"/>
      <c r="GC28" s="26"/>
      <c r="GD28" s="26"/>
      <c r="GG28" s="26"/>
      <c r="GK28" t="str">
        <f>IF(Grps&gt;GJ23,GK24+1,"")</f>
        <v/>
      </c>
    </row>
    <row r="29" spans="2:193" ht="15" thickTop="1" x14ac:dyDescent="0.3">
      <c r="B29" s="18" t="s">
        <v>340</v>
      </c>
      <c r="C29" s="13">
        <v>2</v>
      </c>
      <c r="D29" s="21" t="s">
        <v>341</v>
      </c>
      <c r="E29" s="24">
        <v>90</v>
      </c>
      <c r="G29" s="2">
        <f t="shared" ref="G29:G92" si="31">G28+1</f>
        <v>10</v>
      </c>
      <c r="H29" s="5">
        <v>8</v>
      </c>
      <c r="I29" s="13">
        <v>8</v>
      </c>
      <c r="K29" s="26"/>
      <c r="L29" s="26"/>
      <c r="M29" s="113"/>
      <c r="O29" s="7"/>
      <c r="T29" s="7"/>
      <c r="AE29" s="7"/>
      <c r="BD29" s="26"/>
      <c r="BE29" s="26">
        <f t="shared" si="30"/>
        <v>16</v>
      </c>
      <c r="BF29">
        <v>16</v>
      </c>
      <c r="BG29">
        <v>9</v>
      </c>
      <c r="BH29" s="38">
        <v>17</v>
      </c>
      <c r="BI29" s="39">
        <v>17</v>
      </c>
      <c r="BJ29" s="39">
        <v>17</v>
      </c>
      <c r="BK29" s="39">
        <v>17</v>
      </c>
      <c r="BL29" s="39">
        <v>17</v>
      </c>
      <c r="BM29" s="39">
        <v>17</v>
      </c>
      <c r="BN29" s="39">
        <v>17</v>
      </c>
      <c r="BO29" s="39">
        <v>17</v>
      </c>
      <c r="BP29" s="39">
        <v>17</v>
      </c>
      <c r="BQ29" s="39">
        <v>17</v>
      </c>
      <c r="BR29" s="39">
        <v>17</v>
      </c>
      <c r="BS29" s="39">
        <v>17</v>
      </c>
      <c r="BT29" s="39">
        <v>17</v>
      </c>
      <c r="BU29" s="39">
        <v>17</v>
      </c>
      <c r="BV29" s="39">
        <v>17</v>
      </c>
      <c r="BW29" s="39">
        <v>17</v>
      </c>
      <c r="BX29" s="39">
        <v>17</v>
      </c>
      <c r="BY29" s="39">
        <v>17</v>
      </c>
      <c r="BZ29" s="39">
        <v>17</v>
      </c>
      <c r="CA29" s="39">
        <v>17</v>
      </c>
      <c r="CB29" s="39">
        <v>17</v>
      </c>
      <c r="CC29" s="39">
        <v>17</v>
      </c>
      <c r="CD29" s="39">
        <v>17</v>
      </c>
      <c r="CE29" s="39">
        <v>17</v>
      </c>
      <c r="CF29" s="39">
        <v>17</v>
      </c>
      <c r="CG29" s="39">
        <v>17</v>
      </c>
      <c r="CH29" s="39">
        <v>17</v>
      </c>
      <c r="CI29" s="39">
        <v>17</v>
      </c>
      <c r="CJ29" s="39">
        <v>17</v>
      </c>
      <c r="CK29" s="39">
        <v>17</v>
      </c>
      <c r="CL29" s="39">
        <v>17</v>
      </c>
      <c r="CM29" s="39">
        <v>17</v>
      </c>
      <c r="CN29" s="39">
        <v>17</v>
      </c>
      <c r="CO29" s="39">
        <v>17</v>
      </c>
      <c r="CP29" s="39">
        <v>17</v>
      </c>
      <c r="CQ29" s="39">
        <v>17</v>
      </c>
      <c r="CR29" s="39">
        <v>17</v>
      </c>
      <c r="CS29" s="39">
        <v>17</v>
      </c>
      <c r="CT29" s="39">
        <v>17</v>
      </c>
      <c r="CU29" s="39">
        <v>17</v>
      </c>
      <c r="CV29" s="39">
        <v>17</v>
      </c>
      <c r="CW29" s="39">
        <v>17</v>
      </c>
      <c r="CX29" s="39">
        <v>17</v>
      </c>
      <c r="CY29" s="39">
        <v>17</v>
      </c>
      <c r="CZ29" s="39">
        <v>17</v>
      </c>
      <c r="DA29" s="39">
        <v>17</v>
      </c>
      <c r="DB29" s="39">
        <v>17</v>
      </c>
      <c r="DC29" s="39">
        <v>17</v>
      </c>
      <c r="DD29" s="39">
        <v>17</v>
      </c>
      <c r="DE29" s="39">
        <v>17</v>
      </c>
      <c r="DF29" s="39">
        <v>17</v>
      </c>
      <c r="DG29" s="39">
        <v>16</v>
      </c>
      <c r="DH29" s="39">
        <v>17</v>
      </c>
      <c r="DI29" s="39">
        <v>17</v>
      </c>
      <c r="DJ29" s="39">
        <v>17</v>
      </c>
      <c r="DK29" s="39">
        <v>17</v>
      </c>
      <c r="DL29" s="39">
        <v>17</v>
      </c>
      <c r="DM29" s="39">
        <v>17</v>
      </c>
      <c r="DN29" s="39">
        <v>17</v>
      </c>
      <c r="DO29" s="36">
        <v>17</v>
      </c>
      <c r="DP29" s="36">
        <v>17</v>
      </c>
      <c r="DQ29" s="36">
        <v>17</v>
      </c>
      <c r="DR29" s="36">
        <v>17</v>
      </c>
      <c r="DS29" s="36">
        <v>17</v>
      </c>
      <c r="DT29" s="36">
        <v>9</v>
      </c>
      <c r="DU29" s="36">
        <v>9</v>
      </c>
      <c r="DV29" s="36">
        <v>9</v>
      </c>
      <c r="DW29" s="36">
        <v>9</v>
      </c>
      <c r="DX29" s="36">
        <v>9</v>
      </c>
      <c r="DY29" s="36">
        <v>9</v>
      </c>
      <c r="DZ29" s="36">
        <v>9</v>
      </c>
      <c r="EA29" s="36">
        <v>9</v>
      </c>
      <c r="EB29" s="36">
        <v>9</v>
      </c>
      <c r="EC29" s="36">
        <v>9</v>
      </c>
      <c r="ED29" s="36">
        <v>9</v>
      </c>
      <c r="EE29" s="36">
        <v>9</v>
      </c>
      <c r="EF29" s="36">
        <v>9</v>
      </c>
      <c r="EG29" s="36">
        <v>9</v>
      </c>
      <c r="EH29" s="36">
        <v>9</v>
      </c>
      <c r="EI29" s="36">
        <v>9</v>
      </c>
      <c r="EJ29" s="36">
        <v>9</v>
      </c>
      <c r="EK29" s="36">
        <v>9</v>
      </c>
      <c r="EL29" s="36">
        <v>9</v>
      </c>
      <c r="EM29" s="36">
        <v>9</v>
      </c>
      <c r="EN29" s="36">
        <v>9</v>
      </c>
      <c r="EO29" s="36">
        <v>9</v>
      </c>
      <c r="EP29" s="36">
        <v>9</v>
      </c>
      <c r="EQ29" s="36">
        <v>9</v>
      </c>
      <c r="ER29" s="36">
        <v>9</v>
      </c>
      <c r="ES29" s="36">
        <v>9</v>
      </c>
      <c r="ET29" s="36">
        <v>9</v>
      </c>
      <c r="EU29" s="36">
        <v>9</v>
      </c>
      <c r="EV29" s="36">
        <v>9</v>
      </c>
      <c r="EW29" s="36">
        <v>9</v>
      </c>
      <c r="EX29" s="36">
        <v>9</v>
      </c>
      <c r="EY29" s="36">
        <v>9</v>
      </c>
      <c r="EZ29" s="69">
        <v>5</v>
      </c>
      <c r="FA29" s="36">
        <v>5</v>
      </c>
      <c r="FB29" s="36">
        <v>5</v>
      </c>
      <c r="FC29" s="36">
        <v>5</v>
      </c>
      <c r="FD29" s="36">
        <v>5</v>
      </c>
      <c r="FE29" s="36">
        <v>5</v>
      </c>
      <c r="FF29" s="36">
        <v>5</v>
      </c>
      <c r="FG29" s="36">
        <v>5</v>
      </c>
      <c r="FH29" s="36">
        <v>5</v>
      </c>
      <c r="FI29" s="36">
        <v>5</v>
      </c>
      <c r="FJ29" s="36">
        <v>5</v>
      </c>
      <c r="FK29" s="36">
        <v>5</v>
      </c>
      <c r="FL29" s="36">
        <v>5</v>
      </c>
      <c r="FM29" s="36">
        <v>5</v>
      </c>
      <c r="FN29" s="36">
        <v>5</v>
      </c>
      <c r="FO29" s="70">
        <v>5</v>
      </c>
      <c r="FP29" s="82">
        <v>3</v>
      </c>
      <c r="FQ29" s="57">
        <v>3</v>
      </c>
      <c r="FR29" s="57">
        <v>3</v>
      </c>
      <c r="FS29" s="57">
        <v>3</v>
      </c>
      <c r="FT29" s="57">
        <v>3</v>
      </c>
      <c r="FU29" s="57">
        <v>3</v>
      </c>
      <c r="FV29" s="57">
        <v>3</v>
      </c>
      <c r="FW29" s="83">
        <v>3</v>
      </c>
      <c r="GB29" s="26"/>
      <c r="GC29" s="26"/>
      <c r="GD29" s="26"/>
      <c r="GG29" s="26"/>
      <c r="GK29">
        <f>IF(Grps=1,3,Grps*2+GJ27)</f>
        <v>7</v>
      </c>
    </row>
    <row r="30" spans="2:193" x14ac:dyDescent="0.3">
      <c r="B30" s="18" t="s">
        <v>342</v>
      </c>
      <c r="C30" s="13">
        <v>20</v>
      </c>
      <c r="D30" s="21" t="s">
        <v>343</v>
      </c>
      <c r="E30" s="24">
        <v>91</v>
      </c>
      <c r="G30" s="2">
        <f t="shared" si="31"/>
        <v>11</v>
      </c>
      <c r="H30" s="5">
        <v>8</v>
      </c>
      <c r="I30" s="13">
        <v>8</v>
      </c>
      <c r="L30" s="4"/>
      <c r="M30" s="7"/>
      <c r="O30" s="7"/>
      <c r="T30" s="7"/>
      <c r="AE30" s="7"/>
      <c r="BD30" s="26"/>
      <c r="BE30" s="26" t="str">
        <f t="shared" si="30"/>
        <v>BYE</v>
      </c>
      <c r="BF30">
        <v>113</v>
      </c>
      <c r="BG30">
        <v>10</v>
      </c>
      <c r="BH30" s="40">
        <v>112</v>
      </c>
      <c r="BI30" s="41">
        <v>112</v>
      </c>
      <c r="BJ30" s="41">
        <v>112</v>
      </c>
      <c r="BK30" s="41">
        <v>112</v>
      </c>
      <c r="BL30" s="41">
        <v>111</v>
      </c>
      <c r="BM30" s="41">
        <v>112</v>
      </c>
      <c r="BN30" s="41">
        <v>112</v>
      </c>
      <c r="BO30" s="41">
        <v>116</v>
      </c>
      <c r="BP30" s="41">
        <v>116</v>
      </c>
      <c r="BQ30" s="41">
        <v>116</v>
      </c>
      <c r="BR30" s="41">
        <v>108</v>
      </c>
      <c r="BS30" s="41">
        <v>112</v>
      </c>
      <c r="BT30" s="41">
        <v>112</v>
      </c>
      <c r="BU30" s="41">
        <v>112</v>
      </c>
      <c r="BV30" s="41">
        <v>112</v>
      </c>
      <c r="BW30" s="41">
        <v>111</v>
      </c>
      <c r="BX30" s="41">
        <v>111</v>
      </c>
      <c r="BY30" s="41" t="s">
        <v>326</v>
      </c>
      <c r="BZ30" s="41" t="s">
        <v>326</v>
      </c>
      <c r="CA30" s="41" t="s">
        <v>326</v>
      </c>
      <c r="CB30" s="41" t="s">
        <v>326</v>
      </c>
      <c r="CC30" s="41" t="s">
        <v>326</v>
      </c>
      <c r="CD30" s="41" t="s">
        <v>326</v>
      </c>
      <c r="CE30" s="41" t="s">
        <v>326</v>
      </c>
      <c r="CF30" s="41" t="s">
        <v>326</v>
      </c>
      <c r="CG30" s="41" t="s">
        <v>326</v>
      </c>
      <c r="CH30" s="41" t="s">
        <v>326</v>
      </c>
      <c r="CI30" s="41" t="s">
        <v>326</v>
      </c>
      <c r="CJ30" s="41" t="s">
        <v>326</v>
      </c>
      <c r="CK30" s="41" t="s">
        <v>326</v>
      </c>
      <c r="CL30" s="41" t="s">
        <v>326</v>
      </c>
      <c r="CM30" s="41" t="s">
        <v>326</v>
      </c>
      <c r="CN30" s="41" t="s">
        <v>326</v>
      </c>
      <c r="CO30" s="41" t="s">
        <v>326</v>
      </c>
      <c r="CP30" s="41" t="s">
        <v>326</v>
      </c>
      <c r="CQ30" s="41" t="s">
        <v>326</v>
      </c>
      <c r="CR30" s="41" t="s">
        <v>326</v>
      </c>
      <c r="CS30" s="41" t="s">
        <v>326</v>
      </c>
      <c r="CT30" s="41" t="s">
        <v>326</v>
      </c>
      <c r="CU30" s="41" t="s">
        <v>326</v>
      </c>
      <c r="CV30" s="41" t="s">
        <v>326</v>
      </c>
      <c r="CW30" s="41" t="s">
        <v>326</v>
      </c>
      <c r="CX30" s="41" t="s">
        <v>326</v>
      </c>
      <c r="CY30" s="41" t="s">
        <v>326</v>
      </c>
      <c r="CZ30" s="41" t="s">
        <v>326</v>
      </c>
      <c r="DA30" s="41" t="s">
        <v>326</v>
      </c>
      <c r="DB30" s="41" t="s">
        <v>326</v>
      </c>
      <c r="DC30" s="41" t="s">
        <v>326</v>
      </c>
      <c r="DD30" s="41" t="s">
        <v>326</v>
      </c>
      <c r="DE30" s="41" t="s">
        <v>326</v>
      </c>
      <c r="DF30" s="41" t="s">
        <v>326</v>
      </c>
      <c r="DG30" s="41" t="s">
        <v>327</v>
      </c>
      <c r="DH30" s="41" t="s">
        <v>326</v>
      </c>
      <c r="DI30" s="41" t="s">
        <v>326</v>
      </c>
      <c r="DJ30" s="41" t="s">
        <v>326</v>
      </c>
      <c r="DK30" s="41" t="s">
        <v>326</v>
      </c>
      <c r="DL30" s="41" t="s">
        <v>326</v>
      </c>
      <c r="DM30" s="41" t="s">
        <v>326</v>
      </c>
      <c r="DN30" s="41" t="s">
        <v>326</v>
      </c>
      <c r="DO30" s="37" t="s">
        <v>326</v>
      </c>
      <c r="DP30" s="37" t="s">
        <v>326</v>
      </c>
      <c r="DQ30" s="37" t="s">
        <v>326</v>
      </c>
      <c r="DR30" s="37" t="s">
        <v>326</v>
      </c>
      <c r="DS30" s="37" t="s">
        <v>326</v>
      </c>
      <c r="DT30" s="37">
        <v>55</v>
      </c>
      <c r="DU30" s="37">
        <v>56</v>
      </c>
      <c r="DV30" s="37">
        <v>56</v>
      </c>
      <c r="DW30" s="37">
        <v>53</v>
      </c>
      <c r="DX30" s="37">
        <v>54</v>
      </c>
      <c r="DY30" s="37">
        <v>51</v>
      </c>
      <c r="DZ30" s="37">
        <v>52</v>
      </c>
      <c r="EA30" s="37">
        <v>56</v>
      </c>
      <c r="EB30" s="37">
        <v>56</v>
      </c>
      <c r="EC30" s="37" t="s">
        <v>326</v>
      </c>
      <c r="ED30" s="37" t="s">
        <v>326</v>
      </c>
      <c r="EE30" s="37" t="s">
        <v>326</v>
      </c>
      <c r="EF30" s="37" t="s">
        <v>326</v>
      </c>
      <c r="EG30" s="37" t="s">
        <v>326</v>
      </c>
      <c r="EH30" s="37" t="s">
        <v>326</v>
      </c>
      <c r="EI30" s="37" t="s">
        <v>326</v>
      </c>
      <c r="EJ30" s="37" t="s">
        <v>326</v>
      </c>
      <c r="EK30" s="37" t="s">
        <v>326</v>
      </c>
      <c r="EL30" s="37" t="s">
        <v>326</v>
      </c>
      <c r="EM30" s="37" t="s">
        <v>326</v>
      </c>
      <c r="EN30" s="37" t="s">
        <v>326</v>
      </c>
      <c r="EO30" s="37" t="s">
        <v>326</v>
      </c>
      <c r="EP30" s="37" t="s">
        <v>326</v>
      </c>
      <c r="EQ30" s="37" t="s">
        <v>326</v>
      </c>
      <c r="ER30" s="37" t="s">
        <v>326</v>
      </c>
      <c r="ES30" s="37" t="s">
        <v>326</v>
      </c>
      <c r="ET30" s="37" t="s">
        <v>326</v>
      </c>
      <c r="EU30" s="37" t="s">
        <v>326</v>
      </c>
      <c r="EV30" s="37" t="s">
        <v>326</v>
      </c>
      <c r="EW30" s="37" t="s">
        <v>326</v>
      </c>
      <c r="EX30" s="37" t="s">
        <v>326</v>
      </c>
      <c r="EY30" s="37" t="s">
        <v>326</v>
      </c>
      <c r="EZ30" s="71">
        <v>28</v>
      </c>
      <c r="FA30" s="37">
        <v>28</v>
      </c>
      <c r="FB30" s="37">
        <v>28</v>
      </c>
      <c r="FC30" s="37">
        <v>28</v>
      </c>
      <c r="FD30" s="37">
        <v>27</v>
      </c>
      <c r="FE30" s="37" t="s">
        <v>326</v>
      </c>
      <c r="FF30" s="37" t="s">
        <v>326</v>
      </c>
      <c r="FG30" s="37" t="s">
        <v>326</v>
      </c>
      <c r="FH30" s="37" t="s">
        <v>326</v>
      </c>
      <c r="FI30" s="37" t="s">
        <v>326</v>
      </c>
      <c r="FJ30" s="37" t="s">
        <v>326</v>
      </c>
      <c r="FK30" s="37" t="s">
        <v>326</v>
      </c>
      <c r="FL30" s="37" t="s">
        <v>326</v>
      </c>
      <c r="FM30" s="37" t="s">
        <v>326</v>
      </c>
      <c r="FN30" s="37" t="s">
        <v>326</v>
      </c>
      <c r="FO30" s="72" t="s">
        <v>326</v>
      </c>
      <c r="FP30" s="84">
        <v>14</v>
      </c>
      <c r="FQ30" s="58">
        <v>14</v>
      </c>
      <c r="FR30" s="58">
        <v>13</v>
      </c>
      <c r="FS30" s="58" t="s">
        <v>326</v>
      </c>
      <c r="FT30" s="58" t="s">
        <v>326</v>
      </c>
      <c r="FU30" s="58" t="s">
        <v>326</v>
      </c>
      <c r="FV30" s="58" t="s">
        <v>326</v>
      </c>
      <c r="FW30" s="85" t="s">
        <v>326</v>
      </c>
      <c r="GB30" s="26"/>
      <c r="GC30" s="26"/>
      <c r="GD30" s="26"/>
      <c r="GG30" s="26"/>
      <c r="GK30">
        <f>IF(Grps=3,"",IF(Grps=1,4,Grps*3+GJ27))</f>
        <v>7</v>
      </c>
    </row>
    <row r="31" spans="2:193" x14ac:dyDescent="0.3">
      <c r="B31" s="18" t="s">
        <v>344</v>
      </c>
      <c r="C31" s="13">
        <v>21</v>
      </c>
      <c r="D31" s="21" t="s">
        <v>345</v>
      </c>
      <c r="E31" s="24">
        <v>92</v>
      </c>
      <c r="G31" s="2">
        <f t="shared" si="31"/>
        <v>12</v>
      </c>
      <c r="H31" s="5">
        <v>8</v>
      </c>
      <c r="I31" s="13">
        <v>8</v>
      </c>
      <c r="L31" s="4"/>
      <c r="M31" s="7"/>
      <c r="O31" s="7"/>
      <c r="T31" s="7"/>
      <c r="AE31" s="7"/>
      <c r="BD31" s="26"/>
      <c r="BE31" s="26">
        <f t="shared" si="30"/>
        <v>49</v>
      </c>
      <c r="BF31">
        <v>49</v>
      </c>
      <c r="BG31">
        <v>11</v>
      </c>
      <c r="BH31" s="42">
        <v>81</v>
      </c>
      <c r="BI31" s="42">
        <v>81</v>
      </c>
      <c r="BJ31" s="42">
        <v>82</v>
      </c>
      <c r="BK31" s="42">
        <v>82</v>
      </c>
      <c r="BL31" s="42">
        <v>82</v>
      </c>
      <c r="BM31" s="42">
        <v>81</v>
      </c>
      <c r="BN31" s="42">
        <v>81</v>
      </c>
      <c r="BO31" s="42">
        <v>81</v>
      </c>
      <c r="BP31" s="42">
        <v>83</v>
      </c>
      <c r="BQ31" s="42">
        <v>84</v>
      </c>
      <c r="BR31" s="42">
        <v>81</v>
      </c>
      <c r="BS31" s="42">
        <v>81</v>
      </c>
      <c r="BT31" s="42">
        <v>81</v>
      </c>
      <c r="BU31" s="42">
        <v>81</v>
      </c>
      <c r="BV31" s="42">
        <v>81</v>
      </c>
      <c r="BW31" s="42">
        <v>79</v>
      </c>
      <c r="BX31" s="42">
        <v>81</v>
      </c>
      <c r="BY31" s="42">
        <v>81</v>
      </c>
      <c r="BZ31" s="42">
        <v>77</v>
      </c>
      <c r="CA31" s="42">
        <v>84</v>
      </c>
      <c r="CB31" s="42">
        <v>83</v>
      </c>
      <c r="CC31" s="42">
        <v>77</v>
      </c>
      <c r="CD31" s="42">
        <v>81</v>
      </c>
      <c r="CE31" s="42">
        <v>81</v>
      </c>
      <c r="CF31" s="42">
        <v>81</v>
      </c>
      <c r="CG31" s="42">
        <v>81</v>
      </c>
      <c r="CH31" s="42">
        <v>81</v>
      </c>
      <c r="CI31" s="42">
        <v>79</v>
      </c>
      <c r="CJ31" s="42">
        <v>81</v>
      </c>
      <c r="CK31" s="42">
        <v>81</v>
      </c>
      <c r="CL31" s="42">
        <v>77</v>
      </c>
      <c r="CM31" s="42">
        <v>84</v>
      </c>
      <c r="CN31" s="42">
        <v>83</v>
      </c>
      <c r="CO31" s="42">
        <v>83</v>
      </c>
      <c r="CP31" s="42">
        <v>81</v>
      </c>
      <c r="CQ31" s="42">
        <v>81</v>
      </c>
      <c r="CR31" s="42">
        <v>81</v>
      </c>
      <c r="CS31" s="42">
        <v>81</v>
      </c>
      <c r="CT31" s="42">
        <v>81</v>
      </c>
      <c r="CU31" s="42">
        <v>79</v>
      </c>
      <c r="CV31" s="42">
        <v>81</v>
      </c>
      <c r="CW31" s="42">
        <v>81</v>
      </c>
      <c r="CX31" s="42">
        <v>77</v>
      </c>
      <c r="CY31" s="42">
        <v>78</v>
      </c>
      <c r="CZ31" s="42">
        <v>78</v>
      </c>
      <c r="DA31" s="42">
        <v>83</v>
      </c>
      <c r="DB31" s="42">
        <v>81</v>
      </c>
      <c r="DC31" s="42">
        <v>81</v>
      </c>
      <c r="DD31" s="42" t="s">
        <v>326</v>
      </c>
      <c r="DE31" s="42" t="s">
        <v>326</v>
      </c>
      <c r="DF31" s="42" t="s">
        <v>326</v>
      </c>
      <c r="DG31" s="42">
        <v>51</v>
      </c>
      <c r="DH31" s="42" t="s">
        <v>326</v>
      </c>
      <c r="DI31" s="42" t="s">
        <v>326</v>
      </c>
      <c r="DJ31" s="42" t="s">
        <v>326</v>
      </c>
      <c r="DK31" s="42" t="s">
        <v>326</v>
      </c>
      <c r="DL31" s="42" t="s">
        <v>326</v>
      </c>
      <c r="DM31" s="42" t="s">
        <v>326</v>
      </c>
      <c r="DN31" s="42" t="s">
        <v>326</v>
      </c>
      <c r="DO31" s="26" t="s">
        <v>326</v>
      </c>
      <c r="DP31" s="26" t="s">
        <v>326</v>
      </c>
      <c r="DQ31" s="26" t="s">
        <v>326</v>
      </c>
      <c r="DR31" s="26" t="s">
        <v>326</v>
      </c>
      <c r="DS31" s="26" t="s">
        <v>326</v>
      </c>
      <c r="DT31" s="26">
        <v>42</v>
      </c>
      <c r="DU31" s="26">
        <v>41</v>
      </c>
      <c r="DV31" s="26">
        <v>41</v>
      </c>
      <c r="DW31" s="26">
        <v>41</v>
      </c>
      <c r="DX31" s="26">
        <v>44</v>
      </c>
      <c r="DY31" s="26">
        <v>42</v>
      </c>
      <c r="DZ31" s="26">
        <v>41</v>
      </c>
      <c r="EA31" s="26">
        <v>41</v>
      </c>
      <c r="EB31" s="26">
        <v>41</v>
      </c>
      <c r="EC31" s="26">
        <v>41</v>
      </c>
      <c r="ED31" s="26">
        <v>41</v>
      </c>
      <c r="EE31" s="26">
        <v>39</v>
      </c>
      <c r="EF31" s="26">
        <v>41</v>
      </c>
      <c r="EG31" s="26">
        <v>41</v>
      </c>
      <c r="EH31" s="26">
        <v>37</v>
      </c>
      <c r="EI31" s="26">
        <v>44</v>
      </c>
      <c r="EJ31" s="26">
        <v>43</v>
      </c>
      <c r="EK31" s="26">
        <v>44</v>
      </c>
      <c r="EL31" s="26">
        <v>41</v>
      </c>
      <c r="EM31" s="26">
        <v>41</v>
      </c>
      <c r="EN31" s="26">
        <v>41</v>
      </c>
      <c r="EO31" s="26">
        <v>41</v>
      </c>
      <c r="EP31" s="26">
        <v>41</v>
      </c>
      <c r="EQ31" s="26">
        <v>39</v>
      </c>
      <c r="ER31" s="26" t="s">
        <v>326</v>
      </c>
      <c r="ES31" s="26" t="s">
        <v>326</v>
      </c>
      <c r="ET31" s="26" t="s">
        <v>326</v>
      </c>
      <c r="EU31" s="26" t="s">
        <v>326</v>
      </c>
      <c r="EV31" s="26" t="s">
        <v>326</v>
      </c>
      <c r="EW31" s="26" t="s">
        <v>326</v>
      </c>
      <c r="EX31" s="26" t="s">
        <v>326</v>
      </c>
      <c r="EY31" s="26" t="s">
        <v>326</v>
      </c>
      <c r="EZ31" s="65">
        <v>21</v>
      </c>
      <c r="FA31" s="26">
        <v>21</v>
      </c>
      <c r="FB31" s="26">
        <v>21</v>
      </c>
      <c r="FC31" s="26">
        <v>22</v>
      </c>
      <c r="FD31" s="26">
        <v>21</v>
      </c>
      <c r="FE31" s="26">
        <v>21</v>
      </c>
      <c r="FF31" s="26">
        <v>25</v>
      </c>
      <c r="FG31" s="26">
        <v>24</v>
      </c>
      <c r="FH31" s="26">
        <v>23</v>
      </c>
      <c r="FI31" s="26">
        <v>21</v>
      </c>
      <c r="FJ31" s="26">
        <v>21</v>
      </c>
      <c r="FK31" s="26">
        <v>21</v>
      </c>
      <c r="FL31" s="26" t="s">
        <v>326</v>
      </c>
      <c r="FM31" s="26" t="s">
        <v>326</v>
      </c>
      <c r="FN31" s="26" t="s">
        <v>326</v>
      </c>
      <c r="FO31" s="66" t="s">
        <v>326</v>
      </c>
      <c r="FP31" s="86">
        <v>12</v>
      </c>
      <c r="FQ31" s="87">
        <v>11</v>
      </c>
      <c r="FR31" s="87">
        <v>11</v>
      </c>
      <c r="FS31" s="87">
        <v>12</v>
      </c>
      <c r="FT31" s="87">
        <v>9</v>
      </c>
      <c r="FU31" s="87">
        <v>9</v>
      </c>
      <c r="FV31" s="87" t="s">
        <v>326</v>
      </c>
      <c r="FW31" s="88" t="s">
        <v>326</v>
      </c>
      <c r="GB31" s="26"/>
      <c r="GC31" s="26"/>
      <c r="GD31" s="26"/>
      <c r="GG31" s="26"/>
      <c r="GJ31">
        <f>GJ27+1</f>
        <v>8</v>
      </c>
      <c r="GK31" t="str">
        <f>IF(Grps&gt;GJ27,GJ31,"")</f>
        <v/>
      </c>
    </row>
    <row r="32" spans="2:193" x14ac:dyDescent="0.3">
      <c r="B32" s="18" t="s">
        <v>346</v>
      </c>
      <c r="C32" s="13">
        <v>22</v>
      </c>
      <c r="D32" s="21" t="s">
        <v>347</v>
      </c>
      <c r="E32" s="24">
        <v>93</v>
      </c>
      <c r="G32" s="2">
        <f t="shared" si="31"/>
        <v>13</v>
      </c>
      <c r="H32" s="5">
        <v>8</v>
      </c>
      <c r="I32" s="13">
        <v>8</v>
      </c>
      <c r="L32" s="4"/>
      <c r="M32" s="7"/>
      <c r="O32" s="7"/>
      <c r="T32" s="7"/>
      <c r="AE32" s="7"/>
      <c r="BD32" s="26"/>
      <c r="BE32" s="26" t="str">
        <f t="shared" si="30"/>
        <v>BYE</v>
      </c>
      <c r="BF32">
        <v>80</v>
      </c>
      <c r="BG32">
        <v>12</v>
      </c>
      <c r="BH32" s="42">
        <v>48</v>
      </c>
      <c r="BI32" s="42">
        <v>48</v>
      </c>
      <c r="BJ32" s="42">
        <v>47</v>
      </c>
      <c r="BK32" s="42">
        <v>47</v>
      </c>
      <c r="BL32" s="42">
        <v>47</v>
      </c>
      <c r="BM32" s="42">
        <v>48</v>
      </c>
      <c r="BN32" s="42">
        <v>48</v>
      </c>
      <c r="BO32" s="42">
        <v>48</v>
      </c>
      <c r="BP32" s="42">
        <v>47</v>
      </c>
      <c r="BQ32" s="42">
        <v>47</v>
      </c>
      <c r="BR32" s="42">
        <v>47</v>
      </c>
      <c r="BS32" s="42">
        <v>48</v>
      </c>
      <c r="BT32" s="42">
        <v>48</v>
      </c>
      <c r="BU32" s="42">
        <v>48</v>
      </c>
      <c r="BV32" s="42">
        <v>47</v>
      </c>
      <c r="BW32" s="42">
        <v>47</v>
      </c>
      <c r="BX32" s="42">
        <v>47</v>
      </c>
      <c r="BY32" s="42">
        <v>48</v>
      </c>
      <c r="BZ32" s="42">
        <v>48</v>
      </c>
      <c r="CA32" s="42">
        <v>48</v>
      </c>
      <c r="CB32" s="42">
        <v>47</v>
      </c>
      <c r="CC32" s="42">
        <v>47</v>
      </c>
      <c r="CD32" s="42">
        <v>47</v>
      </c>
      <c r="CE32" s="42">
        <v>48</v>
      </c>
      <c r="CF32" s="42">
        <v>48</v>
      </c>
      <c r="CG32" s="42">
        <v>48</v>
      </c>
      <c r="CH32" s="42">
        <v>47</v>
      </c>
      <c r="CI32" s="42">
        <v>47</v>
      </c>
      <c r="CJ32" s="42">
        <v>47</v>
      </c>
      <c r="CK32" s="42">
        <v>48</v>
      </c>
      <c r="CL32" s="42">
        <v>48</v>
      </c>
      <c r="CM32" s="42">
        <v>48</v>
      </c>
      <c r="CN32" s="42">
        <v>47</v>
      </c>
      <c r="CO32" s="42">
        <v>47</v>
      </c>
      <c r="CP32" s="42">
        <v>47</v>
      </c>
      <c r="CQ32" s="42">
        <v>48</v>
      </c>
      <c r="CR32" s="42">
        <v>48</v>
      </c>
      <c r="CS32" s="42">
        <v>48</v>
      </c>
      <c r="CT32" s="42">
        <v>47</v>
      </c>
      <c r="CU32" s="42">
        <v>47</v>
      </c>
      <c r="CV32" s="42">
        <v>47</v>
      </c>
      <c r="CW32" s="42">
        <v>48</v>
      </c>
      <c r="CX32" s="42">
        <v>48</v>
      </c>
      <c r="CY32" s="42">
        <v>48</v>
      </c>
      <c r="CZ32" s="42">
        <v>47</v>
      </c>
      <c r="DA32" s="42">
        <v>47</v>
      </c>
      <c r="DB32" s="42">
        <v>47</v>
      </c>
      <c r="DC32" s="42">
        <v>48</v>
      </c>
      <c r="DD32" s="42">
        <v>48</v>
      </c>
      <c r="DE32" s="42">
        <v>48</v>
      </c>
      <c r="DF32" s="42">
        <v>47</v>
      </c>
      <c r="DG32" s="42" t="s">
        <v>327</v>
      </c>
      <c r="DH32" s="42">
        <v>47</v>
      </c>
      <c r="DI32" s="42">
        <v>48</v>
      </c>
      <c r="DJ32" s="42">
        <v>48</v>
      </c>
      <c r="DK32" s="42">
        <v>48</v>
      </c>
      <c r="DL32" s="42">
        <v>47</v>
      </c>
      <c r="DM32" s="42">
        <v>47</v>
      </c>
      <c r="DN32" s="42">
        <v>27</v>
      </c>
      <c r="DO32" s="26">
        <v>48</v>
      </c>
      <c r="DP32" s="26">
        <v>48</v>
      </c>
      <c r="DQ32" s="26">
        <v>48</v>
      </c>
      <c r="DR32" s="26">
        <v>48</v>
      </c>
      <c r="DS32" s="26">
        <v>48</v>
      </c>
      <c r="DT32" s="26">
        <v>23</v>
      </c>
      <c r="DU32" s="26">
        <v>24</v>
      </c>
      <c r="DV32" s="26">
        <v>24</v>
      </c>
      <c r="DW32" s="26">
        <v>24</v>
      </c>
      <c r="DX32" s="26">
        <v>23</v>
      </c>
      <c r="DY32" s="26">
        <v>23</v>
      </c>
      <c r="DZ32" s="26">
        <v>23</v>
      </c>
      <c r="EA32" s="26">
        <v>24</v>
      </c>
      <c r="EB32" s="26">
        <v>24</v>
      </c>
      <c r="EC32" s="26">
        <v>24</v>
      </c>
      <c r="ED32" s="26">
        <v>23</v>
      </c>
      <c r="EE32" s="26">
        <v>23</v>
      </c>
      <c r="EF32" s="26">
        <v>23</v>
      </c>
      <c r="EG32" s="26">
        <v>24</v>
      </c>
      <c r="EH32" s="26">
        <v>24</v>
      </c>
      <c r="EI32" s="26">
        <v>24</v>
      </c>
      <c r="EJ32" s="26">
        <v>23</v>
      </c>
      <c r="EK32" s="26">
        <v>23</v>
      </c>
      <c r="EL32" s="26">
        <v>23</v>
      </c>
      <c r="EM32" s="26">
        <v>24</v>
      </c>
      <c r="EN32" s="26">
        <v>24</v>
      </c>
      <c r="EO32" s="26">
        <v>24</v>
      </c>
      <c r="EP32" s="26">
        <v>23</v>
      </c>
      <c r="EQ32" s="26">
        <v>23</v>
      </c>
      <c r="ER32" s="26">
        <v>23</v>
      </c>
      <c r="ES32" s="26">
        <v>24</v>
      </c>
      <c r="ET32" s="26">
        <v>24</v>
      </c>
      <c r="EU32" s="26">
        <v>24</v>
      </c>
      <c r="EV32" s="26">
        <v>23</v>
      </c>
      <c r="EW32" s="26">
        <v>23</v>
      </c>
      <c r="EX32" s="26">
        <v>23</v>
      </c>
      <c r="EY32" s="26">
        <v>24</v>
      </c>
      <c r="EZ32" s="65">
        <v>12</v>
      </c>
      <c r="FA32" s="26">
        <v>12</v>
      </c>
      <c r="FB32" s="26">
        <v>11</v>
      </c>
      <c r="FC32" s="26">
        <v>11</v>
      </c>
      <c r="FD32" s="26">
        <v>11</v>
      </c>
      <c r="FE32" s="26">
        <v>12</v>
      </c>
      <c r="FF32" s="26">
        <v>12</v>
      </c>
      <c r="FG32" s="26">
        <v>12</v>
      </c>
      <c r="FH32" s="26">
        <v>11</v>
      </c>
      <c r="FI32" s="26">
        <v>10</v>
      </c>
      <c r="FJ32" s="26">
        <v>11</v>
      </c>
      <c r="FK32" s="26">
        <v>12</v>
      </c>
      <c r="FL32" s="26">
        <v>12</v>
      </c>
      <c r="FM32" s="26">
        <v>12</v>
      </c>
      <c r="FN32" s="26">
        <v>11</v>
      </c>
      <c r="FO32" s="66">
        <v>11</v>
      </c>
      <c r="FP32" s="86">
        <v>6</v>
      </c>
      <c r="FQ32" s="87">
        <v>6</v>
      </c>
      <c r="FR32" s="87">
        <v>6</v>
      </c>
      <c r="FS32" s="87">
        <v>6</v>
      </c>
      <c r="FT32" s="87">
        <v>5</v>
      </c>
      <c r="FU32" s="87">
        <v>5</v>
      </c>
      <c r="FV32" s="87">
        <v>5</v>
      </c>
      <c r="FW32" s="88">
        <v>6</v>
      </c>
      <c r="GG32" s="26"/>
      <c r="GK32">
        <f>IF(ISNUMBER(EY263),EY263,999)</f>
        <v>999</v>
      </c>
    </row>
    <row r="33" spans="2:193" x14ac:dyDescent="0.3">
      <c r="B33" s="18" t="s">
        <v>348</v>
      </c>
      <c r="C33" s="13">
        <v>23</v>
      </c>
      <c r="D33" s="21" t="s">
        <v>349</v>
      </c>
      <c r="E33" s="24">
        <v>65</v>
      </c>
      <c r="G33" s="2">
        <f t="shared" si="31"/>
        <v>14</v>
      </c>
      <c r="H33" s="5">
        <v>8</v>
      </c>
      <c r="I33" s="13">
        <v>8</v>
      </c>
      <c r="L33" s="4"/>
      <c r="M33" s="7"/>
      <c r="O33" s="7"/>
      <c r="T33" s="7"/>
      <c r="AE33" s="7"/>
      <c r="BD33" s="26"/>
      <c r="BE33" s="26">
        <f t="shared" si="30"/>
        <v>17</v>
      </c>
      <c r="BF33">
        <v>17</v>
      </c>
      <c r="BG33">
        <v>13</v>
      </c>
      <c r="BH33" s="38">
        <v>49</v>
      </c>
      <c r="BI33" s="39">
        <v>49</v>
      </c>
      <c r="BJ33" s="39">
        <v>50</v>
      </c>
      <c r="BK33" s="39">
        <v>50</v>
      </c>
      <c r="BL33" s="39">
        <v>50</v>
      </c>
      <c r="BM33" s="39">
        <v>49</v>
      </c>
      <c r="BN33" s="39">
        <v>49</v>
      </c>
      <c r="BO33" s="39">
        <v>49</v>
      </c>
      <c r="BP33" s="39">
        <v>50</v>
      </c>
      <c r="BQ33" s="39">
        <v>50</v>
      </c>
      <c r="BR33" s="39">
        <v>50</v>
      </c>
      <c r="BS33" s="39">
        <v>49</v>
      </c>
      <c r="BT33" s="39">
        <v>49</v>
      </c>
      <c r="BU33" s="39">
        <v>49</v>
      </c>
      <c r="BV33" s="39">
        <v>50</v>
      </c>
      <c r="BW33" s="39">
        <v>50</v>
      </c>
      <c r="BX33" s="39">
        <v>50</v>
      </c>
      <c r="BY33" s="39">
        <v>49</v>
      </c>
      <c r="BZ33" s="39">
        <v>49</v>
      </c>
      <c r="CA33" s="39">
        <v>49</v>
      </c>
      <c r="CB33" s="39">
        <v>50</v>
      </c>
      <c r="CC33" s="39">
        <v>50</v>
      </c>
      <c r="CD33" s="39">
        <v>50</v>
      </c>
      <c r="CE33" s="39">
        <v>49</v>
      </c>
      <c r="CF33" s="39">
        <v>49</v>
      </c>
      <c r="CG33" s="39">
        <v>49</v>
      </c>
      <c r="CH33" s="39">
        <v>50</v>
      </c>
      <c r="CI33" s="39">
        <v>50</v>
      </c>
      <c r="CJ33" s="39">
        <v>50</v>
      </c>
      <c r="CK33" s="39">
        <v>49</v>
      </c>
      <c r="CL33" s="39">
        <v>49</v>
      </c>
      <c r="CM33" s="39">
        <v>49</v>
      </c>
      <c r="CN33" s="39">
        <v>50</v>
      </c>
      <c r="CO33" s="39">
        <v>50</v>
      </c>
      <c r="CP33" s="39">
        <v>50</v>
      </c>
      <c r="CQ33" s="39">
        <v>49</v>
      </c>
      <c r="CR33" s="39">
        <v>49</v>
      </c>
      <c r="CS33" s="39">
        <v>49</v>
      </c>
      <c r="CT33" s="39">
        <v>50</v>
      </c>
      <c r="CU33" s="39">
        <v>50</v>
      </c>
      <c r="CV33" s="39">
        <v>50</v>
      </c>
      <c r="CW33" s="39">
        <v>49</v>
      </c>
      <c r="CX33" s="39">
        <v>49</v>
      </c>
      <c r="CY33" s="39">
        <v>49</v>
      </c>
      <c r="CZ33" s="39">
        <v>50</v>
      </c>
      <c r="DA33" s="39">
        <v>50</v>
      </c>
      <c r="DB33" s="39">
        <v>50</v>
      </c>
      <c r="DC33" s="39">
        <v>49</v>
      </c>
      <c r="DD33" s="39">
        <v>49</v>
      </c>
      <c r="DE33" s="39">
        <v>49</v>
      </c>
      <c r="DF33" s="39">
        <v>50</v>
      </c>
      <c r="DG33" s="39">
        <v>17</v>
      </c>
      <c r="DH33" s="39">
        <v>50</v>
      </c>
      <c r="DI33" s="39">
        <v>49</v>
      </c>
      <c r="DJ33" s="39">
        <v>49</v>
      </c>
      <c r="DK33" s="39">
        <v>49</v>
      </c>
      <c r="DL33" s="39">
        <v>51</v>
      </c>
      <c r="DM33" s="39">
        <v>52</v>
      </c>
      <c r="DN33" s="39">
        <v>49</v>
      </c>
      <c r="DO33" s="36">
        <v>49</v>
      </c>
      <c r="DP33" s="36">
        <v>49</v>
      </c>
      <c r="DQ33" s="36">
        <v>49</v>
      </c>
      <c r="DR33" s="36">
        <v>49</v>
      </c>
      <c r="DS33" s="36">
        <v>47</v>
      </c>
      <c r="DT33" s="36">
        <v>25</v>
      </c>
      <c r="DU33" s="36">
        <v>25</v>
      </c>
      <c r="DV33" s="36">
        <v>25</v>
      </c>
      <c r="DW33" s="36">
        <v>25</v>
      </c>
      <c r="DX33" s="36">
        <v>26</v>
      </c>
      <c r="DY33" s="36">
        <v>26</v>
      </c>
      <c r="DZ33" s="36">
        <v>26</v>
      </c>
      <c r="EA33" s="36">
        <v>25</v>
      </c>
      <c r="EB33" s="36">
        <v>25</v>
      </c>
      <c r="EC33" s="36">
        <v>25</v>
      </c>
      <c r="ED33" s="36">
        <v>26</v>
      </c>
      <c r="EE33" s="36">
        <v>26</v>
      </c>
      <c r="EF33" s="36">
        <v>26</v>
      </c>
      <c r="EG33" s="36">
        <v>25</v>
      </c>
      <c r="EH33" s="36">
        <v>25</v>
      </c>
      <c r="EI33" s="36">
        <v>25</v>
      </c>
      <c r="EJ33" s="36">
        <v>26</v>
      </c>
      <c r="EK33" s="36">
        <v>26</v>
      </c>
      <c r="EL33" s="36">
        <v>26</v>
      </c>
      <c r="EM33" s="36">
        <v>25</v>
      </c>
      <c r="EN33" s="36">
        <v>25</v>
      </c>
      <c r="EO33" s="36">
        <v>25</v>
      </c>
      <c r="EP33" s="36">
        <v>26</v>
      </c>
      <c r="EQ33" s="36">
        <v>26</v>
      </c>
      <c r="ER33" s="36">
        <v>26</v>
      </c>
      <c r="ES33" s="36">
        <v>25</v>
      </c>
      <c r="ET33" s="36">
        <v>25</v>
      </c>
      <c r="EU33" s="36">
        <v>25</v>
      </c>
      <c r="EV33" s="36">
        <v>27</v>
      </c>
      <c r="EW33" s="36">
        <v>27</v>
      </c>
      <c r="EX33" s="36">
        <v>25</v>
      </c>
      <c r="EY33" s="36">
        <v>25</v>
      </c>
      <c r="EZ33" s="69">
        <v>13</v>
      </c>
      <c r="FA33" s="36">
        <v>13</v>
      </c>
      <c r="FB33" s="36">
        <v>14</v>
      </c>
      <c r="FC33" s="36">
        <v>14</v>
      </c>
      <c r="FD33" s="36">
        <v>13</v>
      </c>
      <c r="FE33" s="36">
        <v>13</v>
      </c>
      <c r="FF33" s="36">
        <v>13</v>
      </c>
      <c r="FG33" s="36">
        <v>13</v>
      </c>
      <c r="FH33" s="36">
        <v>14</v>
      </c>
      <c r="FI33" s="36">
        <v>14</v>
      </c>
      <c r="FJ33" s="36">
        <v>14</v>
      </c>
      <c r="FK33" s="36">
        <v>13</v>
      </c>
      <c r="FL33" s="36">
        <v>13</v>
      </c>
      <c r="FM33" s="36">
        <v>13</v>
      </c>
      <c r="FN33" s="36">
        <v>13</v>
      </c>
      <c r="FO33" s="70">
        <v>14</v>
      </c>
      <c r="FP33" s="82">
        <v>8</v>
      </c>
      <c r="FQ33" s="57">
        <v>7</v>
      </c>
      <c r="FR33" s="57">
        <v>7</v>
      </c>
      <c r="FS33" s="57">
        <v>7</v>
      </c>
      <c r="FT33" s="57">
        <v>8</v>
      </c>
      <c r="FU33" s="57">
        <v>8</v>
      </c>
      <c r="FV33" s="57">
        <v>8</v>
      </c>
      <c r="FW33" s="83">
        <v>7</v>
      </c>
      <c r="FX33" s="26"/>
      <c r="FY33" s="26"/>
      <c r="GG33" s="26"/>
      <c r="GK33">
        <f>IF(Grps=1,3,Grps*2+GJ31)</f>
        <v>8</v>
      </c>
    </row>
    <row r="34" spans="2:193" x14ac:dyDescent="0.3">
      <c r="B34" s="18" t="s">
        <v>350</v>
      </c>
      <c r="C34" s="13">
        <v>24</v>
      </c>
      <c r="D34" s="21" t="s">
        <v>351</v>
      </c>
      <c r="E34" s="24">
        <v>66</v>
      </c>
      <c r="G34" s="2">
        <f t="shared" si="31"/>
        <v>15</v>
      </c>
      <c r="H34" s="5">
        <v>8</v>
      </c>
      <c r="I34" s="13">
        <v>8</v>
      </c>
      <c r="L34" s="4"/>
      <c r="M34" s="7"/>
      <c r="O34" s="7"/>
      <c r="T34" s="7"/>
      <c r="AE34" s="7"/>
      <c r="BD34" s="26"/>
      <c r="BE34" s="26" t="str">
        <f t="shared" si="30"/>
        <v>BYE</v>
      </c>
      <c r="BF34">
        <v>112</v>
      </c>
      <c r="BG34">
        <v>14</v>
      </c>
      <c r="BH34" s="40">
        <v>80</v>
      </c>
      <c r="BI34" s="41">
        <v>80</v>
      </c>
      <c r="BJ34" s="41">
        <v>79</v>
      </c>
      <c r="BK34" s="41">
        <v>79</v>
      </c>
      <c r="BL34" s="41">
        <v>79</v>
      </c>
      <c r="BM34" s="41">
        <v>80</v>
      </c>
      <c r="BN34" s="41">
        <v>80</v>
      </c>
      <c r="BO34" s="41">
        <v>80</v>
      </c>
      <c r="BP34" s="41">
        <v>79</v>
      </c>
      <c r="BQ34" s="41">
        <v>79</v>
      </c>
      <c r="BR34" s="41">
        <v>79</v>
      </c>
      <c r="BS34" s="41">
        <v>80</v>
      </c>
      <c r="BT34" s="41">
        <v>80</v>
      </c>
      <c r="BU34" s="41">
        <v>80</v>
      </c>
      <c r="BV34" s="41">
        <v>80</v>
      </c>
      <c r="BW34" s="41">
        <v>80</v>
      </c>
      <c r="BX34" s="41">
        <v>79</v>
      </c>
      <c r="BY34" s="41">
        <v>80</v>
      </c>
      <c r="BZ34" s="41">
        <v>80</v>
      </c>
      <c r="CA34" s="41">
        <v>77</v>
      </c>
      <c r="CB34" s="41">
        <v>78</v>
      </c>
      <c r="CC34" s="41">
        <v>76</v>
      </c>
      <c r="CD34" s="41">
        <v>76</v>
      </c>
      <c r="CE34" s="41">
        <v>80</v>
      </c>
      <c r="CF34" s="41">
        <v>80</v>
      </c>
      <c r="CG34" s="41">
        <v>80</v>
      </c>
      <c r="CH34" s="41">
        <v>80</v>
      </c>
      <c r="CI34" s="41">
        <v>80</v>
      </c>
      <c r="CJ34" s="41">
        <v>79</v>
      </c>
      <c r="CK34" s="41">
        <v>80</v>
      </c>
      <c r="CL34" s="41">
        <v>80</v>
      </c>
      <c r="CM34" s="41">
        <v>77</v>
      </c>
      <c r="CN34" s="41">
        <v>78</v>
      </c>
      <c r="CO34" s="41">
        <v>77</v>
      </c>
      <c r="CP34" s="41">
        <v>76</v>
      </c>
      <c r="CQ34" s="41">
        <v>80</v>
      </c>
      <c r="CR34" s="41">
        <v>80</v>
      </c>
      <c r="CS34" s="41">
        <v>80</v>
      </c>
      <c r="CT34" s="41">
        <v>80</v>
      </c>
      <c r="CU34" s="41">
        <v>80</v>
      </c>
      <c r="CV34" s="41">
        <v>79</v>
      </c>
      <c r="CW34" s="41">
        <v>80</v>
      </c>
      <c r="CX34" s="41">
        <v>78</v>
      </c>
      <c r="CY34" s="41">
        <v>84</v>
      </c>
      <c r="CZ34" s="41">
        <v>77</v>
      </c>
      <c r="DA34" s="41">
        <v>77</v>
      </c>
      <c r="DB34" s="41">
        <v>76</v>
      </c>
      <c r="DC34" s="41">
        <v>80</v>
      </c>
      <c r="DD34" s="41">
        <v>80</v>
      </c>
      <c r="DE34" s="41" t="s">
        <v>326</v>
      </c>
      <c r="DF34" s="41" t="s">
        <v>326</v>
      </c>
      <c r="DG34" s="41" t="s">
        <v>327</v>
      </c>
      <c r="DH34" s="41" t="s">
        <v>326</v>
      </c>
      <c r="DI34" s="41" t="s">
        <v>326</v>
      </c>
      <c r="DJ34" s="41" t="s">
        <v>326</v>
      </c>
      <c r="DK34" s="41" t="s">
        <v>326</v>
      </c>
      <c r="DL34" s="41" t="s">
        <v>326</v>
      </c>
      <c r="DM34" s="41" t="s">
        <v>326</v>
      </c>
      <c r="DN34" s="41" t="s">
        <v>326</v>
      </c>
      <c r="DO34" s="37" t="s">
        <v>326</v>
      </c>
      <c r="DP34" s="37" t="s">
        <v>326</v>
      </c>
      <c r="DQ34" s="37" t="s">
        <v>326</v>
      </c>
      <c r="DR34" s="37" t="s">
        <v>326</v>
      </c>
      <c r="DS34" s="37" t="s">
        <v>326</v>
      </c>
      <c r="DT34" s="37">
        <v>39</v>
      </c>
      <c r="DU34" s="37">
        <v>40</v>
      </c>
      <c r="DV34" s="37">
        <v>40</v>
      </c>
      <c r="DW34" s="37">
        <v>40</v>
      </c>
      <c r="DX34" s="37">
        <v>39</v>
      </c>
      <c r="DY34" s="37">
        <v>39</v>
      </c>
      <c r="DZ34" s="37">
        <v>39</v>
      </c>
      <c r="EA34" s="37">
        <v>40</v>
      </c>
      <c r="EB34" s="37">
        <v>40</v>
      </c>
      <c r="EC34" s="37">
        <v>40</v>
      </c>
      <c r="ED34" s="37">
        <v>40</v>
      </c>
      <c r="EE34" s="37">
        <v>40</v>
      </c>
      <c r="EF34" s="37">
        <v>39</v>
      </c>
      <c r="EG34" s="37">
        <v>40</v>
      </c>
      <c r="EH34" s="37">
        <v>40</v>
      </c>
      <c r="EI34" s="37">
        <v>38</v>
      </c>
      <c r="EJ34" s="37">
        <v>38</v>
      </c>
      <c r="EK34" s="37">
        <v>43</v>
      </c>
      <c r="EL34" s="37">
        <v>36</v>
      </c>
      <c r="EM34" s="37">
        <v>40</v>
      </c>
      <c r="EN34" s="37">
        <v>40</v>
      </c>
      <c r="EO34" s="37">
        <v>40</v>
      </c>
      <c r="EP34" s="37">
        <v>40</v>
      </c>
      <c r="EQ34" s="37">
        <v>40</v>
      </c>
      <c r="ER34" s="37">
        <v>39</v>
      </c>
      <c r="ES34" s="37" t="s">
        <v>326</v>
      </c>
      <c r="ET34" s="37" t="s">
        <v>326</v>
      </c>
      <c r="EU34" s="37" t="s">
        <v>326</v>
      </c>
      <c r="EV34" s="37" t="s">
        <v>326</v>
      </c>
      <c r="EW34" s="37" t="s">
        <v>326</v>
      </c>
      <c r="EX34" s="37" t="s">
        <v>326</v>
      </c>
      <c r="EY34" s="37" t="s">
        <v>326</v>
      </c>
      <c r="EZ34" s="71">
        <v>20</v>
      </c>
      <c r="FA34" s="37">
        <v>20</v>
      </c>
      <c r="FB34" s="37">
        <v>19</v>
      </c>
      <c r="FC34" s="37">
        <v>19</v>
      </c>
      <c r="FD34" s="37">
        <v>19</v>
      </c>
      <c r="FE34" s="37">
        <v>20</v>
      </c>
      <c r="FF34" s="37">
        <v>20</v>
      </c>
      <c r="FG34" s="37">
        <v>19</v>
      </c>
      <c r="FH34" s="37">
        <v>18</v>
      </c>
      <c r="FI34" s="37">
        <v>23</v>
      </c>
      <c r="FJ34" s="37">
        <v>15</v>
      </c>
      <c r="FK34" s="37">
        <v>20</v>
      </c>
      <c r="FL34" s="37">
        <v>20</v>
      </c>
      <c r="FM34" s="37" t="s">
        <v>326</v>
      </c>
      <c r="FN34" s="37" t="s">
        <v>326</v>
      </c>
      <c r="FO34" s="72" t="s">
        <v>326</v>
      </c>
      <c r="FP34" s="84">
        <v>9</v>
      </c>
      <c r="FQ34" s="58">
        <v>10</v>
      </c>
      <c r="FR34" s="58">
        <v>10</v>
      </c>
      <c r="FS34" s="58">
        <v>10</v>
      </c>
      <c r="FT34" s="58">
        <v>12</v>
      </c>
      <c r="FU34" s="58">
        <v>10</v>
      </c>
      <c r="FV34" s="58">
        <v>10</v>
      </c>
      <c r="FW34" s="85" t="s">
        <v>326</v>
      </c>
      <c r="FX34" s="26"/>
      <c r="FY34" s="26"/>
      <c r="GG34" s="26"/>
      <c r="GK34">
        <f>IF(ISNUMBER(EY265),EY265,999)</f>
        <v>999</v>
      </c>
    </row>
    <row r="35" spans="2:193" x14ac:dyDescent="0.3">
      <c r="B35" s="18" t="s">
        <v>352</v>
      </c>
      <c r="C35" s="13">
        <v>25</v>
      </c>
      <c r="D35" s="21" t="s">
        <v>353</v>
      </c>
      <c r="E35" s="24">
        <v>67</v>
      </c>
      <c r="G35" s="2">
        <f t="shared" si="31"/>
        <v>16</v>
      </c>
      <c r="H35" s="5">
        <v>8</v>
      </c>
      <c r="I35" s="13">
        <v>8</v>
      </c>
      <c r="L35" s="4"/>
      <c r="M35" s="7"/>
      <c r="O35" s="7"/>
      <c r="T35" s="7"/>
      <c r="AE35" s="7"/>
      <c r="BD35" s="26"/>
      <c r="BE35" s="26" t="str">
        <f t="shared" si="30"/>
        <v>BYE</v>
      </c>
      <c r="BF35">
        <v>81</v>
      </c>
      <c r="BG35">
        <v>15</v>
      </c>
      <c r="BH35" s="42">
        <v>113</v>
      </c>
      <c r="BI35" s="42">
        <v>113</v>
      </c>
      <c r="BJ35" s="42">
        <v>113</v>
      </c>
      <c r="BK35" s="42">
        <v>111</v>
      </c>
      <c r="BL35" s="42">
        <v>113</v>
      </c>
      <c r="BM35" s="42">
        <v>113</v>
      </c>
      <c r="BN35" s="42">
        <v>109</v>
      </c>
      <c r="BO35" s="42">
        <v>110</v>
      </c>
      <c r="BP35" s="42">
        <v>110</v>
      </c>
      <c r="BQ35" s="42">
        <v>109</v>
      </c>
      <c r="BR35" s="42">
        <v>113</v>
      </c>
      <c r="BS35" s="42">
        <v>113</v>
      </c>
      <c r="BT35" s="42">
        <v>114</v>
      </c>
      <c r="BU35" s="42">
        <v>113</v>
      </c>
      <c r="BV35" s="42">
        <v>113</v>
      </c>
      <c r="BW35" s="42">
        <v>112</v>
      </c>
      <c r="BX35" s="42" t="s">
        <v>326</v>
      </c>
      <c r="BY35" s="42" t="s">
        <v>326</v>
      </c>
      <c r="BZ35" s="42" t="s">
        <v>326</v>
      </c>
      <c r="CA35" s="42" t="s">
        <v>326</v>
      </c>
      <c r="CB35" s="42" t="s">
        <v>326</v>
      </c>
      <c r="CC35" s="42" t="s">
        <v>326</v>
      </c>
      <c r="CD35" s="42" t="s">
        <v>326</v>
      </c>
      <c r="CE35" s="42" t="s">
        <v>326</v>
      </c>
      <c r="CF35" s="42" t="s">
        <v>326</v>
      </c>
      <c r="CG35" s="42" t="s">
        <v>326</v>
      </c>
      <c r="CH35" s="42" t="s">
        <v>326</v>
      </c>
      <c r="CI35" s="42" t="s">
        <v>326</v>
      </c>
      <c r="CJ35" s="42" t="s">
        <v>326</v>
      </c>
      <c r="CK35" s="42" t="s">
        <v>326</v>
      </c>
      <c r="CL35" s="42" t="s">
        <v>326</v>
      </c>
      <c r="CM35" s="42" t="s">
        <v>326</v>
      </c>
      <c r="CN35" s="42" t="s">
        <v>326</v>
      </c>
      <c r="CO35" s="42" t="s">
        <v>326</v>
      </c>
      <c r="CP35" s="42" t="s">
        <v>326</v>
      </c>
      <c r="CQ35" s="42" t="s">
        <v>326</v>
      </c>
      <c r="CR35" s="42" t="s">
        <v>326</v>
      </c>
      <c r="CS35" s="42" t="s">
        <v>326</v>
      </c>
      <c r="CT35" s="42" t="s">
        <v>326</v>
      </c>
      <c r="CU35" s="42" t="s">
        <v>326</v>
      </c>
      <c r="CV35" s="42" t="s">
        <v>326</v>
      </c>
      <c r="CW35" s="42" t="s">
        <v>326</v>
      </c>
      <c r="CX35" s="42" t="s">
        <v>326</v>
      </c>
      <c r="CY35" s="42" t="s">
        <v>326</v>
      </c>
      <c r="CZ35" s="42" t="s">
        <v>326</v>
      </c>
      <c r="DA35" s="42" t="s">
        <v>326</v>
      </c>
      <c r="DB35" s="42" t="s">
        <v>326</v>
      </c>
      <c r="DC35" s="42" t="s">
        <v>326</v>
      </c>
      <c r="DD35" s="42" t="s">
        <v>326</v>
      </c>
      <c r="DE35" s="42" t="s">
        <v>326</v>
      </c>
      <c r="DF35" s="42" t="s">
        <v>326</v>
      </c>
      <c r="DG35" s="42" t="s">
        <v>327</v>
      </c>
      <c r="DH35" s="42" t="s">
        <v>326</v>
      </c>
      <c r="DI35" s="42" t="s">
        <v>326</v>
      </c>
      <c r="DJ35" s="42" t="s">
        <v>326</v>
      </c>
      <c r="DK35" s="42" t="s">
        <v>326</v>
      </c>
      <c r="DL35" s="42" t="s">
        <v>326</v>
      </c>
      <c r="DM35" s="42" t="s">
        <v>326</v>
      </c>
      <c r="DN35" s="42" t="s">
        <v>326</v>
      </c>
      <c r="DO35" s="26" t="s">
        <v>326</v>
      </c>
      <c r="DP35" s="26" t="s">
        <v>326</v>
      </c>
      <c r="DQ35" s="26" t="s">
        <v>326</v>
      </c>
      <c r="DR35" s="26" t="s">
        <v>326</v>
      </c>
      <c r="DS35" s="26" t="s">
        <v>326</v>
      </c>
      <c r="DT35" s="26">
        <v>57</v>
      </c>
      <c r="DU35" s="26">
        <v>57</v>
      </c>
      <c r="DV35" s="26">
        <v>62</v>
      </c>
      <c r="DW35" s="26">
        <v>54</v>
      </c>
      <c r="DX35" s="26">
        <v>60</v>
      </c>
      <c r="DY35" s="26">
        <v>53</v>
      </c>
      <c r="DZ35" s="26">
        <v>57</v>
      </c>
      <c r="EA35" s="26">
        <v>57</v>
      </c>
      <c r="EB35" s="26" t="s">
        <v>326</v>
      </c>
      <c r="EC35" s="26" t="s">
        <v>326</v>
      </c>
      <c r="ED35" s="26" t="s">
        <v>326</v>
      </c>
      <c r="EE35" s="26" t="s">
        <v>326</v>
      </c>
      <c r="EF35" s="26" t="s">
        <v>326</v>
      </c>
      <c r="EG35" s="26" t="s">
        <v>326</v>
      </c>
      <c r="EH35" s="26" t="s">
        <v>326</v>
      </c>
      <c r="EI35" s="26" t="s">
        <v>326</v>
      </c>
      <c r="EJ35" s="26" t="s">
        <v>326</v>
      </c>
      <c r="EK35" s="26" t="s">
        <v>326</v>
      </c>
      <c r="EL35" s="26" t="s">
        <v>326</v>
      </c>
      <c r="EM35" s="26" t="s">
        <v>326</v>
      </c>
      <c r="EN35" s="26" t="s">
        <v>326</v>
      </c>
      <c r="EO35" s="26" t="s">
        <v>326</v>
      </c>
      <c r="EP35" s="26" t="s">
        <v>326</v>
      </c>
      <c r="EQ35" s="26" t="s">
        <v>326</v>
      </c>
      <c r="ER35" s="26" t="s">
        <v>326</v>
      </c>
      <c r="ES35" s="26" t="s">
        <v>326</v>
      </c>
      <c r="ET35" s="26" t="s">
        <v>326</v>
      </c>
      <c r="EU35" s="26" t="s">
        <v>326</v>
      </c>
      <c r="EV35" s="26" t="s">
        <v>326</v>
      </c>
      <c r="EW35" s="26" t="s">
        <v>326</v>
      </c>
      <c r="EX35" s="26" t="s">
        <v>326</v>
      </c>
      <c r="EY35" s="26" t="s">
        <v>326</v>
      </c>
      <c r="EZ35" s="65">
        <v>29</v>
      </c>
      <c r="FA35" s="26">
        <v>29</v>
      </c>
      <c r="FB35" s="26">
        <v>29</v>
      </c>
      <c r="FC35" s="26">
        <v>15</v>
      </c>
      <c r="FD35" s="26" t="s">
        <v>326</v>
      </c>
      <c r="FE35" s="26" t="s">
        <v>326</v>
      </c>
      <c r="FF35" s="26" t="s">
        <v>326</v>
      </c>
      <c r="FG35" s="26" t="s">
        <v>326</v>
      </c>
      <c r="FH35" s="26" t="s">
        <v>326</v>
      </c>
      <c r="FI35" s="26" t="s">
        <v>326</v>
      </c>
      <c r="FJ35" s="26" t="s">
        <v>326</v>
      </c>
      <c r="FK35" s="26" t="s">
        <v>326</v>
      </c>
      <c r="FL35" s="26" t="s">
        <v>326</v>
      </c>
      <c r="FM35" s="26" t="s">
        <v>326</v>
      </c>
      <c r="FN35" s="26" t="s">
        <v>326</v>
      </c>
      <c r="FO35" s="66" t="s">
        <v>326</v>
      </c>
      <c r="FP35" s="86">
        <v>16</v>
      </c>
      <c r="FQ35" s="87">
        <v>15</v>
      </c>
      <c r="FR35" s="87" t="s">
        <v>326</v>
      </c>
      <c r="FS35" s="87" t="s">
        <v>326</v>
      </c>
      <c r="FT35" s="87" t="s">
        <v>326</v>
      </c>
      <c r="FU35" s="87" t="s">
        <v>326</v>
      </c>
      <c r="FV35" s="87" t="s">
        <v>326</v>
      </c>
      <c r="FW35" s="88" t="s">
        <v>326</v>
      </c>
      <c r="FX35" s="26"/>
      <c r="FY35" s="26"/>
      <c r="GG35" s="26"/>
      <c r="GJ35">
        <f>GJ31+1</f>
        <v>9</v>
      </c>
      <c r="GK35" t="str">
        <f>IF(Grps&gt;GJ31,GJ35,"")</f>
        <v/>
      </c>
    </row>
    <row r="36" spans="2:193" ht="15" thickBot="1" x14ac:dyDescent="0.35">
      <c r="B36" s="18" t="s">
        <v>354</v>
      </c>
      <c r="C36" s="13">
        <v>3</v>
      </c>
      <c r="D36" s="21" t="s">
        <v>355</v>
      </c>
      <c r="E36" s="24">
        <v>94</v>
      </c>
      <c r="G36" s="2">
        <f t="shared" si="31"/>
        <v>17</v>
      </c>
      <c r="H36" s="5">
        <v>8</v>
      </c>
      <c r="I36" s="13">
        <v>8</v>
      </c>
      <c r="L36" s="4"/>
      <c r="M36" s="7"/>
      <c r="O36" s="7"/>
      <c r="T36" s="7"/>
      <c r="AE36" s="7"/>
      <c r="BD36" s="26"/>
      <c r="BE36" s="26">
        <f t="shared" si="30"/>
        <v>50</v>
      </c>
      <c r="BF36">
        <v>50</v>
      </c>
      <c r="BG36">
        <v>16</v>
      </c>
      <c r="BH36" s="42">
        <v>16</v>
      </c>
      <c r="BI36" s="42">
        <v>16</v>
      </c>
      <c r="BJ36" s="42">
        <v>16</v>
      </c>
      <c r="BK36" s="42">
        <v>16</v>
      </c>
      <c r="BL36" s="42">
        <v>16</v>
      </c>
      <c r="BM36" s="42">
        <v>16</v>
      </c>
      <c r="BN36" s="42">
        <v>16</v>
      </c>
      <c r="BO36" s="42">
        <v>16</v>
      </c>
      <c r="BP36" s="42">
        <v>16</v>
      </c>
      <c r="BQ36" s="42">
        <v>16</v>
      </c>
      <c r="BR36" s="42">
        <v>16</v>
      </c>
      <c r="BS36" s="42">
        <v>16</v>
      </c>
      <c r="BT36" s="42">
        <v>16</v>
      </c>
      <c r="BU36" s="42">
        <v>16</v>
      </c>
      <c r="BV36" s="42">
        <v>16</v>
      </c>
      <c r="BW36" s="42">
        <v>16</v>
      </c>
      <c r="BX36" s="42">
        <v>16</v>
      </c>
      <c r="BY36" s="42">
        <v>16</v>
      </c>
      <c r="BZ36" s="42">
        <v>16</v>
      </c>
      <c r="CA36" s="42">
        <v>16</v>
      </c>
      <c r="CB36" s="42">
        <v>16</v>
      </c>
      <c r="CC36" s="42">
        <v>16</v>
      </c>
      <c r="CD36" s="42">
        <v>16</v>
      </c>
      <c r="CE36" s="42">
        <v>16</v>
      </c>
      <c r="CF36" s="42">
        <v>16</v>
      </c>
      <c r="CG36" s="42">
        <v>16</v>
      </c>
      <c r="CH36" s="42">
        <v>16</v>
      </c>
      <c r="CI36" s="42">
        <v>16</v>
      </c>
      <c r="CJ36" s="42">
        <v>16</v>
      </c>
      <c r="CK36" s="42">
        <v>16</v>
      </c>
      <c r="CL36" s="42">
        <v>16</v>
      </c>
      <c r="CM36" s="42">
        <v>16</v>
      </c>
      <c r="CN36" s="42">
        <v>16</v>
      </c>
      <c r="CO36" s="42">
        <v>16</v>
      </c>
      <c r="CP36" s="42">
        <v>16</v>
      </c>
      <c r="CQ36" s="42">
        <v>16</v>
      </c>
      <c r="CR36" s="42">
        <v>16</v>
      </c>
      <c r="CS36" s="42">
        <v>16</v>
      </c>
      <c r="CT36" s="42">
        <v>16</v>
      </c>
      <c r="CU36" s="42">
        <v>16</v>
      </c>
      <c r="CV36" s="42">
        <v>16</v>
      </c>
      <c r="CW36" s="42">
        <v>16</v>
      </c>
      <c r="CX36" s="42">
        <v>16</v>
      </c>
      <c r="CY36" s="42">
        <v>16</v>
      </c>
      <c r="CZ36" s="42">
        <v>16</v>
      </c>
      <c r="DA36" s="42">
        <v>16</v>
      </c>
      <c r="DB36" s="42">
        <v>16</v>
      </c>
      <c r="DC36" s="42">
        <v>16</v>
      </c>
      <c r="DD36" s="42">
        <v>16</v>
      </c>
      <c r="DE36" s="42">
        <v>16</v>
      </c>
      <c r="DF36" s="42">
        <v>16</v>
      </c>
      <c r="DG36" s="42">
        <v>47</v>
      </c>
      <c r="DH36" s="42">
        <v>16</v>
      </c>
      <c r="DI36" s="42">
        <v>16</v>
      </c>
      <c r="DJ36" s="42">
        <v>16</v>
      </c>
      <c r="DK36" s="42">
        <v>16</v>
      </c>
      <c r="DL36" s="42">
        <v>16</v>
      </c>
      <c r="DM36" s="42">
        <v>16</v>
      </c>
      <c r="DN36" s="42">
        <v>16</v>
      </c>
      <c r="DO36" s="26">
        <v>16</v>
      </c>
      <c r="DP36" s="26">
        <v>16</v>
      </c>
      <c r="DQ36" s="26">
        <v>16</v>
      </c>
      <c r="DR36" s="26">
        <v>16</v>
      </c>
      <c r="DS36" s="26">
        <v>16</v>
      </c>
      <c r="DT36" s="26">
        <v>8</v>
      </c>
      <c r="DU36" s="26">
        <v>8</v>
      </c>
      <c r="DV36" s="26">
        <v>8</v>
      </c>
      <c r="DW36" s="26">
        <v>8</v>
      </c>
      <c r="DX36" s="26">
        <v>8</v>
      </c>
      <c r="DY36" s="26">
        <v>8</v>
      </c>
      <c r="DZ36" s="26">
        <v>8</v>
      </c>
      <c r="EA36" s="26">
        <v>8</v>
      </c>
      <c r="EB36" s="26">
        <v>8</v>
      </c>
      <c r="EC36" s="26">
        <v>8</v>
      </c>
      <c r="ED36" s="26">
        <v>8</v>
      </c>
      <c r="EE36" s="26">
        <v>8</v>
      </c>
      <c r="EF36" s="26">
        <v>8</v>
      </c>
      <c r="EG36" s="26">
        <v>8</v>
      </c>
      <c r="EH36" s="26">
        <v>8</v>
      </c>
      <c r="EI36" s="26">
        <v>8</v>
      </c>
      <c r="EJ36" s="26">
        <v>8</v>
      </c>
      <c r="EK36" s="26">
        <v>8</v>
      </c>
      <c r="EL36" s="26">
        <v>8</v>
      </c>
      <c r="EM36" s="26">
        <v>8</v>
      </c>
      <c r="EN36" s="26">
        <v>8</v>
      </c>
      <c r="EO36" s="26">
        <v>8</v>
      </c>
      <c r="EP36" s="26">
        <v>8</v>
      </c>
      <c r="EQ36" s="26">
        <v>8</v>
      </c>
      <c r="ER36" s="26">
        <v>8</v>
      </c>
      <c r="ES36" s="26">
        <v>8</v>
      </c>
      <c r="ET36" s="26">
        <v>8</v>
      </c>
      <c r="EU36" s="26">
        <v>8</v>
      </c>
      <c r="EV36" s="26">
        <v>8</v>
      </c>
      <c r="EW36" s="26">
        <v>8</v>
      </c>
      <c r="EX36" s="26">
        <v>8</v>
      </c>
      <c r="EY36" s="26">
        <v>8</v>
      </c>
      <c r="EZ36" s="65">
        <v>4</v>
      </c>
      <c r="FA36" s="26">
        <v>4</v>
      </c>
      <c r="FB36" s="26">
        <v>4</v>
      </c>
      <c r="FC36" s="26">
        <v>4</v>
      </c>
      <c r="FD36" s="26">
        <v>4</v>
      </c>
      <c r="FE36" s="26">
        <v>4</v>
      </c>
      <c r="FF36" s="26">
        <v>4</v>
      </c>
      <c r="FG36" s="26">
        <v>4</v>
      </c>
      <c r="FH36" s="26">
        <v>4</v>
      </c>
      <c r="FI36" s="26">
        <v>4</v>
      </c>
      <c r="FJ36" s="26">
        <v>4</v>
      </c>
      <c r="FK36" s="26">
        <v>4</v>
      </c>
      <c r="FL36" s="26">
        <v>4</v>
      </c>
      <c r="FM36" s="26">
        <v>4</v>
      </c>
      <c r="FN36" s="26">
        <v>4</v>
      </c>
      <c r="FO36" s="66">
        <v>4</v>
      </c>
      <c r="FP36" s="89">
        <v>2</v>
      </c>
      <c r="FQ36" s="90">
        <v>2</v>
      </c>
      <c r="FR36" s="90">
        <v>2</v>
      </c>
      <c r="FS36" s="90">
        <v>2</v>
      </c>
      <c r="FT36" s="90">
        <v>2</v>
      </c>
      <c r="FU36" s="90">
        <v>2</v>
      </c>
      <c r="FV36" s="90">
        <v>2</v>
      </c>
      <c r="FW36" s="91">
        <v>2</v>
      </c>
      <c r="FX36" s="26"/>
      <c r="FY36" s="26"/>
      <c r="FZ36" s="26"/>
      <c r="GA36" s="26"/>
      <c r="GB36" s="26"/>
      <c r="GC36" s="26"/>
      <c r="GD36" s="26"/>
      <c r="GG36" s="26"/>
      <c r="GK36">
        <f>IF(ISNUMBER(EY300),EY300,999)</f>
        <v>999</v>
      </c>
    </row>
    <row r="37" spans="2:193" ht="15" thickTop="1" x14ac:dyDescent="0.3">
      <c r="B37" s="18" t="s">
        <v>356</v>
      </c>
      <c r="C37" s="13">
        <v>4</v>
      </c>
      <c r="D37" s="21" t="s">
        <v>357</v>
      </c>
      <c r="E37" s="24">
        <v>68</v>
      </c>
      <c r="G37" s="2">
        <f t="shared" si="31"/>
        <v>18</v>
      </c>
      <c r="H37" s="5">
        <v>8</v>
      </c>
      <c r="I37" s="13">
        <v>8</v>
      </c>
      <c r="L37" s="4"/>
      <c r="M37" s="7"/>
      <c r="O37" s="7"/>
      <c r="T37" s="7"/>
      <c r="AE37" s="7"/>
      <c r="BD37" s="26"/>
      <c r="BE37" s="26">
        <f t="shared" si="30"/>
        <v>8</v>
      </c>
      <c r="BF37">
        <v>8</v>
      </c>
      <c r="BG37">
        <v>17</v>
      </c>
      <c r="BH37" s="38">
        <v>9</v>
      </c>
      <c r="BI37" s="39">
        <v>9</v>
      </c>
      <c r="BJ37" s="39">
        <v>9</v>
      </c>
      <c r="BK37" s="39">
        <v>9</v>
      </c>
      <c r="BL37" s="39">
        <v>9</v>
      </c>
      <c r="BM37" s="39">
        <v>9</v>
      </c>
      <c r="BN37" s="39">
        <v>9</v>
      </c>
      <c r="BO37" s="39">
        <v>9</v>
      </c>
      <c r="BP37" s="39">
        <v>9</v>
      </c>
      <c r="BQ37" s="39">
        <v>9</v>
      </c>
      <c r="BR37" s="39">
        <v>9</v>
      </c>
      <c r="BS37" s="39">
        <v>9</v>
      </c>
      <c r="BT37" s="39">
        <v>9</v>
      </c>
      <c r="BU37" s="39">
        <v>9</v>
      </c>
      <c r="BV37" s="39">
        <v>9</v>
      </c>
      <c r="BW37" s="39">
        <v>9</v>
      </c>
      <c r="BX37" s="39">
        <v>9</v>
      </c>
      <c r="BY37" s="39">
        <v>9</v>
      </c>
      <c r="BZ37" s="39">
        <v>9</v>
      </c>
      <c r="CA37" s="39">
        <v>9</v>
      </c>
      <c r="CB37" s="39">
        <v>9</v>
      </c>
      <c r="CC37" s="39">
        <v>9</v>
      </c>
      <c r="CD37" s="39">
        <v>9</v>
      </c>
      <c r="CE37" s="39">
        <v>9</v>
      </c>
      <c r="CF37" s="39">
        <v>9</v>
      </c>
      <c r="CG37" s="39">
        <v>9</v>
      </c>
      <c r="CH37" s="39">
        <v>9</v>
      </c>
      <c r="CI37" s="39">
        <v>9</v>
      </c>
      <c r="CJ37" s="39">
        <v>9</v>
      </c>
      <c r="CK37" s="39">
        <v>9</v>
      </c>
      <c r="CL37" s="39">
        <v>9</v>
      </c>
      <c r="CM37" s="39">
        <v>9</v>
      </c>
      <c r="CN37" s="39">
        <v>9</v>
      </c>
      <c r="CO37" s="39">
        <v>9</v>
      </c>
      <c r="CP37" s="39">
        <v>9</v>
      </c>
      <c r="CQ37" s="39">
        <v>9</v>
      </c>
      <c r="CR37" s="39">
        <v>9</v>
      </c>
      <c r="CS37" s="39">
        <v>9</v>
      </c>
      <c r="CT37" s="39">
        <v>9</v>
      </c>
      <c r="CU37" s="39">
        <v>9</v>
      </c>
      <c r="CV37" s="39">
        <v>9</v>
      </c>
      <c r="CW37" s="39">
        <v>9</v>
      </c>
      <c r="CX37" s="39">
        <v>9</v>
      </c>
      <c r="CY37" s="39">
        <v>9</v>
      </c>
      <c r="CZ37" s="39">
        <v>9</v>
      </c>
      <c r="DA37" s="39">
        <v>9</v>
      </c>
      <c r="DB37" s="39">
        <v>9</v>
      </c>
      <c r="DC37" s="39">
        <v>9</v>
      </c>
      <c r="DD37" s="39">
        <v>9</v>
      </c>
      <c r="DE37" s="39">
        <v>9</v>
      </c>
      <c r="DF37" s="39">
        <v>9</v>
      </c>
      <c r="DG37" s="39">
        <v>8</v>
      </c>
      <c r="DH37" s="39">
        <v>9</v>
      </c>
      <c r="DI37" s="39">
        <v>9</v>
      </c>
      <c r="DJ37" s="39">
        <v>9</v>
      </c>
      <c r="DK37" s="39">
        <v>9</v>
      </c>
      <c r="DL37" s="39">
        <v>9</v>
      </c>
      <c r="DM37" s="39">
        <v>9</v>
      </c>
      <c r="DN37" s="39">
        <v>9</v>
      </c>
      <c r="DO37" s="36">
        <v>9</v>
      </c>
      <c r="DP37" s="36">
        <v>9</v>
      </c>
      <c r="DQ37" s="36">
        <v>9</v>
      </c>
      <c r="DR37" s="36">
        <v>9</v>
      </c>
      <c r="DS37" s="36">
        <v>9</v>
      </c>
      <c r="DT37" s="36">
        <v>5</v>
      </c>
      <c r="DU37" s="36">
        <v>5</v>
      </c>
      <c r="DV37" s="36">
        <v>5</v>
      </c>
      <c r="DW37" s="36">
        <v>5</v>
      </c>
      <c r="DX37" s="36">
        <v>5</v>
      </c>
      <c r="DY37" s="36">
        <v>5</v>
      </c>
      <c r="DZ37" s="36">
        <v>5</v>
      </c>
      <c r="EA37" s="36">
        <v>5</v>
      </c>
      <c r="EB37" s="36">
        <v>5</v>
      </c>
      <c r="EC37" s="36">
        <v>5</v>
      </c>
      <c r="ED37" s="36">
        <v>5</v>
      </c>
      <c r="EE37" s="36">
        <v>5</v>
      </c>
      <c r="EF37" s="36">
        <v>5</v>
      </c>
      <c r="EG37" s="36">
        <v>5</v>
      </c>
      <c r="EH37" s="36">
        <v>5</v>
      </c>
      <c r="EI37" s="36">
        <v>5</v>
      </c>
      <c r="EJ37" s="36">
        <v>5</v>
      </c>
      <c r="EK37" s="36">
        <v>5</v>
      </c>
      <c r="EL37" s="36">
        <v>5</v>
      </c>
      <c r="EM37" s="36">
        <v>5</v>
      </c>
      <c r="EN37" s="36">
        <v>5</v>
      </c>
      <c r="EO37" s="36">
        <v>5</v>
      </c>
      <c r="EP37" s="36">
        <v>5</v>
      </c>
      <c r="EQ37" s="36">
        <v>5</v>
      </c>
      <c r="ER37" s="36">
        <v>5</v>
      </c>
      <c r="ES37" s="36">
        <v>5</v>
      </c>
      <c r="ET37" s="36">
        <v>5</v>
      </c>
      <c r="EU37" s="36">
        <v>5</v>
      </c>
      <c r="EV37" s="36">
        <v>5</v>
      </c>
      <c r="EW37" s="36">
        <v>5</v>
      </c>
      <c r="EX37" s="36">
        <v>5</v>
      </c>
      <c r="EY37" s="36">
        <v>5</v>
      </c>
      <c r="EZ37" s="73">
        <v>3</v>
      </c>
      <c r="FA37" s="54">
        <v>3</v>
      </c>
      <c r="FB37" s="54">
        <v>3</v>
      </c>
      <c r="FC37" s="54">
        <v>3</v>
      </c>
      <c r="FD37" s="54">
        <v>3</v>
      </c>
      <c r="FE37" s="54">
        <v>3</v>
      </c>
      <c r="FF37" s="54">
        <v>3</v>
      </c>
      <c r="FG37" s="54">
        <v>3</v>
      </c>
      <c r="FH37" s="54">
        <v>3</v>
      </c>
      <c r="FI37" s="54">
        <v>3</v>
      </c>
      <c r="FJ37" s="54">
        <v>3</v>
      </c>
      <c r="FK37" s="54">
        <v>3</v>
      </c>
      <c r="FL37" s="54">
        <v>3</v>
      </c>
      <c r="FM37" s="54">
        <v>3</v>
      </c>
      <c r="FN37" s="54">
        <v>3</v>
      </c>
      <c r="FO37" s="74">
        <v>3</v>
      </c>
      <c r="FX37" s="26"/>
      <c r="FY37" s="26"/>
      <c r="FZ37" s="26"/>
      <c r="GA37" s="26"/>
      <c r="GB37" s="26"/>
      <c r="GC37" s="26"/>
      <c r="GD37" s="26"/>
      <c r="GG37" s="26"/>
      <c r="GK37">
        <f>IF(Grps=1,3,Grps*2+GJ35)</f>
        <v>9</v>
      </c>
    </row>
    <row r="38" spans="2:193" x14ac:dyDescent="0.3">
      <c r="B38" s="18" t="s">
        <v>358</v>
      </c>
      <c r="C38" s="13">
        <v>5</v>
      </c>
      <c r="D38" s="21" t="s">
        <v>359</v>
      </c>
      <c r="E38" s="24">
        <v>69</v>
      </c>
      <c r="G38" s="2">
        <f t="shared" si="31"/>
        <v>19</v>
      </c>
      <c r="H38" s="5">
        <v>8</v>
      </c>
      <c r="I38" s="13">
        <v>8</v>
      </c>
      <c r="L38" s="4"/>
      <c r="M38" s="7"/>
      <c r="O38" s="7"/>
      <c r="T38" s="7"/>
      <c r="AE38" s="7"/>
      <c r="BD38" s="26"/>
      <c r="BE38" s="26" t="str">
        <f t="shared" si="30"/>
        <v>BYE</v>
      </c>
      <c r="BF38">
        <v>121</v>
      </c>
      <c r="BG38">
        <v>18</v>
      </c>
      <c r="BH38" s="40">
        <v>120</v>
      </c>
      <c r="BI38" s="41">
        <v>120</v>
      </c>
      <c r="BJ38" s="41">
        <v>120</v>
      </c>
      <c r="BK38" s="41">
        <v>120</v>
      </c>
      <c r="BL38" s="41">
        <v>119</v>
      </c>
      <c r="BM38" s="41">
        <v>120</v>
      </c>
      <c r="BN38" s="41">
        <v>120</v>
      </c>
      <c r="BO38" s="41" t="s">
        <v>326</v>
      </c>
      <c r="BP38" s="41">
        <v>118</v>
      </c>
      <c r="BQ38" s="41">
        <v>117</v>
      </c>
      <c r="BR38" s="41">
        <v>116</v>
      </c>
      <c r="BS38" s="41" t="s">
        <v>326</v>
      </c>
      <c r="BT38" s="41" t="s">
        <v>326</v>
      </c>
      <c r="BU38" s="41" t="s">
        <v>326</v>
      </c>
      <c r="BV38" s="41" t="s">
        <v>326</v>
      </c>
      <c r="BW38" s="41" t="s">
        <v>326</v>
      </c>
      <c r="BX38" s="41" t="s">
        <v>326</v>
      </c>
      <c r="BY38" s="41" t="s">
        <v>326</v>
      </c>
      <c r="BZ38" s="41" t="s">
        <v>326</v>
      </c>
      <c r="CA38" s="41" t="s">
        <v>326</v>
      </c>
      <c r="CB38" s="41" t="s">
        <v>326</v>
      </c>
      <c r="CC38" s="41" t="s">
        <v>326</v>
      </c>
      <c r="CD38" s="41" t="s">
        <v>326</v>
      </c>
      <c r="CE38" s="41" t="s">
        <v>326</v>
      </c>
      <c r="CF38" s="41" t="s">
        <v>326</v>
      </c>
      <c r="CG38" s="41" t="s">
        <v>326</v>
      </c>
      <c r="CH38" s="41" t="s">
        <v>326</v>
      </c>
      <c r="CI38" s="41" t="s">
        <v>326</v>
      </c>
      <c r="CJ38" s="41" t="s">
        <v>326</v>
      </c>
      <c r="CK38" s="41" t="s">
        <v>326</v>
      </c>
      <c r="CL38" s="41" t="s">
        <v>326</v>
      </c>
      <c r="CM38" s="41" t="s">
        <v>326</v>
      </c>
      <c r="CN38" s="41" t="s">
        <v>326</v>
      </c>
      <c r="CO38" s="41" t="s">
        <v>326</v>
      </c>
      <c r="CP38" s="41" t="s">
        <v>326</v>
      </c>
      <c r="CQ38" s="41" t="s">
        <v>326</v>
      </c>
      <c r="CR38" s="41" t="s">
        <v>326</v>
      </c>
      <c r="CS38" s="41" t="s">
        <v>326</v>
      </c>
      <c r="CT38" s="41" t="s">
        <v>326</v>
      </c>
      <c r="CU38" s="41" t="s">
        <v>326</v>
      </c>
      <c r="CV38" s="41" t="s">
        <v>326</v>
      </c>
      <c r="CW38" s="41" t="s">
        <v>326</v>
      </c>
      <c r="CX38" s="41" t="s">
        <v>326</v>
      </c>
      <c r="CY38" s="41" t="s">
        <v>326</v>
      </c>
      <c r="CZ38" s="41" t="s">
        <v>326</v>
      </c>
      <c r="DA38" s="41" t="s">
        <v>326</v>
      </c>
      <c r="DB38" s="41" t="s">
        <v>326</v>
      </c>
      <c r="DC38" s="41" t="s">
        <v>326</v>
      </c>
      <c r="DD38" s="41" t="s">
        <v>326</v>
      </c>
      <c r="DE38" s="41" t="s">
        <v>326</v>
      </c>
      <c r="DF38" s="41" t="s">
        <v>326</v>
      </c>
      <c r="DG38" s="41" t="s">
        <v>327</v>
      </c>
      <c r="DH38" s="41" t="s">
        <v>326</v>
      </c>
      <c r="DI38" s="41" t="s">
        <v>326</v>
      </c>
      <c r="DJ38" s="41" t="s">
        <v>326</v>
      </c>
      <c r="DK38" s="41" t="s">
        <v>326</v>
      </c>
      <c r="DL38" s="41" t="s">
        <v>326</v>
      </c>
      <c r="DM38" s="41" t="s">
        <v>326</v>
      </c>
      <c r="DN38" s="41" t="s">
        <v>326</v>
      </c>
      <c r="DO38" s="37" t="s">
        <v>326</v>
      </c>
      <c r="DP38" s="37" t="s">
        <v>326</v>
      </c>
      <c r="DQ38" s="37" t="s">
        <v>326</v>
      </c>
      <c r="DR38" s="37" t="s">
        <v>326</v>
      </c>
      <c r="DS38" s="37" t="s">
        <v>326</v>
      </c>
      <c r="DT38" s="37">
        <v>59</v>
      </c>
      <c r="DU38" s="37">
        <v>60</v>
      </c>
      <c r="DV38" s="37">
        <v>60</v>
      </c>
      <c r="DW38" s="37">
        <v>60</v>
      </c>
      <c r="DX38" s="37">
        <v>58</v>
      </c>
      <c r="DY38" s="37" t="s">
        <v>326</v>
      </c>
      <c r="DZ38" s="37" t="s">
        <v>326</v>
      </c>
      <c r="EA38" s="37" t="s">
        <v>326</v>
      </c>
      <c r="EB38" s="37" t="s">
        <v>326</v>
      </c>
      <c r="EC38" s="37" t="s">
        <v>326</v>
      </c>
      <c r="ED38" s="37" t="s">
        <v>326</v>
      </c>
      <c r="EE38" s="37" t="s">
        <v>326</v>
      </c>
      <c r="EF38" s="37" t="s">
        <v>326</v>
      </c>
      <c r="EG38" s="37" t="s">
        <v>326</v>
      </c>
      <c r="EH38" s="37" t="s">
        <v>326</v>
      </c>
      <c r="EI38" s="37" t="s">
        <v>326</v>
      </c>
      <c r="EJ38" s="37" t="s">
        <v>326</v>
      </c>
      <c r="EK38" s="37" t="s">
        <v>326</v>
      </c>
      <c r="EL38" s="37" t="s">
        <v>326</v>
      </c>
      <c r="EM38" s="37" t="s">
        <v>326</v>
      </c>
      <c r="EN38" s="37" t="s">
        <v>326</v>
      </c>
      <c r="EO38" s="37" t="s">
        <v>326</v>
      </c>
      <c r="EP38" s="37" t="s">
        <v>326</v>
      </c>
      <c r="EQ38" s="37" t="s">
        <v>326</v>
      </c>
      <c r="ER38" s="37" t="s">
        <v>326</v>
      </c>
      <c r="ES38" s="37" t="s">
        <v>326</v>
      </c>
      <c r="ET38" s="37" t="s">
        <v>326</v>
      </c>
      <c r="EU38" s="37" t="s">
        <v>326</v>
      </c>
      <c r="EV38" s="37" t="s">
        <v>326</v>
      </c>
      <c r="EW38" s="37" t="s">
        <v>326</v>
      </c>
      <c r="EX38" s="37" t="s">
        <v>326</v>
      </c>
      <c r="EY38" s="37" t="s">
        <v>326</v>
      </c>
      <c r="EZ38" s="75">
        <v>26</v>
      </c>
      <c r="FA38" s="55">
        <v>30</v>
      </c>
      <c r="FB38" s="55">
        <v>30</v>
      </c>
      <c r="FC38" s="55" t="s">
        <v>326</v>
      </c>
      <c r="FD38" s="55" t="s">
        <v>326</v>
      </c>
      <c r="FE38" s="55" t="s">
        <v>326</v>
      </c>
      <c r="FF38" s="55" t="s">
        <v>326</v>
      </c>
      <c r="FG38" s="55" t="s">
        <v>326</v>
      </c>
      <c r="FH38" s="55" t="s">
        <v>326</v>
      </c>
      <c r="FI38" s="55" t="s">
        <v>326</v>
      </c>
      <c r="FJ38" s="55" t="s">
        <v>326</v>
      </c>
      <c r="FK38" s="55" t="s">
        <v>326</v>
      </c>
      <c r="FL38" s="55" t="s">
        <v>326</v>
      </c>
      <c r="FM38" s="55" t="s">
        <v>326</v>
      </c>
      <c r="FN38" s="55" t="s">
        <v>326</v>
      </c>
      <c r="FO38" s="76" t="s">
        <v>326</v>
      </c>
      <c r="FX38" s="26"/>
      <c r="FY38" s="26"/>
      <c r="FZ38" s="26"/>
      <c r="GA38" s="26"/>
      <c r="GB38" s="26"/>
      <c r="GC38" s="26"/>
      <c r="GD38" s="26"/>
      <c r="GG38" s="26"/>
      <c r="GK38">
        <f>IF(ISNUMBER(EY302),EY302,999)</f>
        <v>999</v>
      </c>
    </row>
    <row r="39" spans="2:193" x14ac:dyDescent="0.3">
      <c r="B39" s="18" t="s">
        <v>360</v>
      </c>
      <c r="C39" s="13">
        <v>6</v>
      </c>
      <c r="D39" s="21" t="s">
        <v>361</v>
      </c>
      <c r="E39" s="24">
        <v>70</v>
      </c>
      <c r="G39" s="2">
        <f t="shared" si="31"/>
        <v>20</v>
      </c>
      <c r="H39" s="5">
        <v>8</v>
      </c>
      <c r="I39" s="13">
        <v>8</v>
      </c>
      <c r="L39" s="4"/>
      <c r="M39" s="7"/>
      <c r="O39" s="7"/>
      <c r="T39" s="7"/>
      <c r="AE39" s="7"/>
      <c r="BD39" s="26"/>
      <c r="BE39" s="26">
        <f t="shared" si="30"/>
        <v>57</v>
      </c>
      <c r="BF39">
        <v>57</v>
      </c>
      <c r="BG39">
        <v>19</v>
      </c>
      <c r="BH39" s="42">
        <v>73</v>
      </c>
      <c r="BI39" s="42">
        <v>73</v>
      </c>
      <c r="BJ39" s="42">
        <v>74</v>
      </c>
      <c r="BK39" s="42">
        <v>74</v>
      </c>
      <c r="BL39" s="42">
        <v>74</v>
      </c>
      <c r="BM39" s="42">
        <v>73</v>
      </c>
      <c r="BN39" s="42">
        <v>73</v>
      </c>
      <c r="BO39" s="42">
        <v>73</v>
      </c>
      <c r="BP39" s="42">
        <v>74</v>
      </c>
      <c r="BQ39" s="42">
        <v>74</v>
      </c>
      <c r="BR39" s="42">
        <v>74</v>
      </c>
      <c r="BS39" s="42">
        <v>73</v>
      </c>
      <c r="BT39" s="42">
        <v>73</v>
      </c>
      <c r="BU39" s="42">
        <v>73</v>
      </c>
      <c r="BV39" s="42">
        <v>74</v>
      </c>
      <c r="BW39" s="42">
        <v>74</v>
      </c>
      <c r="BX39" s="42">
        <v>74</v>
      </c>
      <c r="BY39" s="42">
        <v>73</v>
      </c>
      <c r="BZ39" s="42">
        <v>73</v>
      </c>
      <c r="CA39" s="42">
        <v>73</v>
      </c>
      <c r="CB39" s="42">
        <v>75</v>
      </c>
      <c r="CC39" s="42">
        <v>107</v>
      </c>
      <c r="CD39" s="42">
        <v>73</v>
      </c>
      <c r="CE39" s="42">
        <v>73</v>
      </c>
      <c r="CF39" s="42">
        <v>73</v>
      </c>
      <c r="CG39" s="42">
        <v>73</v>
      </c>
      <c r="CH39" s="42">
        <v>73</v>
      </c>
      <c r="CI39" s="42">
        <v>71</v>
      </c>
      <c r="CJ39" s="42">
        <v>73</v>
      </c>
      <c r="CK39" s="42">
        <v>73</v>
      </c>
      <c r="CL39" s="42">
        <v>69</v>
      </c>
      <c r="CM39" s="42">
        <v>76</v>
      </c>
      <c r="CN39" s="42">
        <v>76</v>
      </c>
      <c r="CO39" s="42">
        <v>75</v>
      </c>
      <c r="CP39" s="42">
        <v>73</v>
      </c>
      <c r="CQ39" s="42">
        <v>73</v>
      </c>
      <c r="CR39" s="42">
        <v>73</v>
      </c>
      <c r="CS39" s="42">
        <v>73</v>
      </c>
      <c r="CT39" s="42">
        <v>73</v>
      </c>
      <c r="CU39" s="42">
        <v>71</v>
      </c>
      <c r="CV39" s="42">
        <v>73</v>
      </c>
      <c r="CW39" s="42">
        <v>73</v>
      </c>
      <c r="CX39" s="42">
        <v>69</v>
      </c>
      <c r="CY39" s="42">
        <v>76</v>
      </c>
      <c r="CZ39" s="42">
        <v>75</v>
      </c>
      <c r="DA39" s="42">
        <v>75</v>
      </c>
      <c r="DB39" s="42">
        <v>73</v>
      </c>
      <c r="DC39" s="42">
        <v>73</v>
      </c>
      <c r="DD39" s="42">
        <v>73</v>
      </c>
      <c r="DE39" s="42">
        <v>73</v>
      </c>
      <c r="DF39" s="42">
        <v>73</v>
      </c>
      <c r="DG39" s="42">
        <v>57</v>
      </c>
      <c r="DH39" s="42">
        <v>73</v>
      </c>
      <c r="DI39" s="42">
        <v>73</v>
      </c>
      <c r="DJ39" s="42">
        <v>69</v>
      </c>
      <c r="DK39" s="42">
        <v>71</v>
      </c>
      <c r="DL39" s="42" t="s">
        <v>326</v>
      </c>
      <c r="DM39" s="42" t="s">
        <v>326</v>
      </c>
      <c r="DN39" s="42" t="s">
        <v>326</v>
      </c>
      <c r="DO39" s="26" t="s">
        <v>326</v>
      </c>
      <c r="DP39" s="26" t="s">
        <v>326</v>
      </c>
      <c r="DQ39" s="26" t="s">
        <v>326</v>
      </c>
      <c r="DR39" s="26" t="s">
        <v>326</v>
      </c>
      <c r="DS39" s="26" t="s">
        <v>326</v>
      </c>
      <c r="DT39" s="26">
        <v>38</v>
      </c>
      <c r="DU39" s="26">
        <v>37</v>
      </c>
      <c r="DV39" s="26">
        <v>37</v>
      </c>
      <c r="DW39" s="26">
        <v>37</v>
      </c>
      <c r="DX39" s="26">
        <v>38</v>
      </c>
      <c r="DY39" s="26">
        <v>38</v>
      </c>
      <c r="DZ39" s="26">
        <v>38</v>
      </c>
      <c r="EA39" s="26">
        <v>37</v>
      </c>
      <c r="EB39" s="26">
        <v>37</v>
      </c>
      <c r="EC39" s="26">
        <v>37</v>
      </c>
      <c r="ED39" s="26">
        <v>37</v>
      </c>
      <c r="EE39" s="26">
        <v>38</v>
      </c>
      <c r="EF39" s="26">
        <v>37</v>
      </c>
      <c r="EG39" s="26">
        <v>37</v>
      </c>
      <c r="EH39" s="26">
        <v>41</v>
      </c>
      <c r="EI39" s="26">
        <v>40</v>
      </c>
      <c r="EJ39" s="26">
        <v>39</v>
      </c>
      <c r="EK39" s="26">
        <v>39</v>
      </c>
      <c r="EL39" s="26">
        <v>37</v>
      </c>
      <c r="EM39" s="26">
        <v>37</v>
      </c>
      <c r="EN39" s="26">
        <v>37</v>
      </c>
      <c r="EO39" s="26">
        <v>37</v>
      </c>
      <c r="EP39" s="26">
        <v>37</v>
      </c>
      <c r="EQ39" s="26">
        <v>38</v>
      </c>
      <c r="ER39" s="26">
        <v>37</v>
      </c>
      <c r="ES39" s="26">
        <v>37</v>
      </c>
      <c r="ET39" s="26">
        <v>27</v>
      </c>
      <c r="EU39" s="26">
        <v>35</v>
      </c>
      <c r="EV39" s="26" t="s">
        <v>326</v>
      </c>
      <c r="EW39" s="26" t="s">
        <v>326</v>
      </c>
      <c r="EX39" s="26" t="s">
        <v>326</v>
      </c>
      <c r="EY39" s="26" t="s">
        <v>326</v>
      </c>
      <c r="EZ39" s="77">
        <v>19</v>
      </c>
      <c r="FA39" s="56">
        <v>19</v>
      </c>
      <c r="FB39" s="56">
        <v>20</v>
      </c>
      <c r="FC39" s="56">
        <v>20</v>
      </c>
      <c r="FD39" s="56">
        <v>20</v>
      </c>
      <c r="FE39" s="56">
        <v>19</v>
      </c>
      <c r="FF39" s="56">
        <v>19</v>
      </c>
      <c r="FG39" s="56">
        <v>20</v>
      </c>
      <c r="FH39" s="56">
        <v>17</v>
      </c>
      <c r="FI39" s="56">
        <v>17</v>
      </c>
      <c r="FJ39" s="56">
        <v>19</v>
      </c>
      <c r="FK39" s="56">
        <v>19</v>
      </c>
      <c r="FL39" s="56">
        <v>15</v>
      </c>
      <c r="FM39" s="56">
        <v>19</v>
      </c>
      <c r="FN39" s="56" t="s">
        <v>326</v>
      </c>
      <c r="FO39" s="78" t="s">
        <v>326</v>
      </c>
      <c r="FX39" s="26"/>
      <c r="FY39" s="26"/>
      <c r="FZ39" s="26"/>
      <c r="GA39" s="26"/>
      <c r="GB39" s="26"/>
      <c r="GC39" s="26"/>
      <c r="GD39" s="26"/>
      <c r="GG39" s="26"/>
      <c r="GJ39">
        <f>GJ35+1</f>
        <v>10</v>
      </c>
      <c r="GK39" t="str">
        <f>IF(Grps&gt;GJ35,GJ39,"")</f>
        <v/>
      </c>
    </row>
    <row r="40" spans="2:193" x14ac:dyDescent="0.3">
      <c r="B40" s="18" t="s">
        <v>362</v>
      </c>
      <c r="C40" s="13">
        <v>7</v>
      </c>
      <c r="D40" s="21" t="s">
        <v>363</v>
      </c>
      <c r="E40" s="24">
        <v>71</v>
      </c>
      <c r="G40" s="2">
        <f t="shared" si="31"/>
        <v>21</v>
      </c>
      <c r="H40" s="5">
        <v>8</v>
      </c>
      <c r="I40" s="13">
        <v>8</v>
      </c>
      <c r="L40" s="4"/>
      <c r="M40" s="7"/>
      <c r="O40" s="7"/>
      <c r="T40" s="7"/>
      <c r="AE40" s="7"/>
      <c r="BD40" s="26"/>
      <c r="BE40" s="26" t="str">
        <f t="shared" si="30"/>
        <v>BYE</v>
      </c>
      <c r="BF40">
        <v>72</v>
      </c>
      <c r="BG40">
        <v>20</v>
      </c>
      <c r="BH40" s="42">
        <v>56</v>
      </c>
      <c r="BI40" s="42">
        <v>56</v>
      </c>
      <c r="BJ40" s="42">
        <v>55</v>
      </c>
      <c r="BK40" s="42">
        <v>55</v>
      </c>
      <c r="BL40" s="42">
        <v>55</v>
      </c>
      <c r="BM40" s="42">
        <v>56</v>
      </c>
      <c r="BN40" s="42">
        <v>56</v>
      </c>
      <c r="BO40" s="42">
        <v>56</v>
      </c>
      <c r="BP40" s="42">
        <v>55</v>
      </c>
      <c r="BQ40" s="42">
        <v>55</v>
      </c>
      <c r="BR40" s="42">
        <v>55</v>
      </c>
      <c r="BS40" s="42">
        <v>56</v>
      </c>
      <c r="BT40" s="42">
        <v>56</v>
      </c>
      <c r="BU40" s="42">
        <v>56</v>
      </c>
      <c r="BV40" s="42">
        <v>55</v>
      </c>
      <c r="BW40" s="42">
        <v>55</v>
      </c>
      <c r="BX40" s="42">
        <v>55</v>
      </c>
      <c r="BY40" s="42">
        <v>56</v>
      </c>
      <c r="BZ40" s="42">
        <v>56</v>
      </c>
      <c r="CA40" s="42">
        <v>56</v>
      </c>
      <c r="CB40" s="42">
        <v>55</v>
      </c>
      <c r="CC40" s="42">
        <v>55</v>
      </c>
      <c r="CD40" s="42">
        <v>55</v>
      </c>
      <c r="CE40" s="42">
        <v>56</v>
      </c>
      <c r="CF40" s="42">
        <v>56</v>
      </c>
      <c r="CG40" s="42">
        <v>56</v>
      </c>
      <c r="CH40" s="42">
        <v>55</v>
      </c>
      <c r="CI40" s="42">
        <v>55</v>
      </c>
      <c r="CJ40" s="42">
        <v>55</v>
      </c>
      <c r="CK40" s="42">
        <v>56</v>
      </c>
      <c r="CL40" s="42">
        <v>56</v>
      </c>
      <c r="CM40" s="42">
        <v>56</v>
      </c>
      <c r="CN40" s="42">
        <v>55</v>
      </c>
      <c r="CO40" s="42">
        <v>55</v>
      </c>
      <c r="CP40" s="42">
        <v>55</v>
      </c>
      <c r="CQ40" s="42">
        <v>56</v>
      </c>
      <c r="CR40" s="42">
        <v>56</v>
      </c>
      <c r="CS40" s="42">
        <v>56</v>
      </c>
      <c r="CT40" s="42">
        <v>55</v>
      </c>
      <c r="CU40" s="42">
        <v>55</v>
      </c>
      <c r="CV40" s="42">
        <v>55</v>
      </c>
      <c r="CW40" s="42">
        <v>56</v>
      </c>
      <c r="CX40" s="42">
        <v>56</v>
      </c>
      <c r="CY40" s="42">
        <v>56</v>
      </c>
      <c r="CZ40" s="42">
        <v>55</v>
      </c>
      <c r="DA40" s="42">
        <v>55</v>
      </c>
      <c r="DB40" s="42">
        <v>55</v>
      </c>
      <c r="DC40" s="42">
        <v>56</v>
      </c>
      <c r="DD40" s="42">
        <v>55</v>
      </c>
      <c r="DE40" s="42">
        <v>56</v>
      </c>
      <c r="DF40" s="42">
        <v>56</v>
      </c>
      <c r="DG40" s="42">
        <v>72</v>
      </c>
      <c r="DH40" s="42">
        <v>55</v>
      </c>
      <c r="DI40" s="42">
        <v>56</v>
      </c>
      <c r="DJ40" s="42">
        <v>56</v>
      </c>
      <c r="DK40" s="42">
        <v>53</v>
      </c>
      <c r="DL40" s="42">
        <v>54</v>
      </c>
      <c r="DM40" s="42">
        <v>59</v>
      </c>
      <c r="DN40" s="42">
        <v>52</v>
      </c>
      <c r="DO40" s="26">
        <v>56</v>
      </c>
      <c r="DP40" s="26">
        <v>56</v>
      </c>
      <c r="DQ40" s="26">
        <v>56</v>
      </c>
      <c r="DR40" s="26">
        <v>56</v>
      </c>
      <c r="DS40" s="26">
        <v>56</v>
      </c>
      <c r="DT40" s="26">
        <v>27</v>
      </c>
      <c r="DU40" s="26">
        <v>28</v>
      </c>
      <c r="DV40" s="26">
        <v>28</v>
      </c>
      <c r="DW40" s="26">
        <v>28</v>
      </c>
      <c r="DX40" s="26">
        <v>27</v>
      </c>
      <c r="DY40" s="26">
        <v>27</v>
      </c>
      <c r="DZ40" s="26">
        <v>27</v>
      </c>
      <c r="EA40" s="26">
        <v>28</v>
      </c>
      <c r="EB40" s="26">
        <v>28</v>
      </c>
      <c r="EC40" s="26">
        <v>28</v>
      </c>
      <c r="ED40" s="26">
        <v>27</v>
      </c>
      <c r="EE40" s="26">
        <v>27</v>
      </c>
      <c r="EF40" s="26">
        <v>27</v>
      </c>
      <c r="EG40" s="26">
        <v>28</v>
      </c>
      <c r="EH40" s="26">
        <v>28</v>
      </c>
      <c r="EI40" s="26">
        <v>28</v>
      </c>
      <c r="EJ40" s="26">
        <v>27</v>
      </c>
      <c r="EK40" s="26">
        <v>27</v>
      </c>
      <c r="EL40" s="26">
        <v>27</v>
      </c>
      <c r="EM40" s="26">
        <v>28</v>
      </c>
      <c r="EN40" s="26">
        <v>28</v>
      </c>
      <c r="EO40" s="26">
        <v>28</v>
      </c>
      <c r="EP40" s="26">
        <v>27</v>
      </c>
      <c r="EQ40" s="26">
        <v>27</v>
      </c>
      <c r="ER40" s="26">
        <v>27</v>
      </c>
      <c r="ES40" s="26">
        <v>28</v>
      </c>
      <c r="ET40" s="26">
        <v>28</v>
      </c>
      <c r="EU40" s="26">
        <v>27</v>
      </c>
      <c r="EV40" s="26">
        <v>26</v>
      </c>
      <c r="EW40" s="26">
        <v>31</v>
      </c>
      <c r="EX40" s="26">
        <v>32</v>
      </c>
      <c r="EY40" s="26">
        <v>28</v>
      </c>
      <c r="EZ40" s="77">
        <v>14</v>
      </c>
      <c r="FA40" s="56">
        <v>14</v>
      </c>
      <c r="FB40" s="56">
        <v>13</v>
      </c>
      <c r="FC40" s="56">
        <v>13</v>
      </c>
      <c r="FD40" s="56">
        <v>14</v>
      </c>
      <c r="FE40" s="56">
        <v>14</v>
      </c>
      <c r="FF40" s="56">
        <v>14</v>
      </c>
      <c r="FG40" s="56">
        <v>14</v>
      </c>
      <c r="FH40" s="56">
        <v>13</v>
      </c>
      <c r="FI40" s="56">
        <v>13</v>
      </c>
      <c r="FJ40" s="56">
        <v>13</v>
      </c>
      <c r="FK40" s="56">
        <v>14</v>
      </c>
      <c r="FL40" s="56">
        <v>14</v>
      </c>
      <c r="FM40" s="56">
        <v>14</v>
      </c>
      <c r="FN40" s="56">
        <v>14</v>
      </c>
      <c r="FO40" s="78">
        <v>13</v>
      </c>
      <c r="FX40" s="26"/>
      <c r="FY40" s="26"/>
      <c r="FZ40" s="26"/>
      <c r="GA40" s="26"/>
      <c r="GB40" s="26"/>
      <c r="GC40" s="26"/>
      <c r="GD40" s="26"/>
      <c r="GG40" s="26"/>
      <c r="GK40">
        <f>IF(ISNUMBER(EY337),EY337,999)</f>
        <v>999</v>
      </c>
    </row>
    <row r="41" spans="2:193" x14ac:dyDescent="0.3">
      <c r="B41" s="18" t="s">
        <v>364</v>
      </c>
      <c r="C41" s="13">
        <v>8</v>
      </c>
      <c r="D41" s="21" t="s">
        <v>365</v>
      </c>
      <c r="E41" s="24">
        <v>72</v>
      </c>
      <c r="G41" s="2">
        <f t="shared" si="31"/>
        <v>22</v>
      </c>
      <c r="H41" s="5">
        <v>8</v>
      </c>
      <c r="I41" s="13">
        <v>8</v>
      </c>
      <c r="L41" s="4"/>
      <c r="M41" s="7"/>
      <c r="O41" s="7"/>
      <c r="T41" s="7"/>
      <c r="AE41" s="7"/>
      <c r="BD41" s="26"/>
      <c r="BE41" s="26">
        <f t="shared" si="30"/>
        <v>23</v>
      </c>
      <c r="BF41">
        <v>23</v>
      </c>
      <c r="BG41">
        <v>21</v>
      </c>
      <c r="BH41" s="38">
        <v>41</v>
      </c>
      <c r="BI41" s="39">
        <v>41</v>
      </c>
      <c r="BJ41" s="39">
        <v>41</v>
      </c>
      <c r="BK41" s="39">
        <v>41</v>
      </c>
      <c r="BL41" s="39">
        <v>41</v>
      </c>
      <c r="BM41" s="39">
        <v>41</v>
      </c>
      <c r="BN41" s="39">
        <v>41</v>
      </c>
      <c r="BO41" s="39">
        <v>41</v>
      </c>
      <c r="BP41" s="39">
        <v>42</v>
      </c>
      <c r="BQ41" s="39">
        <v>42</v>
      </c>
      <c r="BR41" s="39">
        <v>42</v>
      </c>
      <c r="BS41" s="39">
        <v>41</v>
      </c>
      <c r="BT41" s="39">
        <v>41</v>
      </c>
      <c r="BU41" s="39">
        <v>41</v>
      </c>
      <c r="BV41" s="39">
        <v>42</v>
      </c>
      <c r="BW41" s="39">
        <v>42</v>
      </c>
      <c r="BX41" s="39">
        <v>42</v>
      </c>
      <c r="BY41" s="39">
        <v>41</v>
      </c>
      <c r="BZ41" s="39">
        <v>41</v>
      </c>
      <c r="CA41" s="39">
        <v>41</v>
      </c>
      <c r="CB41" s="39">
        <v>42</v>
      </c>
      <c r="CC41" s="39">
        <v>42</v>
      </c>
      <c r="CD41" s="39">
        <v>42</v>
      </c>
      <c r="CE41" s="39">
        <v>41</v>
      </c>
      <c r="CF41" s="39">
        <v>41</v>
      </c>
      <c r="CG41" s="39">
        <v>41</v>
      </c>
      <c r="CH41" s="39">
        <v>42</v>
      </c>
      <c r="CI41" s="39">
        <v>42</v>
      </c>
      <c r="CJ41" s="39">
        <v>42</v>
      </c>
      <c r="CK41" s="39">
        <v>41</v>
      </c>
      <c r="CL41" s="39">
        <v>41</v>
      </c>
      <c r="CM41" s="39">
        <v>41</v>
      </c>
      <c r="CN41" s="39">
        <v>42</v>
      </c>
      <c r="CO41" s="39">
        <v>42</v>
      </c>
      <c r="CP41" s="39">
        <v>42</v>
      </c>
      <c r="CQ41" s="39">
        <v>41</v>
      </c>
      <c r="CR41" s="39">
        <v>41</v>
      </c>
      <c r="CS41" s="39">
        <v>41</v>
      </c>
      <c r="CT41" s="39">
        <v>42</v>
      </c>
      <c r="CU41" s="39">
        <v>42</v>
      </c>
      <c r="CV41" s="39">
        <v>42</v>
      </c>
      <c r="CW41" s="39">
        <v>41</v>
      </c>
      <c r="CX41" s="39">
        <v>41</v>
      </c>
      <c r="CY41" s="39">
        <v>41</v>
      </c>
      <c r="CZ41" s="39">
        <v>42</v>
      </c>
      <c r="DA41" s="39">
        <v>42</v>
      </c>
      <c r="DB41" s="39">
        <v>42</v>
      </c>
      <c r="DC41" s="39">
        <v>41</v>
      </c>
      <c r="DD41" s="39">
        <v>41</v>
      </c>
      <c r="DE41" s="39">
        <v>41</v>
      </c>
      <c r="DF41" s="39">
        <v>42</v>
      </c>
      <c r="DG41" s="39">
        <v>23</v>
      </c>
      <c r="DH41" s="39">
        <v>42</v>
      </c>
      <c r="DI41" s="39">
        <v>41</v>
      </c>
      <c r="DJ41" s="39">
        <v>41</v>
      </c>
      <c r="DK41" s="39">
        <v>41</v>
      </c>
      <c r="DL41" s="39">
        <v>42</v>
      </c>
      <c r="DM41" s="39">
        <v>42</v>
      </c>
      <c r="DN41" s="39">
        <v>42</v>
      </c>
      <c r="DO41" s="36">
        <v>41</v>
      </c>
      <c r="DP41" s="36">
        <v>41</v>
      </c>
      <c r="DQ41" s="36">
        <v>41</v>
      </c>
      <c r="DR41" s="36">
        <v>42</v>
      </c>
      <c r="DS41" s="36">
        <v>42</v>
      </c>
      <c r="DT41" s="36">
        <v>21</v>
      </c>
      <c r="DU41" s="36">
        <v>21</v>
      </c>
      <c r="DV41" s="36">
        <v>21</v>
      </c>
      <c r="DW41" s="36">
        <v>21</v>
      </c>
      <c r="DX41" s="36">
        <v>22</v>
      </c>
      <c r="DY41" s="36">
        <v>22</v>
      </c>
      <c r="DZ41" s="36">
        <v>22</v>
      </c>
      <c r="EA41" s="36">
        <v>21</v>
      </c>
      <c r="EB41" s="36">
        <v>21</v>
      </c>
      <c r="EC41" s="36">
        <v>21</v>
      </c>
      <c r="ED41" s="36">
        <v>22</v>
      </c>
      <c r="EE41" s="36">
        <v>22</v>
      </c>
      <c r="EF41" s="36">
        <v>22</v>
      </c>
      <c r="EG41" s="36">
        <v>21</v>
      </c>
      <c r="EH41" s="36">
        <v>21</v>
      </c>
      <c r="EI41" s="36">
        <v>21</v>
      </c>
      <c r="EJ41" s="36">
        <v>22</v>
      </c>
      <c r="EK41" s="36">
        <v>22</v>
      </c>
      <c r="EL41" s="36">
        <v>22</v>
      </c>
      <c r="EM41" s="36">
        <v>21</v>
      </c>
      <c r="EN41" s="36">
        <v>21</v>
      </c>
      <c r="EO41" s="36">
        <v>21</v>
      </c>
      <c r="EP41" s="36">
        <v>22</v>
      </c>
      <c r="EQ41" s="36">
        <v>22</v>
      </c>
      <c r="ER41" s="36">
        <v>22</v>
      </c>
      <c r="ES41" s="36">
        <v>21</v>
      </c>
      <c r="ET41" s="36">
        <v>21</v>
      </c>
      <c r="EU41" s="36">
        <v>21</v>
      </c>
      <c r="EV41" s="36">
        <v>22</v>
      </c>
      <c r="EW41" s="36">
        <v>22</v>
      </c>
      <c r="EX41" s="36">
        <v>22</v>
      </c>
      <c r="EY41" s="36">
        <v>21</v>
      </c>
      <c r="EZ41" s="73">
        <v>11</v>
      </c>
      <c r="FA41" s="54">
        <v>11</v>
      </c>
      <c r="FB41" s="54">
        <v>12</v>
      </c>
      <c r="FC41" s="54">
        <v>12</v>
      </c>
      <c r="FD41" s="54">
        <v>12</v>
      </c>
      <c r="FE41" s="54">
        <v>11</v>
      </c>
      <c r="FF41" s="54">
        <v>11</v>
      </c>
      <c r="FG41" s="54">
        <v>11</v>
      </c>
      <c r="FH41" s="54">
        <v>12</v>
      </c>
      <c r="FI41" s="54">
        <v>12</v>
      </c>
      <c r="FJ41" s="54">
        <v>16</v>
      </c>
      <c r="FK41" s="54">
        <v>11</v>
      </c>
      <c r="FL41" s="54">
        <v>11</v>
      </c>
      <c r="FM41" s="54">
        <v>11</v>
      </c>
      <c r="FN41" s="54">
        <v>12</v>
      </c>
      <c r="FO41" s="74">
        <v>12</v>
      </c>
      <c r="FX41" s="26"/>
      <c r="FY41" s="26"/>
      <c r="FZ41" s="26"/>
      <c r="GA41" s="26"/>
      <c r="GB41" s="26"/>
      <c r="GC41" s="26"/>
      <c r="GD41" s="26"/>
      <c r="GG41" s="26"/>
      <c r="GK41">
        <f>IF(ISNUMBER(EY338),EY338,999)</f>
        <v>999</v>
      </c>
    </row>
    <row r="42" spans="2:193" x14ac:dyDescent="0.3">
      <c r="B42" s="18" t="s">
        <v>366</v>
      </c>
      <c r="C42" s="13">
        <v>9</v>
      </c>
      <c r="D42" s="21" t="s">
        <v>367</v>
      </c>
      <c r="E42" s="24">
        <v>73</v>
      </c>
      <c r="G42" s="2">
        <f t="shared" si="31"/>
        <v>23</v>
      </c>
      <c r="H42" s="5">
        <v>8</v>
      </c>
      <c r="I42" s="13">
        <v>8</v>
      </c>
      <c r="L42" s="4"/>
      <c r="M42" s="7"/>
      <c r="O42" s="7"/>
      <c r="AE42" s="7"/>
      <c r="BD42" s="26"/>
      <c r="BE42" s="26" t="str">
        <f t="shared" si="30"/>
        <v>BYE</v>
      </c>
      <c r="BF42">
        <v>106</v>
      </c>
      <c r="BG42">
        <v>22</v>
      </c>
      <c r="BH42" s="40">
        <v>87</v>
      </c>
      <c r="BI42" s="41">
        <v>88</v>
      </c>
      <c r="BJ42" s="41">
        <v>88</v>
      </c>
      <c r="BK42" s="41">
        <v>88</v>
      </c>
      <c r="BL42" s="41">
        <v>87</v>
      </c>
      <c r="BM42" s="41">
        <v>88</v>
      </c>
      <c r="BN42" s="41">
        <v>88</v>
      </c>
      <c r="BO42" s="41">
        <v>85</v>
      </c>
      <c r="BP42" s="41">
        <v>91</v>
      </c>
      <c r="BQ42" s="41">
        <v>92</v>
      </c>
      <c r="BR42" s="41">
        <v>84</v>
      </c>
      <c r="BS42" s="41">
        <v>88</v>
      </c>
      <c r="BT42" s="41">
        <v>88</v>
      </c>
      <c r="BU42" s="41">
        <v>88</v>
      </c>
      <c r="BV42" s="41">
        <v>88</v>
      </c>
      <c r="BW42" s="41">
        <v>87</v>
      </c>
      <c r="BX42" s="41">
        <v>87</v>
      </c>
      <c r="BY42" s="41">
        <v>88</v>
      </c>
      <c r="BZ42" s="41">
        <v>88</v>
      </c>
      <c r="CA42" s="41">
        <v>85</v>
      </c>
      <c r="CB42" s="41">
        <v>86</v>
      </c>
      <c r="CC42" s="41">
        <v>84</v>
      </c>
      <c r="CD42" s="41">
        <v>84</v>
      </c>
      <c r="CE42" s="41">
        <v>88</v>
      </c>
      <c r="CF42" s="41">
        <v>88</v>
      </c>
      <c r="CG42" s="41">
        <v>88</v>
      </c>
      <c r="CH42" s="41">
        <v>88</v>
      </c>
      <c r="CI42" s="41">
        <v>88</v>
      </c>
      <c r="CJ42" s="41">
        <v>87</v>
      </c>
      <c r="CK42" s="41">
        <v>88</v>
      </c>
      <c r="CL42" s="41">
        <v>86</v>
      </c>
      <c r="CM42" s="41">
        <v>85</v>
      </c>
      <c r="CN42" s="41">
        <v>86</v>
      </c>
      <c r="CO42" s="41">
        <v>85</v>
      </c>
      <c r="CP42" s="41">
        <v>84</v>
      </c>
      <c r="CQ42" s="41">
        <v>88</v>
      </c>
      <c r="CR42" s="41">
        <v>88</v>
      </c>
      <c r="CS42" s="41">
        <v>88</v>
      </c>
      <c r="CT42" s="41">
        <v>88</v>
      </c>
      <c r="CU42" s="41">
        <v>88</v>
      </c>
      <c r="CV42" s="41">
        <v>87</v>
      </c>
      <c r="CW42" s="41" t="s">
        <v>326</v>
      </c>
      <c r="CX42" s="41" t="s">
        <v>326</v>
      </c>
      <c r="CY42" s="41" t="s">
        <v>326</v>
      </c>
      <c r="CZ42" s="41" t="s">
        <v>326</v>
      </c>
      <c r="DA42" s="41" t="s">
        <v>326</v>
      </c>
      <c r="DB42" s="41" t="s">
        <v>326</v>
      </c>
      <c r="DC42" s="41" t="s">
        <v>326</v>
      </c>
      <c r="DD42" s="41" t="s">
        <v>326</v>
      </c>
      <c r="DE42" s="41" t="s">
        <v>326</v>
      </c>
      <c r="DF42" s="41" t="s">
        <v>326</v>
      </c>
      <c r="DG42" s="41" t="s">
        <v>327</v>
      </c>
      <c r="DH42" s="41" t="s">
        <v>326</v>
      </c>
      <c r="DI42" s="41" t="s">
        <v>326</v>
      </c>
      <c r="DJ42" s="41" t="s">
        <v>326</v>
      </c>
      <c r="DK42" s="41" t="s">
        <v>326</v>
      </c>
      <c r="DL42" s="41" t="s">
        <v>326</v>
      </c>
      <c r="DM42" s="41" t="s">
        <v>326</v>
      </c>
      <c r="DN42" s="41" t="s">
        <v>326</v>
      </c>
      <c r="DO42" s="37" t="s">
        <v>326</v>
      </c>
      <c r="DP42" s="37" t="s">
        <v>326</v>
      </c>
      <c r="DQ42" s="37" t="s">
        <v>326</v>
      </c>
      <c r="DR42" s="37" t="s">
        <v>326</v>
      </c>
      <c r="DS42" s="37" t="s">
        <v>326</v>
      </c>
      <c r="DT42" s="37">
        <v>43</v>
      </c>
      <c r="DU42" s="37">
        <v>44</v>
      </c>
      <c r="DV42" s="37">
        <v>44</v>
      </c>
      <c r="DW42" s="37">
        <v>43</v>
      </c>
      <c r="DX42" s="37">
        <v>41</v>
      </c>
      <c r="DY42" s="37">
        <v>48</v>
      </c>
      <c r="DZ42" s="37">
        <v>48</v>
      </c>
      <c r="EA42" s="37">
        <v>44</v>
      </c>
      <c r="EB42" s="37">
        <v>44</v>
      </c>
      <c r="EC42" s="37">
        <v>44</v>
      </c>
      <c r="ED42" s="37">
        <v>44</v>
      </c>
      <c r="EE42" s="37">
        <v>44</v>
      </c>
      <c r="EF42" s="37">
        <v>43</v>
      </c>
      <c r="EG42" s="37">
        <v>44</v>
      </c>
      <c r="EH42" s="37">
        <v>44</v>
      </c>
      <c r="EI42" s="37">
        <v>41</v>
      </c>
      <c r="EJ42" s="37">
        <v>42</v>
      </c>
      <c r="EK42" s="37">
        <v>41</v>
      </c>
      <c r="EL42" s="37">
        <v>44</v>
      </c>
      <c r="EM42" s="37">
        <v>44</v>
      </c>
      <c r="EN42" s="37">
        <v>44</v>
      </c>
      <c r="EO42" s="37" t="s">
        <v>326</v>
      </c>
      <c r="EP42" s="37" t="s">
        <v>326</v>
      </c>
      <c r="EQ42" s="37" t="s">
        <v>326</v>
      </c>
      <c r="ER42" s="37" t="s">
        <v>326</v>
      </c>
      <c r="ES42" s="37" t="s">
        <v>326</v>
      </c>
      <c r="ET42" s="37" t="s">
        <v>326</v>
      </c>
      <c r="EU42" s="37" t="s">
        <v>326</v>
      </c>
      <c r="EV42" s="37" t="s">
        <v>326</v>
      </c>
      <c r="EW42" s="37" t="s">
        <v>326</v>
      </c>
      <c r="EX42" s="37" t="s">
        <v>326</v>
      </c>
      <c r="EY42" s="37" t="s">
        <v>326</v>
      </c>
      <c r="EZ42" s="75">
        <v>22</v>
      </c>
      <c r="FA42" s="55">
        <v>22</v>
      </c>
      <c r="FB42" s="55">
        <v>22</v>
      </c>
      <c r="FC42" s="55">
        <v>21</v>
      </c>
      <c r="FD42" s="55">
        <v>22</v>
      </c>
      <c r="FE42" s="55">
        <v>22</v>
      </c>
      <c r="FF42" s="55">
        <v>26</v>
      </c>
      <c r="FG42" s="55">
        <v>25</v>
      </c>
      <c r="FH42" s="55">
        <v>24</v>
      </c>
      <c r="FI42" s="55">
        <v>22</v>
      </c>
      <c r="FJ42" s="55">
        <v>22</v>
      </c>
      <c r="FK42" s="55" t="s">
        <v>326</v>
      </c>
      <c r="FL42" s="55" t="s">
        <v>326</v>
      </c>
      <c r="FM42" s="55" t="s">
        <v>326</v>
      </c>
      <c r="FN42" s="55" t="s">
        <v>326</v>
      </c>
      <c r="FO42" s="76" t="s">
        <v>326</v>
      </c>
      <c r="FX42" s="26"/>
      <c r="FY42" s="26"/>
      <c r="FZ42" s="26"/>
      <c r="GA42" s="26"/>
      <c r="GB42" s="26"/>
      <c r="GC42" s="26"/>
      <c r="GD42" s="26"/>
      <c r="GG42" s="26"/>
      <c r="GK42">
        <f>IF(ISNUMBER(EY339),EY339,999)</f>
        <v>999</v>
      </c>
    </row>
    <row r="43" spans="2:193" x14ac:dyDescent="0.3">
      <c r="B43" s="18" t="s">
        <v>368</v>
      </c>
      <c r="C43" s="13">
        <v>50</v>
      </c>
      <c r="D43" s="21" t="s">
        <v>369</v>
      </c>
      <c r="E43" s="24">
        <v>74</v>
      </c>
      <c r="G43" s="2">
        <f t="shared" si="31"/>
        <v>24</v>
      </c>
      <c r="H43" s="5">
        <v>8</v>
      </c>
      <c r="I43" s="13">
        <v>8</v>
      </c>
      <c r="L43" s="4"/>
      <c r="M43" s="7"/>
      <c r="O43" s="7"/>
      <c r="T43" s="7"/>
      <c r="AE43" s="7"/>
      <c r="BD43" s="26"/>
      <c r="BE43" s="26">
        <f t="shared" si="30"/>
        <v>40</v>
      </c>
      <c r="BF43">
        <v>40</v>
      </c>
      <c r="BG43">
        <v>23</v>
      </c>
      <c r="BH43" s="42">
        <v>105</v>
      </c>
      <c r="BI43" s="42">
        <v>105</v>
      </c>
      <c r="BJ43" s="42">
        <v>105</v>
      </c>
      <c r="BK43" s="42">
        <v>103</v>
      </c>
      <c r="BL43" s="42">
        <v>105</v>
      </c>
      <c r="BM43" s="42">
        <v>105</v>
      </c>
      <c r="BN43" s="42">
        <v>101</v>
      </c>
      <c r="BO43" s="42">
        <v>108</v>
      </c>
      <c r="BP43" s="42">
        <v>107</v>
      </c>
      <c r="BQ43" s="42">
        <v>101</v>
      </c>
      <c r="BR43" s="42">
        <v>105</v>
      </c>
      <c r="BS43" s="42">
        <v>105</v>
      </c>
      <c r="BT43" s="42">
        <v>105</v>
      </c>
      <c r="BU43" s="42">
        <v>105</v>
      </c>
      <c r="BV43" s="42">
        <v>105</v>
      </c>
      <c r="BW43" s="42">
        <v>106</v>
      </c>
      <c r="BX43" s="42">
        <v>105</v>
      </c>
      <c r="BY43" s="42">
        <v>105</v>
      </c>
      <c r="BZ43" s="42">
        <v>101</v>
      </c>
      <c r="CA43" s="42">
        <v>108</v>
      </c>
      <c r="CB43" s="42">
        <v>107</v>
      </c>
      <c r="CC43" s="42">
        <v>101</v>
      </c>
      <c r="CD43" s="42">
        <v>105</v>
      </c>
      <c r="CE43" s="42">
        <v>105</v>
      </c>
      <c r="CF43" s="42" t="s">
        <v>326</v>
      </c>
      <c r="CG43" s="42" t="s">
        <v>326</v>
      </c>
      <c r="CH43" s="42" t="s">
        <v>326</v>
      </c>
      <c r="CI43" s="42" t="s">
        <v>326</v>
      </c>
      <c r="CJ43" s="42" t="s">
        <v>326</v>
      </c>
      <c r="CK43" s="42" t="s">
        <v>326</v>
      </c>
      <c r="CL43" s="42" t="s">
        <v>326</v>
      </c>
      <c r="CM43" s="42" t="s">
        <v>326</v>
      </c>
      <c r="CN43" s="42" t="s">
        <v>326</v>
      </c>
      <c r="CO43" s="42" t="s">
        <v>326</v>
      </c>
      <c r="CP43" s="42" t="s">
        <v>326</v>
      </c>
      <c r="CQ43" s="42" t="s">
        <v>326</v>
      </c>
      <c r="CR43" s="42" t="s">
        <v>326</v>
      </c>
      <c r="CS43" s="42" t="s">
        <v>326</v>
      </c>
      <c r="CT43" s="42" t="s">
        <v>326</v>
      </c>
      <c r="CU43" s="42" t="s">
        <v>326</v>
      </c>
      <c r="CV43" s="42" t="s">
        <v>326</v>
      </c>
      <c r="CW43" s="42" t="s">
        <v>326</v>
      </c>
      <c r="CX43" s="42" t="s">
        <v>326</v>
      </c>
      <c r="CY43" s="42" t="s">
        <v>326</v>
      </c>
      <c r="CZ43" s="42" t="s">
        <v>326</v>
      </c>
      <c r="DA43" s="42" t="s">
        <v>326</v>
      </c>
      <c r="DB43" s="42" t="s">
        <v>326</v>
      </c>
      <c r="DC43" s="42" t="s">
        <v>326</v>
      </c>
      <c r="DD43" s="42" t="s">
        <v>326</v>
      </c>
      <c r="DE43" s="42" t="s">
        <v>326</v>
      </c>
      <c r="DF43" s="42" t="s">
        <v>326</v>
      </c>
      <c r="DG43" s="42" t="s">
        <v>327</v>
      </c>
      <c r="DH43" s="42" t="s">
        <v>326</v>
      </c>
      <c r="DI43" s="42" t="s">
        <v>326</v>
      </c>
      <c r="DJ43" s="42" t="s">
        <v>326</v>
      </c>
      <c r="DK43" s="42" t="s">
        <v>326</v>
      </c>
      <c r="DL43" s="42" t="s">
        <v>326</v>
      </c>
      <c r="DM43" s="42" t="s">
        <v>326</v>
      </c>
      <c r="DN43" s="42" t="s">
        <v>326</v>
      </c>
      <c r="DO43" s="26" t="s">
        <v>326</v>
      </c>
      <c r="DP43" s="26" t="s">
        <v>326</v>
      </c>
      <c r="DQ43" s="26" t="s">
        <v>326</v>
      </c>
      <c r="DR43" s="26" t="s">
        <v>326</v>
      </c>
      <c r="DS43" s="26" t="s">
        <v>326</v>
      </c>
      <c r="DT43" s="26">
        <v>53</v>
      </c>
      <c r="DU43" s="26">
        <v>53</v>
      </c>
      <c r="DV43" s="26">
        <v>50</v>
      </c>
      <c r="DW43" s="26">
        <v>56</v>
      </c>
      <c r="DX43" s="26">
        <v>55</v>
      </c>
      <c r="DY43" s="26">
        <v>57</v>
      </c>
      <c r="DZ43" s="26">
        <v>53</v>
      </c>
      <c r="EA43" s="26">
        <v>53</v>
      </c>
      <c r="EB43" s="26">
        <v>53</v>
      </c>
      <c r="EC43" s="26">
        <v>53</v>
      </c>
      <c r="ED43" s="26">
        <v>53</v>
      </c>
      <c r="EE43" s="26">
        <v>53</v>
      </c>
      <c r="EF43" s="26" t="s">
        <v>326</v>
      </c>
      <c r="EG43" s="26" t="s">
        <v>326</v>
      </c>
      <c r="EH43" s="26" t="s">
        <v>326</v>
      </c>
      <c r="EI43" s="26" t="s">
        <v>326</v>
      </c>
      <c r="EJ43" s="26" t="s">
        <v>326</v>
      </c>
      <c r="EK43" s="26" t="s">
        <v>326</v>
      </c>
      <c r="EL43" s="26" t="s">
        <v>326</v>
      </c>
      <c r="EM43" s="26" t="s">
        <v>326</v>
      </c>
      <c r="EN43" s="26" t="s">
        <v>326</v>
      </c>
      <c r="EO43" s="26" t="s">
        <v>326</v>
      </c>
      <c r="EP43" s="26" t="s">
        <v>326</v>
      </c>
      <c r="EQ43" s="26" t="s">
        <v>326</v>
      </c>
      <c r="ER43" s="26" t="s">
        <v>326</v>
      </c>
      <c r="ES43" s="26" t="s">
        <v>326</v>
      </c>
      <c r="ET43" s="26" t="s">
        <v>326</v>
      </c>
      <c r="EU43" s="26" t="s">
        <v>326</v>
      </c>
      <c r="EV43" s="26" t="s">
        <v>326</v>
      </c>
      <c r="EW43" s="26" t="s">
        <v>326</v>
      </c>
      <c r="EX43" s="26" t="s">
        <v>326</v>
      </c>
      <c r="EY43" s="26" t="s">
        <v>326</v>
      </c>
      <c r="EZ43" s="77">
        <v>23</v>
      </c>
      <c r="FA43" s="56">
        <v>27</v>
      </c>
      <c r="FB43" s="56">
        <v>27</v>
      </c>
      <c r="FC43" s="56">
        <v>26</v>
      </c>
      <c r="FD43" s="56">
        <v>28</v>
      </c>
      <c r="FE43" s="56">
        <v>27</v>
      </c>
      <c r="FF43" s="56" t="s">
        <v>326</v>
      </c>
      <c r="FG43" s="56" t="s">
        <v>326</v>
      </c>
      <c r="FH43" s="56" t="s">
        <v>326</v>
      </c>
      <c r="FI43" s="56" t="s">
        <v>326</v>
      </c>
      <c r="FJ43" s="56" t="s">
        <v>326</v>
      </c>
      <c r="FK43" s="56" t="s">
        <v>326</v>
      </c>
      <c r="FL43" s="56" t="s">
        <v>326</v>
      </c>
      <c r="FM43" s="56" t="s">
        <v>326</v>
      </c>
      <c r="FN43" s="56" t="s">
        <v>326</v>
      </c>
      <c r="FO43" s="78" t="s">
        <v>326</v>
      </c>
      <c r="FX43" s="26"/>
      <c r="FY43" s="26"/>
      <c r="FZ43" s="26"/>
      <c r="GA43" s="26"/>
      <c r="GB43" s="26"/>
      <c r="GC43" s="26"/>
      <c r="GD43" s="26"/>
      <c r="GG43" s="26"/>
      <c r="GJ43">
        <f>GJ39+1</f>
        <v>11</v>
      </c>
      <c r="GK43" t="str">
        <f>IF(Grps&gt;GJ39,GJ43,"")</f>
        <v/>
      </c>
    </row>
    <row r="44" spans="2:193" x14ac:dyDescent="0.3">
      <c r="B44" s="18" t="s">
        <v>370</v>
      </c>
      <c r="C44" s="13">
        <v>41</v>
      </c>
      <c r="D44" s="21" t="s">
        <v>371</v>
      </c>
      <c r="E44" s="24">
        <v>75</v>
      </c>
      <c r="G44" s="2">
        <f t="shared" si="31"/>
        <v>25</v>
      </c>
      <c r="H44" s="5">
        <v>7</v>
      </c>
      <c r="I44" s="13">
        <v>10</v>
      </c>
      <c r="L44" s="4"/>
      <c r="M44" s="7"/>
      <c r="O44" s="7"/>
      <c r="T44" s="7"/>
      <c r="AE44" s="7"/>
      <c r="BD44" s="26"/>
      <c r="BE44" s="26" t="str">
        <f t="shared" si="30"/>
        <v>BYE</v>
      </c>
      <c r="BF44">
        <v>89</v>
      </c>
      <c r="BG44">
        <v>24</v>
      </c>
      <c r="BH44" s="42">
        <v>24</v>
      </c>
      <c r="BI44" s="42">
        <v>24</v>
      </c>
      <c r="BJ44" s="42">
        <v>24</v>
      </c>
      <c r="BK44" s="42">
        <v>24</v>
      </c>
      <c r="BL44" s="42">
        <v>24</v>
      </c>
      <c r="BM44" s="42">
        <v>24</v>
      </c>
      <c r="BN44" s="42">
        <v>24</v>
      </c>
      <c r="BO44" s="42">
        <v>24</v>
      </c>
      <c r="BP44" s="42">
        <v>24</v>
      </c>
      <c r="BQ44" s="42">
        <v>24</v>
      </c>
      <c r="BR44" s="42">
        <v>24</v>
      </c>
      <c r="BS44" s="42">
        <v>24</v>
      </c>
      <c r="BT44" s="42">
        <v>24</v>
      </c>
      <c r="BU44" s="42">
        <v>24</v>
      </c>
      <c r="BV44" s="42">
        <v>24</v>
      </c>
      <c r="BW44" s="42">
        <v>24</v>
      </c>
      <c r="BX44" s="42">
        <v>24</v>
      </c>
      <c r="BY44" s="42">
        <v>24</v>
      </c>
      <c r="BZ44" s="42">
        <v>24</v>
      </c>
      <c r="CA44" s="42">
        <v>24</v>
      </c>
      <c r="CB44" s="42">
        <v>24</v>
      </c>
      <c r="CC44" s="42">
        <v>24</v>
      </c>
      <c r="CD44" s="42">
        <v>24</v>
      </c>
      <c r="CE44" s="42">
        <v>24</v>
      </c>
      <c r="CF44" s="42">
        <v>24</v>
      </c>
      <c r="CG44" s="42">
        <v>24</v>
      </c>
      <c r="CH44" s="42">
        <v>24</v>
      </c>
      <c r="CI44" s="42">
        <v>24</v>
      </c>
      <c r="CJ44" s="42">
        <v>24</v>
      </c>
      <c r="CK44" s="42">
        <v>24</v>
      </c>
      <c r="CL44" s="42">
        <v>24</v>
      </c>
      <c r="CM44" s="42">
        <v>24</v>
      </c>
      <c r="CN44" s="42">
        <v>24</v>
      </c>
      <c r="CO44" s="42">
        <v>24</v>
      </c>
      <c r="CP44" s="42">
        <v>24</v>
      </c>
      <c r="CQ44" s="42">
        <v>24</v>
      </c>
      <c r="CR44" s="42">
        <v>24</v>
      </c>
      <c r="CS44" s="42">
        <v>24</v>
      </c>
      <c r="CT44" s="42">
        <v>24</v>
      </c>
      <c r="CU44" s="42">
        <v>24</v>
      </c>
      <c r="CV44" s="42">
        <v>24</v>
      </c>
      <c r="CW44" s="42">
        <v>24</v>
      </c>
      <c r="CX44" s="42">
        <v>24</v>
      </c>
      <c r="CY44" s="42">
        <v>24</v>
      </c>
      <c r="CZ44" s="42">
        <v>24</v>
      </c>
      <c r="DA44" s="42">
        <v>24</v>
      </c>
      <c r="DB44" s="42">
        <v>24</v>
      </c>
      <c r="DC44" s="42">
        <v>24</v>
      </c>
      <c r="DD44" s="42">
        <v>24</v>
      </c>
      <c r="DE44" s="42">
        <v>24</v>
      </c>
      <c r="DF44" s="42">
        <v>24</v>
      </c>
      <c r="DG44" s="42">
        <v>39</v>
      </c>
      <c r="DH44" s="42">
        <v>24</v>
      </c>
      <c r="DI44" s="42">
        <v>24</v>
      </c>
      <c r="DJ44" s="42">
        <v>24</v>
      </c>
      <c r="DK44" s="42">
        <v>24</v>
      </c>
      <c r="DL44" s="42">
        <v>24</v>
      </c>
      <c r="DM44" s="42">
        <v>24</v>
      </c>
      <c r="DN44" s="42">
        <v>24</v>
      </c>
      <c r="DO44" s="26">
        <v>24</v>
      </c>
      <c r="DP44" s="26">
        <v>24</v>
      </c>
      <c r="DQ44" s="26">
        <v>24</v>
      </c>
      <c r="DR44" s="26">
        <v>23</v>
      </c>
      <c r="DS44" s="26">
        <v>23</v>
      </c>
      <c r="DT44" s="26">
        <v>12</v>
      </c>
      <c r="DU44" s="26">
        <v>12</v>
      </c>
      <c r="DV44" s="26">
        <v>12</v>
      </c>
      <c r="DW44" s="26">
        <v>12</v>
      </c>
      <c r="DX44" s="26">
        <v>12</v>
      </c>
      <c r="DY44" s="26">
        <v>12</v>
      </c>
      <c r="DZ44" s="26">
        <v>12</v>
      </c>
      <c r="EA44" s="26">
        <v>12</v>
      </c>
      <c r="EB44" s="26">
        <v>12</v>
      </c>
      <c r="EC44" s="26">
        <v>12</v>
      </c>
      <c r="ED44" s="26">
        <v>12</v>
      </c>
      <c r="EE44" s="26">
        <v>12</v>
      </c>
      <c r="EF44" s="26">
        <v>12</v>
      </c>
      <c r="EG44" s="26">
        <v>12</v>
      </c>
      <c r="EH44" s="26">
        <v>12</v>
      </c>
      <c r="EI44" s="26">
        <v>12</v>
      </c>
      <c r="EJ44" s="26">
        <v>12</v>
      </c>
      <c r="EK44" s="26">
        <v>12</v>
      </c>
      <c r="EL44" s="26">
        <v>12</v>
      </c>
      <c r="EM44" s="26">
        <v>12</v>
      </c>
      <c r="EN44" s="26">
        <v>12</v>
      </c>
      <c r="EO44" s="26">
        <v>12</v>
      </c>
      <c r="EP44" s="26">
        <v>12</v>
      </c>
      <c r="EQ44" s="26">
        <v>12</v>
      </c>
      <c r="ER44" s="26">
        <v>12</v>
      </c>
      <c r="ES44" s="26">
        <v>12</v>
      </c>
      <c r="ET44" s="26">
        <v>12</v>
      </c>
      <c r="EU44" s="26">
        <v>12</v>
      </c>
      <c r="EV44" s="26">
        <v>12</v>
      </c>
      <c r="EW44" s="26">
        <v>12</v>
      </c>
      <c r="EX44" s="26">
        <v>12</v>
      </c>
      <c r="EY44" s="26">
        <v>12</v>
      </c>
      <c r="EZ44" s="77">
        <v>6</v>
      </c>
      <c r="FA44" s="56">
        <v>6</v>
      </c>
      <c r="FB44" s="56">
        <v>6</v>
      </c>
      <c r="FC44" s="56">
        <v>6</v>
      </c>
      <c r="FD44" s="56">
        <v>6</v>
      </c>
      <c r="FE44" s="56">
        <v>6</v>
      </c>
      <c r="FF44" s="56">
        <v>6</v>
      </c>
      <c r="FG44" s="56">
        <v>6</v>
      </c>
      <c r="FH44" s="56">
        <v>6</v>
      </c>
      <c r="FI44" s="56">
        <v>6</v>
      </c>
      <c r="FJ44" s="56">
        <v>6</v>
      </c>
      <c r="FK44" s="56">
        <v>6</v>
      </c>
      <c r="FL44" s="56">
        <v>6</v>
      </c>
      <c r="FM44" s="56">
        <v>6</v>
      </c>
      <c r="FN44" s="56">
        <v>6</v>
      </c>
      <c r="FO44" s="78">
        <v>6</v>
      </c>
      <c r="FX44" s="26"/>
      <c r="FY44" s="26"/>
      <c r="FZ44" s="26"/>
      <c r="GA44" s="26"/>
      <c r="GB44" s="26"/>
      <c r="GC44" s="26"/>
      <c r="GD44" s="26"/>
      <c r="GG44" s="26"/>
      <c r="GK44">
        <f>IF(ISNUMBER(EY374),EY374,999)</f>
        <v>999</v>
      </c>
    </row>
    <row r="45" spans="2:193" x14ac:dyDescent="0.3">
      <c r="B45" s="18" t="s">
        <v>372</v>
      </c>
      <c r="C45" s="13">
        <v>40</v>
      </c>
      <c r="D45" s="21" t="s">
        <v>373</v>
      </c>
      <c r="E45" s="24">
        <v>76</v>
      </c>
      <c r="G45" s="2">
        <f t="shared" si="31"/>
        <v>26</v>
      </c>
      <c r="H45" s="5">
        <v>7</v>
      </c>
      <c r="I45" s="13">
        <v>10</v>
      </c>
      <c r="L45" s="4"/>
      <c r="M45" s="7"/>
      <c r="O45" s="7"/>
      <c r="T45" s="7"/>
      <c r="AE45" s="7"/>
      <c r="BD45" s="26"/>
      <c r="BE45" s="26">
        <f t="shared" si="30"/>
        <v>9</v>
      </c>
      <c r="BF45">
        <v>9</v>
      </c>
      <c r="BG45">
        <v>25</v>
      </c>
      <c r="BH45" s="38">
        <v>25</v>
      </c>
      <c r="BI45" s="39">
        <v>25</v>
      </c>
      <c r="BJ45" s="39">
        <v>25</v>
      </c>
      <c r="BK45" s="39">
        <v>25</v>
      </c>
      <c r="BL45" s="39">
        <v>25</v>
      </c>
      <c r="BM45" s="39">
        <v>25</v>
      </c>
      <c r="BN45" s="39">
        <v>25</v>
      </c>
      <c r="BO45" s="39">
        <v>25</v>
      </c>
      <c r="BP45" s="39">
        <v>25</v>
      </c>
      <c r="BQ45" s="39">
        <v>25</v>
      </c>
      <c r="BR45" s="39">
        <v>25</v>
      </c>
      <c r="BS45" s="39">
        <v>25</v>
      </c>
      <c r="BT45" s="39">
        <v>25</v>
      </c>
      <c r="BU45" s="39">
        <v>25</v>
      </c>
      <c r="BV45" s="39">
        <v>25</v>
      </c>
      <c r="BW45" s="39">
        <v>25</v>
      </c>
      <c r="BX45" s="39">
        <v>25</v>
      </c>
      <c r="BY45" s="39">
        <v>25</v>
      </c>
      <c r="BZ45" s="39">
        <v>25</v>
      </c>
      <c r="CA45" s="39">
        <v>25</v>
      </c>
      <c r="CB45" s="39">
        <v>25</v>
      </c>
      <c r="CC45" s="39">
        <v>25</v>
      </c>
      <c r="CD45" s="39">
        <v>25</v>
      </c>
      <c r="CE45" s="39">
        <v>25</v>
      </c>
      <c r="CF45" s="39">
        <v>25</v>
      </c>
      <c r="CG45" s="39">
        <v>25</v>
      </c>
      <c r="CH45" s="39">
        <v>25</v>
      </c>
      <c r="CI45" s="39">
        <v>25</v>
      </c>
      <c r="CJ45" s="39">
        <v>25</v>
      </c>
      <c r="CK45" s="39">
        <v>25</v>
      </c>
      <c r="CL45" s="39">
        <v>25</v>
      </c>
      <c r="CM45" s="39">
        <v>25</v>
      </c>
      <c r="CN45" s="39">
        <v>25</v>
      </c>
      <c r="CO45" s="39">
        <v>25</v>
      </c>
      <c r="CP45" s="39">
        <v>25</v>
      </c>
      <c r="CQ45" s="39">
        <v>25</v>
      </c>
      <c r="CR45" s="39">
        <v>25</v>
      </c>
      <c r="CS45" s="39">
        <v>25</v>
      </c>
      <c r="CT45" s="39">
        <v>25</v>
      </c>
      <c r="CU45" s="39">
        <v>25</v>
      </c>
      <c r="CV45" s="39">
        <v>25</v>
      </c>
      <c r="CW45" s="39">
        <v>25</v>
      </c>
      <c r="CX45" s="39">
        <v>25</v>
      </c>
      <c r="CY45" s="39">
        <v>25</v>
      </c>
      <c r="CZ45" s="39">
        <v>25</v>
      </c>
      <c r="DA45" s="39">
        <v>25</v>
      </c>
      <c r="DB45" s="39">
        <v>25</v>
      </c>
      <c r="DC45" s="39">
        <v>25</v>
      </c>
      <c r="DD45" s="39">
        <v>25</v>
      </c>
      <c r="DE45" s="39">
        <v>25</v>
      </c>
      <c r="DF45" s="39">
        <v>25</v>
      </c>
      <c r="DG45" s="39">
        <v>9</v>
      </c>
      <c r="DH45" s="39">
        <v>25</v>
      </c>
      <c r="DI45" s="39">
        <v>25</v>
      </c>
      <c r="DJ45" s="39">
        <v>25</v>
      </c>
      <c r="DK45" s="39">
        <v>25</v>
      </c>
      <c r="DL45" s="39">
        <v>26</v>
      </c>
      <c r="DM45" s="39">
        <v>26</v>
      </c>
      <c r="DN45" s="39">
        <v>26</v>
      </c>
      <c r="DO45" s="36">
        <v>25</v>
      </c>
      <c r="DP45" s="36">
        <v>25</v>
      </c>
      <c r="DQ45" s="36">
        <v>25</v>
      </c>
      <c r="DR45" s="36">
        <v>26</v>
      </c>
      <c r="DS45" s="36">
        <v>26</v>
      </c>
      <c r="DT45" s="36">
        <v>13</v>
      </c>
      <c r="DU45" s="36">
        <v>13</v>
      </c>
      <c r="DV45" s="36">
        <v>13</v>
      </c>
      <c r="DW45" s="36">
        <v>13</v>
      </c>
      <c r="DX45" s="36">
        <v>13</v>
      </c>
      <c r="DY45" s="36">
        <v>13</v>
      </c>
      <c r="DZ45" s="36">
        <v>13</v>
      </c>
      <c r="EA45" s="36">
        <v>13</v>
      </c>
      <c r="EB45" s="36">
        <v>13</v>
      </c>
      <c r="EC45" s="36">
        <v>13</v>
      </c>
      <c r="ED45" s="36">
        <v>13</v>
      </c>
      <c r="EE45" s="36">
        <v>13</v>
      </c>
      <c r="EF45" s="36">
        <v>13</v>
      </c>
      <c r="EG45" s="36">
        <v>13</v>
      </c>
      <c r="EH45" s="36">
        <v>13</v>
      </c>
      <c r="EI45" s="36">
        <v>13</v>
      </c>
      <c r="EJ45" s="36">
        <v>13</v>
      </c>
      <c r="EK45" s="36">
        <v>13</v>
      </c>
      <c r="EL45" s="36">
        <v>13</v>
      </c>
      <c r="EM45" s="36">
        <v>13</v>
      </c>
      <c r="EN45" s="36">
        <v>13</v>
      </c>
      <c r="EO45" s="36">
        <v>13</v>
      </c>
      <c r="EP45" s="36">
        <v>13</v>
      </c>
      <c r="EQ45" s="36">
        <v>13</v>
      </c>
      <c r="ER45" s="36">
        <v>13</v>
      </c>
      <c r="ES45" s="36">
        <v>13</v>
      </c>
      <c r="ET45" s="36">
        <v>13</v>
      </c>
      <c r="EU45" s="36">
        <v>13</v>
      </c>
      <c r="EV45" s="36">
        <v>14</v>
      </c>
      <c r="EW45" s="36">
        <v>14</v>
      </c>
      <c r="EX45" s="36">
        <v>14</v>
      </c>
      <c r="EY45" s="36">
        <v>13</v>
      </c>
      <c r="EZ45" s="73">
        <v>7</v>
      </c>
      <c r="FA45" s="54">
        <v>7</v>
      </c>
      <c r="FB45" s="54">
        <v>7</v>
      </c>
      <c r="FC45" s="54">
        <v>7</v>
      </c>
      <c r="FD45" s="54">
        <v>7</v>
      </c>
      <c r="FE45" s="54">
        <v>7</v>
      </c>
      <c r="FF45" s="54">
        <v>7</v>
      </c>
      <c r="FG45" s="54">
        <v>7</v>
      </c>
      <c r="FH45" s="54">
        <v>7</v>
      </c>
      <c r="FI45" s="54">
        <v>7</v>
      </c>
      <c r="FJ45" s="54">
        <v>7</v>
      </c>
      <c r="FK45" s="54">
        <v>7</v>
      </c>
      <c r="FL45" s="54">
        <v>7</v>
      </c>
      <c r="FM45" s="54">
        <v>7</v>
      </c>
      <c r="FN45" s="54">
        <v>8</v>
      </c>
      <c r="FO45" s="74">
        <v>8</v>
      </c>
      <c r="FP45" s="26"/>
      <c r="FQ45" s="26"/>
      <c r="FR45" s="26"/>
      <c r="FS45" s="26"/>
      <c r="FT45" s="26"/>
      <c r="FU45" s="26"/>
      <c r="FV45" s="26"/>
      <c r="FW45" s="26"/>
      <c r="FX45" s="26"/>
      <c r="FY45" s="26"/>
      <c r="FZ45" s="26"/>
      <c r="GA45" s="26"/>
      <c r="GB45" s="26"/>
      <c r="GC45" s="26"/>
      <c r="GD45" s="26"/>
      <c r="GG45" s="26"/>
      <c r="GK45">
        <f>IF(ISNUMBER(EY375),EY375,999)</f>
        <v>999</v>
      </c>
    </row>
    <row r="46" spans="2:193" x14ac:dyDescent="0.3">
      <c r="B46" s="18" t="s">
        <v>374</v>
      </c>
      <c r="C46" s="13">
        <v>39</v>
      </c>
      <c r="D46" s="21" t="s">
        <v>375</v>
      </c>
      <c r="E46" s="24">
        <v>77</v>
      </c>
      <c r="G46" s="2">
        <f t="shared" si="31"/>
        <v>27</v>
      </c>
      <c r="H46" s="5">
        <v>7</v>
      </c>
      <c r="I46" s="13">
        <v>10</v>
      </c>
      <c r="L46" s="4"/>
      <c r="M46" s="7"/>
      <c r="O46" s="7"/>
      <c r="T46" s="7"/>
      <c r="AE46" s="7"/>
      <c r="BD46" s="26"/>
      <c r="BE46" s="26" t="str">
        <f t="shared" si="30"/>
        <v>BYE</v>
      </c>
      <c r="BF46">
        <v>120</v>
      </c>
      <c r="BG46">
        <v>26</v>
      </c>
      <c r="BH46" s="40">
        <v>104</v>
      </c>
      <c r="BI46" s="41">
        <v>104</v>
      </c>
      <c r="BJ46" s="41">
        <v>104</v>
      </c>
      <c r="BK46" s="41">
        <v>104</v>
      </c>
      <c r="BL46" s="41">
        <v>103</v>
      </c>
      <c r="BM46" s="41">
        <v>104</v>
      </c>
      <c r="BN46" s="41">
        <v>104</v>
      </c>
      <c r="BO46" s="41">
        <v>101</v>
      </c>
      <c r="BP46" s="41">
        <v>108</v>
      </c>
      <c r="BQ46" s="41">
        <v>108</v>
      </c>
      <c r="BR46" s="41">
        <v>100</v>
      </c>
      <c r="BS46" s="41">
        <v>104</v>
      </c>
      <c r="BT46" s="41">
        <v>104</v>
      </c>
      <c r="BU46" s="41">
        <v>104</v>
      </c>
      <c r="BV46" s="41">
        <v>104</v>
      </c>
      <c r="BW46" s="41">
        <v>104</v>
      </c>
      <c r="BX46" s="41">
        <v>103</v>
      </c>
      <c r="BY46" s="41">
        <v>104</v>
      </c>
      <c r="BZ46" s="41">
        <v>110</v>
      </c>
      <c r="CA46" s="41">
        <v>101</v>
      </c>
      <c r="CB46" s="41">
        <v>102</v>
      </c>
      <c r="CC46" s="41">
        <v>100</v>
      </c>
      <c r="CD46" s="41">
        <v>100</v>
      </c>
      <c r="CE46" s="41">
        <v>104</v>
      </c>
      <c r="CF46" s="41">
        <v>104</v>
      </c>
      <c r="CG46" s="41" t="s">
        <v>326</v>
      </c>
      <c r="CH46" s="41" t="s">
        <v>326</v>
      </c>
      <c r="CI46" s="41" t="s">
        <v>326</v>
      </c>
      <c r="CJ46" s="41" t="s">
        <v>326</v>
      </c>
      <c r="CK46" s="41" t="s">
        <v>326</v>
      </c>
      <c r="CL46" s="41" t="s">
        <v>326</v>
      </c>
      <c r="CM46" s="41" t="s">
        <v>326</v>
      </c>
      <c r="CN46" s="41" t="s">
        <v>326</v>
      </c>
      <c r="CO46" s="41" t="s">
        <v>326</v>
      </c>
      <c r="CP46" s="41" t="s">
        <v>326</v>
      </c>
      <c r="CQ46" s="41" t="s">
        <v>326</v>
      </c>
      <c r="CR46" s="41" t="s">
        <v>326</v>
      </c>
      <c r="CS46" s="41" t="s">
        <v>326</v>
      </c>
      <c r="CT46" s="41" t="s">
        <v>326</v>
      </c>
      <c r="CU46" s="41" t="s">
        <v>326</v>
      </c>
      <c r="CV46" s="41" t="s">
        <v>326</v>
      </c>
      <c r="CW46" s="41" t="s">
        <v>326</v>
      </c>
      <c r="CX46" s="41" t="s">
        <v>326</v>
      </c>
      <c r="CY46" s="41" t="s">
        <v>326</v>
      </c>
      <c r="CZ46" s="41" t="s">
        <v>326</v>
      </c>
      <c r="DA46" s="41" t="s">
        <v>326</v>
      </c>
      <c r="DB46" s="41" t="s">
        <v>326</v>
      </c>
      <c r="DC46" s="41" t="s">
        <v>326</v>
      </c>
      <c r="DD46" s="41" t="s">
        <v>326</v>
      </c>
      <c r="DE46" s="41" t="s">
        <v>326</v>
      </c>
      <c r="DF46" s="41" t="s">
        <v>326</v>
      </c>
      <c r="DG46" s="41" t="s">
        <v>327</v>
      </c>
      <c r="DH46" s="41" t="s">
        <v>326</v>
      </c>
      <c r="DI46" s="41" t="s">
        <v>326</v>
      </c>
      <c r="DJ46" s="41" t="s">
        <v>326</v>
      </c>
      <c r="DK46" s="41" t="s">
        <v>326</v>
      </c>
      <c r="DL46" s="41" t="s">
        <v>326</v>
      </c>
      <c r="DM46" s="41" t="s">
        <v>326</v>
      </c>
      <c r="DN46" s="41" t="s">
        <v>326</v>
      </c>
      <c r="DO46" s="37" t="s">
        <v>326</v>
      </c>
      <c r="DP46" s="37" t="s">
        <v>326</v>
      </c>
      <c r="DQ46" s="37" t="s">
        <v>326</v>
      </c>
      <c r="DR46" s="37" t="s">
        <v>326</v>
      </c>
      <c r="DS46" s="37" t="s">
        <v>326</v>
      </c>
      <c r="DT46" s="37">
        <v>51</v>
      </c>
      <c r="DU46" s="37">
        <v>52</v>
      </c>
      <c r="DV46" s="37">
        <v>52</v>
      </c>
      <c r="DW46" s="37">
        <v>50</v>
      </c>
      <c r="DX46" s="37">
        <v>50</v>
      </c>
      <c r="DY46" s="37">
        <v>55</v>
      </c>
      <c r="DZ46" s="37">
        <v>56</v>
      </c>
      <c r="EA46" s="37">
        <v>52</v>
      </c>
      <c r="EB46" s="37">
        <v>52</v>
      </c>
      <c r="EC46" s="37">
        <v>52</v>
      </c>
      <c r="ED46" s="37">
        <v>52</v>
      </c>
      <c r="EE46" s="37">
        <v>52</v>
      </c>
      <c r="EF46" s="37">
        <v>51</v>
      </c>
      <c r="EG46" s="37" t="s">
        <v>326</v>
      </c>
      <c r="EH46" s="37" t="s">
        <v>326</v>
      </c>
      <c r="EI46" s="37" t="s">
        <v>326</v>
      </c>
      <c r="EJ46" s="37" t="s">
        <v>326</v>
      </c>
      <c r="EK46" s="37" t="s">
        <v>326</v>
      </c>
      <c r="EL46" s="37" t="s">
        <v>326</v>
      </c>
      <c r="EM46" s="37" t="s">
        <v>326</v>
      </c>
      <c r="EN46" s="37" t="s">
        <v>326</v>
      </c>
      <c r="EO46" s="37" t="s">
        <v>326</v>
      </c>
      <c r="EP46" s="37" t="s">
        <v>326</v>
      </c>
      <c r="EQ46" s="37" t="s">
        <v>326</v>
      </c>
      <c r="ER46" s="37" t="s">
        <v>326</v>
      </c>
      <c r="ES46" s="37" t="s">
        <v>326</v>
      </c>
      <c r="ET46" s="37" t="s">
        <v>326</v>
      </c>
      <c r="EU46" s="37" t="s">
        <v>326</v>
      </c>
      <c r="EV46" s="37" t="s">
        <v>326</v>
      </c>
      <c r="EW46" s="37" t="s">
        <v>326</v>
      </c>
      <c r="EX46" s="37" t="s">
        <v>326</v>
      </c>
      <c r="EY46" s="37" t="s">
        <v>326</v>
      </c>
      <c r="EZ46" s="75">
        <v>30</v>
      </c>
      <c r="FA46" s="55">
        <v>26</v>
      </c>
      <c r="FB46" s="55">
        <v>26</v>
      </c>
      <c r="FC46" s="55">
        <v>27</v>
      </c>
      <c r="FD46" s="55">
        <v>26</v>
      </c>
      <c r="FE46" s="55">
        <v>26</v>
      </c>
      <c r="FF46" s="55">
        <v>22</v>
      </c>
      <c r="FG46" s="55" t="s">
        <v>326</v>
      </c>
      <c r="FH46" s="55" t="s">
        <v>326</v>
      </c>
      <c r="FI46" s="55" t="s">
        <v>326</v>
      </c>
      <c r="FJ46" s="55" t="s">
        <v>326</v>
      </c>
      <c r="FK46" s="55" t="s">
        <v>326</v>
      </c>
      <c r="FL46" s="55" t="s">
        <v>326</v>
      </c>
      <c r="FM46" s="55" t="s">
        <v>326</v>
      </c>
      <c r="FN46" s="55" t="s">
        <v>326</v>
      </c>
      <c r="FO46" s="76" t="s">
        <v>326</v>
      </c>
      <c r="FP46" s="26"/>
      <c r="FQ46" s="26"/>
      <c r="FR46" s="26"/>
      <c r="FS46" s="26"/>
      <c r="FT46" s="26"/>
      <c r="FU46" s="26"/>
      <c r="FV46" s="26"/>
      <c r="FW46" s="26"/>
      <c r="FX46" s="26"/>
      <c r="FY46" s="26"/>
      <c r="FZ46" s="26"/>
      <c r="GA46" s="26"/>
      <c r="GB46" s="26"/>
      <c r="GC46" s="26"/>
      <c r="GD46" s="26"/>
      <c r="GG46" s="26"/>
      <c r="GK46">
        <f>IF(ISNUMBER(EY376),EY376,999)</f>
        <v>999</v>
      </c>
    </row>
    <row r="47" spans="2:193" x14ac:dyDescent="0.3">
      <c r="B47" s="18" t="s">
        <v>376</v>
      </c>
      <c r="C47" s="13">
        <v>38</v>
      </c>
      <c r="D47" s="21" t="s">
        <v>377</v>
      </c>
      <c r="E47" s="24">
        <v>95</v>
      </c>
      <c r="G47" s="2">
        <f t="shared" si="31"/>
        <v>28</v>
      </c>
      <c r="H47" s="5">
        <v>7</v>
      </c>
      <c r="I47" s="13">
        <v>10</v>
      </c>
      <c r="L47" s="4"/>
      <c r="M47" s="7"/>
      <c r="O47" s="7"/>
      <c r="T47" s="7"/>
      <c r="AE47" s="7"/>
      <c r="BD47" s="26"/>
      <c r="BE47" s="26">
        <f t="shared" si="30"/>
        <v>58</v>
      </c>
      <c r="BF47">
        <v>58</v>
      </c>
      <c r="BG47">
        <v>27</v>
      </c>
      <c r="BH47" s="42">
        <v>89</v>
      </c>
      <c r="BI47" s="42">
        <v>89</v>
      </c>
      <c r="BJ47" s="42">
        <v>89</v>
      </c>
      <c r="BK47" s="42">
        <v>87</v>
      </c>
      <c r="BL47" s="42">
        <v>89</v>
      </c>
      <c r="BM47" s="42">
        <v>89</v>
      </c>
      <c r="BN47" s="42">
        <v>85</v>
      </c>
      <c r="BO47" s="42">
        <v>92</v>
      </c>
      <c r="BP47" s="42">
        <v>86</v>
      </c>
      <c r="BQ47" s="42">
        <v>85</v>
      </c>
      <c r="BR47" s="42">
        <v>89</v>
      </c>
      <c r="BS47" s="42">
        <v>89</v>
      </c>
      <c r="BT47" s="42">
        <v>89</v>
      </c>
      <c r="BU47" s="42">
        <v>89</v>
      </c>
      <c r="BV47" s="42">
        <v>89</v>
      </c>
      <c r="BW47" s="42">
        <v>88</v>
      </c>
      <c r="BX47" s="42">
        <v>89</v>
      </c>
      <c r="BY47" s="42">
        <v>89</v>
      </c>
      <c r="BZ47" s="42">
        <v>85</v>
      </c>
      <c r="CA47" s="42">
        <v>92</v>
      </c>
      <c r="CB47" s="42">
        <v>91</v>
      </c>
      <c r="CC47" s="42">
        <v>85</v>
      </c>
      <c r="CD47" s="42">
        <v>89</v>
      </c>
      <c r="CE47" s="42">
        <v>89</v>
      </c>
      <c r="CF47" s="42">
        <v>89</v>
      </c>
      <c r="CG47" s="42">
        <v>89</v>
      </c>
      <c r="CH47" s="42">
        <v>89</v>
      </c>
      <c r="CI47" s="42">
        <v>87</v>
      </c>
      <c r="CJ47" s="42">
        <v>89</v>
      </c>
      <c r="CK47" s="42">
        <v>89</v>
      </c>
      <c r="CL47" s="42">
        <v>85</v>
      </c>
      <c r="CM47" s="42">
        <v>92</v>
      </c>
      <c r="CN47" s="42">
        <v>91</v>
      </c>
      <c r="CO47" s="42">
        <v>91</v>
      </c>
      <c r="CP47" s="42">
        <v>89</v>
      </c>
      <c r="CQ47" s="42">
        <v>89</v>
      </c>
      <c r="CR47" s="42">
        <v>90</v>
      </c>
      <c r="CS47" s="42">
        <v>89</v>
      </c>
      <c r="CT47" s="42">
        <v>89</v>
      </c>
      <c r="CU47" s="42">
        <v>87</v>
      </c>
      <c r="CV47" s="42" t="s">
        <v>326</v>
      </c>
      <c r="CW47" s="42" t="s">
        <v>326</v>
      </c>
      <c r="CX47" s="42" t="s">
        <v>326</v>
      </c>
      <c r="CY47" s="42" t="s">
        <v>326</v>
      </c>
      <c r="CZ47" s="42" t="s">
        <v>326</v>
      </c>
      <c r="DA47" s="42" t="s">
        <v>326</v>
      </c>
      <c r="DB47" s="42" t="s">
        <v>326</v>
      </c>
      <c r="DC47" s="42" t="s">
        <v>326</v>
      </c>
      <c r="DD47" s="42" t="s">
        <v>326</v>
      </c>
      <c r="DE47" s="42" t="s">
        <v>326</v>
      </c>
      <c r="DF47" s="42" t="s">
        <v>326</v>
      </c>
      <c r="DG47" s="42">
        <v>56</v>
      </c>
      <c r="DH47" s="42" t="s">
        <v>326</v>
      </c>
      <c r="DI47" s="42" t="s">
        <v>326</v>
      </c>
      <c r="DJ47" s="42" t="s">
        <v>326</v>
      </c>
      <c r="DK47" s="42" t="s">
        <v>326</v>
      </c>
      <c r="DL47" s="42" t="s">
        <v>326</v>
      </c>
      <c r="DM47" s="42" t="s">
        <v>326</v>
      </c>
      <c r="DN47" s="42" t="s">
        <v>326</v>
      </c>
      <c r="DO47" s="26" t="s">
        <v>326</v>
      </c>
      <c r="DP47" s="26" t="s">
        <v>326</v>
      </c>
      <c r="DQ47" s="26" t="s">
        <v>326</v>
      </c>
      <c r="DR47" s="26" t="s">
        <v>326</v>
      </c>
      <c r="DS47" s="26" t="s">
        <v>326</v>
      </c>
      <c r="DT47" s="26">
        <v>45</v>
      </c>
      <c r="DU47" s="26">
        <v>45</v>
      </c>
      <c r="DV47" s="26">
        <v>49</v>
      </c>
      <c r="DW47" s="26">
        <v>49</v>
      </c>
      <c r="DX47" s="26">
        <v>47</v>
      </c>
      <c r="DY47" s="26">
        <v>49</v>
      </c>
      <c r="DZ47" s="26">
        <v>45</v>
      </c>
      <c r="EA47" s="26">
        <v>45</v>
      </c>
      <c r="EB47" s="26">
        <v>45</v>
      </c>
      <c r="EC47" s="26">
        <v>45</v>
      </c>
      <c r="ED47" s="26">
        <v>45</v>
      </c>
      <c r="EE47" s="26">
        <v>46</v>
      </c>
      <c r="EF47" s="26">
        <v>45</v>
      </c>
      <c r="EG47" s="26">
        <v>45</v>
      </c>
      <c r="EH47" s="26">
        <v>49</v>
      </c>
      <c r="EI47" s="26">
        <v>48</v>
      </c>
      <c r="EJ47" s="26">
        <v>47</v>
      </c>
      <c r="EK47" s="26">
        <v>45</v>
      </c>
      <c r="EL47" s="26">
        <v>45</v>
      </c>
      <c r="EM47" s="26">
        <v>45</v>
      </c>
      <c r="EN47" s="26" t="s">
        <v>326</v>
      </c>
      <c r="EO47" s="26" t="s">
        <v>326</v>
      </c>
      <c r="EP47" s="26" t="s">
        <v>326</v>
      </c>
      <c r="EQ47" s="26" t="s">
        <v>326</v>
      </c>
      <c r="ER47" s="26" t="s">
        <v>326</v>
      </c>
      <c r="ES47" s="26" t="s">
        <v>326</v>
      </c>
      <c r="ET47" s="26" t="s">
        <v>326</v>
      </c>
      <c r="EU47" s="26" t="s">
        <v>326</v>
      </c>
      <c r="EV47" s="26" t="s">
        <v>326</v>
      </c>
      <c r="EW47" s="26" t="s">
        <v>326</v>
      </c>
      <c r="EX47" s="26" t="s">
        <v>326</v>
      </c>
      <c r="EY47" s="26" t="s">
        <v>326</v>
      </c>
      <c r="EZ47" s="77">
        <v>27</v>
      </c>
      <c r="FA47" s="56">
        <v>23</v>
      </c>
      <c r="FB47" s="56">
        <v>23</v>
      </c>
      <c r="FC47" s="56">
        <v>25</v>
      </c>
      <c r="FD47" s="56">
        <v>24</v>
      </c>
      <c r="FE47" s="56">
        <v>23</v>
      </c>
      <c r="FF47" s="56">
        <v>23</v>
      </c>
      <c r="FG47" s="56">
        <v>21</v>
      </c>
      <c r="FH47" s="56">
        <v>21</v>
      </c>
      <c r="FI47" s="56">
        <v>20</v>
      </c>
      <c r="FJ47" s="56" t="s">
        <v>326</v>
      </c>
      <c r="FK47" s="56" t="s">
        <v>326</v>
      </c>
      <c r="FL47" s="56" t="s">
        <v>326</v>
      </c>
      <c r="FM47" s="56" t="s">
        <v>326</v>
      </c>
      <c r="FN47" s="56" t="s">
        <v>326</v>
      </c>
      <c r="FO47" s="78" t="s">
        <v>326</v>
      </c>
      <c r="FP47" s="26"/>
      <c r="FQ47" s="26"/>
      <c r="FR47" s="26"/>
      <c r="FS47" s="26"/>
      <c r="FT47" s="26"/>
      <c r="FU47" s="26"/>
      <c r="FV47" s="26"/>
      <c r="FW47" s="26"/>
      <c r="FX47" s="26"/>
      <c r="FY47" s="26"/>
      <c r="FZ47" s="26"/>
      <c r="GA47" s="26"/>
      <c r="GB47" s="26"/>
      <c r="GC47" s="26"/>
      <c r="GD47" s="26"/>
      <c r="GG47" s="26"/>
      <c r="GJ47">
        <f>GJ43+1</f>
        <v>12</v>
      </c>
      <c r="GK47" t="str">
        <f>IF(Grps&gt;GJ43,GJ47,"")</f>
        <v/>
      </c>
    </row>
    <row r="48" spans="2:193" x14ac:dyDescent="0.3">
      <c r="B48" s="18" t="s">
        <v>378</v>
      </c>
      <c r="C48" s="13">
        <v>37</v>
      </c>
      <c r="D48" s="21" t="s">
        <v>379</v>
      </c>
      <c r="E48" s="24">
        <v>78</v>
      </c>
      <c r="G48" s="2">
        <f t="shared" si="31"/>
        <v>29</v>
      </c>
      <c r="H48" s="5">
        <v>7</v>
      </c>
      <c r="I48" s="13">
        <v>10</v>
      </c>
      <c r="L48" s="4"/>
      <c r="M48" s="7"/>
      <c r="O48" s="7"/>
      <c r="T48" s="7"/>
      <c r="AE48" s="7"/>
      <c r="BD48" s="26"/>
      <c r="BE48" s="26" t="str">
        <f t="shared" si="30"/>
        <v>BYE</v>
      </c>
      <c r="BF48">
        <v>73</v>
      </c>
      <c r="BG48">
        <v>28</v>
      </c>
      <c r="BH48" s="42">
        <v>40</v>
      </c>
      <c r="BI48" s="42">
        <v>40</v>
      </c>
      <c r="BJ48" s="42">
        <v>40</v>
      </c>
      <c r="BK48" s="42">
        <v>40</v>
      </c>
      <c r="BL48" s="42">
        <v>40</v>
      </c>
      <c r="BM48" s="42">
        <v>40</v>
      </c>
      <c r="BN48" s="42">
        <v>40</v>
      </c>
      <c r="BO48" s="42">
        <v>40</v>
      </c>
      <c r="BP48" s="42">
        <v>40</v>
      </c>
      <c r="BQ48" s="42">
        <v>40</v>
      </c>
      <c r="BR48" s="42">
        <v>40</v>
      </c>
      <c r="BS48" s="42">
        <v>40</v>
      </c>
      <c r="BT48" s="42">
        <v>40</v>
      </c>
      <c r="BU48" s="42">
        <v>40</v>
      </c>
      <c r="BV48" s="42">
        <v>39</v>
      </c>
      <c r="BW48" s="42">
        <v>39</v>
      </c>
      <c r="BX48" s="42">
        <v>39</v>
      </c>
      <c r="BY48" s="42">
        <v>40</v>
      </c>
      <c r="BZ48" s="42">
        <v>40</v>
      </c>
      <c r="CA48" s="42">
        <v>40</v>
      </c>
      <c r="CB48" s="42">
        <v>39</v>
      </c>
      <c r="CC48" s="42">
        <v>39</v>
      </c>
      <c r="CD48" s="42">
        <v>39</v>
      </c>
      <c r="CE48" s="42">
        <v>40</v>
      </c>
      <c r="CF48" s="42">
        <v>40</v>
      </c>
      <c r="CG48" s="42">
        <v>40</v>
      </c>
      <c r="CH48" s="42">
        <v>39</v>
      </c>
      <c r="CI48" s="42">
        <v>39</v>
      </c>
      <c r="CJ48" s="42">
        <v>39</v>
      </c>
      <c r="CK48" s="42">
        <v>40</v>
      </c>
      <c r="CL48" s="42">
        <v>40</v>
      </c>
      <c r="CM48" s="42">
        <v>40</v>
      </c>
      <c r="CN48" s="42">
        <v>39</v>
      </c>
      <c r="CO48" s="42">
        <v>39</v>
      </c>
      <c r="CP48" s="42">
        <v>39</v>
      </c>
      <c r="CQ48" s="42">
        <v>40</v>
      </c>
      <c r="CR48" s="42">
        <v>40</v>
      </c>
      <c r="CS48" s="42">
        <v>40</v>
      </c>
      <c r="CT48" s="42">
        <v>39</v>
      </c>
      <c r="CU48" s="42">
        <v>39</v>
      </c>
      <c r="CV48" s="42">
        <v>39</v>
      </c>
      <c r="CW48" s="42">
        <v>40</v>
      </c>
      <c r="CX48" s="42">
        <v>40</v>
      </c>
      <c r="CY48" s="42">
        <v>40</v>
      </c>
      <c r="CZ48" s="42">
        <v>39</v>
      </c>
      <c r="DA48" s="42">
        <v>39</v>
      </c>
      <c r="DB48" s="42">
        <v>39</v>
      </c>
      <c r="DC48" s="42">
        <v>40</v>
      </c>
      <c r="DD48" s="42">
        <v>40</v>
      </c>
      <c r="DE48" s="42">
        <v>40</v>
      </c>
      <c r="DF48" s="42">
        <v>39</v>
      </c>
      <c r="DG48" s="42">
        <v>73</v>
      </c>
      <c r="DH48" s="42">
        <v>39</v>
      </c>
      <c r="DI48" s="42">
        <v>40</v>
      </c>
      <c r="DJ48" s="42">
        <v>40</v>
      </c>
      <c r="DK48" s="42">
        <v>40</v>
      </c>
      <c r="DL48" s="42">
        <v>39</v>
      </c>
      <c r="DM48" s="42">
        <v>39</v>
      </c>
      <c r="DN48" s="42">
        <v>39</v>
      </c>
      <c r="DO48" s="26">
        <v>40</v>
      </c>
      <c r="DP48" s="26">
        <v>40</v>
      </c>
      <c r="DQ48" s="26">
        <v>40</v>
      </c>
      <c r="DR48" s="26">
        <v>39</v>
      </c>
      <c r="DS48" s="26">
        <v>39</v>
      </c>
      <c r="DT48" s="26">
        <v>26</v>
      </c>
      <c r="DU48" s="26">
        <v>20</v>
      </c>
      <c r="DV48" s="26">
        <v>20</v>
      </c>
      <c r="DW48" s="26">
        <v>20</v>
      </c>
      <c r="DX48" s="26">
        <v>20</v>
      </c>
      <c r="DY48" s="26">
        <v>20</v>
      </c>
      <c r="DZ48" s="26">
        <v>20</v>
      </c>
      <c r="EA48" s="26">
        <v>20</v>
      </c>
      <c r="EB48" s="26">
        <v>20</v>
      </c>
      <c r="EC48" s="26">
        <v>20</v>
      </c>
      <c r="ED48" s="26">
        <v>19</v>
      </c>
      <c r="EE48" s="26">
        <v>21</v>
      </c>
      <c r="EF48" s="26">
        <v>19</v>
      </c>
      <c r="EG48" s="26">
        <v>20</v>
      </c>
      <c r="EH48" s="26">
        <v>20</v>
      </c>
      <c r="EI48" s="26">
        <v>20</v>
      </c>
      <c r="EJ48" s="26">
        <v>19</v>
      </c>
      <c r="EK48" s="26">
        <v>18</v>
      </c>
      <c r="EL48" s="26">
        <v>31</v>
      </c>
      <c r="EM48" s="26">
        <v>20</v>
      </c>
      <c r="EN48" s="26">
        <v>20</v>
      </c>
      <c r="EO48" s="26">
        <v>20</v>
      </c>
      <c r="EP48" s="26">
        <v>19</v>
      </c>
      <c r="EQ48" s="26">
        <v>19</v>
      </c>
      <c r="ER48" s="26">
        <v>19</v>
      </c>
      <c r="ES48" s="26">
        <v>20</v>
      </c>
      <c r="ET48" s="26">
        <v>20</v>
      </c>
      <c r="EU48" s="26">
        <v>20</v>
      </c>
      <c r="EV48" s="26">
        <v>19</v>
      </c>
      <c r="EW48" s="26">
        <v>19</v>
      </c>
      <c r="EX48" s="26">
        <v>19</v>
      </c>
      <c r="EY48" s="26">
        <v>20</v>
      </c>
      <c r="EZ48" s="77">
        <v>10</v>
      </c>
      <c r="FA48" s="56">
        <v>10</v>
      </c>
      <c r="FB48" s="56">
        <v>10</v>
      </c>
      <c r="FC48" s="56">
        <v>10</v>
      </c>
      <c r="FD48" s="56">
        <v>10</v>
      </c>
      <c r="FE48" s="56">
        <v>10</v>
      </c>
      <c r="FF48" s="56">
        <v>10</v>
      </c>
      <c r="FG48" s="56">
        <v>10</v>
      </c>
      <c r="FH48" s="56">
        <v>9</v>
      </c>
      <c r="FI48" s="56">
        <v>9</v>
      </c>
      <c r="FJ48" s="56">
        <v>9</v>
      </c>
      <c r="FK48" s="56">
        <v>10</v>
      </c>
      <c r="FL48" s="56">
        <v>10</v>
      </c>
      <c r="FM48" s="56">
        <v>10</v>
      </c>
      <c r="FN48" s="56">
        <v>9</v>
      </c>
      <c r="FO48" s="78">
        <v>9</v>
      </c>
      <c r="FP48" s="26"/>
      <c r="FQ48" s="26"/>
      <c r="FR48" s="26"/>
      <c r="FS48" s="26"/>
      <c r="FT48" s="26"/>
      <c r="FU48" s="26"/>
      <c r="FV48" s="26"/>
      <c r="FW48" s="26"/>
      <c r="FX48" s="26"/>
      <c r="FY48" s="26"/>
      <c r="FZ48" s="26"/>
      <c r="GA48" s="26"/>
      <c r="GB48" s="26"/>
      <c r="GC48" s="26"/>
      <c r="GD48" s="26"/>
      <c r="GG48" s="26"/>
      <c r="GK48">
        <f>IF(ISNUMBER(EY411),EY411,999)</f>
        <v>999</v>
      </c>
    </row>
    <row r="49" spans="2:193" x14ac:dyDescent="0.3">
      <c r="B49" s="18" t="s">
        <v>380</v>
      </c>
      <c r="C49" s="13">
        <v>36</v>
      </c>
      <c r="D49" s="21" t="s">
        <v>381</v>
      </c>
      <c r="E49" s="24">
        <v>79</v>
      </c>
      <c r="G49" s="2">
        <f t="shared" si="31"/>
        <v>30</v>
      </c>
      <c r="H49" s="5">
        <v>7</v>
      </c>
      <c r="I49" s="13">
        <v>10</v>
      </c>
      <c r="L49" s="4"/>
      <c r="M49" s="7"/>
      <c r="O49" s="7"/>
      <c r="T49" s="7"/>
      <c r="AE49" s="7"/>
      <c r="BD49" s="26"/>
      <c r="BE49" s="26">
        <f t="shared" si="30"/>
        <v>24</v>
      </c>
      <c r="BF49">
        <v>24</v>
      </c>
      <c r="BG49">
        <v>29</v>
      </c>
      <c r="BH49" s="38">
        <v>57</v>
      </c>
      <c r="BI49" s="39">
        <v>57</v>
      </c>
      <c r="BJ49" s="39">
        <v>58</v>
      </c>
      <c r="BK49" s="39">
        <v>58</v>
      </c>
      <c r="BL49" s="39">
        <v>58</v>
      </c>
      <c r="BM49" s="39">
        <v>57</v>
      </c>
      <c r="BN49" s="39">
        <v>57</v>
      </c>
      <c r="BO49" s="39">
        <v>57</v>
      </c>
      <c r="BP49" s="39">
        <v>58</v>
      </c>
      <c r="BQ49" s="39">
        <v>58</v>
      </c>
      <c r="BR49" s="39">
        <v>58</v>
      </c>
      <c r="BS49" s="39">
        <v>57</v>
      </c>
      <c r="BT49" s="39">
        <v>57</v>
      </c>
      <c r="BU49" s="39">
        <v>57</v>
      </c>
      <c r="BV49" s="39">
        <v>58</v>
      </c>
      <c r="BW49" s="39">
        <v>58</v>
      </c>
      <c r="BX49" s="39">
        <v>58</v>
      </c>
      <c r="BY49" s="39">
        <v>57</v>
      </c>
      <c r="BZ49" s="39">
        <v>57</v>
      </c>
      <c r="CA49" s="39">
        <v>57</v>
      </c>
      <c r="CB49" s="39">
        <v>58</v>
      </c>
      <c r="CC49" s="39">
        <v>58</v>
      </c>
      <c r="CD49" s="39">
        <v>58</v>
      </c>
      <c r="CE49" s="39">
        <v>57</v>
      </c>
      <c r="CF49" s="39">
        <v>57</v>
      </c>
      <c r="CG49" s="39">
        <v>57</v>
      </c>
      <c r="CH49" s="39">
        <v>58</v>
      </c>
      <c r="CI49" s="39">
        <v>58</v>
      </c>
      <c r="CJ49" s="39">
        <v>58</v>
      </c>
      <c r="CK49" s="39">
        <v>57</v>
      </c>
      <c r="CL49" s="39">
        <v>57</v>
      </c>
      <c r="CM49" s="39">
        <v>57</v>
      </c>
      <c r="CN49" s="39">
        <v>58</v>
      </c>
      <c r="CO49" s="39">
        <v>58</v>
      </c>
      <c r="CP49" s="39">
        <v>58</v>
      </c>
      <c r="CQ49" s="39">
        <v>57</v>
      </c>
      <c r="CR49" s="39">
        <v>57</v>
      </c>
      <c r="CS49" s="39">
        <v>57</v>
      </c>
      <c r="CT49" s="39">
        <v>58</v>
      </c>
      <c r="CU49" s="39">
        <v>58</v>
      </c>
      <c r="CV49" s="39">
        <v>58</v>
      </c>
      <c r="CW49" s="39">
        <v>57</v>
      </c>
      <c r="CX49" s="39">
        <v>57</v>
      </c>
      <c r="CY49" s="39">
        <v>57</v>
      </c>
      <c r="CZ49" s="39">
        <v>59</v>
      </c>
      <c r="DA49" s="39">
        <v>59</v>
      </c>
      <c r="DB49" s="39">
        <v>57</v>
      </c>
      <c r="DC49" s="39">
        <v>57</v>
      </c>
      <c r="DD49" s="39">
        <v>57</v>
      </c>
      <c r="DE49" s="39">
        <v>57</v>
      </c>
      <c r="DF49" s="39">
        <v>57</v>
      </c>
      <c r="DG49" s="39">
        <v>24</v>
      </c>
      <c r="DH49" s="39">
        <v>57</v>
      </c>
      <c r="DI49" s="39">
        <v>57</v>
      </c>
      <c r="DJ49" s="39">
        <v>53</v>
      </c>
      <c r="DK49" s="39">
        <v>60</v>
      </c>
      <c r="DL49" s="39">
        <v>59</v>
      </c>
      <c r="DM49" s="39">
        <v>60</v>
      </c>
      <c r="DN49" s="39">
        <v>57</v>
      </c>
      <c r="DO49" s="36">
        <v>57</v>
      </c>
      <c r="DP49" s="36">
        <v>57</v>
      </c>
      <c r="DQ49" s="36">
        <v>57</v>
      </c>
      <c r="DR49" s="36">
        <v>57</v>
      </c>
      <c r="DS49" s="36">
        <v>55</v>
      </c>
      <c r="DT49" s="36">
        <v>30</v>
      </c>
      <c r="DU49" s="36">
        <v>29</v>
      </c>
      <c r="DV49" s="36">
        <v>29</v>
      </c>
      <c r="DW49" s="36">
        <v>29</v>
      </c>
      <c r="DX49" s="36">
        <v>30</v>
      </c>
      <c r="DY49" s="36">
        <v>30</v>
      </c>
      <c r="DZ49" s="36">
        <v>30</v>
      </c>
      <c r="EA49" s="36">
        <v>29</v>
      </c>
      <c r="EB49" s="36">
        <v>29</v>
      </c>
      <c r="EC49" s="36">
        <v>29</v>
      </c>
      <c r="ED49" s="36">
        <v>30</v>
      </c>
      <c r="EE49" s="36">
        <v>30</v>
      </c>
      <c r="EF49" s="36">
        <v>30</v>
      </c>
      <c r="EG49" s="36">
        <v>29</v>
      </c>
      <c r="EH49" s="36">
        <v>29</v>
      </c>
      <c r="EI49" s="36">
        <v>29</v>
      </c>
      <c r="EJ49" s="36">
        <v>30</v>
      </c>
      <c r="EK49" s="36">
        <v>30</v>
      </c>
      <c r="EL49" s="36">
        <v>30</v>
      </c>
      <c r="EM49" s="36">
        <v>29</v>
      </c>
      <c r="EN49" s="36">
        <v>29</v>
      </c>
      <c r="EO49" s="36">
        <v>29</v>
      </c>
      <c r="EP49" s="36">
        <v>29</v>
      </c>
      <c r="EQ49" s="36">
        <v>30</v>
      </c>
      <c r="ER49" s="36">
        <v>29</v>
      </c>
      <c r="ES49" s="36">
        <v>29</v>
      </c>
      <c r="ET49" s="36">
        <v>33</v>
      </c>
      <c r="EU49" s="36">
        <v>32</v>
      </c>
      <c r="EV49" s="36">
        <v>31</v>
      </c>
      <c r="EW49" s="36">
        <v>32</v>
      </c>
      <c r="EX49" s="36">
        <v>29</v>
      </c>
      <c r="EY49" s="36">
        <v>29</v>
      </c>
      <c r="EZ49" s="73">
        <v>15</v>
      </c>
      <c r="FA49" s="54">
        <v>15</v>
      </c>
      <c r="FB49" s="54">
        <v>16</v>
      </c>
      <c r="FC49" s="54">
        <v>16</v>
      </c>
      <c r="FD49" s="54">
        <v>16</v>
      </c>
      <c r="FE49" s="54">
        <v>15</v>
      </c>
      <c r="FF49" s="54">
        <v>15</v>
      </c>
      <c r="FG49" s="54">
        <v>15</v>
      </c>
      <c r="FH49" s="54">
        <v>16</v>
      </c>
      <c r="FI49" s="54">
        <v>16</v>
      </c>
      <c r="FJ49" s="54">
        <v>12</v>
      </c>
      <c r="FK49" s="54">
        <v>15</v>
      </c>
      <c r="FL49" s="54">
        <v>19</v>
      </c>
      <c r="FM49" s="54">
        <v>15</v>
      </c>
      <c r="FN49" s="54">
        <v>15</v>
      </c>
      <c r="FO49" s="74">
        <v>17</v>
      </c>
      <c r="FP49" s="26"/>
      <c r="FQ49" s="26"/>
      <c r="FR49" s="26"/>
      <c r="FS49" s="26"/>
      <c r="FT49" s="26"/>
      <c r="FU49" s="26"/>
      <c r="FV49" s="26"/>
      <c r="FW49" s="26"/>
      <c r="FX49" s="26"/>
      <c r="FY49" s="26"/>
      <c r="FZ49" s="26"/>
      <c r="GA49" s="26"/>
      <c r="GB49" s="26"/>
      <c r="GC49" s="26"/>
      <c r="GD49" s="26"/>
      <c r="GG49" s="26"/>
      <c r="GK49">
        <f>IF(ISNUMBER(EY412),EY412,999)</f>
        <v>999</v>
      </c>
    </row>
    <row r="50" spans="2:193" x14ac:dyDescent="0.3">
      <c r="B50" s="18" t="s">
        <v>382</v>
      </c>
      <c r="C50" s="13">
        <v>35</v>
      </c>
      <c r="D50" s="21" t="s">
        <v>383</v>
      </c>
      <c r="E50" s="24">
        <v>80</v>
      </c>
      <c r="G50" s="2">
        <f t="shared" si="31"/>
        <v>31</v>
      </c>
      <c r="H50" s="5">
        <v>7</v>
      </c>
      <c r="I50" s="13">
        <v>10</v>
      </c>
      <c r="L50" s="4"/>
      <c r="M50" s="7"/>
      <c r="O50" s="7"/>
      <c r="T50" s="7"/>
      <c r="AE50" s="7"/>
      <c r="BD50" s="26"/>
      <c r="BE50" s="26" t="str">
        <f t="shared" si="30"/>
        <v>BYE</v>
      </c>
      <c r="BF50">
        <v>105</v>
      </c>
      <c r="BG50">
        <v>30</v>
      </c>
      <c r="BH50" s="40">
        <v>72</v>
      </c>
      <c r="BI50" s="41">
        <v>72</v>
      </c>
      <c r="BJ50" s="41">
        <v>71</v>
      </c>
      <c r="BK50" s="41">
        <v>71</v>
      </c>
      <c r="BL50" s="41">
        <v>71</v>
      </c>
      <c r="BM50" s="41">
        <v>72</v>
      </c>
      <c r="BN50" s="41">
        <v>72</v>
      </c>
      <c r="BO50" s="41">
        <v>72</v>
      </c>
      <c r="BP50" s="41">
        <v>71</v>
      </c>
      <c r="BQ50" s="41">
        <v>71</v>
      </c>
      <c r="BR50" s="41">
        <v>71</v>
      </c>
      <c r="BS50" s="41">
        <v>72</v>
      </c>
      <c r="BT50" s="41">
        <v>72</v>
      </c>
      <c r="BU50" s="41">
        <v>72</v>
      </c>
      <c r="BV50" s="41">
        <v>71</v>
      </c>
      <c r="BW50" s="41">
        <v>71</v>
      </c>
      <c r="BX50" s="41">
        <v>71</v>
      </c>
      <c r="BY50" s="41">
        <v>72</v>
      </c>
      <c r="BZ50" s="41">
        <v>72</v>
      </c>
      <c r="CA50" s="41">
        <v>72</v>
      </c>
      <c r="CB50" s="41">
        <v>71</v>
      </c>
      <c r="CC50" s="41">
        <v>71</v>
      </c>
      <c r="CD50" s="41">
        <v>71</v>
      </c>
      <c r="CE50" s="41">
        <v>72</v>
      </c>
      <c r="CF50" s="41">
        <v>72</v>
      </c>
      <c r="CG50" s="41">
        <v>72</v>
      </c>
      <c r="CH50" s="41">
        <v>72</v>
      </c>
      <c r="CI50" s="41">
        <v>72</v>
      </c>
      <c r="CJ50" s="41">
        <v>71</v>
      </c>
      <c r="CK50" s="41">
        <v>72</v>
      </c>
      <c r="CL50" s="41">
        <v>72</v>
      </c>
      <c r="CM50" s="41">
        <v>69</v>
      </c>
      <c r="CN50" s="41">
        <v>70</v>
      </c>
      <c r="CO50" s="41">
        <v>69</v>
      </c>
      <c r="CP50" s="41">
        <v>68</v>
      </c>
      <c r="CQ50" s="41">
        <v>72</v>
      </c>
      <c r="CR50" s="41">
        <v>72</v>
      </c>
      <c r="CS50" s="41">
        <v>72</v>
      </c>
      <c r="CT50" s="41">
        <v>72</v>
      </c>
      <c r="CU50" s="41">
        <v>72</v>
      </c>
      <c r="CV50" s="41">
        <v>71</v>
      </c>
      <c r="CW50" s="41">
        <v>72</v>
      </c>
      <c r="CX50" s="41">
        <v>72</v>
      </c>
      <c r="CY50" s="41">
        <v>68</v>
      </c>
      <c r="CZ50" s="41">
        <v>70</v>
      </c>
      <c r="DA50" s="41">
        <v>69</v>
      </c>
      <c r="DB50" s="41">
        <v>68</v>
      </c>
      <c r="DC50" s="41">
        <v>72</v>
      </c>
      <c r="DD50" s="41">
        <v>72</v>
      </c>
      <c r="DE50" s="41">
        <v>72</v>
      </c>
      <c r="DF50" s="41">
        <v>72</v>
      </c>
      <c r="DG50" s="41" t="s">
        <v>327</v>
      </c>
      <c r="DH50" s="41">
        <v>71</v>
      </c>
      <c r="DI50" s="41">
        <v>72</v>
      </c>
      <c r="DJ50" s="41">
        <v>72</v>
      </c>
      <c r="DK50" s="41">
        <v>69</v>
      </c>
      <c r="DL50" s="41">
        <v>70</v>
      </c>
      <c r="DM50" s="41" t="s">
        <v>326</v>
      </c>
      <c r="DN50" s="41" t="s">
        <v>326</v>
      </c>
      <c r="DO50" s="37" t="s">
        <v>326</v>
      </c>
      <c r="DP50" s="37" t="s">
        <v>326</v>
      </c>
      <c r="DQ50" s="37" t="s">
        <v>326</v>
      </c>
      <c r="DR50" s="37" t="s">
        <v>326</v>
      </c>
      <c r="DS50" s="37" t="s">
        <v>326</v>
      </c>
      <c r="DT50" s="37">
        <v>35</v>
      </c>
      <c r="DU50" s="37">
        <v>36</v>
      </c>
      <c r="DV50" s="37">
        <v>36</v>
      </c>
      <c r="DW50" s="37">
        <v>36</v>
      </c>
      <c r="DX50" s="37">
        <v>35</v>
      </c>
      <c r="DY50" s="37">
        <v>35</v>
      </c>
      <c r="DZ50" s="37">
        <v>35</v>
      </c>
      <c r="EA50" s="37">
        <v>36</v>
      </c>
      <c r="EB50" s="37">
        <v>36</v>
      </c>
      <c r="EC50" s="37">
        <v>36</v>
      </c>
      <c r="ED50" s="37">
        <v>35</v>
      </c>
      <c r="EE50" s="37">
        <v>35</v>
      </c>
      <c r="EF50" s="37">
        <v>35</v>
      </c>
      <c r="EG50" s="37">
        <v>36</v>
      </c>
      <c r="EH50" s="37">
        <v>36</v>
      </c>
      <c r="EI50" s="37">
        <v>35</v>
      </c>
      <c r="EJ50" s="37">
        <v>34</v>
      </c>
      <c r="EK50" s="37">
        <v>33</v>
      </c>
      <c r="EL50" s="37">
        <v>40</v>
      </c>
      <c r="EM50" s="37">
        <v>36</v>
      </c>
      <c r="EN50" s="37">
        <v>36</v>
      </c>
      <c r="EO50" s="37">
        <v>36</v>
      </c>
      <c r="EP50" s="37">
        <v>36</v>
      </c>
      <c r="EQ50" s="37">
        <v>36</v>
      </c>
      <c r="ER50" s="37">
        <v>35</v>
      </c>
      <c r="ES50" s="37">
        <v>36</v>
      </c>
      <c r="ET50" s="37">
        <v>36</v>
      </c>
      <c r="EU50" s="37">
        <v>33</v>
      </c>
      <c r="EV50" s="37">
        <v>34</v>
      </c>
      <c r="EW50" s="37" t="s">
        <v>326</v>
      </c>
      <c r="EX50" s="37" t="s">
        <v>326</v>
      </c>
      <c r="EY50" s="37" t="s">
        <v>326</v>
      </c>
      <c r="EZ50" s="75">
        <v>18</v>
      </c>
      <c r="FA50" s="55">
        <v>18</v>
      </c>
      <c r="FB50" s="55">
        <v>17</v>
      </c>
      <c r="FC50" s="55">
        <v>17</v>
      </c>
      <c r="FD50" s="55">
        <v>17</v>
      </c>
      <c r="FE50" s="55">
        <v>18</v>
      </c>
      <c r="FF50" s="55">
        <v>18</v>
      </c>
      <c r="FG50" s="55">
        <v>18</v>
      </c>
      <c r="FH50" s="55">
        <v>20</v>
      </c>
      <c r="FI50" s="55">
        <v>18</v>
      </c>
      <c r="FJ50" s="55">
        <v>18</v>
      </c>
      <c r="FK50" s="55">
        <v>18</v>
      </c>
      <c r="FL50" s="55">
        <v>17</v>
      </c>
      <c r="FM50" s="55">
        <v>18</v>
      </c>
      <c r="FN50" s="55">
        <v>18</v>
      </c>
      <c r="FO50" s="76" t="s">
        <v>326</v>
      </c>
      <c r="FP50" s="26"/>
      <c r="FQ50" s="26"/>
      <c r="FR50" s="26"/>
      <c r="FS50" s="26"/>
      <c r="FT50" s="26"/>
      <c r="FU50" s="26"/>
      <c r="FV50" s="26"/>
      <c r="FW50" s="26"/>
      <c r="FX50" s="26"/>
      <c r="FY50" s="26"/>
      <c r="FZ50" s="26"/>
      <c r="GA50" s="26"/>
      <c r="GB50" s="26"/>
      <c r="GC50" s="26"/>
      <c r="GD50" s="26"/>
      <c r="GG50" s="26"/>
      <c r="GK50">
        <f>IF(ISNUMBER(EY413),EY413,999)</f>
        <v>999</v>
      </c>
    </row>
    <row r="51" spans="2:193" x14ac:dyDescent="0.3">
      <c r="B51" s="18" t="s">
        <v>384</v>
      </c>
      <c r="C51" s="13">
        <v>34</v>
      </c>
      <c r="D51" s="21" t="s">
        <v>385</v>
      </c>
      <c r="E51" s="24">
        <v>81</v>
      </c>
      <c r="G51" s="2">
        <f t="shared" si="31"/>
        <v>32</v>
      </c>
      <c r="H51" s="5">
        <v>7</v>
      </c>
      <c r="I51" s="13">
        <v>10</v>
      </c>
      <c r="L51" s="4"/>
      <c r="M51" s="7"/>
      <c r="O51" s="7"/>
      <c r="T51" s="7"/>
      <c r="AE51" s="7"/>
      <c r="BD51" s="26"/>
      <c r="BE51" s="26">
        <f t="shared" si="30"/>
        <v>35</v>
      </c>
      <c r="BF51">
        <v>35</v>
      </c>
      <c r="BG51">
        <v>31</v>
      </c>
      <c r="BH51" s="42">
        <v>121</v>
      </c>
      <c r="BI51" s="42">
        <v>121</v>
      </c>
      <c r="BJ51" s="42">
        <v>121</v>
      </c>
      <c r="BK51" s="42">
        <v>119</v>
      </c>
      <c r="BL51" s="42">
        <v>121</v>
      </c>
      <c r="BM51" s="42">
        <v>121</v>
      </c>
      <c r="BN51" s="42">
        <v>117</v>
      </c>
      <c r="BO51" s="42">
        <v>118</v>
      </c>
      <c r="BP51" s="42" t="s">
        <v>326</v>
      </c>
      <c r="BQ51" s="42" t="s">
        <v>326</v>
      </c>
      <c r="BR51" s="42" t="s">
        <v>326</v>
      </c>
      <c r="BS51" s="42" t="s">
        <v>326</v>
      </c>
      <c r="BT51" s="42" t="s">
        <v>326</v>
      </c>
      <c r="BU51" s="42" t="s">
        <v>326</v>
      </c>
      <c r="BV51" s="42" t="s">
        <v>326</v>
      </c>
      <c r="BW51" s="42" t="s">
        <v>326</v>
      </c>
      <c r="BX51" s="42" t="s">
        <v>326</v>
      </c>
      <c r="BY51" s="42" t="s">
        <v>326</v>
      </c>
      <c r="BZ51" s="42" t="s">
        <v>326</v>
      </c>
      <c r="CA51" s="42" t="s">
        <v>326</v>
      </c>
      <c r="CB51" s="42" t="s">
        <v>326</v>
      </c>
      <c r="CC51" s="42" t="s">
        <v>326</v>
      </c>
      <c r="CD51" s="42" t="s">
        <v>326</v>
      </c>
      <c r="CE51" s="42" t="s">
        <v>326</v>
      </c>
      <c r="CF51" s="42" t="s">
        <v>326</v>
      </c>
      <c r="CG51" s="42" t="s">
        <v>326</v>
      </c>
      <c r="CH51" s="42" t="s">
        <v>326</v>
      </c>
      <c r="CI51" s="42" t="s">
        <v>326</v>
      </c>
      <c r="CJ51" s="42" t="s">
        <v>326</v>
      </c>
      <c r="CK51" s="42" t="s">
        <v>326</v>
      </c>
      <c r="CL51" s="42" t="s">
        <v>326</v>
      </c>
      <c r="CM51" s="42" t="s">
        <v>326</v>
      </c>
      <c r="CN51" s="42" t="s">
        <v>326</v>
      </c>
      <c r="CO51" s="42" t="s">
        <v>326</v>
      </c>
      <c r="CP51" s="42" t="s">
        <v>326</v>
      </c>
      <c r="CQ51" s="42" t="s">
        <v>326</v>
      </c>
      <c r="CR51" s="42" t="s">
        <v>326</v>
      </c>
      <c r="CS51" s="42" t="s">
        <v>326</v>
      </c>
      <c r="CT51" s="42" t="s">
        <v>326</v>
      </c>
      <c r="CU51" s="42" t="s">
        <v>326</v>
      </c>
      <c r="CV51" s="42" t="s">
        <v>326</v>
      </c>
      <c r="CW51" s="42" t="s">
        <v>326</v>
      </c>
      <c r="CX51" s="42" t="s">
        <v>326</v>
      </c>
      <c r="CY51" s="42" t="s">
        <v>326</v>
      </c>
      <c r="CZ51" s="42" t="s">
        <v>326</v>
      </c>
      <c r="DA51" s="42" t="s">
        <v>326</v>
      </c>
      <c r="DB51" s="42" t="s">
        <v>326</v>
      </c>
      <c r="DC51" s="42" t="s">
        <v>326</v>
      </c>
      <c r="DD51" s="42" t="s">
        <v>326</v>
      </c>
      <c r="DE51" s="42" t="s">
        <v>326</v>
      </c>
      <c r="DF51" s="42" t="s">
        <v>326</v>
      </c>
      <c r="DG51" s="42" t="s">
        <v>327</v>
      </c>
      <c r="DH51" s="42" t="s">
        <v>326</v>
      </c>
      <c r="DI51" s="42" t="s">
        <v>326</v>
      </c>
      <c r="DJ51" s="42" t="s">
        <v>326</v>
      </c>
      <c r="DK51" s="42" t="s">
        <v>326</v>
      </c>
      <c r="DL51" s="42" t="s">
        <v>326</v>
      </c>
      <c r="DM51" s="42" t="s">
        <v>326</v>
      </c>
      <c r="DN51" s="42" t="s">
        <v>326</v>
      </c>
      <c r="DO51" s="26" t="s">
        <v>326</v>
      </c>
      <c r="DP51" s="26" t="s">
        <v>326</v>
      </c>
      <c r="DQ51" s="26" t="s">
        <v>326</v>
      </c>
      <c r="DR51" s="26" t="s">
        <v>326</v>
      </c>
      <c r="DS51" s="26" t="s">
        <v>326</v>
      </c>
      <c r="DT51" s="26">
        <v>64</v>
      </c>
      <c r="DU51" s="26">
        <v>61</v>
      </c>
      <c r="DV51" s="26">
        <v>58</v>
      </c>
      <c r="DW51" s="26">
        <v>61</v>
      </c>
      <c r="DX51" s="26" t="s">
        <v>326</v>
      </c>
      <c r="DY51" s="26" t="s">
        <v>326</v>
      </c>
      <c r="DZ51" s="26" t="s">
        <v>326</v>
      </c>
      <c r="EA51" s="26" t="s">
        <v>326</v>
      </c>
      <c r="EB51" s="26" t="s">
        <v>326</v>
      </c>
      <c r="EC51" s="26" t="s">
        <v>326</v>
      </c>
      <c r="ED51" s="26" t="s">
        <v>326</v>
      </c>
      <c r="EE51" s="26" t="s">
        <v>326</v>
      </c>
      <c r="EF51" s="26" t="s">
        <v>326</v>
      </c>
      <c r="EG51" s="26" t="s">
        <v>326</v>
      </c>
      <c r="EH51" s="26" t="s">
        <v>326</v>
      </c>
      <c r="EI51" s="26" t="s">
        <v>326</v>
      </c>
      <c r="EJ51" s="26" t="s">
        <v>326</v>
      </c>
      <c r="EK51" s="26" t="s">
        <v>326</v>
      </c>
      <c r="EL51" s="26" t="s">
        <v>326</v>
      </c>
      <c r="EM51" s="26" t="s">
        <v>326</v>
      </c>
      <c r="EN51" s="26" t="s">
        <v>326</v>
      </c>
      <c r="EO51" s="26" t="s">
        <v>326</v>
      </c>
      <c r="EP51" s="26" t="s">
        <v>326</v>
      </c>
      <c r="EQ51" s="26" t="s">
        <v>326</v>
      </c>
      <c r="ER51" s="26" t="s">
        <v>326</v>
      </c>
      <c r="ES51" s="26" t="s">
        <v>326</v>
      </c>
      <c r="ET51" s="26" t="s">
        <v>326</v>
      </c>
      <c r="EU51" s="26" t="s">
        <v>326</v>
      </c>
      <c r="EV51" s="26" t="s">
        <v>326</v>
      </c>
      <c r="EW51" s="26" t="s">
        <v>326</v>
      </c>
      <c r="EX51" s="26" t="s">
        <v>326</v>
      </c>
      <c r="EY51" s="26" t="s">
        <v>326</v>
      </c>
      <c r="EZ51" s="77">
        <v>32</v>
      </c>
      <c r="FA51" s="56">
        <v>31</v>
      </c>
      <c r="FB51" s="56" t="s">
        <v>326</v>
      </c>
      <c r="FC51" s="56" t="s">
        <v>326</v>
      </c>
      <c r="FD51" s="56" t="s">
        <v>326</v>
      </c>
      <c r="FE51" s="56" t="s">
        <v>326</v>
      </c>
      <c r="FF51" s="56" t="s">
        <v>326</v>
      </c>
      <c r="FG51" s="56" t="s">
        <v>326</v>
      </c>
      <c r="FH51" s="56" t="s">
        <v>326</v>
      </c>
      <c r="FI51" s="56" t="s">
        <v>326</v>
      </c>
      <c r="FJ51" s="56" t="s">
        <v>326</v>
      </c>
      <c r="FK51" s="56" t="s">
        <v>326</v>
      </c>
      <c r="FL51" s="56" t="s">
        <v>326</v>
      </c>
      <c r="FM51" s="56" t="s">
        <v>326</v>
      </c>
      <c r="FN51" s="56" t="s">
        <v>326</v>
      </c>
      <c r="FO51" s="78" t="s">
        <v>326</v>
      </c>
      <c r="FP51" s="26"/>
      <c r="FQ51" s="26"/>
      <c r="FR51" s="26"/>
      <c r="FS51" s="26"/>
      <c r="FT51" s="26"/>
      <c r="FU51" s="26"/>
      <c r="FV51" s="26"/>
      <c r="FW51" s="26"/>
      <c r="FX51" s="26"/>
      <c r="FY51" s="26"/>
      <c r="FZ51" s="26"/>
      <c r="GA51" s="26"/>
      <c r="GB51" s="26"/>
      <c r="GC51" s="26"/>
      <c r="GD51" s="26"/>
      <c r="GG51" s="26"/>
      <c r="GJ51">
        <f>GJ47+1</f>
        <v>13</v>
      </c>
      <c r="GK51" t="str">
        <f>IF(Grps&gt;GJ47,GJ51,"")</f>
        <v/>
      </c>
    </row>
    <row r="52" spans="2:193" ht="15" thickBot="1" x14ac:dyDescent="0.35">
      <c r="B52" s="18" t="s">
        <v>386</v>
      </c>
      <c r="C52" s="13">
        <v>33</v>
      </c>
      <c r="D52" s="21" t="s">
        <v>387</v>
      </c>
      <c r="E52" s="24">
        <v>82</v>
      </c>
      <c r="G52" s="2">
        <f t="shared" si="31"/>
        <v>33</v>
      </c>
      <c r="H52" s="5">
        <v>7</v>
      </c>
      <c r="I52" s="13">
        <v>10</v>
      </c>
      <c r="L52" s="4"/>
      <c r="M52" s="7"/>
      <c r="O52" s="7"/>
      <c r="T52" s="7"/>
      <c r="AE52" s="7"/>
      <c r="BD52" s="26"/>
      <c r="BE52" s="26" t="str">
        <f t="shared" si="30"/>
        <v>BYE</v>
      </c>
      <c r="BF52">
        <v>94</v>
      </c>
      <c r="BG52">
        <v>32</v>
      </c>
      <c r="BH52" s="42">
        <v>8</v>
      </c>
      <c r="BI52" s="42">
        <v>8</v>
      </c>
      <c r="BJ52" s="42">
        <v>8</v>
      </c>
      <c r="BK52" s="42">
        <v>8</v>
      </c>
      <c r="BL52" s="42">
        <v>8</v>
      </c>
      <c r="BM52" s="42">
        <v>8</v>
      </c>
      <c r="BN52" s="42">
        <v>8</v>
      </c>
      <c r="BO52" s="42">
        <v>8</v>
      </c>
      <c r="BP52" s="42">
        <v>8</v>
      </c>
      <c r="BQ52" s="42">
        <v>8</v>
      </c>
      <c r="BR52" s="42">
        <v>8</v>
      </c>
      <c r="BS52" s="42">
        <v>8</v>
      </c>
      <c r="BT52" s="42">
        <v>8</v>
      </c>
      <c r="BU52" s="42">
        <v>8</v>
      </c>
      <c r="BV52" s="42">
        <v>8</v>
      </c>
      <c r="BW52" s="42">
        <v>8</v>
      </c>
      <c r="BX52" s="42">
        <v>8</v>
      </c>
      <c r="BY52" s="42">
        <v>8</v>
      </c>
      <c r="BZ52" s="42">
        <v>8</v>
      </c>
      <c r="CA52" s="42">
        <v>8</v>
      </c>
      <c r="CB52" s="42">
        <v>8</v>
      </c>
      <c r="CC52" s="42">
        <v>8</v>
      </c>
      <c r="CD52" s="42">
        <v>8</v>
      </c>
      <c r="CE52" s="42">
        <v>8</v>
      </c>
      <c r="CF52" s="42">
        <v>8</v>
      </c>
      <c r="CG52" s="42">
        <v>8</v>
      </c>
      <c r="CH52" s="42">
        <v>8</v>
      </c>
      <c r="CI52" s="42">
        <v>8</v>
      </c>
      <c r="CJ52" s="42">
        <v>8</v>
      </c>
      <c r="CK52" s="42">
        <v>8</v>
      </c>
      <c r="CL52" s="42">
        <v>8</v>
      </c>
      <c r="CM52" s="42">
        <v>8</v>
      </c>
      <c r="CN52" s="42">
        <v>8</v>
      </c>
      <c r="CO52" s="42">
        <v>8</v>
      </c>
      <c r="CP52" s="42">
        <v>8</v>
      </c>
      <c r="CQ52" s="42">
        <v>8</v>
      </c>
      <c r="CR52" s="42">
        <v>8</v>
      </c>
      <c r="CS52" s="42">
        <v>8</v>
      </c>
      <c r="CT52" s="42">
        <v>8</v>
      </c>
      <c r="CU52" s="42">
        <v>8</v>
      </c>
      <c r="CV52" s="42">
        <v>8</v>
      </c>
      <c r="CW52" s="42">
        <v>8</v>
      </c>
      <c r="CX52" s="42">
        <v>8</v>
      </c>
      <c r="CY52" s="42">
        <v>8</v>
      </c>
      <c r="CZ52" s="42">
        <v>8</v>
      </c>
      <c r="DA52" s="42">
        <v>8</v>
      </c>
      <c r="DB52" s="42">
        <v>8</v>
      </c>
      <c r="DC52" s="42">
        <v>8</v>
      </c>
      <c r="DD52" s="42">
        <v>8</v>
      </c>
      <c r="DE52" s="42">
        <v>8</v>
      </c>
      <c r="DF52" s="42">
        <v>8</v>
      </c>
      <c r="DG52" s="42">
        <v>38</v>
      </c>
      <c r="DH52" s="42">
        <v>8</v>
      </c>
      <c r="DI52" s="42">
        <v>8</v>
      </c>
      <c r="DJ52" s="42">
        <v>8</v>
      </c>
      <c r="DK52" s="42">
        <v>8</v>
      </c>
      <c r="DL52" s="42">
        <v>8</v>
      </c>
      <c r="DM52" s="42">
        <v>8</v>
      </c>
      <c r="DN52" s="42">
        <v>8</v>
      </c>
      <c r="DO52" s="26">
        <v>8</v>
      </c>
      <c r="DP52" s="26">
        <v>8</v>
      </c>
      <c r="DQ52" s="26">
        <v>8</v>
      </c>
      <c r="DR52" s="26">
        <v>8</v>
      </c>
      <c r="DS52" s="26">
        <v>8</v>
      </c>
      <c r="DT52" s="26">
        <v>4</v>
      </c>
      <c r="DU52" s="26">
        <v>4</v>
      </c>
      <c r="DV52" s="26">
        <v>4</v>
      </c>
      <c r="DW52" s="26">
        <v>4</v>
      </c>
      <c r="DX52" s="26">
        <v>4</v>
      </c>
      <c r="DY52" s="26">
        <v>4</v>
      </c>
      <c r="DZ52" s="26">
        <v>4</v>
      </c>
      <c r="EA52" s="26">
        <v>4</v>
      </c>
      <c r="EB52" s="26">
        <v>4</v>
      </c>
      <c r="EC52" s="26">
        <v>4</v>
      </c>
      <c r="ED52" s="26">
        <v>4</v>
      </c>
      <c r="EE52" s="26">
        <v>4</v>
      </c>
      <c r="EF52" s="26">
        <v>4</v>
      </c>
      <c r="EG52" s="26">
        <v>4</v>
      </c>
      <c r="EH52" s="26">
        <v>4</v>
      </c>
      <c r="EI52" s="26">
        <v>4</v>
      </c>
      <c r="EJ52" s="26">
        <v>4</v>
      </c>
      <c r="EK52" s="26">
        <v>4</v>
      </c>
      <c r="EL52" s="26">
        <v>4</v>
      </c>
      <c r="EM52" s="26">
        <v>4</v>
      </c>
      <c r="EN52" s="26">
        <v>4</v>
      </c>
      <c r="EO52" s="26">
        <v>4</v>
      </c>
      <c r="EP52" s="26">
        <v>4</v>
      </c>
      <c r="EQ52" s="26">
        <v>4</v>
      </c>
      <c r="ER52" s="26">
        <v>4</v>
      </c>
      <c r="ES52" s="26">
        <v>4</v>
      </c>
      <c r="ET52" s="26">
        <v>4</v>
      </c>
      <c r="EU52" s="26">
        <v>4</v>
      </c>
      <c r="EV52" s="26">
        <v>4</v>
      </c>
      <c r="EW52" s="26">
        <v>4</v>
      </c>
      <c r="EX52" s="26">
        <v>4</v>
      </c>
      <c r="EY52" s="26">
        <v>4</v>
      </c>
      <c r="EZ52" s="79">
        <v>2</v>
      </c>
      <c r="FA52" s="80">
        <v>2</v>
      </c>
      <c r="FB52" s="80">
        <v>2</v>
      </c>
      <c r="FC52" s="80">
        <v>2</v>
      </c>
      <c r="FD52" s="80">
        <v>2</v>
      </c>
      <c r="FE52" s="80">
        <v>2</v>
      </c>
      <c r="FF52" s="80">
        <v>2</v>
      </c>
      <c r="FG52" s="80">
        <v>2</v>
      </c>
      <c r="FH52" s="80">
        <v>2</v>
      </c>
      <c r="FI52" s="80">
        <v>2</v>
      </c>
      <c r="FJ52" s="80">
        <v>2</v>
      </c>
      <c r="FK52" s="80">
        <v>2</v>
      </c>
      <c r="FL52" s="80">
        <v>2</v>
      </c>
      <c r="FM52" s="80">
        <v>2</v>
      </c>
      <c r="FN52" s="80">
        <v>2</v>
      </c>
      <c r="FO52" s="81">
        <v>2</v>
      </c>
      <c r="FP52" s="26"/>
      <c r="FQ52" s="26"/>
      <c r="FR52" s="26"/>
      <c r="FS52" s="26"/>
      <c r="FT52" s="26"/>
      <c r="FU52" s="26"/>
      <c r="FV52" s="26"/>
      <c r="FW52" s="26"/>
      <c r="FX52" s="26"/>
      <c r="FY52" s="26"/>
      <c r="FZ52" s="26"/>
      <c r="GA52" s="26"/>
      <c r="GB52" s="26"/>
      <c r="GC52" s="26"/>
      <c r="GD52" s="26"/>
      <c r="GG52" s="26"/>
      <c r="GK52">
        <f>IF(ISNUMBER(EY448),EY448,999)</f>
        <v>999</v>
      </c>
    </row>
    <row r="53" spans="2:193" ht="15" thickTop="1" x14ac:dyDescent="0.3">
      <c r="B53" s="18" t="s">
        <v>388</v>
      </c>
      <c r="C53" s="13">
        <v>32</v>
      </c>
      <c r="D53" s="21" t="s">
        <v>389</v>
      </c>
      <c r="E53" s="24">
        <v>83</v>
      </c>
      <c r="G53" s="2">
        <f t="shared" si="31"/>
        <v>34</v>
      </c>
      <c r="H53" s="5">
        <v>7</v>
      </c>
      <c r="I53" s="13">
        <v>10</v>
      </c>
      <c r="L53" s="4"/>
      <c r="M53" s="7"/>
      <c r="O53" s="7"/>
      <c r="T53" s="7"/>
      <c r="AE53" s="7"/>
      <c r="BD53" s="26"/>
      <c r="BE53" s="26">
        <f t="shared" si="30"/>
        <v>5</v>
      </c>
      <c r="BF53">
        <v>5</v>
      </c>
      <c r="BG53">
        <v>33</v>
      </c>
      <c r="BH53" s="38">
        <v>5</v>
      </c>
      <c r="BI53" s="39">
        <v>5</v>
      </c>
      <c r="BJ53" s="39">
        <v>5</v>
      </c>
      <c r="BK53" s="39">
        <v>5</v>
      </c>
      <c r="BL53" s="39">
        <v>5</v>
      </c>
      <c r="BM53" s="39">
        <v>5</v>
      </c>
      <c r="BN53" s="39">
        <v>5</v>
      </c>
      <c r="BO53" s="39">
        <v>5</v>
      </c>
      <c r="BP53" s="39">
        <v>5</v>
      </c>
      <c r="BQ53" s="39">
        <v>5</v>
      </c>
      <c r="BR53" s="39">
        <v>5</v>
      </c>
      <c r="BS53" s="39">
        <v>5</v>
      </c>
      <c r="BT53" s="39">
        <v>5</v>
      </c>
      <c r="BU53" s="39">
        <v>5</v>
      </c>
      <c r="BV53" s="39">
        <v>5</v>
      </c>
      <c r="BW53" s="39">
        <v>5</v>
      </c>
      <c r="BX53" s="39">
        <v>5</v>
      </c>
      <c r="BY53" s="39">
        <v>5</v>
      </c>
      <c r="BZ53" s="39">
        <v>5</v>
      </c>
      <c r="CA53" s="39">
        <v>5</v>
      </c>
      <c r="CB53" s="39">
        <v>5</v>
      </c>
      <c r="CC53" s="39">
        <v>5</v>
      </c>
      <c r="CD53" s="39">
        <v>5</v>
      </c>
      <c r="CE53" s="39">
        <v>5</v>
      </c>
      <c r="CF53" s="39">
        <v>5</v>
      </c>
      <c r="CG53" s="39">
        <v>5</v>
      </c>
      <c r="CH53" s="39">
        <v>5</v>
      </c>
      <c r="CI53" s="39">
        <v>5</v>
      </c>
      <c r="CJ53" s="39">
        <v>5</v>
      </c>
      <c r="CK53" s="39">
        <v>5</v>
      </c>
      <c r="CL53" s="39">
        <v>5</v>
      </c>
      <c r="CM53" s="39">
        <v>5</v>
      </c>
      <c r="CN53" s="39">
        <v>5</v>
      </c>
      <c r="CO53" s="39">
        <v>5</v>
      </c>
      <c r="CP53" s="39">
        <v>5</v>
      </c>
      <c r="CQ53" s="39">
        <v>5</v>
      </c>
      <c r="CR53" s="39">
        <v>5</v>
      </c>
      <c r="CS53" s="39">
        <v>5</v>
      </c>
      <c r="CT53" s="39">
        <v>5</v>
      </c>
      <c r="CU53" s="39">
        <v>5</v>
      </c>
      <c r="CV53" s="39">
        <v>5</v>
      </c>
      <c r="CW53" s="39">
        <v>5</v>
      </c>
      <c r="CX53" s="39">
        <v>5</v>
      </c>
      <c r="CY53" s="39">
        <v>5</v>
      </c>
      <c r="CZ53" s="39">
        <v>5</v>
      </c>
      <c r="DA53" s="39">
        <v>5</v>
      </c>
      <c r="DB53" s="39">
        <v>5</v>
      </c>
      <c r="DC53" s="39">
        <v>5</v>
      </c>
      <c r="DD53" s="39">
        <v>5</v>
      </c>
      <c r="DE53" s="39">
        <v>5</v>
      </c>
      <c r="DF53" s="39">
        <v>5</v>
      </c>
      <c r="DG53" s="39">
        <v>5</v>
      </c>
      <c r="DH53" s="39">
        <v>5</v>
      </c>
      <c r="DI53" s="39">
        <v>5</v>
      </c>
      <c r="DJ53" s="39">
        <v>5</v>
      </c>
      <c r="DK53" s="39">
        <v>5</v>
      </c>
      <c r="DL53" s="39">
        <v>5</v>
      </c>
      <c r="DM53" s="39">
        <v>5</v>
      </c>
      <c r="DN53" s="39">
        <v>5</v>
      </c>
      <c r="DO53" s="36">
        <v>5</v>
      </c>
      <c r="DP53" s="36">
        <v>5</v>
      </c>
      <c r="DQ53" s="36">
        <v>5</v>
      </c>
      <c r="DR53" s="36">
        <v>5</v>
      </c>
      <c r="DS53" s="36">
        <v>5</v>
      </c>
      <c r="DT53" s="50">
        <v>3</v>
      </c>
      <c r="DU53" s="50">
        <v>3</v>
      </c>
      <c r="DV53" s="50">
        <v>3</v>
      </c>
      <c r="DW53" s="50">
        <v>3</v>
      </c>
      <c r="DX53" s="50">
        <v>3</v>
      </c>
      <c r="DY53" s="50">
        <v>3</v>
      </c>
      <c r="DZ53" s="50">
        <v>3</v>
      </c>
      <c r="EA53" s="50">
        <v>3</v>
      </c>
      <c r="EB53" s="50">
        <v>3</v>
      </c>
      <c r="EC53" s="50">
        <v>3</v>
      </c>
      <c r="ED53" s="50">
        <v>3</v>
      </c>
      <c r="EE53" s="50">
        <v>3</v>
      </c>
      <c r="EF53" s="50">
        <v>3</v>
      </c>
      <c r="EG53" s="50">
        <v>3</v>
      </c>
      <c r="EH53" s="50">
        <v>3</v>
      </c>
      <c r="EI53" s="50">
        <v>3</v>
      </c>
      <c r="EJ53" s="50">
        <v>3</v>
      </c>
      <c r="EK53" s="50">
        <v>3</v>
      </c>
      <c r="EL53" s="50">
        <v>3</v>
      </c>
      <c r="EM53" s="50">
        <v>3</v>
      </c>
      <c r="EN53" s="50">
        <v>3</v>
      </c>
      <c r="EO53" s="50">
        <v>3</v>
      </c>
      <c r="EP53" s="50">
        <v>3</v>
      </c>
      <c r="EQ53" s="50">
        <v>3</v>
      </c>
      <c r="ER53" s="50">
        <v>3</v>
      </c>
      <c r="ES53" s="50">
        <v>3</v>
      </c>
      <c r="ET53" s="50">
        <v>3</v>
      </c>
      <c r="EU53" s="50">
        <v>3</v>
      </c>
      <c r="EV53" s="50">
        <v>3</v>
      </c>
      <c r="EW53" s="50">
        <v>3</v>
      </c>
      <c r="EX53" s="50">
        <v>3</v>
      </c>
      <c r="EY53" s="51">
        <v>3</v>
      </c>
      <c r="FP53" s="26"/>
      <c r="FQ53" s="26"/>
      <c r="FR53" s="26"/>
      <c r="FS53" s="26"/>
      <c r="FT53" s="26"/>
      <c r="FU53" s="26"/>
      <c r="FV53" s="26"/>
      <c r="FW53" s="26"/>
      <c r="FX53" s="26"/>
      <c r="FY53" s="26"/>
      <c r="FZ53" s="26"/>
      <c r="GA53" s="26"/>
      <c r="GB53" s="26"/>
      <c r="GC53" s="26"/>
      <c r="GD53" s="26"/>
      <c r="GG53" s="26"/>
      <c r="GH53">
        <v>6</v>
      </c>
      <c r="GK53">
        <f>IF(ISNUMBER(EY449),EY449,999)</f>
        <v>999</v>
      </c>
    </row>
    <row r="54" spans="2:193" x14ac:dyDescent="0.3">
      <c r="B54" s="18" t="s">
        <v>390</v>
      </c>
      <c r="C54" s="13">
        <v>49</v>
      </c>
      <c r="D54" s="21" t="s">
        <v>391</v>
      </c>
      <c r="E54" s="24">
        <v>84</v>
      </c>
      <c r="G54" s="2">
        <f t="shared" si="31"/>
        <v>35</v>
      </c>
      <c r="H54" s="5">
        <v>7</v>
      </c>
      <c r="I54" s="13">
        <v>10</v>
      </c>
      <c r="L54" s="4"/>
      <c r="M54" s="7"/>
      <c r="O54" s="7"/>
      <c r="T54" s="7"/>
      <c r="AE54" s="7"/>
      <c r="BD54" s="26"/>
      <c r="BE54" s="26" t="str">
        <f t="shared" si="30"/>
        <v>BYE</v>
      </c>
      <c r="BF54">
        <v>124</v>
      </c>
      <c r="BG54">
        <v>34</v>
      </c>
      <c r="BH54" s="40">
        <v>124</v>
      </c>
      <c r="BI54" s="41">
        <v>124</v>
      </c>
      <c r="BJ54" s="41">
        <v>124</v>
      </c>
      <c r="BK54" s="41">
        <v>124</v>
      </c>
      <c r="BL54" s="41">
        <v>123</v>
      </c>
      <c r="BM54" s="41" t="s">
        <v>326</v>
      </c>
      <c r="BN54" s="41" t="s">
        <v>326</v>
      </c>
      <c r="BO54" s="41" t="s">
        <v>326</v>
      </c>
      <c r="BP54" s="41" t="s">
        <v>326</v>
      </c>
      <c r="BQ54" s="41" t="s">
        <v>326</v>
      </c>
      <c r="BR54" s="41" t="s">
        <v>326</v>
      </c>
      <c r="BS54" s="41" t="s">
        <v>326</v>
      </c>
      <c r="BT54" s="41" t="s">
        <v>326</v>
      </c>
      <c r="BU54" s="41" t="s">
        <v>326</v>
      </c>
      <c r="BV54" s="41" t="s">
        <v>326</v>
      </c>
      <c r="BW54" s="41" t="s">
        <v>326</v>
      </c>
      <c r="BX54" s="41" t="s">
        <v>326</v>
      </c>
      <c r="BY54" s="41" t="s">
        <v>326</v>
      </c>
      <c r="BZ54" s="41" t="s">
        <v>326</v>
      </c>
      <c r="CA54" s="41" t="s">
        <v>326</v>
      </c>
      <c r="CB54" s="41" t="s">
        <v>326</v>
      </c>
      <c r="CC54" s="41" t="s">
        <v>326</v>
      </c>
      <c r="CD54" s="41" t="s">
        <v>326</v>
      </c>
      <c r="CE54" s="41" t="s">
        <v>326</v>
      </c>
      <c r="CF54" s="41" t="s">
        <v>326</v>
      </c>
      <c r="CG54" s="41" t="s">
        <v>326</v>
      </c>
      <c r="CH54" s="41" t="s">
        <v>326</v>
      </c>
      <c r="CI54" s="41" t="s">
        <v>326</v>
      </c>
      <c r="CJ54" s="41" t="s">
        <v>326</v>
      </c>
      <c r="CK54" s="41" t="s">
        <v>326</v>
      </c>
      <c r="CL54" s="41" t="s">
        <v>326</v>
      </c>
      <c r="CM54" s="41" t="s">
        <v>326</v>
      </c>
      <c r="CN54" s="41" t="s">
        <v>326</v>
      </c>
      <c r="CO54" s="41" t="s">
        <v>326</v>
      </c>
      <c r="CP54" s="41" t="s">
        <v>326</v>
      </c>
      <c r="CQ54" s="41" t="s">
        <v>326</v>
      </c>
      <c r="CR54" s="41" t="s">
        <v>326</v>
      </c>
      <c r="CS54" s="41" t="s">
        <v>326</v>
      </c>
      <c r="CT54" s="41" t="s">
        <v>326</v>
      </c>
      <c r="CU54" s="41" t="s">
        <v>326</v>
      </c>
      <c r="CV54" s="41" t="s">
        <v>326</v>
      </c>
      <c r="CW54" s="41" t="s">
        <v>326</v>
      </c>
      <c r="CX54" s="41" t="s">
        <v>326</v>
      </c>
      <c r="CY54" s="41" t="s">
        <v>326</v>
      </c>
      <c r="CZ54" s="41" t="s">
        <v>326</v>
      </c>
      <c r="DA54" s="41" t="s">
        <v>326</v>
      </c>
      <c r="DB54" s="41" t="s">
        <v>326</v>
      </c>
      <c r="DC54" s="41" t="s">
        <v>326</v>
      </c>
      <c r="DD54" s="41" t="s">
        <v>326</v>
      </c>
      <c r="DE54" s="41" t="s">
        <v>326</v>
      </c>
      <c r="DF54" s="41" t="s">
        <v>326</v>
      </c>
      <c r="DG54" s="41" t="s">
        <v>327</v>
      </c>
      <c r="DH54" s="41" t="s">
        <v>326</v>
      </c>
      <c r="DI54" s="41" t="s">
        <v>326</v>
      </c>
      <c r="DJ54" s="41" t="s">
        <v>326</v>
      </c>
      <c r="DK54" s="41" t="s">
        <v>326</v>
      </c>
      <c r="DL54" s="41" t="s">
        <v>326</v>
      </c>
      <c r="DM54" s="41" t="s">
        <v>326</v>
      </c>
      <c r="DN54" s="41" t="s">
        <v>326</v>
      </c>
      <c r="DO54" s="37" t="s">
        <v>326</v>
      </c>
      <c r="DP54" s="37" t="s">
        <v>326</v>
      </c>
      <c r="DQ54" s="37" t="s">
        <v>326</v>
      </c>
      <c r="DR54" s="37" t="s">
        <v>326</v>
      </c>
      <c r="DS54" s="37" t="s">
        <v>326</v>
      </c>
      <c r="DT54" s="52">
        <v>62</v>
      </c>
      <c r="DU54" s="52">
        <v>62</v>
      </c>
      <c r="DV54" s="52">
        <v>61</v>
      </c>
      <c r="DW54" s="52" t="s">
        <v>326</v>
      </c>
      <c r="DX54" s="52" t="s">
        <v>326</v>
      </c>
      <c r="DY54" s="52" t="s">
        <v>326</v>
      </c>
      <c r="DZ54" s="52" t="s">
        <v>326</v>
      </c>
      <c r="EA54" s="52" t="s">
        <v>326</v>
      </c>
      <c r="EB54" s="52" t="s">
        <v>326</v>
      </c>
      <c r="EC54" s="52" t="s">
        <v>326</v>
      </c>
      <c r="ED54" s="52" t="s">
        <v>326</v>
      </c>
      <c r="EE54" s="52" t="s">
        <v>326</v>
      </c>
      <c r="EF54" s="52" t="s">
        <v>326</v>
      </c>
      <c r="EG54" s="52" t="s">
        <v>326</v>
      </c>
      <c r="EH54" s="52" t="s">
        <v>326</v>
      </c>
      <c r="EI54" s="52" t="s">
        <v>326</v>
      </c>
      <c r="EJ54" s="52" t="s">
        <v>326</v>
      </c>
      <c r="EK54" s="52" t="s">
        <v>326</v>
      </c>
      <c r="EL54" s="52" t="s">
        <v>326</v>
      </c>
      <c r="EM54" s="52" t="s">
        <v>326</v>
      </c>
      <c r="EN54" s="52" t="s">
        <v>326</v>
      </c>
      <c r="EO54" s="52" t="s">
        <v>326</v>
      </c>
      <c r="EP54" s="52" t="s">
        <v>326</v>
      </c>
      <c r="EQ54" s="52" t="s">
        <v>326</v>
      </c>
      <c r="ER54" s="52" t="s">
        <v>326</v>
      </c>
      <c r="ES54" s="52" t="s">
        <v>326</v>
      </c>
      <c r="ET54" s="52" t="s">
        <v>326</v>
      </c>
      <c r="EU54" s="52" t="s">
        <v>326</v>
      </c>
      <c r="EV54" s="52" t="s">
        <v>326</v>
      </c>
      <c r="EW54" s="52" t="s">
        <v>326</v>
      </c>
      <c r="EX54" s="52" t="s">
        <v>326</v>
      </c>
      <c r="EY54" s="53" t="s">
        <v>326</v>
      </c>
      <c r="FP54" s="26"/>
      <c r="FQ54" s="26"/>
      <c r="FR54" s="26"/>
      <c r="FS54" s="26"/>
      <c r="FT54" s="26"/>
      <c r="FU54" s="26"/>
      <c r="FV54" s="26"/>
      <c r="FW54" s="26"/>
      <c r="FX54" s="26"/>
      <c r="FY54" s="26"/>
      <c r="FZ54" s="26"/>
      <c r="GA54" s="26"/>
      <c r="GB54" s="26"/>
      <c r="GC54" s="26"/>
      <c r="GD54" s="26"/>
      <c r="GG54" s="26"/>
      <c r="GK54">
        <f>IF(ISNUMBER(EY450),EY450,999)</f>
        <v>999</v>
      </c>
    </row>
    <row r="55" spans="2:193" x14ac:dyDescent="0.3">
      <c r="B55" s="18" t="s">
        <v>392</v>
      </c>
      <c r="C55" s="13">
        <v>31</v>
      </c>
      <c r="D55" s="21" t="s">
        <v>393</v>
      </c>
      <c r="E55" s="24">
        <v>85</v>
      </c>
      <c r="G55" s="2">
        <f t="shared" si="31"/>
        <v>36</v>
      </c>
      <c r="H55" s="5">
        <v>7</v>
      </c>
      <c r="I55" s="13">
        <v>10</v>
      </c>
      <c r="L55" s="4"/>
      <c r="M55" s="7"/>
      <c r="O55" s="7"/>
      <c r="T55" s="7"/>
      <c r="AE55" s="7"/>
      <c r="BD55" s="26"/>
      <c r="BE55" s="26">
        <f t="shared" si="30"/>
        <v>62</v>
      </c>
      <c r="BF55">
        <v>62</v>
      </c>
      <c r="BG55">
        <v>35</v>
      </c>
      <c r="BH55" s="42">
        <v>69</v>
      </c>
      <c r="BI55" s="42">
        <v>69</v>
      </c>
      <c r="BJ55" s="42">
        <v>70</v>
      </c>
      <c r="BK55" s="42">
        <v>70</v>
      </c>
      <c r="BL55" s="42">
        <v>70</v>
      </c>
      <c r="BM55" s="42">
        <v>69</v>
      </c>
      <c r="BN55" s="42">
        <v>69</v>
      </c>
      <c r="BO55" s="42">
        <v>69</v>
      </c>
      <c r="BP55" s="42">
        <v>70</v>
      </c>
      <c r="BQ55" s="42">
        <v>70</v>
      </c>
      <c r="BR55" s="42">
        <v>70</v>
      </c>
      <c r="BS55" s="42">
        <v>69</v>
      </c>
      <c r="BT55" s="42">
        <v>69</v>
      </c>
      <c r="BU55" s="42">
        <v>69</v>
      </c>
      <c r="BV55" s="42">
        <v>70</v>
      </c>
      <c r="BW55" s="42">
        <v>70</v>
      </c>
      <c r="BX55" s="42">
        <v>70</v>
      </c>
      <c r="BY55" s="42">
        <v>69</v>
      </c>
      <c r="BZ55" s="42">
        <v>69</v>
      </c>
      <c r="CA55" s="42">
        <v>69</v>
      </c>
      <c r="CB55" s="42">
        <v>70</v>
      </c>
      <c r="CC55" s="42">
        <v>70</v>
      </c>
      <c r="CD55" s="42">
        <v>70</v>
      </c>
      <c r="CE55" s="42">
        <v>69</v>
      </c>
      <c r="CF55" s="42">
        <v>69</v>
      </c>
      <c r="CG55" s="42">
        <v>69</v>
      </c>
      <c r="CH55" s="42">
        <v>69</v>
      </c>
      <c r="CI55" s="42">
        <v>70</v>
      </c>
      <c r="CJ55" s="42">
        <v>69</v>
      </c>
      <c r="CK55" s="42">
        <v>69</v>
      </c>
      <c r="CL55" s="42">
        <v>73</v>
      </c>
      <c r="CM55" s="42">
        <v>72</v>
      </c>
      <c r="CN55" s="42">
        <v>71</v>
      </c>
      <c r="CO55" s="42">
        <v>72</v>
      </c>
      <c r="CP55" s="42">
        <v>69</v>
      </c>
      <c r="CQ55" s="42">
        <v>69</v>
      </c>
      <c r="CR55" s="42">
        <v>69</v>
      </c>
      <c r="CS55" s="42">
        <v>69</v>
      </c>
      <c r="CT55" s="42">
        <v>69</v>
      </c>
      <c r="CU55" s="42">
        <v>70</v>
      </c>
      <c r="CV55" s="42">
        <v>69</v>
      </c>
      <c r="CW55" s="42">
        <v>69</v>
      </c>
      <c r="CX55" s="42">
        <v>73</v>
      </c>
      <c r="CY55" s="42">
        <v>66</v>
      </c>
      <c r="CZ55" s="42">
        <v>71</v>
      </c>
      <c r="DA55" s="42">
        <v>72</v>
      </c>
      <c r="DB55" s="42">
        <v>69</v>
      </c>
      <c r="DC55" s="42">
        <v>69</v>
      </c>
      <c r="DD55" s="42">
        <v>69</v>
      </c>
      <c r="DE55" s="42">
        <v>69</v>
      </c>
      <c r="DF55" s="42">
        <v>69</v>
      </c>
      <c r="DG55" s="42">
        <v>60</v>
      </c>
      <c r="DH55" s="42">
        <v>69</v>
      </c>
      <c r="DI55" s="42">
        <v>69</v>
      </c>
      <c r="DJ55" s="42">
        <v>73</v>
      </c>
      <c r="DK55" s="42">
        <v>72</v>
      </c>
      <c r="DL55" s="42">
        <v>71</v>
      </c>
      <c r="DM55" s="42">
        <v>71</v>
      </c>
      <c r="DN55" s="42">
        <v>69</v>
      </c>
      <c r="DO55" s="26">
        <v>69</v>
      </c>
      <c r="DP55" s="26" t="s">
        <v>326</v>
      </c>
      <c r="DQ55" s="26" t="s">
        <v>326</v>
      </c>
      <c r="DR55" s="26" t="s">
        <v>326</v>
      </c>
      <c r="DS55" s="26" t="s">
        <v>326</v>
      </c>
      <c r="DT55" s="29">
        <v>36</v>
      </c>
      <c r="DU55" s="29">
        <v>35</v>
      </c>
      <c r="DV55" s="29">
        <v>35</v>
      </c>
      <c r="DW55" s="29">
        <v>35</v>
      </c>
      <c r="DX55" s="29">
        <v>36</v>
      </c>
      <c r="DY55" s="29">
        <v>36</v>
      </c>
      <c r="DZ55" s="29">
        <v>36</v>
      </c>
      <c r="EA55" s="29">
        <v>35</v>
      </c>
      <c r="EB55" s="29">
        <v>35</v>
      </c>
      <c r="EC55" s="29">
        <v>35</v>
      </c>
      <c r="ED55" s="29">
        <v>36</v>
      </c>
      <c r="EE55" s="29">
        <v>36</v>
      </c>
      <c r="EF55" s="29">
        <v>36</v>
      </c>
      <c r="EG55" s="29">
        <v>35</v>
      </c>
      <c r="EH55" s="29">
        <v>35</v>
      </c>
      <c r="EI55" s="29">
        <v>36</v>
      </c>
      <c r="EJ55" s="29">
        <v>33</v>
      </c>
      <c r="EK55" s="29">
        <v>47</v>
      </c>
      <c r="EL55" s="29">
        <v>39</v>
      </c>
      <c r="EM55" s="29">
        <v>35</v>
      </c>
      <c r="EN55" s="29">
        <v>34</v>
      </c>
      <c r="EO55" s="29">
        <v>35</v>
      </c>
      <c r="EP55" s="29">
        <v>35</v>
      </c>
      <c r="EQ55" s="29">
        <v>34</v>
      </c>
      <c r="ER55" s="29">
        <v>36</v>
      </c>
      <c r="ES55" s="29">
        <v>35</v>
      </c>
      <c r="ET55" s="29">
        <v>35</v>
      </c>
      <c r="EU55" s="29">
        <v>34</v>
      </c>
      <c r="EV55" s="29">
        <v>33</v>
      </c>
      <c r="EW55" s="29">
        <v>33</v>
      </c>
      <c r="EX55" s="29" t="s">
        <v>326</v>
      </c>
      <c r="EY55" s="29" t="s">
        <v>326</v>
      </c>
      <c r="FP55" s="26"/>
      <c r="FQ55" s="26"/>
      <c r="FR55" s="26"/>
      <c r="FS55" s="26"/>
      <c r="FT55" s="26"/>
      <c r="FU55" s="26"/>
      <c r="FV55" s="26"/>
      <c r="FW55" s="26"/>
      <c r="FX55" s="26"/>
      <c r="FY55" s="26"/>
      <c r="FZ55" s="26"/>
      <c r="GA55" s="26"/>
      <c r="GB55" s="26"/>
      <c r="GC55" s="26"/>
      <c r="GD55" s="26"/>
      <c r="GG55" s="26"/>
      <c r="GJ55">
        <f>GJ51+1</f>
        <v>14</v>
      </c>
      <c r="GK55" t="str">
        <f>IF(Grps&gt;GJ51,GJ55,"")</f>
        <v/>
      </c>
    </row>
    <row r="56" spans="2:193" x14ac:dyDescent="0.3">
      <c r="B56" s="18" t="s">
        <v>394</v>
      </c>
      <c r="C56" s="13">
        <v>30</v>
      </c>
      <c r="D56" s="21" t="s">
        <v>395</v>
      </c>
      <c r="E56" s="24">
        <v>86</v>
      </c>
      <c r="G56" s="2">
        <f t="shared" si="31"/>
        <v>37</v>
      </c>
      <c r="H56" s="5">
        <v>7</v>
      </c>
      <c r="I56" s="13">
        <v>10</v>
      </c>
      <c r="L56" s="4"/>
      <c r="M56" s="7"/>
      <c r="O56" s="7"/>
      <c r="T56" s="7"/>
      <c r="AE56" s="7"/>
      <c r="BD56" s="26"/>
      <c r="BE56" s="26" t="str">
        <f t="shared" si="30"/>
        <v>BYE</v>
      </c>
      <c r="BF56">
        <v>69</v>
      </c>
      <c r="BG56">
        <v>36</v>
      </c>
      <c r="BH56" s="42">
        <v>60</v>
      </c>
      <c r="BI56" s="42">
        <v>60</v>
      </c>
      <c r="BJ56" s="42">
        <v>59</v>
      </c>
      <c r="BK56" s="42">
        <v>59</v>
      </c>
      <c r="BL56" s="42">
        <v>59</v>
      </c>
      <c r="BM56" s="42">
        <v>60</v>
      </c>
      <c r="BN56" s="42">
        <v>60</v>
      </c>
      <c r="BO56" s="42">
        <v>60</v>
      </c>
      <c r="BP56" s="42">
        <v>59</v>
      </c>
      <c r="BQ56" s="42">
        <v>59</v>
      </c>
      <c r="BR56" s="42">
        <v>59</v>
      </c>
      <c r="BS56" s="42">
        <v>60</v>
      </c>
      <c r="BT56" s="42">
        <v>60</v>
      </c>
      <c r="BU56" s="42">
        <v>60</v>
      </c>
      <c r="BV56" s="42">
        <v>59</v>
      </c>
      <c r="BW56" s="42">
        <v>59</v>
      </c>
      <c r="BX56" s="42">
        <v>59</v>
      </c>
      <c r="BY56" s="42">
        <v>60</v>
      </c>
      <c r="BZ56" s="42">
        <v>60</v>
      </c>
      <c r="CA56" s="42">
        <v>60</v>
      </c>
      <c r="CB56" s="42">
        <v>59</v>
      </c>
      <c r="CC56" s="42">
        <v>59</v>
      </c>
      <c r="CD56" s="42">
        <v>59</v>
      </c>
      <c r="CE56" s="42">
        <v>60</v>
      </c>
      <c r="CF56" s="42">
        <v>60</v>
      </c>
      <c r="CG56" s="42">
        <v>60</v>
      </c>
      <c r="CH56" s="42">
        <v>59</v>
      </c>
      <c r="CI56" s="42">
        <v>59</v>
      </c>
      <c r="CJ56" s="42">
        <v>59</v>
      </c>
      <c r="CK56" s="42">
        <v>60</v>
      </c>
      <c r="CL56" s="42">
        <v>60</v>
      </c>
      <c r="CM56" s="42">
        <v>60</v>
      </c>
      <c r="CN56" s="42">
        <v>59</v>
      </c>
      <c r="CO56" s="42">
        <v>59</v>
      </c>
      <c r="CP56" s="42">
        <v>59</v>
      </c>
      <c r="CQ56" s="42">
        <v>60</v>
      </c>
      <c r="CR56" s="42">
        <v>60</v>
      </c>
      <c r="CS56" s="42">
        <v>60</v>
      </c>
      <c r="CT56" s="42">
        <v>59</v>
      </c>
      <c r="CU56" s="42">
        <v>59</v>
      </c>
      <c r="CV56" s="42">
        <v>59</v>
      </c>
      <c r="CW56" s="42">
        <v>60</v>
      </c>
      <c r="CX56" s="42">
        <v>60</v>
      </c>
      <c r="CY56" s="42">
        <v>59</v>
      </c>
      <c r="CZ56" s="42">
        <v>58</v>
      </c>
      <c r="DA56" s="42">
        <v>63</v>
      </c>
      <c r="DB56" s="42">
        <v>64</v>
      </c>
      <c r="DC56" s="42">
        <v>60</v>
      </c>
      <c r="DD56" s="42">
        <v>60</v>
      </c>
      <c r="DE56" s="42">
        <v>60</v>
      </c>
      <c r="DF56" s="42">
        <v>60</v>
      </c>
      <c r="DG56" s="42">
        <v>69</v>
      </c>
      <c r="DH56" s="42">
        <v>59</v>
      </c>
      <c r="DI56" s="42">
        <v>60</v>
      </c>
      <c r="DJ56" s="42">
        <v>60</v>
      </c>
      <c r="DK56" s="42">
        <v>57</v>
      </c>
      <c r="DL56" s="42">
        <v>58</v>
      </c>
      <c r="DM56" s="42">
        <v>57</v>
      </c>
      <c r="DN56" s="42">
        <v>64</v>
      </c>
      <c r="DO56" s="26">
        <v>60</v>
      </c>
      <c r="DP56" s="26">
        <v>60</v>
      </c>
      <c r="DQ56" s="26">
        <v>60</v>
      </c>
      <c r="DR56" s="26">
        <v>60</v>
      </c>
      <c r="DS56" s="26">
        <v>60</v>
      </c>
      <c r="DT56" s="29">
        <v>29</v>
      </c>
      <c r="DU56" s="29">
        <v>30</v>
      </c>
      <c r="DV56" s="29">
        <v>30</v>
      </c>
      <c r="DW56" s="29">
        <v>30</v>
      </c>
      <c r="DX56" s="29">
        <v>29</v>
      </c>
      <c r="DY56" s="29">
        <v>29</v>
      </c>
      <c r="DZ56" s="29">
        <v>29</v>
      </c>
      <c r="EA56" s="29">
        <v>30</v>
      </c>
      <c r="EB56" s="29">
        <v>30</v>
      </c>
      <c r="EC56" s="29">
        <v>30</v>
      </c>
      <c r="ED56" s="29">
        <v>29</v>
      </c>
      <c r="EE56" s="29">
        <v>29</v>
      </c>
      <c r="EF56" s="29">
        <v>29</v>
      </c>
      <c r="EG56" s="29">
        <v>30</v>
      </c>
      <c r="EH56" s="29">
        <v>30</v>
      </c>
      <c r="EI56" s="29">
        <v>30</v>
      </c>
      <c r="EJ56" s="29">
        <v>29</v>
      </c>
      <c r="EK56" s="29">
        <v>29</v>
      </c>
      <c r="EL56" s="29">
        <v>29</v>
      </c>
      <c r="EM56" s="29">
        <v>30</v>
      </c>
      <c r="EN56" s="29">
        <v>30</v>
      </c>
      <c r="EO56" s="29">
        <v>30</v>
      </c>
      <c r="EP56" s="29">
        <v>30</v>
      </c>
      <c r="EQ56" s="29">
        <v>29</v>
      </c>
      <c r="ER56" s="29">
        <v>30</v>
      </c>
      <c r="ES56" s="29">
        <v>30</v>
      </c>
      <c r="ET56" s="29">
        <v>29</v>
      </c>
      <c r="EU56" s="29">
        <v>31</v>
      </c>
      <c r="EV56" s="29">
        <v>32</v>
      </c>
      <c r="EW56" s="29">
        <v>30</v>
      </c>
      <c r="EX56" s="29">
        <v>30</v>
      </c>
      <c r="EY56" s="29">
        <v>30</v>
      </c>
      <c r="FG56" s="26"/>
      <c r="FI56" s="26"/>
      <c r="FP56" s="26"/>
      <c r="FQ56" s="26"/>
      <c r="FR56" s="26"/>
      <c r="FS56" s="26"/>
      <c r="FT56" s="26"/>
      <c r="FU56" s="26"/>
      <c r="FV56" s="26"/>
      <c r="FW56" s="26"/>
      <c r="FX56" s="26"/>
      <c r="FY56" s="26"/>
      <c r="FZ56" s="26"/>
      <c r="GA56" s="26"/>
      <c r="GB56" s="26"/>
      <c r="GC56" s="26"/>
      <c r="GD56" s="26"/>
      <c r="GG56" s="26"/>
      <c r="GK56">
        <f>IF(ISNUMBER(EY485),EY485,999)</f>
        <v>999</v>
      </c>
    </row>
    <row r="57" spans="2:193" x14ac:dyDescent="0.3">
      <c r="B57" s="18" t="s">
        <v>396</v>
      </c>
      <c r="C57" s="13">
        <v>29</v>
      </c>
      <c r="D57" s="21" t="s">
        <v>397</v>
      </c>
      <c r="E57" s="24">
        <v>87</v>
      </c>
      <c r="G57" s="2">
        <f t="shared" si="31"/>
        <v>38</v>
      </c>
      <c r="H57" s="5">
        <v>7</v>
      </c>
      <c r="I57" s="13">
        <v>10</v>
      </c>
      <c r="L57" s="4"/>
      <c r="M57" s="7"/>
      <c r="O57" s="7"/>
      <c r="T57" s="7"/>
      <c r="AE57" s="7"/>
      <c r="BD57" s="26"/>
      <c r="BE57" s="26">
        <f t="shared" si="30"/>
        <v>28</v>
      </c>
      <c r="BF57">
        <v>28</v>
      </c>
      <c r="BG57">
        <v>37</v>
      </c>
      <c r="BH57" s="38">
        <v>37</v>
      </c>
      <c r="BI57" s="39">
        <v>37</v>
      </c>
      <c r="BJ57" s="39">
        <v>37</v>
      </c>
      <c r="BK57" s="39">
        <v>37</v>
      </c>
      <c r="BL57" s="39">
        <v>37</v>
      </c>
      <c r="BM57" s="39">
        <v>37</v>
      </c>
      <c r="BN57" s="39">
        <v>37</v>
      </c>
      <c r="BO57" s="39">
        <v>37</v>
      </c>
      <c r="BP57" s="39">
        <v>37</v>
      </c>
      <c r="BQ57" s="39">
        <v>37</v>
      </c>
      <c r="BR57" s="39">
        <v>37</v>
      </c>
      <c r="BS57" s="39">
        <v>37</v>
      </c>
      <c r="BT57" s="39">
        <v>37</v>
      </c>
      <c r="BU57" s="39">
        <v>37</v>
      </c>
      <c r="BV57" s="39">
        <v>37</v>
      </c>
      <c r="BW57" s="39">
        <v>37</v>
      </c>
      <c r="BX57" s="39">
        <v>37</v>
      </c>
      <c r="BY57" s="39">
        <v>37</v>
      </c>
      <c r="BZ57" s="39">
        <v>37</v>
      </c>
      <c r="CA57" s="39">
        <v>37</v>
      </c>
      <c r="CB57" s="39">
        <v>38</v>
      </c>
      <c r="CC57" s="39">
        <v>38</v>
      </c>
      <c r="CD57" s="39">
        <v>38</v>
      </c>
      <c r="CE57" s="39">
        <v>37</v>
      </c>
      <c r="CF57" s="39">
        <v>37</v>
      </c>
      <c r="CG57" s="39">
        <v>37</v>
      </c>
      <c r="CH57" s="39">
        <v>38</v>
      </c>
      <c r="CI57" s="39">
        <v>38</v>
      </c>
      <c r="CJ57" s="39">
        <v>38</v>
      </c>
      <c r="CK57" s="39">
        <v>37</v>
      </c>
      <c r="CL57" s="39">
        <v>37</v>
      </c>
      <c r="CM57" s="39">
        <v>37</v>
      </c>
      <c r="CN57" s="39">
        <v>38</v>
      </c>
      <c r="CO57" s="39">
        <v>38</v>
      </c>
      <c r="CP57" s="39">
        <v>38</v>
      </c>
      <c r="CQ57" s="39">
        <v>37</v>
      </c>
      <c r="CR57" s="39">
        <v>37</v>
      </c>
      <c r="CS57" s="39">
        <v>37</v>
      </c>
      <c r="CT57" s="39">
        <v>38</v>
      </c>
      <c r="CU57" s="39">
        <v>38</v>
      </c>
      <c r="CV57" s="39">
        <v>38</v>
      </c>
      <c r="CW57" s="39">
        <v>37</v>
      </c>
      <c r="CX57" s="39">
        <v>37</v>
      </c>
      <c r="CY57" s="39">
        <v>37</v>
      </c>
      <c r="CZ57" s="39">
        <v>38</v>
      </c>
      <c r="DA57" s="39">
        <v>38</v>
      </c>
      <c r="DB57" s="39">
        <v>38</v>
      </c>
      <c r="DC57" s="39">
        <v>37</v>
      </c>
      <c r="DD57" s="39">
        <v>37</v>
      </c>
      <c r="DE57" s="39">
        <v>37</v>
      </c>
      <c r="DF57" s="39">
        <v>38</v>
      </c>
      <c r="DG57" s="39">
        <v>28</v>
      </c>
      <c r="DH57" s="39">
        <v>38</v>
      </c>
      <c r="DI57" s="39">
        <v>37</v>
      </c>
      <c r="DJ57" s="39">
        <v>37</v>
      </c>
      <c r="DK57" s="39">
        <v>37</v>
      </c>
      <c r="DL57" s="39">
        <v>38</v>
      </c>
      <c r="DM57" s="39">
        <v>38</v>
      </c>
      <c r="DN57" s="39">
        <v>38</v>
      </c>
      <c r="DO57" s="36">
        <v>37</v>
      </c>
      <c r="DP57" s="36">
        <v>37</v>
      </c>
      <c r="DQ57" s="36">
        <v>37</v>
      </c>
      <c r="DR57" s="36">
        <v>38</v>
      </c>
      <c r="DS57" s="36">
        <v>38</v>
      </c>
      <c r="DT57" s="50">
        <v>19</v>
      </c>
      <c r="DU57" s="50">
        <v>19</v>
      </c>
      <c r="DV57" s="50">
        <v>19</v>
      </c>
      <c r="DW57" s="50">
        <v>19</v>
      </c>
      <c r="DX57" s="50">
        <v>19</v>
      </c>
      <c r="DY57" s="50">
        <v>19</v>
      </c>
      <c r="DZ57" s="50">
        <v>19</v>
      </c>
      <c r="EA57" s="50">
        <v>19</v>
      </c>
      <c r="EB57" s="50">
        <v>19</v>
      </c>
      <c r="EC57" s="50">
        <v>19</v>
      </c>
      <c r="ED57" s="50">
        <v>20</v>
      </c>
      <c r="EE57" s="50">
        <v>20</v>
      </c>
      <c r="EF57" s="50">
        <v>20</v>
      </c>
      <c r="EG57" s="50">
        <v>19</v>
      </c>
      <c r="EH57" s="50">
        <v>19</v>
      </c>
      <c r="EI57" s="50">
        <v>19</v>
      </c>
      <c r="EJ57" s="50">
        <v>20</v>
      </c>
      <c r="EK57" s="50">
        <v>20</v>
      </c>
      <c r="EL57" s="50">
        <v>32</v>
      </c>
      <c r="EM57" s="50">
        <v>19</v>
      </c>
      <c r="EN57" s="50">
        <v>19</v>
      </c>
      <c r="EO57" s="50">
        <v>19</v>
      </c>
      <c r="EP57" s="50">
        <v>20</v>
      </c>
      <c r="EQ57" s="50">
        <v>20</v>
      </c>
      <c r="ER57" s="50">
        <v>20</v>
      </c>
      <c r="ES57" s="50">
        <v>19</v>
      </c>
      <c r="ET57" s="50">
        <v>19</v>
      </c>
      <c r="EU57" s="50">
        <v>19</v>
      </c>
      <c r="EV57" s="50">
        <v>20</v>
      </c>
      <c r="EW57" s="50">
        <v>20</v>
      </c>
      <c r="EX57" s="50">
        <v>20</v>
      </c>
      <c r="EY57" s="51">
        <v>19</v>
      </c>
      <c r="FG57" s="26"/>
      <c r="FI57" s="26"/>
      <c r="FP57" s="26"/>
      <c r="FQ57" s="26"/>
      <c r="FR57" s="26"/>
      <c r="FS57" s="26"/>
      <c r="FT57" s="26"/>
      <c r="FU57" s="26"/>
      <c r="FV57" s="26"/>
      <c r="FW57" s="26"/>
      <c r="FX57" s="26"/>
      <c r="FY57" s="26"/>
      <c r="FZ57" s="26"/>
      <c r="GA57" s="26"/>
      <c r="GB57" s="26"/>
      <c r="GC57" s="26"/>
      <c r="GD57" s="26"/>
      <c r="GG57" s="26"/>
      <c r="GK57">
        <f>IF(ISNUMBER(EY486),EY486,999)</f>
        <v>999</v>
      </c>
    </row>
    <row r="58" spans="2:193" x14ac:dyDescent="0.3">
      <c r="B58" s="18" t="s">
        <v>398</v>
      </c>
      <c r="C58" s="13">
        <v>28</v>
      </c>
      <c r="D58" s="21" t="s">
        <v>399</v>
      </c>
      <c r="E58" s="24">
        <v>96</v>
      </c>
      <c r="G58" s="2">
        <f t="shared" si="31"/>
        <v>39</v>
      </c>
      <c r="H58" s="5">
        <v>7</v>
      </c>
      <c r="I58" s="13">
        <v>10</v>
      </c>
      <c r="L58" s="4"/>
      <c r="M58" s="7"/>
      <c r="O58" s="7"/>
      <c r="T58" s="7"/>
      <c r="AE58" s="7"/>
      <c r="BD58" s="26"/>
      <c r="BE58" s="26" t="str">
        <f t="shared" si="30"/>
        <v>BYE</v>
      </c>
      <c r="BF58">
        <v>101</v>
      </c>
      <c r="BG58">
        <v>38</v>
      </c>
      <c r="BH58" s="40">
        <v>92</v>
      </c>
      <c r="BI58" s="41">
        <v>92</v>
      </c>
      <c r="BJ58" s="41">
        <v>92</v>
      </c>
      <c r="BK58" s="41">
        <v>92</v>
      </c>
      <c r="BL58" s="41">
        <v>91</v>
      </c>
      <c r="BM58" s="41">
        <v>92</v>
      </c>
      <c r="BN58" s="41">
        <v>92</v>
      </c>
      <c r="BO58" s="41">
        <v>89</v>
      </c>
      <c r="BP58" s="41">
        <v>90</v>
      </c>
      <c r="BQ58" s="41">
        <v>88</v>
      </c>
      <c r="BR58" s="41">
        <v>96</v>
      </c>
      <c r="BS58" s="41">
        <v>92</v>
      </c>
      <c r="BT58" s="41">
        <v>92</v>
      </c>
      <c r="BU58" s="41">
        <v>92</v>
      </c>
      <c r="BV58" s="41">
        <v>92</v>
      </c>
      <c r="BW58" s="41">
        <v>92</v>
      </c>
      <c r="BX58" s="41">
        <v>91</v>
      </c>
      <c r="BY58" s="41">
        <v>92</v>
      </c>
      <c r="BZ58" s="41">
        <v>92</v>
      </c>
      <c r="CA58" s="41">
        <v>89</v>
      </c>
      <c r="CB58" s="41">
        <v>90</v>
      </c>
      <c r="CC58" s="41">
        <v>96</v>
      </c>
      <c r="CD58" s="41">
        <v>96</v>
      </c>
      <c r="CE58" s="41">
        <v>92</v>
      </c>
      <c r="CF58" s="41">
        <v>92</v>
      </c>
      <c r="CG58" s="41">
        <v>92</v>
      </c>
      <c r="CH58" s="41">
        <v>92</v>
      </c>
      <c r="CI58" s="41">
        <v>92</v>
      </c>
      <c r="CJ58" s="41">
        <v>91</v>
      </c>
      <c r="CK58" s="41">
        <v>92</v>
      </c>
      <c r="CL58" s="41">
        <v>92</v>
      </c>
      <c r="CM58" s="41">
        <v>89</v>
      </c>
      <c r="CN58" s="41">
        <v>90</v>
      </c>
      <c r="CO58" s="41">
        <v>95</v>
      </c>
      <c r="CP58" s="41">
        <v>92</v>
      </c>
      <c r="CQ58" s="41">
        <v>92</v>
      </c>
      <c r="CR58" s="41">
        <v>92</v>
      </c>
      <c r="CS58" s="41" t="s">
        <v>326</v>
      </c>
      <c r="CT58" s="41" t="s">
        <v>326</v>
      </c>
      <c r="CU58" s="41" t="s">
        <v>326</v>
      </c>
      <c r="CV58" s="41" t="s">
        <v>326</v>
      </c>
      <c r="CW58" s="41" t="s">
        <v>326</v>
      </c>
      <c r="CX58" s="41" t="s">
        <v>326</v>
      </c>
      <c r="CY58" s="41" t="s">
        <v>326</v>
      </c>
      <c r="CZ58" s="41" t="s">
        <v>326</v>
      </c>
      <c r="DA58" s="41" t="s">
        <v>326</v>
      </c>
      <c r="DB58" s="41" t="s">
        <v>326</v>
      </c>
      <c r="DC58" s="41" t="s">
        <v>326</v>
      </c>
      <c r="DD58" s="41" t="s">
        <v>326</v>
      </c>
      <c r="DE58" s="41" t="s">
        <v>326</v>
      </c>
      <c r="DF58" s="41" t="s">
        <v>326</v>
      </c>
      <c r="DG58" s="41" t="s">
        <v>327</v>
      </c>
      <c r="DH58" s="41" t="s">
        <v>326</v>
      </c>
      <c r="DI58" s="41" t="s">
        <v>326</v>
      </c>
      <c r="DJ58" s="41" t="s">
        <v>326</v>
      </c>
      <c r="DK58" s="41" t="s">
        <v>326</v>
      </c>
      <c r="DL58" s="41" t="s">
        <v>326</v>
      </c>
      <c r="DM58" s="41" t="s">
        <v>326</v>
      </c>
      <c r="DN58" s="41" t="s">
        <v>326</v>
      </c>
      <c r="DO58" s="37" t="s">
        <v>326</v>
      </c>
      <c r="DP58" s="37" t="s">
        <v>326</v>
      </c>
      <c r="DQ58" s="37" t="s">
        <v>326</v>
      </c>
      <c r="DR58" s="37" t="s">
        <v>326</v>
      </c>
      <c r="DS58" s="37" t="s">
        <v>326</v>
      </c>
      <c r="DT58" s="52">
        <v>46</v>
      </c>
      <c r="DU58" s="52">
        <v>46</v>
      </c>
      <c r="DV58" s="52">
        <v>45</v>
      </c>
      <c r="DW58" s="52">
        <v>47</v>
      </c>
      <c r="DX58" s="52">
        <v>48</v>
      </c>
      <c r="DY58" s="52">
        <v>46</v>
      </c>
      <c r="DZ58" s="52">
        <v>46</v>
      </c>
      <c r="EA58" s="52">
        <v>46</v>
      </c>
      <c r="EB58" s="52">
        <v>47</v>
      </c>
      <c r="EC58" s="52">
        <v>46</v>
      </c>
      <c r="ED58" s="52">
        <v>46</v>
      </c>
      <c r="EE58" s="52">
        <v>45</v>
      </c>
      <c r="EF58" s="52">
        <v>46</v>
      </c>
      <c r="EG58" s="52">
        <v>46</v>
      </c>
      <c r="EH58" s="52">
        <v>50</v>
      </c>
      <c r="EI58" s="52">
        <v>49</v>
      </c>
      <c r="EJ58" s="52">
        <v>48</v>
      </c>
      <c r="EK58" s="52">
        <v>46</v>
      </c>
      <c r="EL58" s="52">
        <v>46</v>
      </c>
      <c r="EM58" s="52" t="s">
        <v>326</v>
      </c>
      <c r="EN58" s="52" t="s">
        <v>326</v>
      </c>
      <c r="EO58" s="52" t="s">
        <v>326</v>
      </c>
      <c r="EP58" s="52" t="s">
        <v>326</v>
      </c>
      <c r="EQ58" s="52" t="s">
        <v>326</v>
      </c>
      <c r="ER58" s="52" t="s">
        <v>326</v>
      </c>
      <c r="ES58" s="52" t="s">
        <v>326</v>
      </c>
      <c r="ET58" s="52" t="s">
        <v>326</v>
      </c>
      <c r="EU58" s="52" t="s">
        <v>326</v>
      </c>
      <c r="EV58" s="52" t="s">
        <v>326</v>
      </c>
      <c r="EW58" s="52" t="s">
        <v>326</v>
      </c>
      <c r="EX58" s="52" t="s">
        <v>326</v>
      </c>
      <c r="EY58" s="53" t="s">
        <v>326</v>
      </c>
      <c r="FG58" s="26"/>
      <c r="FI58" s="26"/>
      <c r="FP58" s="26"/>
      <c r="FQ58" s="26"/>
      <c r="FR58" s="26"/>
      <c r="FS58" s="26"/>
      <c r="FT58" s="26"/>
      <c r="FU58" s="26"/>
      <c r="FV58" s="26"/>
      <c r="FW58" s="26"/>
      <c r="FX58" s="26"/>
      <c r="FY58" s="26"/>
      <c r="FZ58" s="26"/>
      <c r="GA58" s="26"/>
      <c r="GB58" s="26"/>
      <c r="GC58" s="26"/>
      <c r="GD58" s="26"/>
      <c r="GG58" s="26"/>
      <c r="GK58">
        <f>IF(ISNUMBER(EY487),EY487,999)</f>
        <v>999</v>
      </c>
    </row>
    <row r="59" spans="2:193" x14ac:dyDescent="0.3">
      <c r="B59" s="18" t="s">
        <v>400</v>
      </c>
      <c r="C59" s="13">
        <v>27</v>
      </c>
      <c r="D59" s="21" t="s">
        <v>401</v>
      </c>
      <c r="E59" s="24">
        <v>41</v>
      </c>
      <c r="G59" s="2">
        <f t="shared" si="31"/>
        <v>40</v>
      </c>
      <c r="H59" s="5">
        <v>7</v>
      </c>
      <c r="I59" s="13">
        <v>10</v>
      </c>
      <c r="L59" s="4"/>
      <c r="M59" s="7"/>
      <c r="O59" s="7"/>
      <c r="T59" s="7"/>
      <c r="AE59" s="7"/>
      <c r="BD59" s="26"/>
      <c r="BE59" s="26">
        <f t="shared" si="30"/>
        <v>31</v>
      </c>
      <c r="BF59">
        <v>31</v>
      </c>
      <c r="BG59">
        <v>39</v>
      </c>
      <c r="BH59" s="42">
        <v>101</v>
      </c>
      <c r="BI59" s="42">
        <v>101</v>
      </c>
      <c r="BJ59" s="42">
        <v>101</v>
      </c>
      <c r="BK59" s="42">
        <v>102</v>
      </c>
      <c r="BL59" s="42">
        <v>101</v>
      </c>
      <c r="BM59" s="42">
        <v>101</v>
      </c>
      <c r="BN59" s="42">
        <v>105</v>
      </c>
      <c r="BO59" s="42">
        <v>104</v>
      </c>
      <c r="BP59" s="42">
        <v>98</v>
      </c>
      <c r="BQ59" s="42">
        <v>105</v>
      </c>
      <c r="BR59" s="42">
        <v>101</v>
      </c>
      <c r="BS59" s="42">
        <v>101</v>
      </c>
      <c r="BT59" s="42">
        <v>101</v>
      </c>
      <c r="BU59" s="42">
        <v>101</v>
      </c>
      <c r="BV59" s="42">
        <v>101</v>
      </c>
      <c r="BW59" s="42">
        <v>101</v>
      </c>
      <c r="BX59" s="42">
        <v>101</v>
      </c>
      <c r="BY59" s="42">
        <v>101</v>
      </c>
      <c r="BZ59" s="42">
        <v>105</v>
      </c>
      <c r="CA59" s="42">
        <v>104</v>
      </c>
      <c r="CB59" s="42">
        <v>103</v>
      </c>
      <c r="CC59" s="42">
        <v>105</v>
      </c>
      <c r="CD59" s="42">
        <v>101</v>
      </c>
      <c r="CE59" s="42">
        <v>101</v>
      </c>
      <c r="CF59" s="42">
        <v>101</v>
      </c>
      <c r="CG59" s="42">
        <v>101</v>
      </c>
      <c r="CH59" s="42">
        <v>101</v>
      </c>
      <c r="CI59" s="42">
        <v>68</v>
      </c>
      <c r="CJ59" s="42" t="s">
        <v>326</v>
      </c>
      <c r="CK59" s="42" t="s">
        <v>326</v>
      </c>
      <c r="CL59" s="42" t="s">
        <v>326</v>
      </c>
      <c r="CM59" s="42" t="s">
        <v>326</v>
      </c>
      <c r="CN59" s="42" t="s">
        <v>326</v>
      </c>
      <c r="CO59" s="42" t="s">
        <v>326</v>
      </c>
      <c r="CP59" s="42" t="s">
        <v>326</v>
      </c>
      <c r="CQ59" s="42" t="s">
        <v>326</v>
      </c>
      <c r="CR59" s="42" t="s">
        <v>326</v>
      </c>
      <c r="CS59" s="42" t="s">
        <v>326</v>
      </c>
      <c r="CT59" s="42" t="s">
        <v>326</v>
      </c>
      <c r="CU59" s="42" t="s">
        <v>326</v>
      </c>
      <c r="CV59" s="42" t="s">
        <v>326</v>
      </c>
      <c r="CW59" s="42" t="s">
        <v>326</v>
      </c>
      <c r="CX59" s="42" t="s">
        <v>326</v>
      </c>
      <c r="CY59" s="42" t="s">
        <v>326</v>
      </c>
      <c r="CZ59" s="42" t="s">
        <v>326</v>
      </c>
      <c r="DA59" s="42" t="s">
        <v>326</v>
      </c>
      <c r="DB59" s="42" t="s">
        <v>326</v>
      </c>
      <c r="DC59" s="42" t="s">
        <v>326</v>
      </c>
      <c r="DD59" s="42" t="s">
        <v>326</v>
      </c>
      <c r="DE59" s="42" t="s">
        <v>326</v>
      </c>
      <c r="DF59" s="42" t="s">
        <v>326</v>
      </c>
      <c r="DG59" s="42" t="s">
        <v>327</v>
      </c>
      <c r="DH59" s="42" t="s">
        <v>326</v>
      </c>
      <c r="DI59" s="42" t="s">
        <v>326</v>
      </c>
      <c r="DJ59" s="42" t="s">
        <v>326</v>
      </c>
      <c r="DK59" s="42" t="s">
        <v>326</v>
      </c>
      <c r="DL59" s="42" t="s">
        <v>326</v>
      </c>
      <c r="DM59" s="42" t="s">
        <v>326</v>
      </c>
      <c r="DN59" s="42" t="s">
        <v>326</v>
      </c>
      <c r="DO59" s="26" t="s">
        <v>326</v>
      </c>
      <c r="DP59" s="26" t="s">
        <v>326</v>
      </c>
      <c r="DQ59" s="26" t="s">
        <v>326</v>
      </c>
      <c r="DR59" s="26" t="s">
        <v>326</v>
      </c>
      <c r="DS59" s="26" t="s">
        <v>326</v>
      </c>
      <c r="DT59" s="29">
        <v>52</v>
      </c>
      <c r="DU59" s="29">
        <v>51</v>
      </c>
      <c r="DV59" s="29">
        <v>51</v>
      </c>
      <c r="DW59" s="29">
        <v>51</v>
      </c>
      <c r="DX59" s="29">
        <v>49</v>
      </c>
      <c r="DY59" s="29">
        <v>56</v>
      </c>
      <c r="DZ59" s="29">
        <v>55</v>
      </c>
      <c r="EA59" s="29">
        <v>51</v>
      </c>
      <c r="EB59" s="29">
        <v>50</v>
      </c>
      <c r="EC59" s="29">
        <v>51</v>
      </c>
      <c r="ED59" s="29">
        <v>51</v>
      </c>
      <c r="EE59" s="29">
        <v>47</v>
      </c>
      <c r="EF59" s="29">
        <v>52</v>
      </c>
      <c r="EG59" s="29">
        <v>51</v>
      </c>
      <c r="EH59" s="29" t="s">
        <v>326</v>
      </c>
      <c r="EI59" s="29" t="s">
        <v>326</v>
      </c>
      <c r="EJ59" s="29" t="s">
        <v>326</v>
      </c>
      <c r="EK59" s="29" t="s">
        <v>326</v>
      </c>
      <c r="EL59" s="29" t="s">
        <v>326</v>
      </c>
      <c r="EM59" s="29" t="s">
        <v>326</v>
      </c>
      <c r="EN59" s="29" t="s">
        <v>326</v>
      </c>
      <c r="EO59" s="29" t="s">
        <v>326</v>
      </c>
      <c r="EP59" s="29" t="s">
        <v>326</v>
      </c>
      <c r="EQ59" s="29" t="s">
        <v>326</v>
      </c>
      <c r="ER59" s="29" t="s">
        <v>326</v>
      </c>
      <c r="ES59" s="29" t="s">
        <v>326</v>
      </c>
      <c r="ET59" s="29" t="s">
        <v>326</v>
      </c>
      <c r="EU59" s="29" t="s">
        <v>326</v>
      </c>
      <c r="EV59" s="29" t="s">
        <v>326</v>
      </c>
      <c r="EW59" s="29" t="s">
        <v>326</v>
      </c>
      <c r="EX59" s="29" t="s">
        <v>326</v>
      </c>
      <c r="EY59" s="29" t="s">
        <v>326</v>
      </c>
      <c r="EZ59" s="26"/>
      <c r="FA59" s="26"/>
      <c r="FB59" s="26"/>
      <c r="FC59" s="26"/>
      <c r="FD59" s="26"/>
      <c r="FE59" s="26"/>
      <c r="FF59" s="26"/>
      <c r="FG59" s="26"/>
      <c r="FH59" s="26"/>
      <c r="FI59" s="26"/>
      <c r="FK59" s="26"/>
      <c r="FL59" s="26"/>
      <c r="FM59" s="26"/>
      <c r="FN59" s="26"/>
      <c r="FO59" s="26"/>
      <c r="FP59" s="26"/>
      <c r="FQ59" s="26"/>
      <c r="FR59" s="26"/>
      <c r="FS59" s="26"/>
      <c r="FT59" s="26"/>
      <c r="FU59" s="26"/>
      <c r="FV59" s="26"/>
      <c r="FW59" s="26"/>
      <c r="FX59" s="26"/>
      <c r="FY59" s="26"/>
      <c r="FZ59" s="26"/>
      <c r="GA59" s="26"/>
      <c r="GB59" s="26"/>
      <c r="GC59" s="26"/>
      <c r="GD59" s="26"/>
      <c r="GG59" s="26"/>
      <c r="GJ59">
        <f>GJ55+1</f>
        <v>15</v>
      </c>
      <c r="GK59" t="str">
        <f>IF(Grps&gt;GJ55,GJ59,"")</f>
        <v/>
      </c>
    </row>
    <row r="60" spans="2:193" x14ac:dyDescent="0.3">
      <c r="B60" s="18" t="s">
        <v>402</v>
      </c>
      <c r="C60" s="13">
        <v>26</v>
      </c>
      <c r="D60" s="21" t="s">
        <v>403</v>
      </c>
      <c r="E60" s="24">
        <v>40</v>
      </c>
      <c r="G60" s="2">
        <f t="shared" si="31"/>
        <v>41</v>
      </c>
      <c r="H60" s="5">
        <v>7</v>
      </c>
      <c r="I60" s="13">
        <v>10</v>
      </c>
      <c r="L60" s="4"/>
      <c r="M60" s="7"/>
      <c r="O60" s="7"/>
      <c r="T60" s="7"/>
      <c r="AE60" s="7"/>
      <c r="BD60" s="26"/>
      <c r="BE60" s="26" t="str">
        <f t="shared" si="30"/>
        <v>BYE</v>
      </c>
      <c r="BF60">
        <v>98</v>
      </c>
      <c r="BG60">
        <v>40</v>
      </c>
      <c r="BH60" s="42">
        <v>28</v>
      </c>
      <c r="BI60" s="42">
        <v>28</v>
      </c>
      <c r="BJ60" s="42">
        <v>28</v>
      </c>
      <c r="BK60" s="42">
        <v>28</v>
      </c>
      <c r="BL60" s="42">
        <v>28</v>
      </c>
      <c r="BM60" s="42">
        <v>28</v>
      </c>
      <c r="BN60" s="42">
        <v>28</v>
      </c>
      <c r="BO60" s="42">
        <v>28</v>
      </c>
      <c r="BP60" s="42">
        <v>28</v>
      </c>
      <c r="BQ60" s="42">
        <v>28</v>
      </c>
      <c r="BR60" s="42">
        <v>28</v>
      </c>
      <c r="BS60" s="42">
        <v>28</v>
      </c>
      <c r="BT60" s="42">
        <v>28</v>
      </c>
      <c r="BU60" s="42">
        <v>28</v>
      </c>
      <c r="BV60" s="42">
        <v>28</v>
      </c>
      <c r="BW60" s="42">
        <v>28</v>
      </c>
      <c r="BX60" s="42">
        <v>28</v>
      </c>
      <c r="BY60" s="42">
        <v>28</v>
      </c>
      <c r="BZ60" s="42">
        <v>28</v>
      </c>
      <c r="CA60" s="42">
        <v>28</v>
      </c>
      <c r="CB60" s="42">
        <v>28</v>
      </c>
      <c r="CC60" s="42">
        <v>28</v>
      </c>
      <c r="CD60" s="42">
        <v>28</v>
      </c>
      <c r="CE60" s="42">
        <v>28</v>
      </c>
      <c r="CF60" s="42">
        <v>28</v>
      </c>
      <c r="CG60" s="42">
        <v>28</v>
      </c>
      <c r="CH60" s="42">
        <v>28</v>
      </c>
      <c r="CI60" s="42">
        <v>28</v>
      </c>
      <c r="CJ60" s="42">
        <v>28</v>
      </c>
      <c r="CK60" s="42">
        <v>28</v>
      </c>
      <c r="CL60" s="42">
        <v>28</v>
      </c>
      <c r="CM60" s="42">
        <v>28</v>
      </c>
      <c r="CN60" s="42">
        <v>28</v>
      </c>
      <c r="CO60" s="42">
        <v>28</v>
      </c>
      <c r="CP60" s="42">
        <v>28</v>
      </c>
      <c r="CQ60" s="42">
        <v>28</v>
      </c>
      <c r="CR60" s="42">
        <v>28</v>
      </c>
      <c r="CS60" s="42">
        <v>28</v>
      </c>
      <c r="CT60" s="42">
        <v>28</v>
      </c>
      <c r="CU60" s="42">
        <v>28</v>
      </c>
      <c r="CV60" s="42">
        <v>28</v>
      </c>
      <c r="CW60" s="42">
        <v>28</v>
      </c>
      <c r="CX60" s="42">
        <v>28</v>
      </c>
      <c r="CY60" s="42">
        <v>28</v>
      </c>
      <c r="CZ60" s="42">
        <v>28</v>
      </c>
      <c r="DA60" s="42">
        <v>28</v>
      </c>
      <c r="DB60" s="42">
        <v>28</v>
      </c>
      <c r="DC60" s="42">
        <v>28</v>
      </c>
      <c r="DD60" s="42">
        <v>28</v>
      </c>
      <c r="DE60" s="42">
        <v>28</v>
      </c>
      <c r="DF60" s="42">
        <v>27</v>
      </c>
      <c r="DG60" s="42">
        <v>34</v>
      </c>
      <c r="DH60" s="42">
        <v>27</v>
      </c>
      <c r="DI60" s="42">
        <v>28</v>
      </c>
      <c r="DJ60" s="42">
        <v>28</v>
      </c>
      <c r="DK60" s="42">
        <v>28</v>
      </c>
      <c r="DL60" s="42">
        <v>27</v>
      </c>
      <c r="DM60" s="42">
        <v>27</v>
      </c>
      <c r="DN60" s="42">
        <v>47</v>
      </c>
      <c r="DO60" s="26">
        <v>28</v>
      </c>
      <c r="DP60" s="26">
        <v>28</v>
      </c>
      <c r="DQ60" s="26">
        <v>28</v>
      </c>
      <c r="DR60" s="26">
        <v>27</v>
      </c>
      <c r="DS60" s="26">
        <v>27</v>
      </c>
      <c r="DT60" s="29">
        <v>14</v>
      </c>
      <c r="DU60" s="29">
        <v>14</v>
      </c>
      <c r="DV60" s="29">
        <v>14</v>
      </c>
      <c r="DW60" s="29">
        <v>14</v>
      </c>
      <c r="DX60" s="29">
        <v>14</v>
      </c>
      <c r="DY60" s="29">
        <v>14</v>
      </c>
      <c r="DZ60" s="29">
        <v>14</v>
      </c>
      <c r="EA60" s="29">
        <v>14</v>
      </c>
      <c r="EB60" s="29">
        <v>14</v>
      </c>
      <c r="EC60" s="29">
        <v>14</v>
      </c>
      <c r="ED60" s="29">
        <v>14</v>
      </c>
      <c r="EE60" s="29">
        <v>14</v>
      </c>
      <c r="EF60" s="29">
        <v>14</v>
      </c>
      <c r="EG60" s="29">
        <v>14</v>
      </c>
      <c r="EH60" s="29">
        <v>14</v>
      </c>
      <c r="EI60" s="29">
        <v>14</v>
      </c>
      <c r="EJ60" s="29">
        <v>14</v>
      </c>
      <c r="EK60" s="29">
        <v>14</v>
      </c>
      <c r="EL60" s="29">
        <v>14</v>
      </c>
      <c r="EM60" s="29">
        <v>14</v>
      </c>
      <c r="EN60" s="29">
        <v>14</v>
      </c>
      <c r="EO60" s="29">
        <v>14</v>
      </c>
      <c r="EP60" s="29">
        <v>14</v>
      </c>
      <c r="EQ60" s="29">
        <v>14</v>
      </c>
      <c r="ER60" s="29">
        <v>14</v>
      </c>
      <c r="ES60" s="29">
        <v>14</v>
      </c>
      <c r="ET60" s="29">
        <v>14</v>
      </c>
      <c r="EU60" s="29">
        <v>14</v>
      </c>
      <c r="EV60" s="29">
        <v>13</v>
      </c>
      <c r="EW60" s="29">
        <v>13</v>
      </c>
      <c r="EX60" s="29">
        <v>13</v>
      </c>
      <c r="EY60" s="29">
        <v>14</v>
      </c>
      <c r="EZ60" s="26"/>
      <c r="FA60" s="26"/>
      <c r="FB60" s="26"/>
      <c r="FC60" s="26"/>
      <c r="FD60" s="26"/>
      <c r="FE60" s="26"/>
      <c r="FF60" s="26"/>
      <c r="FG60" s="26"/>
      <c r="FI60" s="26"/>
      <c r="FK60" s="26"/>
      <c r="FL60" s="26"/>
      <c r="FM60" s="26"/>
      <c r="FN60" s="26"/>
      <c r="FO60" s="26"/>
      <c r="FP60" s="26"/>
      <c r="FQ60" s="26"/>
      <c r="FR60" s="26"/>
      <c r="FS60" s="26"/>
      <c r="FT60" s="26"/>
      <c r="FU60" s="26"/>
      <c r="FV60" s="26"/>
      <c r="FW60" s="26"/>
      <c r="FX60" s="26"/>
      <c r="FY60" s="26"/>
      <c r="FZ60" s="26"/>
      <c r="GA60" s="26"/>
      <c r="GB60" s="26"/>
      <c r="GC60" s="26"/>
      <c r="GD60" s="26"/>
      <c r="GG60" s="26"/>
      <c r="GK60">
        <f>IF(ISNUMBER(EY522),EY522,999)</f>
        <v>999</v>
      </c>
    </row>
    <row r="61" spans="2:193" x14ac:dyDescent="0.3">
      <c r="B61" s="18" t="s">
        <v>404</v>
      </c>
      <c r="C61" s="13">
        <v>48</v>
      </c>
      <c r="D61" s="21" t="s">
        <v>405</v>
      </c>
      <c r="E61" s="24">
        <v>39</v>
      </c>
      <c r="G61" s="2">
        <f t="shared" si="31"/>
        <v>42</v>
      </c>
      <c r="H61" s="5">
        <v>7</v>
      </c>
      <c r="I61" s="13">
        <v>10</v>
      </c>
      <c r="L61" s="4"/>
      <c r="M61" s="7"/>
      <c r="O61" s="7"/>
      <c r="T61" s="7"/>
      <c r="AE61" s="7"/>
      <c r="BD61" s="26"/>
      <c r="BE61" s="26">
        <f t="shared" si="30"/>
        <v>12</v>
      </c>
      <c r="BF61">
        <v>12</v>
      </c>
      <c r="BG61">
        <v>41</v>
      </c>
      <c r="BH61" s="38">
        <v>21</v>
      </c>
      <c r="BI61" s="39">
        <v>21</v>
      </c>
      <c r="BJ61" s="39">
        <v>21</v>
      </c>
      <c r="BK61" s="39">
        <v>21</v>
      </c>
      <c r="BL61" s="39">
        <v>21</v>
      </c>
      <c r="BM61" s="39">
        <v>21</v>
      </c>
      <c r="BN61" s="39">
        <v>21</v>
      </c>
      <c r="BO61" s="39">
        <v>21</v>
      </c>
      <c r="BP61" s="39">
        <v>21</v>
      </c>
      <c r="BQ61" s="39">
        <v>21</v>
      </c>
      <c r="BR61" s="39">
        <v>21</v>
      </c>
      <c r="BS61" s="39">
        <v>21</v>
      </c>
      <c r="BT61" s="39">
        <v>21</v>
      </c>
      <c r="BU61" s="39">
        <v>21</v>
      </c>
      <c r="BV61" s="39">
        <v>21</v>
      </c>
      <c r="BW61" s="39">
        <v>21</v>
      </c>
      <c r="BX61" s="39">
        <v>21</v>
      </c>
      <c r="BY61" s="39">
        <v>21</v>
      </c>
      <c r="BZ61" s="39">
        <v>21</v>
      </c>
      <c r="CA61" s="39">
        <v>21</v>
      </c>
      <c r="CB61" s="39">
        <v>21</v>
      </c>
      <c r="CC61" s="39">
        <v>21</v>
      </c>
      <c r="CD61" s="39">
        <v>21</v>
      </c>
      <c r="CE61" s="39">
        <v>21</v>
      </c>
      <c r="CF61" s="39">
        <v>21</v>
      </c>
      <c r="CG61" s="39">
        <v>21</v>
      </c>
      <c r="CH61" s="39">
        <v>21</v>
      </c>
      <c r="CI61" s="39">
        <v>21</v>
      </c>
      <c r="CJ61" s="39">
        <v>21</v>
      </c>
      <c r="CK61" s="39">
        <v>21</v>
      </c>
      <c r="CL61" s="39">
        <v>21</v>
      </c>
      <c r="CM61" s="39">
        <v>21</v>
      </c>
      <c r="CN61" s="39">
        <v>21</v>
      </c>
      <c r="CO61" s="39">
        <v>21</v>
      </c>
      <c r="CP61" s="39">
        <v>21</v>
      </c>
      <c r="CQ61" s="39">
        <v>21</v>
      </c>
      <c r="CR61" s="39">
        <v>21</v>
      </c>
      <c r="CS61" s="39">
        <v>21</v>
      </c>
      <c r="CT61" s="39">
        <v>21</v>
      </c>
      <c r="CU61" s="39">
        <v>21</v>
      </c>
      <c r="CV61" s="39">
        <v>21</v>
      </c>
      <c r="CW61" s="39">
        <v>21</v>
      </c>
      <c r="CX61" s="39">
        <v>21</v>
      </c>
      <c r="CY61" s="39">
        <v>21</v>
      </c>
      <c r="CZ61" s="39">
        <v>21</v>
      </c>
      <c r="DA61" s="39">
        <v>21</v>
      </c>
      <c r="DB61" s="39">
        <v>21</v>
      </c>
      <c r="DC61" s="39">
        <v>21</v>
      </c>
      <c r="DD61" s="39">
        <v>21</v>
      </c>
      <c r="DE61" s="39">
        <v>21</v>
      </c>
      <c r="DF61" s="39">
        <v>21</v>
      </c>
      <c r="DG61" s="39">
        <v>12</v>
      </c>
      <c r="DH61" s="39">
        <v>21</v>
      </c>
      <c r="DI61" s="39">
        <v>21</v>
      </c>
      <c r="DJ61" s="39">
        <v>21</v>
      </c>
      <c r="DK61" s="39">
        <v>21</v>
      </c>
      <c r="DL61" s="39">
        <v>21</v>
      </c>
      <c r="DM61" s="39">
        <v>21</v>
      </c>
      <c r="DN61" s="39">
        <v>21</v>
      </c>
      <c r="DO61" s="36">
        <v>21</v>
      </c>
      <c r="DP61" s="36">
        <v>21</v>
      </c>
      <c r="DQ61" s="36">
        <v>21</v>
      </c>
      <c r="DR61" s="36">
        <v>21</v>
      </c>
      <c r="DS61" s="36">
        <v>21</v>
      </c>
      <c r="DT61" s="50">
        <v>11</v>
      </c>
      <c r="DU61" s="50">
        <v>11</v>
      </c>
      <c r="DV61" s="50">
        <v>11</v>
      </c>
      <c r="DW61" s="50">
        <v>10</v>
      </c>
      <c r="DX61" s="50">
        <v>11</v>
      </c>
      <c r="DY61" s="50">
        <v>11</v>
      </c>
      <c r="DZ61" s="50">
        <v>11</v>
      </c>
      <c r="EA61" s="50">
        <v>11</v>
      </c>
      <c r="EB61" s="50">
        <v>11</v>
      </c>
      <c r="EC61" s="50">
        <v>11</v>
      </c>
      <c r="ED61" s="50">
        <v>11</v>
      </c>
      <c r="EE61" s="50">
        <v>11</v>
      </c>
      <c r="EF61" s="50">
        <v>11</v>
      </c>
      <c r="EG61" s="50">
        <v>11</v>
      </c>
      <c r="EH61" s="50">
        <v>11</v>
      </c>
      <c r="EI61" s="50">
        <v>11</v>
      </c>
      <c r="EJ61" s="50">
        <v>11</v>
      </c>
      <c r="EK61" s="50">
        <v>11</v>
      </c>
      <c r="EL61" s="50">
        <v>11</v>
      </c>
      <c r="EM61" s="50">
        <v>11</v>
      </c>
      <c r="EN61" s="50">
        <v>11</v>
      </c>
      <c r="EO61" s="50">
        <v>11</v>
      </c>
      <c r="EP61" s="50">
        <v>11</v>
      </c>
      <c r="EQ61" s="50">
        <v>11</v>
      </c>
      <c r="ER61" s="50">
        <v>11</v>
      </c>
      <c r="ES61" s="50">
        <v>11</v>
      </c>
      <c r="ET61" s="50">
        <v>11</v>
      </c>
      <c r="EU61" s="50">
        <v>11</v>
      </c>
      <c r="EV61" s="50">
        <v>11</v>
      </c>
      <c r="EW61" s="50">
        <v>11</v>
      </c>
      <c r="EX61" s="50">
        <v>11</v>
      </c>
      <c r="EY61" s="51">
        <v>11</v>
      </c>
      <c r="EZ61" s="26"/>
      <c r="FA61" s="26"/>
      <c r="FB61" s="26"/>
      <c r="FC61" s="26"/>
      <c r="FD61" s="26"/>
      <c r="FE61" s="26"/>
      <c r="FF61" s="26"/>
      <c r="FG61" s="26"/>
      <c r="FI61" s="26"/>
      <c r="FK61" s="26"/>
      <c r="FL61" s="26"/>
      <c r="FM61" s="26"/>
      <c r="FN61" s="26"/>
      <c r="FO61" s="26"/>
      <c r="FP61" s="26"/>
      <c r="FQ61" s="26"/>
      <c r="FR61" s="26"/>
      <c r="FS61" s="26"/>
      <c r="FT61" s="26"/>
      <c r="FU61" s="26"/>
      <c r="FV61" s="26"/>
      <c r="FW61" s="26"/>
      <c r="FX61" s="26"/>
      <c r="FY61" s="26"/>
      <c r="FZ61" s="26"/>
      <c r="GA61" s="26"/>
      <c r="GB61" s="26"/>
      <c r="GC61" s="26"/>
      <c r="GD61" s="26"/>
      <c r="GG61" s="26"/>
      <c r="GK61">
        <f>IF(ISNUMBER(EY523),EY523,999)</f>
        <v>999</v>
      </c>
    </row>
    <row r="62" spans="2:193" x14ac:dyDescent="0.3">
      <c r="B62" s="18" t="s">
        <v>406</v>
      </c>
      <c r="C62" s="13">
        <v>47</v>
      </c>
      <c r="D62" s="21" t="s">
        <v>407</v>
      </c>
      <c r="E62" s="24">
        <v>38</v>
      </c>
      <c r="G62" s="2">
        <f t="shared" si="31"/>
        <v>43</v>
      </c>
      <c r="H62" s="5">
        <v>7</v>
      </c>
      <c r="I62" s="13">
        <v>10</v>
      </c>
      <c r="L62" s="4"/>
      <c r="M62" s="7"/>
      <c r="O62" s="7"/>
      <c r="T62" s="7"/>
      <c r="AE62" s="7"/>
      <c r="BD62" s="26"/>
      <c r="BE62" s="26" t="str">
        <f t="shared" si="30"/>
        <v>BYE</v>
      </c>
      <c r="BF62">
        <v>117</v>
      </c>
      <c r="BG62">
        <v>42</v>
      </c>
      <c r="BH62" s="40">
        <v>108</v>
      </c>
      <c r="BI62" s="41">
        <v>108</v>
      </c>
      <c r="BJ62" s="41">
        <v>108</v>
      </c>
      <c r="BK62" s="41">
        <v>108</v>
      </c>
      <c r="BL62" s="41">
        <v>107</v>
      </c>
      <c r="BM62" s="41">
        <v>108</v>
      </c>
      <c r="BN62" s="41">
        <v>108</v>
      </c>
      <c r="BO62" s="41">
        <v>105</v>
      </c>
      <c r="BP62" s="41">
        <v>104</v>
      </c>
      <c r="BQ62" s="41">
        <v>104</v>
      </c>
      <c r="BR62" s="41">
        <v>112</v>
      </c>
      <c r="BS62" s="41">
        <v>108</v>
      </c>
      <c r="BT62" s="41">
        <v>108</v>
      </c>
      <c r="BU62" s="41">
        <v>108</v>
      </c>
      <c r="BV62" s="41">
        <v>108</v>
      </c>
      <c r="BW62" s="41">
        <v>108</v>
      </c>
      <c r="BX62" s="41">
        <v>107</v>
      </c>
      <c r="BY62" s="41">
        <v>108</v>
      </c>
      <c r="BZ62" s="41">
        <v>108</v>
      </c>
      <c r="CA62" s="41">
        <v>105</v>
      </c>
      <c r="CB62" s="41">
        <v>106</v>
      </c>
      <c r="CC62" s="41" t="s">
        <v>326</v>
      </c>
      <c r="CD62" s="41" t="s">
        <v>326</v>
      </c>
      <c r="CE62" s="41" t="s">
        <v>326</v>
      </c>
      <c r="CF62" s="41" t="s">
        <v>326</v>
      </c>
      <c r="CG62" s="41" t="s">
        <v>326</v>
      </c>
      <c r="CH62" s="41" t="s">
        <v>326</v>
      </c>
      <c r="CI62" s="41" t="s">
        <v>326</v>
      </c>
      <c r="CJ62" s="41" t="s">
        <v>326</v>
      </c>
      <c r="CK62" s="41" t="s">
        <v>326</v>
      </c>
      <c r="CL62" s="41" t="s">
        <v>326</v>
      </c>
      <c r="CM62" s="41" t="s">
        <v>326</v>
      </c>
      <c r="CN62" s="41" t="s">
        <v>326</v>
      </c>
      <c r="CO62" s="41" t="s">
        <v>326</v>
      </c>
      <c r="CP62" s="41" t="s">
        <v>326</v>
      </c>
      <c r="CQ62" s="41" t="s">
        <v>326</v>
      </c>
      <c r="CR62" s="41" t="s">
        <v>326</v>
      </c>
      <c r="CS62" s="41" t="s">
        <v>326</v>
      </c>
      <c r="CT62" s="41" t="s">
        <v>326</v>
      </c>
      <c r="CU62" s="41" t="s">
        <v>326</v>
      </c>
      <c r="CV62" s="41" t="s">
        <v>326</v>
      </c>
      <c r="CW62" s="41" t="s">
        <v>326</v>
      </c>
      <c r="CX62" s="41" t="s">
        <v>326</v>
      </c>
      <c r="CY62" s="41" t="s">
        <v>326</v>
      </c>
      <c r="CZ62" s="41" t="s">
        <v>326</v>
      </c>
      <c r="DA62" s="41" t="s">
        <v>326</v>
      </c>
      <c r="DB62" s="41" t="s">
        <v>326</v>
      </c>
      <c r="DC62" s="41" t="s">
        <v>326</v>
      </c>
      <c r="DD62" s="41" t="s">
        <v>326</v>
      </c>
      <c r="DE62" s="41" t="s">
        <v>326</v>
      </c>
      <c r="DF62" s="41" t="s">
        <v>326</v>
      </c>
      <c r="DG62" s="41" t="s">
        <v>327</v>
      </c>
      <c r="DH62" s="41" t="s">
        <v>326</v>
      </c>
      <c r="DI62" s="41" t="s">
        <v>326</v>
      </c>
      <c r="DJ62" s="41" t="s">
        <v>326</v>
      </c>
      <c r="DK62" s="41" t="s">
        <v>326</v>
      </c>
      <c r="DL62" s="41" t="s">
        <v>326</v>
      </c>
      <c r="DM62" s="41" t="s">
        <v>326</v>
      </c>
      <c r="DN62" s="41" t="s">
        <v>326</v>
      </c>
      <c r="DO62" s="37" t="s">
        <v>326</v>
      </c>
      <c r="DP62" s="37" t="s">
        <v>326</v>
      </c>
      <c r="DQ62" s="37" t="s">
        <v>326</v>
      </c>
      <c r="DR62" s="37" t="s">
        <v>326</v>
      </c>
      <c r="DS62" s="37" t="s">
        <v>326</v>
      </c>
      <c r="DT62" s="52">
        <v>54</v>
      </c>
      <c r="DU62" s="52">
        <v>54</v>
      </c>
      <c r="DV62" s="52">
        <v>53</v>
      </c>
      <c r="DW62" s="52">
        <v>57</v>
      </c>
      <c r="DX62" s="52">
        <v>56</v>
      </c>
      <c r="DY62" s="52">
        <v>54</v>
      </c>
      <c r="DZ62" s="52">
        <v>54</v>
      </c>
      <c r="EA62" s="52">
        <v>54</v>
      </c>
      <c r="EB62" s="52">
        <v>55</v>
      </c>
      <c r="EC62" s="52">
        <v>54</v>
      </c>
      <c r="ED62" s="52">
        <v>54</v>
      </c>
      <c r="EE62" s="52" t="s">
        <v>326</v>
      </c>
      <c r="EF62" s="52" t="s">
        <v>326</v>
      </c>
      <c r="EG62" s="52" t="s">
        <v>326</v>
      </c>
      <c r="EH62" s="52" t="s">
        <v>326</v>
      </c>
      <c r="EI62" s="52" t="s">
        <v>326</v>
      </c>
      <c r="EJ62" s="52" t="s">
        <v>326</v>
      </c>
      <c r="EK62" s="52" t="s">
        <v>326</v>
      </c>
      <c r="EL62" s="52" t="s">
        <v>326</v>
      </c>
      <c r="EM62" s="52" t="s">
        <v>326</v>
      </c>
      <c r="EN62" s="52" t="s">
        <v>326</v>
      </c>
      <c r="EO62" s="52" t="s">
        <v>326</v>
      </c>
      <c r="EP62" s="52" t="s">
        <v>326</v>
      </c>
      <c r="EQ62" s="52" t="s">
        <v>326</v>
      </c>
      <c r="ER62" s="52" t="s">
        <v>326</v>
      </c>
      <c r="ES62" s="52" t="s">
        <v>326</v>
      </c>
      <c r="ET62" s="52" t="s">
        <v>326</v>
      </c>
      <c r="EU62" s="52" t="s">
        <v>326</v>
      </c>
      <c r="EV62" s="52" t="s">
        <v>326</v>
      </c>
      <c r="EW62" s="52" t="s">
        <v>326</v>
      </c>
      <c r="EX62" s="52" t="s">
        <v>326</v>
      </c>
      <c r="EY62" s="53" t="s">
        <v>326</v>
      </c>
      <c r="EZ62" s="26"/>
      <c r="FA62" s="26"/>
      <c r="FB62" s="26"/>
      <c r="FC62" s="26"/>
      <c r="FD62" s="26"/>
      <c r="FE62" s="26"/>
      <c r="FF62" s="26"/>
      <c r="FG62" s="26"/>
      <c r="FH62" s="26"/>
      <c r="FI62" s="26"/>
      <c r="FK62" s="26"/>
      <c r="FL62" s="26"/>
      <c r="FM62" s="26"/>
      <c r="FN62" s="26"/>
      <c r="FO62" s="26"/>
      <c r="FP62" s="26"/>
      <c r="FQ62" s="26"/>
      <c r="FR62" s="26"/>
      <c r="FS62" s="26"/>
      <c r="FT62" s="26"/>
      <c r="FU62" s="26"/>
      <c r="FV62" s="26"/>
      <c r="FW62" s="26"/>
      <c r="FX62" s="26"/>
      <c r="FY62" s="26"/>
      <c r="FZ62" s="26"/>
      <c r="GA62" s="26"/>
      <c r="GB62" s="26"/>
      <c r="GC62" s="26"/>
      <c r="GD62" s="26"/>
      <c r="GG62" s="26"/>
      <c r="GK62">
        <f>IF(ISNUMBER(EY524),EY524,999)</f>
        <v>999</v>
      </c>
    </row>
    <row r="63" spans="2:193" x14ac:dyDescent="0.3">
      <c r="B63" s="18" t="s">
        <v>408</v>
      </c>
      <c r="C63" s="13">
        <v>46</v>
      </c>
      <c r="D63" s="21" t="s">
        <v>409</v>
      </c>
      <c r="E63" s="24">
        <v>37</v>
      </c>
      <c r="G63" s="2">
        <f t="shared" si="31"/>
        <v>44</v>
      </c>
      <c r="H63" s="5">
        <v>7</v>
      </c>
      <c r="I63" s="13">
        <v>10</v>
      </c>
      <c r="L63" s="4"/>
      <c r="M63" s="7"/>
      <c r="O63" s="7"/>
      <c r="T63" s="7"/>
      <c r="AE63" s="7"/>
      <c r="BD63" s="26"/>
      <c r="BE63" s="26">
        <f t="shared" si="30"/>
        <v>53</v>
      </c>
      <c r="BF63">
        <v>53</v>
      </c>
      <c r="BG63">
        <v>43</v>
      </c>
      <c r="BH63" s="42">
        <v>85</v>
      </c>
      <c r="BI63" s="42">
        <v>85</v>
      </c>
      <c r="BJ63" s="42">
        <v>85</v>
      </c>
      <c r="BK63" s="42">
        <v>86</v>
      </c>
      <c r="BL63" s="42">
        <v>85</v>
      </c>
      <c r="BM63" s="42">
        <v>85</v>
      </c>
      <c r="BN63" s="42">
        <v>89</v>
      </c>
      <c r="BO63" s="42">
        <v>88</v>
      </c>
      <c r="BP63" s="42">
        <v>87</v>
      </c>
      <c r="BQ63" s="42">
        <v>89</v>
      </c>
      <c r="BR63" s="42">
        <v>85</v>
      </c>
      <c r="BS63" s="42">
        <v>85</v>
      </c>
      <c r="BT63" s="42">
        <v>85</v>
      </c>
      <c r="BU63" s="42">
        <v>85</v>
      </c>
      <c r="BV63" s="42">
        <v>85</v>
      </c>
      <c r="BW63" s="42">
        <v>86</v>
      </c>
      <c r="BX63" s="42">
        <v>85</v>
      </c>
      <c r="BY63" s="42">
        <v>85</v>
      </c>
      <c r="BZ63" s="42">
        <v>89</v>
      </c>
      <c r="CA63" s="42">
        <v>88</v>
      </c>
      <c r="CB63" s="42">
        <v>87</v>
      </c>
      <c r="CC63" s="42">
        <v>89</v>
      </c>
      <c r="CD63" s="42">
        <v>85</v>
      </c>
      <c r="CE63" s="42">
        <v>85</v>
      </c>
      <c r="CF63" s="42">
        <v>85</v>
      </c>
      <c r="CG63" s="42">
        <v>85</v>
      </c>
      <c r="CH63" s="42">
        <v>85</v>
      </c>
      <c r="CI63" s="42">
        <v>86</v>
      </c>
      <c r="CJ63" s="42">
        <v>85</v>
      </c>
      <c r="CK63" s="42">
        <v>85</v>
      </c>
      <c r="CL63" s="42">
        <v>89</v>
      </c>
      <c r="CM63" s="42">
        <v>88</v>
      </c>
      <c r="CN63" s="42">
        <v>87</v>
      </c>
      <c r="CO63" s="42">
        <v>88</v>
      </c>
      <c r="CP63" s="42">
        <v>85</v>
      </c>
      <c r="CQ63" s="42">
        <v>85</v>
      </c>
      <c r="CR63" s="42">
        <v>85</v>
      </c>
      <c r="CS63" s="42">
        <v>85</v>
      </c>
      <c r="CT63" s="42">
        <v>85</v>
      </c>
      <c r="CU63" s="42">
        <v>86</v>
      </c>
      <c r="CV63" s="42">
        <v>85</v>
      </c>
      <c r="CW63" s="42">
        <v>85</v>
      </c>
      <c r="CX63" s="42">
        <v>82</v>
      </c>
      <c r="CY63" s="42">
        <v>83</v>
      </c>
      <c r="CZ63" s="42" t="s">
        <v>326</v>
      </c>
      <c r="DA63" s="42" t="s">
        <v>326</v>
      </c>
      <c r="DB63" s="42" t="s">
        <v>326</v>
      </c>
      <c r="DC63" s="42" t="s">
        <v>326</v>
      </c>
      <c r="DD63" s="42" t="s">
        <v>326</v>
      </c>
      <c r="DE63" s="42" t="s">
        <v>326</v>
      </c>
      <c r="DF63" s="42" t="s">
        <v>326</v>
      </c>
      <c r="DG63" s="42">
        <v>53</v>
      </c>
      <c r="DH63" s="42" t="s">
        <v>326</v>
      </c>
      <c r="DI63" s="42" t="s">
        <v>326</v>
      </c>
      <c r="DJ63" s="42" t="s">
        <v>326</v>
      </c>
      <c r="DK63" s="42" t="s">
        <v>326</v>
      </c>
      <c r="DL63" s="42" t="s">
        <v>326</v>
      </c>
      <c r="DM63" s="42" t="s">
        <v>326</v>
      </c>
      <c r="DN63" s="42" t="s">
        <v>326</v>
      </c>
      <c r="DO63" s="26" t="s">
        <v>326</v>
      </c>
      <c r="DP63" s="26" t="s">
        <v>326</v>
      </c>
      <c r="DQ63" s="26" t="s">
        <v>326</v>
      </c>
      <c r="DR63" s="26" t="s">
        <v>326</v>
      </c>
      <c r="DS63" s="26" t="s">
        <v>326</v>
      </c>
      <c r="DT63" s="29">
        <v>44</v>
      </c>
      <c r="DU63" s="29">
        <v>43</v>
      </c>
      <c r="DV63" s="29">
        <v>43</v>
      </c>
      <c r="DW63" s="29">
        <v>44</v>
      </c>
      <c r="DX63" s="29">
        <v>42</v>
      </c>
      <c r="DY63" s="29">
        <v>47</v>
      </c>
      <c r="DZ63" s="29">
        <v>47</v>
      </c>
      <c r="EA63" s="29">
        <v>43</v>
      </c>
      <c r="EB63" s="29">
        <v>42</v>
      </c>
      <c r="EC63" s="29">
        <v>43</v>
      </c>
      <c r="ED63" s="29">
        <v>43</v>
      </c>
      <c r="EE63" s="29">
        <v>42</v>
      </c>
      <c r="EF63" s="29">
        <v>44</v>
      </c>
      <c r="EG63" s="29">
        <v>43</v>
      </c>
      <c r="EH63" s="29">
        <v>43</v>
      </c>
      <c r="EI63" s="29">
        <v>42</v>
      </c>
      <c r="EJ63" s="29">
        <v>41</v>
      </c>
      <c r="EK63" s="29">
        <v>40</v>
      </c>
      <c r="EL63" s="29">
        <v>43</v>
      </c>
      <c r="EM63" s="29">
        <v>43</v>
      </c>
      <c r="EN63" s="29">
        <v>42</v>
      </c>
      <c r="EO63" s="29">
        <v>43</v>
      </c>
      <c r="EP63" s="29" t="s">
        <v>326</v>
      </c>
      <c r="EQ63" s="29" t="s">
        <v>326</v>
      </c>
      <c r="ER63" s="29" t="s">
        <v>326</v>
      </c>
      <c r="ES63" s="29" t="s">
        <v>326</v>
      </c>
      <c r="ET63" s="29" t="s">
        <v>326</v>
      </c>
      <c r="EU63" s="29" t="s">
        <v>326</v>
      </c>
      <c r="EV63" s="29" t="s">
        <v>326</v>
      </c>
      <c r="EW63" s="29" t="s">
        <v>326</v>
      </c>
      <c r="EX63" s="29" t="s">
        <v>326</v>
      </c>
      <c r="EY63" s="29" t="s">
        <v>326</v>
      </c>
      <c r="EZ63" s="26"/>
      <c r="FA63" s="26"/>
      <c r="FB63" s="26"/>
      <c r="FC63" s="26"/>
      <c r="FD63" s="26"/>
      <c r="FE63" s="26"/>
      <c r="FF63" s="26"/>
      <c r="FG63" s="26"/>
      <c r="FH63" s="26"/>
      <c r="FI63" s="26"/>
      <c r="FK63" s="26"/>
      <c r="FL63" s="26"/>
      <c r="FM63" s="26"/>
      <c r="FN63" s="26"/>
      <c r="FO63" s="26"/>
      <c r="FP63" s="26"/>
      <c r="FQ63" s="26"/>
      <c r="FR63" s="26"/>
      <c r="FS63" s="26"/>
      <c r="FT63" s="26"/>
      <c r="FU63" s="26"/>
      <c r="FV63" s="26"/>
      <c r="FW63" s="26"/>
      <c r="FX63" s="26"/>
      <c r="FY63" s="26"/>
      <c r="FZ63" s="26"/>
      <c r="GA63" s="26"/>
      <c r="GB63" s="26"/>
      <c r="GC63" s="26"/>
      <c r="GD63" s="26"/>
      <c r="GG63" s="26"/>
      <c r="GJ63">
        <f>GJ59+1</f>
        <v>16</v>
      </c>
      <c r="GK63" t="str">
        <f>IF(Grps&gt;GJ59,GJ63,"")</f>
        <v/>
      </c>
    </row>
    <row r="64" spans="2:193" x14ac:dyDescent="0.3">
      <c r="B64" s="18" t="s">
        <v>410</v>
      </c>
      <c r="C64" s="13">
        <v>45</v>
      </c>
      <c r="D64" s="21" t="s">
        <v>411</v>
      </c>
      <c r="E64" s="24">
        <v>36</v>
      </c>
      <c r="G64" s="2">
        <f t="shared" si="31"/>
        <v>45</v>
      </c>
      <c r="H64" s="5">
        <v>7</v>
      </c>
      <c r="I64" s="13">
        <v>10</v>
      </c>
      <c r="L64" s="4"/>
      <c r="M64" s="7"/>
      <c r="O64" s="7"/>
      <c r="T64" s="7"/>
      <c r="AE64" s="7"/>
      <c r="BD64" s="26"/>
      <c r="BE64" s="26" t="str">
        <f t="shared" si="30"/>
        <v>BYE</v>
      </c>
      <c r="BF64">
        <v>76</v>
      </c>
      <c r="BG64">
        <v>44</v>
      </c>
      <c r="BH64" s="42">
        <v>44</v>
      </c>
      <c r="BI64" s="42">
        <v>44</v>
      </c>
      <c r="BJ64" s="42">
        <v>43</v>
      </c>
      <c r="BK64" s="42">
        <v>43</v>
      </c>
      <c r="BL64" s="42">
        <v>43</v>
      </c>
      <c r="BM64" s="42">
        <v>44</v>
      </c>
      <c r="BN64" s="42">
        <v>44</v>
      </c>
      <c r="BO64" s="42">
        <v>44</v>
      </c>
      <c r="BP64" s="42">
        <v>43</v>
      </c>
      <c r="BQ64" s="42">
        <v>43</v>
      </c>
      <c r="BR64" s="42">
        <v>43</v>
      </c>
      <c r="BS64" s="42">
        <v>44</v>
      </c>
      <c r="BT64" s="42">
        <v>44</v>
      </c>
      <c r="BU64" s="42">
        <v>44</v>
      </c>
      <c r="BV64" s="42">
        <v>43</v>
      </c>
      <c r="BW64" s="42">
        <v>43</v>
      </c>
      <c r="BX64" s="42">
        <v>43</v>
      </c>
      <c r="BY64" s="42">
        <v>44</v>
      </c>
      <c r="BZ64" s="42">
        <v>44</v>
      </c>
      <c r="CA64" s="42">
        <v>44</v>
      </c>
      <c r="CB64" s="42">
        <v>43</v>
      </c>
      <c r="CC64" s="42">
        <v>43</v>
      </c>
      <c r="CD64" s="42">
        <v>43</v>
      </c>
      <c r="CE64" s="42">
        <v>44</v>
      </c>
      <c r="CF64" s="42">
        <v>44</v>
      </c>
      <c r="CG64" s="42">
        <v>44</v>
      </c>
      <c r="CH64" s="42">
        <v>43</v>
      </c>
      <c r="CI64" s="42">
        <v>43</v>
      </c>
      <c r="CJ64" s="42">
        <v>43</v>
      </c>
      <c r="CK64" s="42">
        <v>44</v>
      </c>
      <c r="CL64" s="42">
        <v>44</v>
      </c>
      <c r="CM64" s="42">
        <v>44</v>
      </c>
      <c r="CN64" s="42">
        <v>43</v>
      </c>
      <c r="CO64" s="42">
        <v>43</v>
      </c>
      <c r="CP64" s="42">
        <v>43</v>
      </c>
      <c r="CQ64" s="42">
        <v>44</v>
      </c>
      <c r="CR64" s="42">
        <v>44</v>
      </c>
      <c r="CS64" s="42">
        <v>44</v>
      </c>
      <c r="CT64" s="42">
        <v>43</v>
      </c>
      <c r="CU64" s="42">
        <v>43</v>
      </c>
      <c r="CV64" s="42">
        <v>43</v>
      </c>
      <c r="CW64" s="42">
        <v>44</v>
      </c>
      <c r="CX64" s="42">
        <v>44</v>
      </c>
      <c r="CY64" s="42">
        <v>44</v>
      </c>
      <c r="CZ64" s="42">
        <v>43</v>
      </c>
      <c r="DA64" s="42">
        <v>43</v>
      </c>
      <c r="DB64" s="42">
        <v>43</v>
      </c>
      <c r="DC64" s="42">
        <v>44</v>
      </c>
      <c r="DD64" s="42">
        <v>44</v>
      </c>
      <c r="DE64" s="42">
        <v>44</v>
      </c>
      <c r="DF64" s="42">
        <v>43</v>
      </c>
      <c r="DG64" s="42">
        <v>76</v>
      </c>
      <c r="DH64" s="42">
        <v>43</v>
      </c>
      <c r="DI64" s="42">
        <v>44</v>
      </c>
      <c r="DJ64" s="42">
        <v>44</v>
      </c>
      <c r="DK64" s="42">
        <v>44</v>
      </c>
      <c r="DL64" s="42">
        <v>43</v>
      </c>
      <c r="DM64" s="42">
        <v>43</v>
      </c>
      <c r="DN64" s="42">
        <v>43</v>
      </c>
      <c r="DO64" s="26">
        <v>44</v>
      </c>
      <c r="DP64" s="26">
        <v>44</v>
      </c>
      <c r="DQ64" s="26">
        <v>44</v>
      </c>
      <c r="DR64" s="26">
        <v>43</v>
      </c>
      <c r="DS64" s="26">
        <v>43</v>
      </c>
      <c r="DT64" s="29">
        <v>22</v>
      </c>
      <c r="DU64" s="29">
        <v>22</v>
      </c>
      <c r="DV64" s="29">
        <v>22</v>
      </c>
      <c r="DW64" s="29">
        <v>22</v>
      </c>
      <c r="DX64" s="29">
        <v>21</v>
      </c>
      <c r="DY64" s="29">
        <v>21</v>
      </c>
      <c r="DZ64" s="29">
        <v>21</v>
      </c>
      <c r="EA64" s="29">
        <v>22</v>
      </c>
      <c r="EB64" s="29">
        <v>22</v>
      </c>
      <c r="EC64" s="29">
        <v>22</v>
      </c>
      <c r="ED64" s="29">
        <v>21</v>
      </c>
      <c r="EE64" s="29">
        <v>19</v>
      </c>
      <c r="EF64" s="29">
        <v>21</v>
      </c>
      <c r="EG64" s="29">
        <v>22</v>
      </c>
      <c r="EH64" s="29">
        <v>22</v>
      </c>
      <c r="EI64" s="29">
        <v>22</v>
      </c>
      <c r="EJ64" s="29">
        <v>21</v>
      </c>
      <c r="EK64" s="29">
        <v>21</v>
      </c>
      <c r="EL64" s="29">
        <v>21</v>
      </c>
      <c r="EM64" s="29">
        <v>22</v>
      </c>
      <c r="EN64" s="29">
        <v>22</v>
      </c>
      <c r="EO64" s="29">
        <v>22</v>
      </c>
      <c r="EP64" s="29">
        <v>21</v>
      </c>
      <c r="EQ64" s="29">
        <v>21</v>
      </c>
      <c r="ER64" s="29">
        <v>21</v>
      </c>
      <c r="ES64" s="29">
        <v>22</v>
      </c>
      <c r="ET64" s="29">
        <v>22</v>
      </c>
      <c r="EU64" s="29">
        <v>22</v>
      </c>
      <c r="EV64" s="29">
        <v>21</v>
      </c>
      <c r="EW64" s="29">
        <v>21</v>
      </c>
      <c r="EX64" s="29">
        <v>21</v>
      </c>
      <c r="EY64" s="29">
        <v>22</v>
      </c>
      <c r="EZ64" s="26"/>
      <c r="FA64" s="26"/>
      <c r="FB64" s="26"/>
      <c r="FC64" s="26"/>
      <c r="FD64" s="26"/>
      <c r="FE64" s="26"/>
      <c r="FF64" s="26"/>
      <c r="FG64" s="26"/>
      <c r="FH64" s="26"/>
      <c r="FI64" s="26"/>
      <c r="FK64" s="26"/>
      <c r="FL64" s="26"/>
      <c r="FM64" s="26"/>
      <c r="FN64" s="26"/>
      <c r="FO64" s="26"/>
      <c r="FP64" s="26"/>
      <c r="FQ64" s="26"/>
      <c r="FR64" s="26"/>
      <c r="FS64" s="26"/>
      <c r="FT64" s="26"/>
      <c r="FU64" s="26"/>
      <c r="FV64" s="26"/>
      <c r="FW64" s="26"/>
      <c r="FX64" s="26"/>
      <c r="FY64" s="26"/>
      <c r="FZ64" s="26"/>
      <c r="GA64" s="26"/>
      <c r="GB64" s="26"/>
      <c r="GC64" s="26"/>
      <c r="GD64" s="26"/>
      <c r="GG64" s="26"/>
      <c r="GK64">
        <f>IF(ISNUMBER(EY559),EY559,999)</f>
        <v>999</v>
      </c>
    </row>
    <row r="65" spans="2:193" x14ac:dyDescent="0.3">
      <c r="B65" s="18" t="s">
        <v>412</v>
      </c>
      <c r="C65" s="13">
        <v>44</v>
      </c>
      <c r="D65" s="21" t="s">
        <v>413</v>
      </c>
      <c r="E65" s="24">
        <v>64</v>
      </c>
      <c r="G65" s="2">
        <f t="shared" si="31"/>
        <v>46</v>
      </c>
      <c r="H65" s="5">
        <v>7</v>
      </c>
      <c r="I65" s="13">
        <v>10</v>
      </c>
      <c r="L65" s="4"/>
      <c r="M65" s="7"/>
      <c r="O65" s="7"/>
      <c r="T65" s="7"/>
      <c r="AE65" s="7"/>
      <c r="BD65" s="26"/>
      <c r="BE65" s="26">
        <f t="shared" si="30"/>
        <v>21</v>
      </c>
      <c r="BF65">
        <v>21</v>
      </c>
      <c r="BG65">
        <v>45</v>
      </c>
      <c r="BH65" s="38">
        <v>53</v>
      </c>
      <c r="BI65" s="39">
        <v>53</v>
      </c>
      <c r="BJ65" s="39">
        <v>54</v>
      </c>
      <c r="BK65" s="39">
        <v>54</v>
      </c>
      <c r="BL65" s="39">
        <v>54</v>
      </c>
      <c r="BM65" s="39">
        <v>53</v>
      </c>
      <c r="BN65" s="39">
        <v>53</v>
      </c>
      <c r="BO65" s="39">
        <v>53</v>
      </c>
      <c r="BP65" s="39">
        <v>54</v>
      </c>
      <c r="BQ65" s="39">
        <v>54</v>
      </c>
      <c r="BR65" s="39">
        <v>54</v>
      </c>
      <c r="BS65" s="39">
        <v>53</v>
      </c>
      <c r="BT65" s="39">
        <v>53</v>
      </c>
      <c r="BU65" s="39">
        <v>53</v>
      </c>
      <c r="BV65" s="39">
        <v>54</v>
      </c>
      <c r="BW65" s="39">
        <v>54</v>
      </c>
      <c r="BX65" s="39">
        <v>54</v>
      </c>
      <c r="BY65" s="39">
        <v>53</v>
      </c>
      <c r="BZ65" s="39">
        <v>53</v>
      </c>
      <c r="CA65" s="39">
        <v>53</v>
      </c>
      <c r="CB65" s="39">
        <v>54</v>
      </c>
      <c r="CC65" s="39">
        <v>54</v>
      </c>
      <c r="CD65" s="39">
        <v>54</v>
      </c>
      <c r="CE65" s="39">
        <v>53</v>
      </c>
      <c r="CF65" s="39">
        <v>53</v>
      </c>
      <c r="CG65" s="39">
        <v>53</v>
      </c>
      <c r="CH65" s="39">
        <v>54</v>
      </c>
      <c r="CI65" s="39">
        <v>54</v>
      </c>
      <c r="CJ65" s="39">
        <v>54</v>
      </c>
      <c r="CK65" s="39">
        <v>53</v>
      </c>
      <c r="CL65" s="39">
        <v>53</v>
      </c>
      <c r="CM65" s="39">
        <v>53</v>
      </c>
      <c r="CN65" s="39">
        <v>54</v>
      </c>
      <c r="CO65" s="39">
        <v>54</v>
      </c>
      <c r="CP65" s="39">
        <v>54</v>
      </c>
      <c r="CQ65" s="39">
        <v>53</v>
      </c>
      <c r="CR65" s="39">
        <v>53</v>
      </c>
      <c r="CS65" s="39">
        <v>53</v>
      </c>
      <c r="CT65" s="39">
        <v>54</v>
      </c>
      <c r="CU65" s="39">
        <v>54</v>
      </c>
      <c r="CV65" s="39">
        <v>54</v>
      </c>
      <c r="CW65" s="39">
        <v>53</v>
      </c>
      <c r="CX65" s="39">
        <v>53</v>
      </c>
      <c r="CY65" s="39">
        <v>53</v>
      </c>
      <c r="CZ65" s="39">
        <v>54</v>
      </c>
      <c r="DA65" s="39">
        <v>54</v>
      </c>
      <c r="DB65" s="39">
        <v>54</v>
      </c>
      <c r="DC65" s="39">
        <v>53</v>
      </c>
      <c r="DD65" s="39">
        <v>53</v>
      </c>
      <c r="DE65" s="39">
        <v>53</v>
      </c>
      <c r="DF65" s="39">
        <v>53</v>
      </c>
      <c r="DG65" s="39">
        <v>21</v>
      </c>
      <c r="DH65" s="39">
        <v>53</v>
      </c>
      <c r="DI65" s="39">
        <v>53</v>
      </c>
      <c r="DJ65" s="39">
        <v>57</v>
      </c>
      <c r="DK65" s="39">
        <v>56</v>
      </c>
      <c r="DL65" s="39">
        <v>55</v>
      </c>
      <c r="DM65" s="39">
        <v>55</v>
      </c>
      <c r="DN65" s="39">
        <v>53</v>
      </c>
      <c r="DO65" s="36">
        <v>53</v>
      </c>
      <c r="DP65" s="36">
        <v>53</v>
      </c>
      <c r="DQ65" s="36">
        <v>53</v>
      </c>
      <c r="DR65" s="36">
        <v>53</v>
      </c>
      <c r="DS65" s="36">
        <v>54</v>
      </c>
      <c r="DT65" s="50">
        <v>28</v>
      </c>
      <c r="DU65" s="50">
        <v>27</v>
      </c>
      <c r="DV65" s="50">
        <v>27</v>
      </c>
      <c r="DW65" s="50">
        <v>27</v>
      </c>
      <c r="DX65" s="50">
        <v>28</v>
      </c>
      <c r="DY65" s="50">
        <v>28</v>
      </c>
      <c r="DZ65" s="50">
        <v>28</v>
      </c>
      <c r="EA65" s="50">
        <v>27</v>
      </c>
      <c r="EB65" s="50">
        <v>27</v>
      </c>
      <c r="EC65" s="50">
        <v>27</v>
      </c>
      <c r="ED65" s="50">
        <v>28</v>
      </c>
      <c r="EE65" s="50">
        <v>28</v>
      </c>
      <c r="EF65" s="50">
        <v>28</v>
      </c>
      <c r="EG65" s="50">
        <v>27</v>
      </c>
      <c r="EH65" s="50">
        <v>27</v>
      </c>
      <c r="EI65" s="50">
        <v>27</v>
      </c>
      <c r="EJ65" s="50">
        <v>28</v>
      </c>
      <c r="EK65" s="50">
        <v>28</v>
      </c>
      <c r="EL65" s="50">
        <v>28</v>
      </c>
      <c r="EM65" s="50">
        <v>27</v>
      </c>
      <c r="EN65" s="50">
        <v>27</v>
      </c>
      <c r="EO65" s="50">
        <v>27</v>
      </c>
      <c r="EP65" s="50">
        <v>28</v>
      </c>
      <c r="EQ65" s="50">
        <v>28</v>
      </c>
      <c r="ER65" s="50">
        <v>28</v>
      </c>
      <c r="ES65" s="50">
        <v>27</v>
      </c>
      <c r="ET65" s="50">
        <v>37</v>
      </c>
      <c r="EU65" s="50">
        <v>28</v>
      </c>
      <c r="EV65" s="50">
        <v>25</v>
      </c>
      <c r="EW65" s="50">
        <v>25</v>
      </c>
      <c r="EX65" s="50">
        <v>31</v>
      </c>
      <c r="EY65" s="51">
        <v>27</v>
      </c>
      <c r="EZ65" s="26"/>
      <c r="FA65" s="26"/>
      <c r="FB65" s="26"/>
      <c r="FC65" s="26"/>
      <c r="FD65" s="26"/>
      <c r="FE65" s="26"/>
      <c r="FF65" s="26"/>
      <c r="FG65" s="26"/>
      <c r="FH65" s="26"/>
      <c r="FI65" s="26"/>
      <c r="FK65" s="26"/>
      <c r="FL65" s="26"/>
      <c r="FM65" s="26"/>
      <c r="FN65" s="26"/>
      <c r="FO65" s="26"/>
      <c r="FP65" s="26"/>
      <c r="FQ65" s="26"/>
      <c r="FR65" s="26"/>
      <c r="FS65" s="26"/>
      <c r="FT65" s="26"/>
      <c r="FU65" s="26"/>
      <c r="FV65" s="26"/>
      <c r="FW65" s="26"/>
      <c r="FX65" s="26"/>
      <c r="FY65" s="26"/>
      <c r="FZ65" s="26"/>
      <c r="GA65" s="26"/>
      <c r="GB65" s="26"/>
      <c r="GC65" s="26"/>
      <c r="GD65" s="26"/>
      <c r="GG65" s="26"/>
      <c r="GK65">
        <f>IF(ISNUMBER(EY560),EY560,999)</f>
        <v>999</v>
      </c>
    </row>
    <row r="66" spans="2:193" x14ac:dyDescent="0.3">
      <c r="B66" s="18" t="s">
        <v>414</v>
      </c>
      <c r="C66" s="13">
        <v>43</v>
      </c>
      <c r="D66" s="21" t="s">
        <v>415</v>
      </c>
      <c r="E66" s="24">
        <v>63</v>
      </c>
      <c r="G66" s="2">
        <f t="shared" si="31"/>
        <v>47</v>
      </c>
      <c r="H66" s="5">
        <v>7</v>
      </c>
      <c r="I66" s="13">
        <v>10</v>
      </c>
      <c r="L66" s="4"/>
      <c r="M66" s="7"/>
      <c r="O66" s="7"/>
      <c r="T66" s="7"/>
      <c r="AE66" s="7"/>
      <c r="BD66" s="26"/>
      <c r="BE66" s="26" t="str">
        <f t="shared" si="30"/>
        <v>BYE</v>
      </c>
      <c r="BF66">
        <v>108</v>
      </c>
      <c r="BG66">
        <v>46</v>
      </c>
      <c r="BH66" s="40">
        <v>76</v>
      </c>
      <c r="BI66" s="41">
        <v>76</v>
      </c>
      <c r="BJ66" s="41">
        <v>75</v>
      </c>
      <c r="BK66" s="41">
        <v>75</v>
      </c>
      <c r="BL66" s="41">
        <v>75</v>
      </c>
      <c r="BM66" s="41">
        <v>76</v>
      </c>
      <c r="BN66" s="41">
        <v>76</v>
      </c>
      <c r="BO66" s="41">
        <v>76</v>
      </c>
      <c r="BP66" s="41">
        <v>75</v>
      </c>
      <c r="BQ66" s="41">
        <v>75</v>
      </c>
      <c r="BR66" s="41">
        <v>75</v>
      </c>
      <c r="BS66" s="41">
        <v>76</v>
      </c>
      <c r="BT66" s="41">
        <v>76</v>
      </c>
      <c r="BU66" s="41">
        <v>76</v>
      </c>
      <c r="BV66" s="41">
        <v>75</v>
      </c>
      <c r="BW66" s="41">
        <v>75</v>
      </c>
      <c r="BX66" s="41">
        <v>75</v>
      </c>
      <c r="BY66" s="41">
        <v>76</v>
      </c>
      <c r="BZ66" s="41">
        <v>76</v>
      </c>
      <c r="CA66" s="41">
        <v>75</v>
      </c>
      <c r="CB66" s="41">
        <v>74</v>
      </c>
      <c r="CC66" s="41">
        <v>80</v>
      </c>
      <c r="CD66" s="41">
        <v>80</v>
      </c>
      <c r="CE66" s="41">
        <v>76</v>
      </c>
      <c r="CF66" s="41">
        <v>76</v>
      </c>
      <c r="CG66" s="41">
        <v>76</v>
      </c>
      <c r="CH66" s="41">
        <v>76</v>
      </c>
      <c r="CI66" s="41">
        <v>76</v>
      </c>
      <c r="CJ66" s="41">
        <v>75</v>
      </c>
      <c r="CK66" s="41">
        <v>76</v>
      </c>
      <c r="CL66" s="41">
        <v>76</v>
      </c>
      <c r="CM66" s="41">
        <v>73</v>
      </c>
      <c r="CN66" s="41">
        <v>74</v>
      </c>
      <c r="CO66" s="41">
        <v>79</v>
      </c>
      <c r="CP66" s="41">
        <v>80</v>
      </c>
      <c r="CQ66" s="41">
        <v>76</v>
      </c>
      <c r="CR66" s="41">
        <v>76</v>
      </c>
      <c r="CS66" s="41">
        <v>76</v>
      </c>
      <c r="CT66" s="41">
        <v>76</v>
      </c>
      <c r="CU66" s="41">
        <v>76</v>
      </c>
      <c r="CV66" s="41">
        <v>75</v>
      </c>
      <c r="CW66" s="41">
        <v>76</v>
      </c>
      <c r="CX66" s="41">
        <v>76</v>
      </c>
      <c r="CY66" s="41">
        <v>73</v>
      </c>
      <c r="CZ66" s="41">
        <v>79</v>
      </c>
      <c r="DA66" s="41">
        <v>79</v>
      </c>
      <c r="DB66" s="41">
        <v>80</v>
      </c>
      <c r="DC66" s="41">
        <v>76</v>
      </c>
      <c r="DD66" s="41">
        <v>76</v>
      </c>
      <c r="DE66" s="41">
        <v>76</v>
      </c>
      <c r="DF66" s="41">
        <v>76</v>
      </c>
      <c r="DG66" s="41" t="s">
        <v>327</v>
      </c>
      <c r="DH66" s="41">
        <v>75</v>
      </c>
      <c r="DI66" s="41" t="s">
        <v>326</v>
      </c>
      <c r="DJ66" s="41" t="s">
        <v>326</v>
      </c>
      <c r="DK66" s="41" t="s">
        <v>326</v>
      </c>
      <c r="DL66" s="41" t="s">
        <v>326</v>
      </c>
      <c r="DM66" s="41" t="s">
        <v>326</v>
      </c>
      <c r="DN66" s="41" t="s">
        <v>326</v>
      </c>
      <c r="DO66" s="37" t="s">
        <v>326</v>
      </c>
      <c r="DP66" s="37" t="s">
        <v>326</v>
      </c>
      <c r="DQ66" s="37" t="s">
        <v>326</v>
      </c>
      <c r="DR66" s="37" t="s">
        <v>326</v>
      </c>
      <c r="DS66" s="37" t="s">
        <v>326</v>
      </c>
      <c r="DT66" s="52">
        <v>37</v>
      </c>
      <c r="DU66" s="52">
        <v>38</v>
      </c>
      <c r="DV66" s="52">
        <v>38</v>
      </c>
      <c r="DW66" s="52">
        <v>38</v>
      </c>
      <c r="DX66" s="52">
        <v>37</v>
      </c>
      <c r="DY66" s="52">
        <v>37</v>
      </c>
      <c r="DZ66" s="52">
        <v>37</v>
      </c>
      <c r="EA66" s="52">
        <v>38</v>
      </c>
      <c r="EB66" s="52">
        <v>38</v>
      </c>
      <c r="EC66" s="52">
        <v>38</v>
      </c>
      <c r="ED66" s="52">
        <v>38</v>
      </c>
      <c r="EE66" s="52">
        <v>37</v>
      </c>
      <c r="EF66" s="52">
        <v>38</v>
      </c>
      <c r="EG66" s="52">
        <v>38</v>
      </c>
      <c r="EH66" s="52">
        <v>42</v>
      </c>
      <c r="EI66" s="52">
        <v>39</v>
      </c>
      <c r="EJ66" s="52">
        <v>40</v>
      </c>
      <c r="EK66" s="52">
        <v>38</v>
      </c>
      <c r="EL66" s="52">
        <v>38</v>
      </c>
      <c r="EM66" s="52">
        <v>38</v>
      </c>
      <c r="EN66" s="52">
        <v>39</v>
      </c>
      <c r="EO66" s="52">
        <v>38</v>
      </c>
      <c r="EP66" s="52">
        <v>38</v>
      </c>
      <c r="EQ66" s="52">
        <v>37</v>
      </c>
      <c r="ER66" s="52">
        <v>38</v>
      </c>
      <c r="ES66" s="52">
        <v>38</v>
      </c>
      <c r="ET66" s="52">
        <v>34</v>
      </c>
      <c r="EU66" s="52" t="s">
        <v>326</v>
      </c>
      <c r="EV66" s="52" t="s">
        <v>326</v>
      </c>
      <c r="EW66" s="52" t="s">
        <v>326</v>
      </c>
      <c r="EX66" s="52" t="s">
        <v>326</v>
      </c>
      <c r="EY66" s="53" t="s">
        <v>326</v>
      </c>
      <c r="EZ66" s="26"/>
      <c r="FA66" s="26"/>
      <c r="FB66" s="26"/>
      <c r="FC66" s="26"/>
      <c r="FD66" s="26"/>
      <c r="FE66" s="26"/>
      <c r="FF66" s="26"/>
      <c r="FG66" s="26"/>
      <c r="FH66" s="26"/>
      <c r="FI66" s="26"/>
      <c r="FK66" s="26"/>
      <c r="FL66" s="26"/>
      <c r="FM66" s="26"/>
      <c r="FN66" s="26"/>
      <c r="FO66" s="26"/>
      <c r="FP66" s="26"/>
      <c r="FQ66" s="26"/>
      <c r="FR66" s="26"/>
      <c r="FS66" s="26"/>
      <c r="FT66" s="26"/>
      <c r="FU66" s="26"/>
      <c r="FV66" s="26"/>
      <c r="FW66" s="26"/>
      <c r="FX66" s="26"/>
      <c r="FY66" s="26"/>
      <c r="FZ66" s="26"/>
      <c r="GA66" s="26"/>
      <c r="GB66" s="26"/>
      <c r="GC66" s="26"/>
      <c r="GD66" s="26"/>
      <c r="GG66" s="26"/>
      <c r="GK66">
        <f>IF(ISNUMBER(EY561),EY561,999)</f>
        <v>999</v>
      </c>
    </row>
    <row r="67" spans="2:193" x14ac:dyDescent="0.3">
      <c r="B67" s="18" t="s">
        <v>416</v>
      </c>
      <c r="C67" s="13">
        <v>42</v>
      </c>
      <c r="D67" s="21" t="s">
        <v>417</v>
      </c>
      <c r="E67" s="24">
        <v>62</v>
      </c>
      <c r="G67" s="2">
        <f t="shared" si="31"/>
        <v>48</v>
      </c>
      <c r="H67" s="5">
        <v>7</v>
      </c>
      <c r="I67" s="13">
        <v>10</v>
      </c>
      <c r="L67" s="4"/>
      <c r="M67" s="7"/>
      <c r="O67" s="7"/>
      <c r="T67" s="7"/>
      <c r="AE67" s="7"/>
      <c r="BD67" s="26"/>
      <c r="BE67" s="26">
        <f t="shared" si="30"/>
        <v>46</v>
      </c>
      <c r="BF67">
        <v>46</v>
      </c>
      <c r="BG67">
        <v>47</v>
      </c>
      <c r="BH67" s="42">
        <v>117</v>
      </c>
      <c r="BI67" s="42">
        <v>117</v>
      </c>
      <c r="BJ67" s="42">
        <v>117</v>
      </c>
      <c r="BK67" s="42">
        <v>118</v>
      </c>
      <c r="BL67" s="42">
        <v>117</v>
      </c>
      <c r="BM67" s="42">
        <v>117</v>
      </c>
      <c r="BN67" s="42">
        <v>121</v>
      </c>
      <c r="BO67" s="42">
        <v>114</v>
      </c>
      <c r="BP67" s="42">
        <v>114</v>
      </c>
      <c r="BQ67" s="42" t="s">
        <v>326</v>
      </c>
      <c r="BR67" s="42">
        <v>117</v>
      </c>
      <c r="BS67" s="42">
        <v>117</v>
      </c>
      <c r="BT67" s="42" t="s">
        <v>326</v>
      </c>
      <c r="BU67" s="42" t="s">
        <v>326</v>
      </c>
      <c r="BV67" s="42" t="s">
        <v>326</v>
      </c>
      <c r="BW67" s="42" t="s">
        <v>326</v>
      </c>
      <c r="BX67" s="42" t="s">
        <v>326</v>
      </c>
      <c r="BY67" s="42" t="s">
        <v>326</v>
      </c>
      <c r="BZ67" s="42" t="s">
        <v>326</v>
      </c>
      <c r="CA67" s="42" t="s">
        <v>326</v>
      </c>
      <c r="CB67" s="42" t="s">
        <v>326</v>
      </c>
      <c r="CC67" s="42" t="s">
        <v>326</v>
      </c>
      <c r="CD67" s="42" t="s">
        <v>326</v>
      </c>
      <c r="CE67" s="42" t="s">
        <v>326</v>
      </c>
      <c r="CF67" s="42" t="s">
        <v>326</v>
      </c>
      <c r="CG67" s="42" t="s">
        <v>326</v>
      </c>
      <c r="CH67" s="42" t="s">
        <v>326</v>
      </c>
      <c r="CI67" s="42" t="s">
        <v>326</v>
      </c>
      <c r="CJ67" s="42" t="s">
        <v>326</v>
      </c>
      <c r="CK67" s="42" t="s">
        <v>326</v>
      </c>
      <c r="CL67" s="42" t="s">
        <v>326</v>
      </c>
      <c r="CM67" s="42" t="s">
        <v>326</v>
      </c>
      <c r="CN67" s="42" t="s">
        <v>326</v>
      </c>
      <c r="CO67" s="42" t="s">
        <v>326</v>
      </c>
      <c r="CP67" s="42" t="s">
        <v>326</v>
      </c>
      <c r="CQ67" s="42" t="s">
        <v>326</v>
      </c>
      <c r="CR67" s="42" t="s">
        <v>326</v>
      </c>
      <c r="CS67" s="42" t="s">
        <v>326</v>
      </c>
      <c r="CT67" s="42" t="s">
        <v>326</v>
      </c>
      <c r="CU67" s="42" t="s">
        <v>326</v>
      </c>
      <c r="CV67" s="42" t="s">
        <v>326</v>
      </c>
      <c r="CW67" s="42" t="s">
        <v>326</v>
      </c>
      <c r="CX67" s="42" t="s">
        <v>326</v>
      </c>
      <c r="CY67" s="42" t="s">
        <v>326</v>
      </c>
      <c r="CZ67" s="42" t="s">
        <v>326</v>
      </c>
      <c r="DA67" s="42" t="s">
        <v>326</v>
      </c>
      <c r="DB67" s="42" t="s">
        <v>326</v>
      </c>
      <c r="DC67" s="42" t="s">
        <v>326</v>
      </c>
      <c r="DD67" s="42" t="s">
        <v>326</v>
      </c>
      <c r="DE67" s="42" t="s">
        <v>326</v>
      </c>
      <c r="DF67" s="42" t="s">
        <v>326</v>
      </c>
      <c r="DG67" s="42" t="s">
        <v>327</v>
      </c>
      <c r="DH67" s="42" t="s">
        <v>326</v>
      </c>
      <c r="DI67" s="42" t="s">
        <v>326</v>
      </c>
      <c r="DJ67" s="42" t="s">
        <v>326</v>
      </c>
      <c r="DK67" s="42" t="s">
        <v>326</v>
      </c>
      <c r="DL67" s="42" t="s">
        <v>326</v>
      </c>
      <c r="DM67" s="42" t="s">
        <v>326</v>
      </c>
      <c r="DN67" s="42" t="s">
        <v>326</v>
      </c>
      <c r="DO67" s="26" t="s">
        <v>326</v>
      </c>
      <c r="DP67" s="26" t="s">
        <v>326</v>
      </c>
      <c r="DQ67" s="26" t="s">
        <v>326</v>
      </c>
      <c r="DR67" s="26" t="s">
        <v>326</v>
      </c>
      <c r="DS67" s="26" t="s">
        <v>326</v>
      </c>
      <c r="DT67" s="29">
        <v>60</v>
      </c>
      <c r="DU67" s="29">
        <v>59</v>
      </c>
      <c r="DV67" s="29">
        <v>59</v>
      </c>
      <c r="DW67" s="29">
        <v>58</v>
      </c>
      <c r="DX67" s="29">
        <v>57</v>
      </c>
      <c r="DY67" s="29">
        <v>41</v>
      </c>
      <c r="DZ67" s="29" t="s">
        <v>326</v>
      </c>
      <c r="EA67" s="29" t="s">
        <v>326</v>
      </c>
      <c r="EB67" s="29" t="s">
        <v>326</v>
      </c>
      <c r="EC67" s="29" t="s">
        <v>326</v>
      </c>
      <c r="ED67" s="29" t="s">
        <v>326</v>
      </c>
      <c r="EE67" s="29" t="s">
        <v>326</v>
      </c>
      <c r="EF67" s="29" t="s">
        <v>326</v>
      </c>
      <c r="EG67" s="29" t="s">
        <v>326</v>
      </c>
      <c r="EH67" s="29" t="s">
        <v>326</v>
      </c>
      <c r="EI67" s="29" t="s">
        <v>326</v>
      </c>
      <c r="EJ67" s="29" t="s">
        <v>326</v>
      </c>
      <c r="EK67" s="29" t="s">
        <v>326</v>
      </c>
      <c r="EL67" s="29" t="s">
        <v>326</v>
      </c>
      <c r="EM67" s="29" t="s">
        <v>326</v>
      </c>
      <c r="EN67" s="29" t="s">
        <v>326</v>
      </c>
      <c r="EO67" s="29" t="s">
        <v>326</v>
      </c>
      <c r="EP67" s="29" t="s">
        <v>326</v>
      </c>
      <c r="EQ67" s="29" t="s">
        <v>326</v>
      </c>
      <c r="ER67" s="29" t="s">
        <v>326</v>
      </c>
      <c r="ES67" s="29" t="s">
        <v>326</v>
      </c>
      <c r="ET67" s="29" t="s">
        <v>326</v>
      </c>
      <c r="EU67" s="29" t="s">
        <v>326</v>
      </c>
      <c r="EV67" s="29" t="s">
        <v>326</v>
      </c>
      <c r="EW67" s="29" t="s">
        <v>326</v>
      </c>
      <c r="EX67" s="29" t="s">
        <v>326</v>
      </c>
      <c r="EY67" s="29" t="s">
        <v>326</v>
      </c>
      <c r="EZ67" s="26"/>
      <c r="FA67" s="26"/>
      <c r="FB67" s="26"/>
      <c r="FC67" s="26"/>
      <c r="FD67" s="26"/>
      <c r="FE67" s="26"/>
      <c r="FF67" s="26"/>
      <c r="FG67" s="26"/>
      <c r="FH67" s="26"/>
      <c r="FI67" s="26"/>
      <c r="FK67" s="26"/>
      <c r="FL67" s="26"/>
      <c r="FM67" s="26"/>
      <c r="FN67" s="26"/>
      <c r="FO67" s="26"/>
      <c r="FP67" s="26"/>
      <c r="FQ67" s="26"/>
      <c r="FR67" s="26"/>
      <c r="FS67" s="26"/>
      <c r="FT67" s="26"/>
      <c r="FU67" s="26"/>
      <c r="FV67" s="26"/>
      <c r="FW67" s="26"/>
      <c r="FX67" s="26"/>
      <c r="FY67" s="26"/>
      <c r="FZ67" s="26"/>
      <c r="GA67" s="26"/>
      <c r="GB67" s="26"/>
      <c r="GC67" s="26"/>
      <c r="GD67" s="26"/>
      <c r="GG67" s="26"/>
      <c r="GJ67">
        <f>GJ63+1</f>
        <v>17</v>
      </c>
      <c r="GK67" t="str">
        <f>IF(Grps&gt;GJ63,GJ67,"")</f>
        <v/>
      </c>
    </row>
    <row r="68" spans="2:193" x14ac:dyDescent="0.3">
      <c r="B68" s="18" t="s">
        <v>418</v>
      </c>
      <c r="C68" s="13">
        <v>51</v>
      </c>
      <c r="D68" s="21" t="s">
        <v>419</v>
      </c>
      <c r="E68" s="24">
        <v>35</v>
      </c>
      <c r="G68" s="2">
        <f t="shared" si="31"/>
        <v>49</v>
      </c>
      <c r="H68" s="5">
        <v>7</v>
      </c>
      <c r="I68" s="13">
        <v>10</v>
      </c>
      <c r="L68" s="4"/>
      <c r="M68" s="7"/>
      <c r="O68" s="7"/>
      <c r="T68" s="7"/>
      <c r="AE68" s="7"/>
      <c r="BD68" s="26"/>
      <c r="BE68" s="26" t="str">
        <f t="shared" si="30"/>
        <v>BYE</v>
      </c>
      <c r="BF68">
        <v>85</v>
      </c>
      <c r="BG68">
        <v>48</v>
      </c>
      <c r="BH68" s="42">
        <v>12</v>
      </c>
      <c r="BI68" s="42">
        <v>12</v>
      </c>
      <c r="BJ68" s="42">
        <v>12</v>
      </c>
      <c r="BK68" s="42">
        <v>12</v>
      </c>
      <c r="BL68" s="42">
        <v>12</v>
      </c>
      <c r="BM68" s="42">
        <v>12</v>
      </c>
      <c r="BN68" s="42">
        <v>12</v>
      </c>
      <c r="BO68" s="42">
        <v>12</v>
      </c>
      <c r="BP68" s="42">
        <v>12</v>
      </c>
      <c r="BQ68" s="42">
        <v>12</v>
      </c>
      <c r="BR68" s="42">
        <v>12</v>
      </c>
      <c r="BS68" s="42">
        <v>12</v>
      </c>
      <c r="BT68" s="42">
        <v>12</v>
      </c>
      <c r="BU68" s="42">
        <v>12</v>
      </c>
      <c r="BV68" s="42">
        <v>12</v>
      </c>
      <c r="BW68" s="42">
        <v>12</v>
      </c>
      <c r="BX68" s="42">
        <v>12</v>
      </c>
      <c r="BY68" s="42">
        <v>12</v>
      </c>
      <c r="BZ68" s="42">
        <v>12</v>
      </c>
      <c r="CA68" s="42">
        <v>12</v>
      </c>
      <c r="CB68" s="42">
        <v>12</v>
      </c>
      <c r="CC68" s="42">
        <v>12</v>
      </c>
      <c r="CD68" s="42">
        <v>12</v>
      </c>
      <c r="CE68" s="42">
        <v>12</v>
      </c>
      <c r="CF68" s="42">
        <v>12</v>
      </c>
      <c r="CG68" s="42">
        <v>12</v>
      </c>
      <c r="CH68" s="42">
        <v>12</v>
      </c>
      <c r="CI68" s="42">
        <v>12</v>
      </c>
      <c r="CJ68" s="42">
        <v>12</v>
      </c>
      <c r="CK68" s="42">
        <v>12</v>
      </c>
      <c r="CL68" s="42">
        <v>12</v>
      </c>
      <c r="CM68" s="42">
        <v>12</v>
      </c>
      <c r="CN68" s="42">
        <v>12</v>
      </c>
      <c r="CO68" s="42">
        <v>12</v>
      </c>
      <c r="CP68" s="42">
        <v>12</v>
      </c>
      <c r="CQ68" s="42">
        <v>12</v>
      </c>
      <c r="CR68" s="42">
        <v>12</v>
      </c>
      <c r="CS68" s="42">
        <v>12</v>
      </c>
      <c r="CT68" s="42">
        <v>12</v>
      </c>
      <c r="CU68" s="42">
        <v>12</v>
      </c>
      <c r="CV68" s="42">
        <v>12</v>
      </c>
      <c r="CW68" s="42">
        <v>12</v>
      </c>
      <c r="CX68" s="42">
        <v>12</v>
      </c>
      <c r="CY68" s="42">
        <v>12</v>
      </c>
      <c r="CZ68" s="42">
        <v>12</v>
      </c>
      <c r="DA68" s="42">
        <v>12</v>
      </c>
      <c r="DB68" s="42">
        <v>12</v>
      </c>
      <c r="DC68" s="42">
        <v>12</v>
      </c>
      <c r="DD68" s="42">
        <v>12</v>
      </c>
      <c r="DE68" s="42">
        <v>12</v>
      </c>
      <c r="DF68" s="42">
        <v>12</v>
      </c>
      <c r="DG68" s="42">
        <v>43</v>
      </c>
      <c r="DH68" s="42">
        <v>12</v>
      </c>
      <c r="DI68" s="42">
        <v>12</v>
      </c>
      <c r="DJ68" s="42">
        <v>12</v>
      </c>
      <c r="DK68" s="42">
        <v>12</v>
      </c>
      <c r="DL68" s="42">
        <v>12</v>
      </c>
      <c r="DM68" s="42">
        <v>12</v>
      </c>
      <c r="DN68" s="42">
        <v>12</v>
      </c>
      <c r="DO68" s="26">
        <v>12</v>
      </c>
      <c r="DP68" s="26">
        <v>12</v>
      </c>
      <c r="DQ68" s="26">
        <v>12</v>
      </c>
      <c r="DR68" s="26">
        <v>12</v>
      </c>
      <c r="DS68" s="26">
        <v>12</v>
      </c>
      <c r="DT68" s="29">
        <v>6</v>
      </c>
      <c r="DU68" s="29">
        <v>6</v>
      </c>
      <c r="DV68" s="29">
        <v>6</v>
      </c>
      <c r="DW68" s="29">
        <v>6</v>
      </c>
      <c r="DX68" s="29">
        <v>6</v>
      </c>
      <c r="DY68" s="29">
        <v>6</v>
      </c>
      <c r="DZ68" s="29">
        <v>6</v>
      </c>
      <c r="EA68" s="29">
        <v>6</v>
      </c>
      <c r="EB68" s="29">
        <v>6</v>
      </c>
      <c r="EC68" s="29">
        <v>6</v>
      </c>
      <c r="ED68" s="29">
        <v>6</v>
      </c>
      <c r="EE68" s="29">
        <v>6</v>
      </c>
      <c r="EF68" s="29">
        <v>6</v>
      </c>
      <c r="EG68" s="29">
        <v>6</v>
      </c>
      <c r="EH68" s="29">
        <v>6</v>
      </c>
      <c r="EI68" s="29">
        <v>6</v>
      </c>
      <c r="EJ68" s="29">
        <v>6</v>
      </c>
      <c r="EK68" s="29">
        <v>6</v>
      </c>
      <c r="EL68" s="29">
        <v>6</v>
      </c>
      <c r="EM68" s="29">
        <v>6</v>
      </c>
      <c r="EN68" s="29">
        <v>6</v>
      </c>
      <c r="EO68" s="29">
        <v>6</v>
      </c>
      <c r="EP68" s="29">
        <v>6</v>
      </c>
      <c r="EQ68" s="29">
        <v>6</v>
      </c>
      <c r="ER68" s="29">
        <v>6</v>
      </c>
      <c r="ES68" s="29">
        <v>6</v>
      </c>
      <c r="ET68" s="29">
        <v>6</v>
      </c>
      <c r="EU68" s="29">
        <v>6</v>
      </c>
      <c r="EV68" s="29">
        <v>6</v>
      </c>
      <c r="EW68" s="29">
        <v>6</v>
      </c>
      <c r="EX68" s="29">
        <v>6</v>
      </c>
      <c r="EY68" s="29">
        <v>6</v>
      </c>
      <c r="EZ68" s="26"/>
      <c r="FA68" s="26"/>
      <c r="FB68" s="26"/>
      <c r="FC68" s="26"/>
      <c r="FD68" s="26"/>
      <c r="FE68" s="26"/>
      <c r="FF68" s="26"/>
      <c r="FG68" s="26"/>
      <c r="FH68" s="26"/>
      <c r="FI68" s="26"/>
      <c r="FK68" s="26"/>
      <c r="FL68" s="26"/>
      <c r="FM68" s="26"/>
      <c r="FN68" s="26"/>
      <c r="FO68" s="26"/>
      <c r="FP68" s="26"/>
      <c r="FQ68" s="26"/>
      <c r="FR68" s="26"/>
      <c r="FS68" s="26"/>
      <c r="FT68" s="26"/>
      <c r="FU68" s="26"/>
      <c r="FV68" s="26"/>
      <c r="FW68" s="26"/>
      <c r="FX68" s="26"/>
      <c r="FY68" s="26"/>
      <c r="FZ68" s="26"/>
      <c r="GA68" s="26"/>
      <c r="GB68" s="26"/>
      <c r="GC68" s="26"/>
      <c r="GD68" s="26"/>
      <c r="GG68" s="26"/>
      <c r="GK68">
        <f>IF(ISNUMBER(EY597),EY597,999)</f>
        <v>999</v>
      </c>
    </row>
    <row r="69" spans="2:193" x14ac:dyDescent="0.3">
      <c r="B69" s="18" t="s">
        <v>420</v>
      </c>
      <c r="C69" s="13">
        <v>60</v>
      </c>
      <c r="D69" s="21" t="s">
        <v>421</v>
      </c>
      <c r="E69" s="24">
        <v>61</v>
      </c>
      <c r="G69" s="2">
        <f t="shared" si="31"/>
        <v>50</v>
      </c>
      <c r="H69" s="5">
        <v>5</v>
      </c>
      <c r="I69" s="13">
        <v>12</v>
      </c>
      <c r="L69" s="4"/>
      <c r="M69" s="7"/>
      <c r="O69" s="7"/>
      <c r="T69" s="7"/>
      <c r="AE69" s="7"/>
      <c r="BD69" s="26"/>
      <c r="BE69" s="26">
        <f t="shared" si="30"/>
        <v>13</v>
      </c>
      <c r="BF69">
        <v>13</v>
      </c>
      <c r="BG69">
        <v>49</v>
      </c>
      <c r="BH69" s="38">
        <v>13</v>
      </c>
      <c r="BI69" s="39">
        <v>13</v>
      </c>
      <c r="BJ69" s="39">
        <v>13</v>
      </c>
      <c r="BK69" s="39">
        <v>13</v>
      </c>
      <c r="BL69" s="39">
        <v>13</v>
      </c>
      <c r="BM69" s="39">
        <v>13</v>
      </c>
      <c r="BN69" s="39">
        <v>13</v>
      </c>
      <c r="BO69" s="39">
        <v>13</v>
      </c>
      <c r="BP69" s="39">
        <v>13</v>
      </c>
      <c r="BQ69" s="39">
        <v>13</v>
      </c>
      <c r="BR69" s="39">
        <v>13</v>
      </c>
      <c r="BS69" s="39">
        <v>13</v>
      </c>
      <c r="BT69" s="39">
        <v>13</v>
      </c>
      <c r="BU69" s="39">
        <v>13</v>
      </c>
      <c r="BV69" s="39">
        <v>13</v>
      </c>
      <c r="BW69" s="39">
        <v>13</v>
      </c>
      <c r="BX69" s="39">
        <v>13</v>
      </c>
      <c r="BY69" s="39">
        <v>13</v>
      </c>
      <c r="BZ69" s="39">
        <v>13</v>
      </c>
      <c r="CA69" s="39">
        <v>13</v>
      </c>
      <c r="CB69" s="39">
        <v>13</v>
      </c>
      <c r="CC69" s="39">
        <v>13</v>
      </c>
      <c r="CD69" s="39">
        <v>13</v>
      </c>
      <c r="CE69" s="39">
        <v>13</v>
      </c>
      <c r="CF69" s="39">
        <v>13</v>
      </c>
      <c r="CG69" s="39">
        <v>13</v>
      </c>
      <c r="CH69" s="39">
        <v>13</v>
      </c>
      <c r="CI69" s="39">
        <v>13</v>
      </c>
      <c r="CJ69" s="39">
        <v>13</v>
      </c>
      <c r="CK69" s="39">
        <v>13</v>
      </c>
      <c r="CL69" s="39">
        <v>13</v>
      </c>
      <c r="CM69" s="39">
        <v>13</v>
      </c>
      <c r="CN69" s="39">
        <v>13</v>
      </c>
      <c r="CO69" s="39">
        <v>13</v>
      </c>
      <c r="CP69" s="39">
        <v>13</v>
      </c>
      <c r="CQ69" s="39">
        <v>13</v>
      </c>
      <c r="CR69" s="39">
        <v>13</v>
      </c>
      <c r="CS69" s="39">
        <v>13</v>
      </c>
      <c r="CT69" s="39">
        <v>13</v>
      </c>
      <c r="CU69" s="39">
        <v>13</v>
      </c>
      <c r="CV69" s="39">
        <v>13</v>
      </c>
      <c r="CW69" s="39">
        <v>13</v>
      </c>
      <c r="CX69" s="39">
        <v>13</v>
      </c>
      <c r="CY69" s="39">
        <v>13</v>
      </c>
      <c r="CZ69" s="39">
        <v>13</v>
      </c>
      <c r="DA69" s="39">
        <v>13</v>
      </c>
      <c r="DB69" s="39">
        <v>13</v>
      </c>
      <c r="DC69" s="39">
        <v>13</v>
      </c>
      <c r="DD69" s="39">
        <v>13</v>
      </c>
      <c r="DE69" s="39">
        <v>13</v>
      </c>
      <c r="DF69" s="39">
        <v>13</v>
      </c>
      <c r="DG69" s="39">
        <v>13</v>
      </c>
      <c r="DH69" s="39">
        <v>13</v>
      </c>
      <c r="DI69" s="39">
        <v>13</v>
      </c>
      <c r="DJ69" s="39">
        <v>13</v>
      </c>
      <c r="DK69" s="39">
        <v>13</v>
      </c>
      <c r="DL69" s="39">
        <v>13</v>
      </c>
      <c r="DM69" s="39">
        <v>13</v>
      </c>
      <c r="DN69" s="39">
        <v>13</v>
      </c>
      <c r="DO69" s="36">
        <v>13</v>
      </c>
      <c r="DP69" s="36">
        <v>13</v>
      </c>
      <c r="DQ69" s="36">
        <v>13</v>
      </c>
      <c r="DR69" s="36">
        <v>13</v>
      </c>
      <c r="DS69" s="36">
        <v>13</v>
      </c>
      <c r="DT69" s="50">
        <v>7</v>
      </c>
      <c r="DU69" s="50">
        <v>7</v>
      </c>
      <c r="DV69" s="50">
        <v>7</v>
      </c>
      <c r="DW69" s="50">
        <v>7</v>
      </c>
      <c r="DX69" s="50">
        <v>7</v>
      </c>
      <c r="DY69" s="50">
        <v>7</v>
      </c>
      <c r="DZ69" s="50">
        <v>7</v>
      </c>
      <c r="EA69" s="50">
        <v>7</v>
      </c>
      <c r="EB69" s="50">
        <v>7</v>
      </c>
      <c r="EC69" s="50">
        <v>7</v>
      </c>
      <c r="ED69" s="50">
        <v>7</v>
      </c>
      <c r="EE69" s="50">
        <v>7</v>
      </c>
      <c r="EF69" s="50">
        <v>7</v>
      </c>
      <c r="EG69" s="50">
        <v>7</v>
      </c>
      <c r="EH69" s="50">
        <v>7</v>
      </c>
      <c r="EI69" s="50">
        <v>7</v>
      </c>
      <c r="EJ69" s="50">
        <v>7</v>
      </c>
      <c r="EK69" s="50">
        <v>7</v>
      </c>
      <c r="EL69" s="50">
        <v>7</v>
      </c>
      <c r="EM69" s="50">
        <v>7</v>
      </c>
      <c r="EN69" s="50">
        <v>7</v>
      </c>
      <c r="EO69" s="50">
        <v>7</v>
      </c>
      <c r="EP69" s="50">
        <v>7</v>
      </c>
      <c r="EQ69" s="50">
        <v>7</v>
      </c>
      <c r="ER69" s="50">
        <v>7</v>
      </c>
      <c r="ES69" s="50">
        <v>7</v>
      </c>
      <c r="ET69" s="50">
        <v>7</v>
      </c>
      <c r="EU69" s="50">
        <v>7</v>
      </c>
      <c r="EV69" s="50">
        <v>7</v>
      </c>
      <c r="EW69" s="50">
        <v>7</v>
      </c>
      <c r="EX69" s="50">
        <v>7</v>
      </c>
      <c r="EY69" s="51">
        <v>7</v>
      </c>
      <c r="EZ69" s="26"/>
      <c r="FA69" s="26"/>
      <c r="FB69" s="26"/>
      <c r="FC69" s="26"/>
      <c r="FD69" s="26"/>
      <c r="FE69" s="26"/>
      <c r="FF69" s="26"/>
      <c r="FG69" s="26"/>
      <c r="FH69" s="26"/>
      <c r="FI69" s="26"/>
      <c r="FK69" s="26"/>
      <c r="FL69" s="26"/>
      <c r="FM69" s="26"/>
      <c r="FN69" s="26"/>
      <c r="FO69" s="26"/>
      <c r="FP69" s="26"/>
      <c r="FQ69" s="26"/>
      <c r="FR69" s="26"/>
      <c r="FS69" s="26"/>
      <c r="FT69" s="26"/>
      <c r="FU69" s="26"/>
      <c r="FV69" s="26"/>
      <c r="FW69" s="26"/>
      <c r="FX69" s="26"/>
      <c r="FY69" s="26"/>
      <c r="FZ69" s="26"/>
      <c r="GA69" s="26"/>
      <c r="GB69" s="26"/>
      <c r="GC69" s="26"/>
      <c r="GD69" s="26"/>
      <c r="GG69" s="26"/>
      <c r="GK69">
        <f>IF(ISNUMBER(EY598),EY598,999)</f>
        <v>999</v>
      </c>
    </row>
    <row r="70" spans="2:193" x14ac:dyDescent="0.3">
      <c r="B70" s="18" t="s">
        <v>422</v>
      </c>
      <c r="C70" s="13">
        <v>61</v>
      </c>
      <c r="D70" s="21" t="s">
        <v>423</v>
      </c>
      <c r="E70" s="24">
        <v>60</v>
      </c>
      <c r="G70" s="2">
        <f t="shared" si="31"/>
        <v>51</v>
      </c>
      <c r="H70" s="5">
        <v>5</v>
      </c>
      <c r="I70" s="13">
        <v>12</v>
      </c>
      <c r="L70" s="4"/>
      <c r="M70" s="7"/>
      <c r="O70" s="7"/>
      <c r="T70" s="7"/>
      <c r="AE70" s="7"/>
      <c r="BD70" s="26"/>
      <c r="BE70" s="26" t="str">
        <f t="shared" si="30"/>
        <v>BYE</v>
      </c>
      <c r="BF70">
        <v>116</v>
      </c>
      <c r="BG70">
        <v>50</v>
      </c>
      <c r="BH70" s="40">
        <v>116</v>
      </c>
      <c r="BI70" s="41">
        <v>116</v>
      </c>
      <c r="BJ70" s="41">
        <v>116</v>
      </c>
      <c r="BK70" s="41">
        <v>116</v>
      </c>
      <c r="BL70" s="41">
        <v>115</v>
      </c>
      <c r="BM70" s="41">
        <v>116</v>
      </c>
      <c r="BN70" s="41">
        <v>116</v>
      </c>
      <c r="BO70" s="41">
        <v>112</v>
      </c>
      <c r="BP70" s="41">
        <v>112</v>
      </c>
      <c r="BQ70" s="41">
        <v>112</v>
      </c>
      <c r="BR70" s="41" t="s">
        <v>326</v>
      </c>
      <c r="BS70" s="41">
        <v>116</v>
      </c>
      <c r="BT70" s="41">
        <v>116</v>
      </c>
      <c r="BU70" s="41" t="s">
        <v>326</v>
      </c>
      <c r="BV70" s="41" t="s">
        <v>326</v>
      </c>
      <c r="BW70" s="41" t="s">
        <v>326</v>
      </c>
      <c r="BX70" s="41" t="s">
        <v>326</v>
      </c>
      <c r="BY70" s="41" t="s">
        <v>326</v>
      </c>
      <c r="BZ70" s="41" t="s">
        <v>326</v>
      </c>
      <c r="CA70" s="41" t="s">
        <v>326</v>
      </c>
      <c r="CB70" s="41" t="s">
        <v>326</v>
      </c>
      <c r="CC70" s="41" t="s">
        <v>326</v>
      </c>
      <c r="CD70" s="41" t="s">
        <v>326</v>
      </c>
      <c r="CE70" s="41" t="s">
        <v>326</v>
      </c>
      <c r="CF70" s="41" t="s">
        <v>326</v>
      </c>
      <c r="CG70" s="41" t="s">
        <v>326</v>
      </c>
      <c r="CH70" s="41" t="s">
        <v>326</v>
      </c>
      <c r="CI70" s="41" t="s">
        <v>326</v>
      </c>
      <c r="CJ70" s="41" t="s">
        <v>326</v>
      </c>
      <c r="CK70" s="41" t="s">
        <v>326</v>
      </c>
      <c r="CL70" s="41" t="s">
        <v>326</v>
      </c>
      <c r="CM70" s="41" t="s">
        <v>326</v>
      </c>
      <c r="CN70" s="41" t="s">
        <v>326</v>
      </c>
      <c r="CO70" s="41" t="s">
        <v>326</v>
      </c>
      <c r="CP70" s="41" t="s">
        <v>326</v>
      </c>
      <c r="CQ70" s="41" t="s">
        <v>326</v>
      </c>
      <c r="CR70" s="41" t="s">
        <v>326</v>
      </c>
      <c r="CS70" s="41" t="s">
        <v>326</v>
      </c>
      <c r="CT70" s="41" t="s">
        <v>326</v>
      </c>
      <c r="CU70" s="41" t="s">
        <v>326</v>
      </c>
      <c r="CV70" s="41" t="s">
        <v>326</v>
      </c>
      <c r="CW70" s="41" t="s">
        <v>326</v>
      </c>
      <c r="CX70" s="41" t="s">
        <v>326</v>
      </c>
      <c r="CY70" s="41" t="s">
        <v>326</v>
      </c>
      <c r="CZ70" s="41" t="s">
        <v>326</v>
      </c>
      <c r="DA70" s="41" t="s">
        <v>326</v>
      </c>
      <c r="DB70" s="41" t="s">
        <v>326</v>
      </c>
      <c r="DC70" s="41" t="s">
        <v>326</v>
      </c>
      <c r="DD70" s="41" t="s">
        <v>326</v>
      </c>
      <c r="DE70" s="41" t="s">
        <v>326</v>
      </c>
      <c r="DF70" s="41" t="s">
        <v>326</v>
      </c>
      <c r="DG70" s="41" t="s">
        <v>327</v>
      </c>
      <c r="DH70" s="41" t="s">
        <v>326</v>
      </c>
      <c r="DI70" s="41" t="s">
        <v>326</v>
      </c>
      <c r="DJ70" s="41" t="s">
        <v>326</v>
      </c>
      <c r="DK70" s="41" t="s">
        <v>326</v>
      </c>
      <c r="DL70" s="41" t="s">
        <v>326</v>
      </c>
      <c r="DM70" s="41" t="s">
        <v>326</v>
      </c>
      <c r="DN70" s="41" t="s">
        <v>326</v>
      </c>
      <c r="DO70" s="37" t="s">
        <v>326</v>
      </c>
      <c r="DP70" s="37" t="s">
        <v>326</v>
      </c>
      <c r="DQ70" s="37" t="s">
        <v>326</v>
      </c>
      <c r="DR70" s="37" t="s">
        <v>326</v>
      </c>
      <c r="DS70" s="37" t="s">
        <v>326</v>
      </c>
      <c r="DT70" s="52">
        <v>58</v>
      </c>
      <c r="DU70" s="52">
        <v>58</v>
      </c>
      <c r="DV70" s="52">
        <v>57</v>
      </c>
      <c r="DW70" s="52">
        <v>59</v>
      </c>
      <c r="DX70" s="52">
        <v>59</v>
      </c>
      <c r="DY70" s="52">
        <v>58</v>
      </c>
      <c r="DZ70" s="52">
        <v>58</v>
      </c>
      <c r="EA70" s="52" t="s">
        <v>326</v>
      </c>
      <c r="EB70" s="52" t="s">
        <v>326</v>
      </c>
      <c r="EC70" s="52" t="s">
        <v>326</v>
      </c>
      <c r="ED70" s="52" t="s">
        <v>326</v>
      </c>
      <c r="EE70" s="52" t="s">
        <v>326</v>
      </c>
      <c r="EF70" s="52" t="s">
        <v>326</v>
      </c>
      <c r="EG70" s="52" t="s">
        <v>326</v>
      </c>
      <c r="EH70" s="52" t="s">
        <v>326</v>
      </c>
      <c r="EI70" s="52" t="s">
        <v>326</v>
      </c>
      <c r="EJ70" s="52" t="s">
        <v>326</v>
      </c>
      <c r="EK70" s="52" t="s">
        <v>326</v>
      </c>
      <c r="EL70" s="52" t="s">
        <v>326</v>
      </c>
      <c r="EM70" s="52" t="s">
        <v>326</v>
      </c>
      <c r="EN70" s="52" t="s">
        <v>326</v>
      </c>
      <c r="EO70" s="52" t="s">
        <v>326</v>
      </c>
      <c r="EP70" s="52" t="s">
        <v>326</v>
      </c>
      <c r="EQ70" s="52" t="s">
        <v>326</v>
      </c>
      <c r="ER70" s="52" t="s">
        <v>326</v>
      </c>
      <c r="ES70" s="52" t="s">
        <v>326</v>
      </c>
      <c r="ET70" s="52" t="s">
        <v>326</v>
      </c>
      <c r="EU70" s="52" t="s">
        <v>326</v>
      </c>
      <c r="EV70" s="52" t="s">
        <v>326</v>
      </c>
      <c r="EW70" s="52" t="s">
        <v>326</v>
      </c>
      <c r="EX70" s="52" t="s">
        <v>326</v>
      </c>
      <c r="EY70" s="53" t="s">
        <v>326</v>
      </c>
      <c r="EZ70" s="26"/>
      <c r="FA70" s="26"/>
      <c r="FB70" s="26"/>
      <c r="FC70" s="26"/>
      <c r="FD70" s="26"/>
      <c r="FE70" s="26"/>
      <c r="FF70" s="26"/>
      <c r="FG70" s="26"/>
      <c r="FH70" s="26"/>
      <c r="FI70" s="26"/>
      <c r="FK70" s="26"/>
      <c r="FL70" s="26"/>
      <c r="FM70" s="26"/>
      <c r="FN70" s="26"/>
      <c r="FO70" s="26"/>
      <c r="FP70" s="26"/>
      <c r="FQ70" s="26"/>
      <c r="FR70" s="26"/>
      <c r="FS70" s="26"/>
      <c r="FT70" s="26"/>
      <c r="FU70" s="26"/>
      <c r="FV70" s="26"/>
      <c r="FW70" s="26"/>
      <c r="FX70" s="26"/>
      <c r="FY70" s="26"/>
      <c r="FZ70" s="26"/>
      <c r="GA70" s="26"/>
      <c r="GB70" s="26"/>
      <c r="GC70" s="26"/>
      <c r="GD70" s="26"/>
      <c r="GG70" s="26"/>
      <c r="GK70">
        <f>IF(ISNUMBER(EY599),EY599,999)</f>
        <v>999</v>
      </c>
    </row>
    <row r="71" spans="2:193" x14ac:dyDescent="0.3">
      <c r="B71" s="18" t="s">
        <v>424</v>
      </c>
      <c r="C71" s="13">
        <v>62</v>
      </c>
      <c r="D71" s="21" t="s">
        <v>425</v>
      </c>
      <c r="E71" s="24">
        <v>59</v>
      </c>
      <c r="G71" s="2">
        <f t="shared" si="31"/>
        <v>52</v>
      </c>
      <c r="H71" s="5">
        <v>5</v>
      </c>
      <c r="I71" s="13">
        <v>12</v>
      </c>
      <c r="L71" s="4"/>
      <c r="M71" s="7"/>
      <c r="O71" s="7"/>
      <c r="T71" s="7"/>
      <c r="AE71" s="7"/>
      <c r="BD71" s="26"/>
      <c r="BE71" s="26">
        <f t="shared" si="30"/>
        <v>54</v>
      </c>
      <c r="BF71">
        <v>54</v>
      </c>
      <c r="BG71">
        <v>51</v>
      </c>
      <c r="BH71" s="42">
        <v>77</v>
      </c>
      <c r="BI71" s="42">
        <v>77</v>
      </c>
      <c r="BJ71" s="42">
        <v>78</v>
      </c>
      <c r="BK71" s="42">
        <v>78</v>
      </c>
      <c r="BL71" s="42">
        <v>78</v>
      </c>
      <c r="BM71" s="42">
        <v>77</v>
      </c>
      <c r="BN71" s="42">
        <v>77</v>
      </c>
      <c r="BO71" s="42">
        <v>77</v>
      </c>
      <c r="BP71" s="42">
        <v>78</v>
      </c>
      <c r="BQ71" s="42">
        <v>78</v>
      </c>
      <c r="BR71" s="42">
        <v>78</v>
      </c>
      <c r="BS71" s="42">
        <v>77</v>
      </c>
      <c r="BT71" s="42">
        <v>77</v>
      </c>
      <c r="BU71" s="42">
        <v>77</v>
      </c>
      <c r="BV71" s="42">
        <v>77</v>
      </c>
      <c r="BW71" s="42">
        <v>78</v>
      </c>
      <c r="BX71" s="42">
        <v>77</v>
      </c>
      <c r="BY71" s="42">
        <v>77</v>
      </c>
      <c r="BZ71" s="42">
        <v>81</v>
      </c>
      <c r="CA71" s="42">
        <v>80</v>
      </c>
      <c r="CB71" s="42">
        <v>79</v>
      </c>
      <c r="CC71" s="42">
        <v>81</v>
      </c>
      <c r="CD71" s="42">
        <v>77</v>
      </c>
      <c r="CE71" s="42">
        <v>77</v>
      </c>
      <c r="CF71" s="42">
        <v>77</v>
      </c>
      <c r="CG71" s="42">
        <v>77</v>
      </c>
      <c r="CH71" s="42">
        <v>77</v>
      </c>
      <c r="CI71" s="42">
        <v>78</v>
      </c>
      <c r="CJ71" s="42">
        <v>77</v>
      </c>
      <c r="CK71" s="42">
        <v>77</v>
      </c>
      <c r="CL71" s="42">
        <v>81</v>
      </c>
      <c r="CM71" s="42">
        <v>80</v>
      </c>
      <c r="CN71" s="42">
        <v>79</v>
      </c>
      <c r="CO71" s="42">
        <v>80</v>
      </c>
      <c r="CP71" s="42">
        <v>77</v>
      </c>
      <c r="CQ71" s="42">
        <v>77</v>
      </c>
      <c r="CR71" s="42">
        <v>77</v>
      </c>
      <c r="CS71" s="42">
        <v>77</v>
      </c>
      <c r="CT71" s="42">
        <v>77</v>
      </c>
      <c r="CU71" s="42">
        <v>78</v>
      </c>
      <c r="CV71" s="42">
        <v>77</v>
      </c>
      <c r="CW71" s="42">
        <v>77</v>
      </c>
      <c r="CX71" s="42">
        <v>81</v>
      </c>
      <c r="CY71" s="42">
        <v>74</v>
      </c>
      <c r="CZ71" s="42">
        <v>80</v>
      </c>
      <c r="DA71" s="42">
        <v>80</v>
      </c>
      <c r="DB71" s="42">
        <v>77</v>
      </c>
      <c r="DC71" s="42">
        <v>77</v>
      </c>
      <c r="DD71" s="42">
        <v>77</v>
      </c>
      <c r="DE71" s="42">
        <v>77</v>
      </c>
      <c r="DF71" s="42">
        <v>77</v>
      </c>
      <c r="DG71" s="42">
        <v>50</v>
      </c>
      <c r="DH71" s="42" t="s">
        <v>326</v>
      </c>
      <c r="DI71" s="42" t="s">
        <v>326</v>
      </c>
      <c r="DJ71" s="42" t="s">
        <v>326</v>
      </c>
      <c r="DK71" s="42" t="s">
        <v>326</v>
      </c>
      <c r="DL71" s="42" t="s">
        <v>326</v>
      </c>
      <c r="DM71" s="42" t="s">
        <v>326</v>
      </c>
      <c r="DN71" s="42" t="s">
        <v>326</v>
      </c>
      <c r="DO71" s="26" t="s">
        <v>326</v>
      </c>
      <c r="DP71" s="26" t="s">
        <v>326</v>
      </c>
      <c r="DQ71" s="26" t="s">
        <v>326</v>
      </c>
      <c r="DR71" s="26" t="s">
        <v>326</v>
      </c>
      <c r="DS71" s="26" t="s">
        <v>326</v>
      </c>
      <c r="DT71" s="29">
        <v>40</v>
      </c>
      <c r="DU71" s="29">
        <v>39</v>
      </c>
      <c r="DV71" s="29">
        <v>39</v>
      </c>
      <c r="DW71" s="29">
        <v>39</v>
      </c>
      <c r="DX71" s="29">
        <v>40</v>
      </c>
      <c r="DY71" s="29">
        <v>40</v>
      </c>
      <c r="DZ71" s="29">
        <v>40</v>
      </c>
      <c r="EA71" s="29">
        <v>39</v>
      </c>
      <c r="EB71" s="29">
        <v>39</v>
      </c>
      <c r="EC71" s="29">
        <v>39</v>
      </c>
      <c r="ED71" s="29">
        <v>39</v>
      </c>
      <c r="EE71" s="29">
        <v>41</v>
      </c>
      <c r="EF71" s="29">
        <v>40</v>
      </c>
      <c r="EG71" s="29">
        <v>39</v>
      </c>
      <c r="EH71" s="29">
        <v>39</v>
      </c>
      <c r="EI71" s="29">
        <v>37</v>
      </c>
      <c r="EJ71" s="29">
        <v>37</v>
      </c>
      <c r="EK71" s="29">
        <v>37</v>
      </c>
      <c r="EL71" s="29">
        <v>35</v>
      </c>
      <c r="EM71" s="29">
        <v>39</v>
      </c>
      <c r="EN71" s="29">
        <v>38</v>
      </c>
      <c r="EO71" s="29">
        <v>39</v>
      </c>
      <c r="EP71" s="29">
        <v>39</v>
      </c>
      <c r="EQ71" s="29">
        <v>41</v>
      </c>
      <c r="ER71" s="29">
        <v>40</v>
      </c>
      <c r="ES71" s="29">
        <v>39</v>
      </c>
      <c r="ET71" s="29" t="s">
        <v>326</v>
      </c>
      <c r="EU71" s="29" t="s">
        <v>326</v>
      </c>
      <c r="EV71" s="29" t="s">
        <v>326</v>
      </c>
      <c r="EW71" s="29" t="s">
        <v>326</v>
      </c>
      <c r="EX71" s="29" t="s">
        <v>326</v>
      </c>
      <c r="EY71" s="29" t="s">
        <v>326</v>
      </c>
      <c r="EZ71" s="26"/>
      <c r="FA71" s="26"/>
      <c r="FB71" s="26"/>
      <c r="FC71" s="26"/>
      <c r="FD71" s="26"/>
      <c r="FE71" s="26"/>
      <c r="FF71" s="26"/>
      <c r="FG71" s="26"/>
      <c r="FH71" s="26"/>
      <c r="FI71" s="26"/>
      <c r="FK71" s="26"/>
      <c r="FL71" s="26"/>
      <c r="FM71" s="26"/>
      <c r="FN71" s="26"/>
      <c r="FO71" s="26"/>
      <c r="FP71" s="26"/>
      <c r="FQ71" s="26"/>
      <c r="FR71" s="26"/>
      <c r="FS71" s="26"/>
      <c r="FT71" s="26"/>
      <c r="FU71" s="26"/>
      <c r="FV71" s="26"/>
      <c r="FW71" s="26"/>
      <c r="FX71" s="26"/>
      <c r="FY71" s="26"/>
      <c r="FZ71" s="26"/>
      <c r="GA71" s="26"/>
      <c r="GB71" s="26"/>
      <c r="GC71" s="26"/>
      <c r="GD71" s="26"/>
      <c r="GG71" s="26"/>
      <c r="GJ71">
        <f>GJ67+1</f>
        <v>18</v>
      </c>
      <c r="GK71" t="str">
        <f>IF(Grps&gt;GJ67,GJ71,"")</f>
        <v/>
      </c>
    </row>
    <row r="72" spans="2:193" x14ac:dyDescent="0.3">
      <c r="B72" s="18" t="s">
        <v>426</v>
      </c>
      <c r="C72" s="13">
        <v>63</v>
      </c>
      <c r="D72" s="21" t="s">
        <v>427</v>
      </c>
      <c r="E72" s="24">
        <v>58</v>
      </c>
      <c r="G72" s="2">
        <f t="shared" si="31"/>
        <v>53</v>
      </c>
      <c r="H72" s="5">
        <v>5</v>
      </c>
      <c r="I72" s="13">
        <v>12</v>
      </c>
      <c r="L72" s="4"/>
      <c r="M72" s="7"/>
      <c r="O72" s="7"/>
      <c r="T72" s="7"/>
      <c r="AE72" s="7"/>
      <c r="BD72" s="26"/>
      <c r="BE72" s="26" t="str">
        <f t="shared" si="30"/>
        <v>BYE</v>
      </c>
      <c r="BF72">
        <v>77</v>
      </c>
      <c r="BG72">
        <v>52</v>
      </c>
      <c r="BH72" s="42">
        <v>52</v>
      </c>
      <c r="BI72" s="42">
        <v>52</v>
      </c>
      <c r="BJ72" s="42">
        <v>51</v>
      </c>
      <c r="BK72" s="42">
        <v>51</v>
      </c>
      <c r="BL72" s="42">
        <v>51</v>
      </c>
      <c r="BM72" s="42">
        <v>52</v>
      </c>
      <c r="BN72" s="42">
        <v>52</v>
      </c>
      <c r="BO72" s="42">
        <v>52</v>
      </c>
      <c r="BP72" s="42">
        <v>51</v>
      </c>
      <c r="BQ72" s="42">
        <v>51</v>
      </c>
      <c r="BR72" s="42">
        <v>51</v>
      </c>
      <c r="BS72" s="42">
        <v>52</v>
      </c>
      <c r="BT72" s="42">
        <v>52</v>
      </c>
      <c r="BU72" s="42">
        <v>52</v>
      </c>
      <c r="BV72" s="42">
        <v>51</v>
      </c>
      <c r="BW72" s="42">
        <v>51</v>
      </c>
      <c r="BX72" s="42">
        <v>51</v>
      </c>
      <c r="BY72" s="42">
        <v>52</v>
      </c>
      <c r="BZ72" s="42">
        <v>52</v>
      </c>
      <c r="CA72" s="42">
        <v>52</v>
      </c>
      <c r="CB72" s="42">
        <v>51</v>
      </c>
      <c r="CC72" s="42">
        <v>51</v>
      </c>
      <c r="CD72" s="42">
        <v>51</v>
      </c>
      <c r="CE72" s="42">
        <v>52</v>
      </c>
      <c r="CF72" s="42">
        <v>52</v>
      </c>
      <c r="CG72" s="42">
        <v>52</v>
      </c>
      <c r="CH72" s="42">
        <v>51</v>
      </c>
      <c r="CI72" s="42">
        <v>51</v>
      </c>
      <c r="CJ72" s="42">
        <v>51</v>
      </c>
      <c r="CK72" s="42">
        <v>52</v>
      </c>
      <c r="CL72" s="42">
        <v>52</v>
      </c>
      <c r="CM72" s="42">
        <v>52</v>
      </c>
      <c r="CN72" s="42">
        <v>51</v>
      </c>
      <c r="CO72" s="42">
        <v>51</v>
      </c>
      <c r="CP72" s="42">
        <v>51</v>
      </c>
      <c r="CQ72" s="42">
        <v>52</v>
      </c>
      <c r="CR72" s="42">
        <v>52</v>
      </c>
      <c r="CS72" s="42">
        <v>52</v>
      </c>
      <c r="CT72" s="42">
        <v>51</v>
      </c>
      <c r="CU72" s="42">
        <v>51</v>
      </c>
      <c r="CV72" s="42">
        <v>51</v>
      </c>
      <c r="CW72" s="42">
        <v>52</v>
      </c>
      <c r="CX72" s="42">
        <v>52</v>
      </c>
      <c r="CY72" s="42">
        <v>52</v>
      </c>
      <c r="CZ72" s="42">
        <v>51</v>
      </c>
      <c r="DA72" s="42">
        <v>51</v>
      </c>
      <c r="DB72" s="42">
        <v>51</v>
      </c>
      <c r="DC72" s="42">
        <v>52</v>
      </c>
      <c r="DD72" s="42">
        <v>52</v>
      </c>
      <c r="DE72" s="42">
        <v>52</v>
      </c>
      <c r="DF72" s="42">
        <v>51</v>
      </c>
      <c r="DG72" s="42">
        <v>77</v>
      </c>
      <c r="DH72" s="42">
        <v>51</v>
      </c>
      <c r="DI72" s="42">
        <v>52</v>
      </c>
      <c r="DJ72" s="42">
        <v>52</v>
      </c>
      <c r="DK72" s="42">
        <v>51</v>
      </c>
      <c r="DL72" s="42">
        <v>50</v>
      </c>
      <c r="DM72" s="42">
        <v>49</v>
      </c>
      <c r="DN72" s="42">
        <v>56</v>
      </c>
      <c r="DO72" s="26">
        <v>52</v>
      </c>
      <c r="DP72" s="26">
        <v>52</v>
      </c>
      <c r="DQ72" s="26">
        <v>52</v>
      </c>
      <c r="DR72" s="26">
        <v>52</v>
      </c>
      <c r="DS72" s="26">
        <v>52</v>
      </c>
      <c r="DT72" s="29">
        <v>20</v>
      </c>
      <c r="DU72" s="29">
        <v>26</v>
      </c>
      <c r="DV72" s="29">
        <v>26</v>
      </c>
      <c r="DW72" s="29">
        <v>26</v>
      </c>
      <c r="DX72" s="29">
        <v>25</v>
      </c>
      <c r="DY72" s="29">
        <v>25</v>
      </c>
      <c r="DZ72" s="29">
        <v>25</v>
      </c>
      <c r="EA72" s="29">
        <v>26</v>
      </c>
      <c r="EB72" s="29">
        <v>26</v>
      </c>
      <c r="EC72" s="29">
        <v>26</v>
      </c>
      <c r="ED72" s="29">
        <v>25</v>
      </c>
      <c r="EE72" s="29">
        <v>25</v>
      </c>
      <c r="EF72" s="29">
        <v>25</v>
      </c>
      <c r="EG72" s="29">
        <v>26</v>
      </c>
      <c r="EH72" s="29">
        <v>26</v>
      </c>
      <c r="EI72" s="29">
        <v>26</v>
      </c>
      <c r="EJ72" s="29">
        <v>25</v>
      </c>
      <c r="EK72" s="29">
        <v>25</v>
      </c>
      <c r="EL72" s="29">
        <v>25</v>
      </c>
      <c r="EM72" s="29">
        <v>26</v>
      </c>
      <c r="EN72" s="29">
        <v>26</v>
      </c>
      <c r="EO72" s="29">
        <v>26</v>
      </c>
      <c r="EP72" s="29">
        <v>25</v>
      </c>
      <c r="EQ72" s="29">
        <v>25</v>
      </c>
      <c r="ER72" s="29">
        <v>25</v>
      </c>
      <c r="ES72" s="29">
        <v>26</v>
      </c>
      <c r="ET72" s="29">
        <v>26</v>
      </c>
      <c r="EU72" s="29">
        <v>26</v>
      </c>
      <c r="EV72" s="29">
        <v>28</v>
      </c>
      <c r="EW72" s="29">
        <v>26</v>
      </c>
      <c r="EX72" s="29">
        <v>26</v>
      </c>
      <c r="EY72" s="29">
        <v>26</v>
      </c>
      <c r="EZ72" s="26"/>
      <c r="FA72" s="26"/>
      <c r="FB72" s="26"/>
      <c r="FC72" s="26"/>
      <c r="FD72" s="26"/>
      <c r="FE72" s="26"/>
      <c r="FF72" s="26"/>
      <c r="FG72" s="26"/>
      <c r="FH72" s="26"/>
      <c r="FI72" s="26"/>
      <c r="FK72" s="26"/>
      <c r="FL72" s="26"/>
      <c r="FM72" s="26"/>
      <c r="FN72" s="26"/>
      <c r="FO72" s="26"/>
      <c r="FP72" s="26"/>
      <c r="FQ72" s="26"/>
      <c r="FR72" s="26"/>
      <c r="FS72" s="26"/>
      <c r="FT72" s="26"/>
      <c r="FU72" s="26"/>
      <c r="FV72" s="26"/>
      <c r="FW72" s="26"/>
      <c r="FX72" s="26"/>
      <c r="FY72" s="26"/>
      <c r="FZ72" s="26"/>
      <c r="GA72" s="26"/>
      <c r="GB72" s="26"/>
      <c r="GC72" s="26"/>
      <c r="GD72" s="26"/>
      <c r="GG72" s="26"/>
      <c r="GK72">
        <f>IF(ISNUMBER(EY634),EY634,999)</f>
        <v>999</v>
      </c>
    </row>
    <row r="73" spans="2:193" x14ac:dyDescent="0.3">
      <c r="B73" s="18" t="s">
        <v>428</v>
      </c>
      <c r="C73" s="13">
        <v>64</v>
      </c>
      <c r="D73" s="21" t="s">
        <v>429</v>
      </c>
      <c r="E73" s="24">
        <v>57</v>
      </c>
      <c r="G73" s="2">
        <f t="shared" si="31"/>
        <v>54</v>
      </c>
      <c r="H73" s="5">
        <v>5</v>
      </c>
      <c r="I73" s="13">
        <v>12</v>
      </c>
      <c r="L73" s="4"/>
      <c r="M73" s="7"/>
      <c r="O73" s="7"/>
      <c r="T73" s="7"/>
      <c r="AE73" s="7"/>
      <c r="BD73" s="26"/>
      <c r="BE73" s="26">
        <f t="shared" si="30"/>
        <v>20</v>
      </c>
      <c r="BF73">
        <v>20</v>
      </c>
      <c r="BG73">
        <v>53</v>
      </c>
      <c r="BH73" s="38">
        <v>45</v>
      </c>
      <c r="BI73" s="39">
        <v>45</v>
      </c>
      <c r="BJ73" s="39">
        <v>46</v>
      </c>
      <c r="BK73" s="39">
        <v>46</v>
      </c>
      <c r="BL73" s="39">
        <v>46</v>
      </c>
      <c r="BM73" s="39">
        <v>45</v>
      </c>
      <c r="BN73" s="39">
        <v>45</v>
      </c>
      <c r="BO73" s="39">
        <v>45</v>
      </c>
      <c r="BP73" s="39">
        <v>46</v>
      </c>
      <c r="BQ73" s="39">
        <v>46</v>
      </c>
      <c r="BR73" s="39">
        <v>46</v>
      </c>
      <c r="BS73" s="39">
        <v>45</v>
      </c>
      <c r="BT73" s="39">
        <v>45</v>
      </c>
      <c r="BU73" s="39">
        <v>45</v>
      </c>
      <c r="BV73" s="39">
        <v>46</v>
      </c>
      <c r="BW73" s="39">
        <v>46</v>
      </c>
      <c r="BX73" s="39">
        <v>46</v>
      </c>
      <c r="BY73" s="39">
        <v>45</v>
      </c>
      <c r="BZ73" s="39">
        <v>45</v>
      </c>
      <c r="CA73" s="39">
        <v>45</v>
      </c>
      <c r="CB73" s="39">
        <v>46</v>
      </c>
      <c r="CC73" s="39">
        <v>46</v>
      </c>
      <c r="CD73" s="39">
        <v>46</v>
      </c>
      <c r="CE73" s="39">
        <v>45</v>
      </c>
      <c r="CF73" s="39">
        <v>45</v>
      </c>
      <c r="CG73" s="39">
        <v>45</v>
      </c>
      <c r="CH73" s="39">
        <v>46</v>
      </c>
      <c r="CI73" s="39">
        <v>46</v>
      </c>
      <c r="CJ73" s="39">
        <v>46</v>
      </c>
      <c r="CK73" s="39">
        <v>45</v>
      </c>
      <c r="CL73" s="39">
        <v>45</v>
      </c>
      <c r="CM73" s="39">
        <v>45</v>
      </c>
      <c r="CN73" s="39">
        <v>46</v>
      </c>
      <c r="CO73" s="39">
        <v>46</v>
      </c>
      <c r="CP73" s="39">
        <v>46</v>
      </c>
      <c r="CQ73" s="39">
        <v>45</v>
      </c>
      <c r="CR73" s="39">
        <v>45</v>
      </c>
      <c r="CS73" s="39">
        <v>45</v>
      </c>
      <c r="CT73" s="39">
        <v>46</v>
      </c>
      <c r="CU73" s="39">
        <v>46</v>
      </c>
      <c r="CV73" s="39">
        <v>46</v>
      </c>
      <c r="CW73" s="39">
        <v>45</v>
      </c>
      <c r="CX73" s="39">
        <v>45</v>
      </c>
      <c r="CY73" s="39">
        <v>45</v>
      </c>
      <c r="CZ73" s="39">
        <v>46</v>
      </c>
      <c r="DA73" s="39">
        <v>46</v>
      </c>
      <c r="DB73" s="39">
        <v>46</v>
      </c>
      <c r="DC73" s="39">
        <v>45</v>
      </c>
      <c r="DD73" s="39">
        <v>45</v>
      </c>
      <c r="DE73" s="39">
        <v>45</v>
      </c>
      <c r="DF73" s="39">
        <v>46</v>
      </c>
      <c r="DG73" s="39">
        <v>20</v>
      </c>
      <c r="DH73" s="39">
        <v>46</v>
      </c>
      <c r="DI73" s="39">
        <v>45</v>
      </c>
      <c r="DJ73" s="39">
        <v>45</v>
      </c>
      <c r="DK73" s="39">
        <v>45</v>
      </c>
      <c r="DL73" s="39">
        <v>46</v>
      </c>
      <c r="DM73" s="39">
        <v>46</v>
      </c>
      <c r="DN73" s="39">
        <v>46</v>
      </c>
      <c r="DO73" s="36">
        <v>45</v>
      </c>
      <c r="DP73" s="36">
        <v>45</v>
      </c>
      <c r="DQ73" s="36">
        <v>45</v>
      </c>
      <c r="DR73" s="36">
        <v>45</v>
      </c>
      <c r="DS73" s="36">
        <v>46</v>
      </c>
      <c r="DT73" s="50">
        <v>24</v>
      </c>
      <c r="DU73" s="50">
        <v>23</v>
      </c>
      <c r="DV73" s="50">
        <v>23</v>
      </c>
      <c r="DW73" s="50">
        <v>23</v>
      </c>
      <c r="DX73" s="50">
        <v>24</v>
      </c>
      <c r="DY73" s="50">
        <v>24</v>
      </c>
      <c r="DZ73" s="50">
        <v>24</v>
      </c>
      <c r="EA73" s="50">
        <v>23</v>
      </c>
      <c r="EB73" s="50">
        <v>23</v>
      </c>
      <c r="EC73" s="50">
        <v>23</v>
      </c>
      <c r="ED73" s="50">
        <v>24</v>
      </c>
      <c r="EE73" s="50">
        <v>24</v>
      </c>
      <c r="EF73" s="50">
        <v>24</v>
      </c>
      <c r="EG73" s="50">
        <v>23</v>
      </c>
      <c r="EH73" s="50">
        <v>23</v>
      </c>
      <c r="EI73" s="50">
        <v>23</v>
      </c>
      <c r="EJ73" s="50">
        <v>24</v>
      </c>
      <c r="EK73" s="50">
        <v>24</v>
      </c>
      <c r="EL73" s="50">
        <v>24</v>
      </c>
      <c r="EM73" s="50">
        <v>23</v>
      </c>
      <c r="EN73" s="50">
        <v>23</v>
      </c>
      <c r="EO73" s="50">
        <v>23</v>
      </c>
      <c r="EP73" s="50">
        <v>24</v>
      </c>
      <c r="EQ73" s="50">
        <v>24</v>
      </c>
      <c r="ER73" s="50">
        <v>24</v>
      </c>
      <c r="ES73" s="50">
        <v>23</v>
      </c>
      <c r="ET73" s="50">
        <v>23</v>
      </c>
      <c r="EU73" s="50">
        <v>23</v>
      </c>
      <c r="EV73" s="50">
        <v>24</v>
      </c>
      <c r="EW73" s="50">
        <v>24</v>
      </c>
      <c r="EX73" s="50">
        <v>24</v>
      </c>
      <c r="EY73" s="51">
        <v>23</v>
      </c>
      <c r="EZ73" s="26"/>
      <c r="FA73" s="26"/>
      <c r="FB73" s="26"/>
      <c r="FC73" s="26"/>
      <c r="FD73" s="26"/>
      <c r="FE73" s="26"/>
      <c r="FF73" s="26"/>
      <c r="FG73" s="26"/>
      <c r="FH73" s="26"/>
      <c r="FI73" s="26"/>
      <c r="FK73" s="26"/>
      <c r="FL73" s="26"/>
      <c r="FM73" s="26"/>
      <c r="FN73" s="26"/>
      <c r="FO73" s="26"/>
      <c r="FP73" s="26"/>
      <c r="FQ73" s="26"/>
      <c r="FR73" s="26"/>
      <c r="FS73" s="26"/>
      <c r="FT73" s="26"/>
      <c r="FU73" s="26"/>
      <c r="FV73" s="26"/>
      <c r="FW73" s="26"/>
      <c r="FX73" s="26"/>
      <c r="FY73" s="26"/>
      <c r="FZ73" s="26"/>
      <c r="GA73" s="26"/>
      <c r="GB73" s="26"/>
      <c r="GC73" s="26"/>
      <c r="GD73" s="26"/>
      <c r="GG73" s="26"/>
      <c r="GK73">
        <f>IF(ISNUMBER(EY635),EY635,999)</f>
        <v>999</v>
      </c>
    </row>
    <row r="74" spans="2:193" x14ac:dyDescent="0.3">
      <c r="B74" s="18" t="s">
        <v>430</v>
      </c>
      <c r="C74" s="13">
        <v>65</v>
      </c>
      <c r="D74" s="21" t="s">
        <v>431</v>
      </c>
      <c r="E74" s="24">
        <v>56</v>
      </c>
      <c r="G74" s="2">
        <f t="shared" si="31"/>
        <v>55</v>
      </c>
      <c r="H74" s="5">
        <v>5</v>
      </c>
      <c r="I74" s="13">
        <v>12</v>
      </c>
      <c r="L74" s="4"/>
      <c r="M74" s="7"/>
      <c r="O74" s="7"/>
      <c r="T74" s="7"/>
      <c r="AE74" s="7"/>
      <c r="BD74" s="26"/>
      <c r="BE74" s="26" t="str">
        <f t="shared" si="30"/>
        <v>BYE</v>
      </c>
      <c r="BF74">
        <v>109</v>
      </c>
      <c r="BG74">
        <v>54</v>
      </c>
      <c r="BH74" s="40">
        <v>84</v>
      </c>
      <c r="BI74" s="41">
        <v>84</v>
      </c>
      <c r="BJ74" s="41">
        <v>83</v>
      </c>
      <c r="BK74" s="41">
        <v>83</v>
      </c>
      <c r="BL74" s="41">
        <v>83</v>
      </c>
      <c r="BM74" s="41">
        <v>84</v>
      </c>
      <c r="BN74" s="41">
        <v>84</v>
      </c>
      <c r="BO74" s="41">
        <v>83</v>
      </c>
      <c r="BP74" s="41">
        <v>82</v>
      </c>
      <c r="BQ74" s="41">
        <v>81</v>
      </c>
      <c r="BR74" s="41">
        <v>88</v>
      </c>
      <c r="BS74" s="41">
        <v>84</v>
      </c>
      <c r="BT74" s="41">
        <v>84</v>
      </c>
      <c r="BU74" s="41">
        <v>84</v>
      </c>
      <c r="BV74" s="41">
        <v>84</v>
      </c>
      <c r="BW74" s="41">
        <v>84</v>
      </c>
      <c r="BX74" s="41">
        <v>83</v>
      </c>
      <c r="BY74" s="41">
        <v>84</v>
      </c>
      <c r="BZ74" s="41">
        <v>84</v>
      </c>
      <c r="CA74" s="41">
        <v>81</v>
      </c>
      <c r="CB74" s="41">
        <v>82</v>
      </c>
      <c r="CC74" s="41">
        <v>88</v>
      </c>
      <c r="CD74" s="41">
        <v>88</v>
      </c>
      <c r="CE74" s="41">
        <v>84</v>
      </c>
      <c r="CF74" s="41">
        <v>84</v>
      </c>
      <c r="CG74" s="41">
        <v>84</v>
      </c>
      <c r="CH74" s="41">
        <v>84</v>
      </c>
      <c r="CI74" s="41">
        <v>84</v>
      </c>
      <c r="CJ74" s="41">
        <v>83</v>
      </c>
      <c r="CK74" s="41">
        <v>84</v>
      </c>
      <c r="CL74" s="41">
        <v>84</v>
      </c>
      <c r="CM74" s="41">
        <v>81</v>
      </c>
      <c r="CN74" s="41">
        <v>82</v>
      </c>
      <c r="CO74" s="41">
        <v>87</v>
      </c>
      <c r="CP74" s="41">
        <v>88</v>
      </c>
      <c r="CQ74" s="41">
        <v>84</v>
      </c>
      <c r="CR74" s="41">
        <v>84</v>
      </c>
      <c r="CS74" s="41">
        <v>84</v>
      </c>
      <c r="CT74" s="41">
        <v>84</v>
      </c>
      <c r="CU74" s="41">
        <v>84</v>
      </c>
      <c r="CV74" s="41">
        <v>83</v>
      </c>
      <c r="CW74" s="41">
        <v>84</v>
      </c>
      <c r="CX74" s="41">
        <v>84</v>
      </c>
      <c r="CY74" s="41">
        <v>80</v>
      </c>
      <c r="CZ74" s="41">
        <v>74</v>
      </c>
      <c r="DA74" s="41" t="s">
        <v>326</v>
      </c>
      <c r="DB74" s="41" t="s">
        <v>326</v>
      </c>
      <c r="DC74" s="41" t="s">
        <v>326</v>
      </c>
      <c r="DD74" s="41" t="s">
        <v>326</v>
      </c>
      <c r="DE74" s="41" t="s">
        <v>326</v>
      </c>
      <c r="DF74" s="41" t="s">
        <v>326</v>
      </c>
      <c r="DG74" s="41" t="s">
        <v>327</v>
      </c>
      <c r="DH74" s="41" t="s">
        <v>326</v>
      </c>
      <c r="DI74" s="41" t="s">
        <v>326</v>
      </c>
      <c r="DJ74" s="41" t="s">
        <v>326</v>
      </c>
      <c r="DK74" s="41" t="s">
        <v>326</v>
      </c>
      <c r="DL74" s="41" t="s">
        <v>326</v>
      </c>
      <c r="DM74" s="41" t="s">
        <v>326</v>
      </c>
      <c r="DN74" s="41" t="s">
        <v>326</v>
      </c>
      <c r="DO74" s="37" t="s">
        <v>326</v>
      </c>
      <c r="DP74" s="37" t="s">
        <v>326</v>
      </c>
      <c r="DQ74" s="37" t="s">
        <v>326</v>
      </c>
      <c r="DR74" s="37" t="s">
        <v>326</v>
      </c>
      <c r="DS74" s="37" t="s">
        <v>326</v>
      </c>
      <c r="DT74" s="52">
        <v>41</v>
      </c>
      <c r="DU74" s="52">
        <v>42</v>
      </c>
      <c r="DV74" s="52">
        <v>42</v>
      </c>
      <c r="DW74" s="52">
        <v>42</v>
      </c>
      <c r="DX74" s="52">
        <v>43</v>
      </c>
      <c r="DY74" s="52">
        <v>59</v>
      </c>
      <c r="DZ74" s="52">
        <v>42</v>
      </c>
      <c r="EA74" s="52">
        <v>42</v>
      </c>
      <c r="EB74" s="52">
        <v>43</v>
      </c>
      <c r="EC74" s="52">
        <v>42</v>
      </c>
      <c r="ED74" s="52">
        <v>42</v>
      </c>
      <c r="EE74" s="52">
        <v>43</v>
      </c>
      <c r="EF74" s="52">
        <v>42</v>
      </c>
      <c r="EG74" s="52">
        <v>42</v>
      </c>
      <c r="EH74" s="52">
        <v>38</v>
      </c>
      <c r="EI74" s="52">
        <v>43</v>
      </c>
      <c r="EJ74" s="52">
        <v>44</v>
      </c>
      <c r="EK74" s="52">
        <v>42</v>
      </c>
      <c r="EL74" s="52">
        <v>42</v>
      </c>
      <c r="EM74" s="52">
        <v>42</v>
      </c>
      <c r="EN74" s="52">
        <v>43</v>
      </c>
      <c r="EO74" s="52">
        <v>42</v>
      </c>
      <c r="EP74" s="52">
        <v>42</v>
      </c>
      <c r="EQ74" s="52" t="s">
        <v>326</v>
      </c>
      <c r="ER74" s="52" t="s">
        <v>326</v>
      </c>
      <c r="ES74" s="52" t="s">
        <v>326</v>
      </c>
      <c r="ET74" s="52" t="s">
        <v>326</v>
      </c>
      <c r="EU74" s="52" t="s">
        <v>326</v>
      </c>
      <c r="EV74" s="52" t="s">
        <v>326</v>
      </c>
      <c r="EW74" s="52" t="s">
        <v>326</v>
      </c>
      <c r="EX74" s="52" t="s">
        <v>326</v>
      </c>
      <c r="EY74" s="53" t="s">
        <v>326</v>
      </c>
      <c r="EZ74" s="26"/>
      <c r="FA74" s="26"/>
      <c r="FB74" s="26"/>
      <c r="FC74" s="26"/>
      <c r="FD74" s="26"/>
      <c r="FE74" s="26"/>
      <c r="FF74" s="26"/>
      <c r="FG74" s="26"/>
      <c r="FH74" s="26"/>
      <c r="FI74" s="26"/>
      <c r="FK74" s="26"/>
      <c r="FL74" s="26"/>
      <c r="FM74" s="26"/>
      <c r="FN74" s="26"/>
      <c r="FO74" s="26"/>
      <c r="FP74" s="26"/>
      <c r="FQ74" s="26"/>
      <c r="FR74" s="26"/>
      <c r="FS74" s="26"/>
      <c r="FT74" s="26"/>
      <c r="FU74" s="26"/>
      <c r="FV74" s="26"/>
      <c r="FW74" s="26"/>
      <c r="FX74" s="26"/>
      <c r="FY74" s="26"/>
      <c r="FZ74" s="26"/>
      <c r="GA74" s="26"/>
      <c r="GB74" s="26"/>
      <c r="GC74" s="26"/>
      <c r="GD74" s="26"/>
      <c r="GG74" s="26"/>
      <c r="GK74">
        <f>IF(ISNUMBER(EY636),EY636,999)</f>
        <v>999</v>
      </c>
    </row>
    <row r="75" spans="2:193" x14ac:dyDescent="0.3">
      <c r="B75" s="18" t="s">
        <v>432</v>
      </c>
      <c r="C75" s="13">
        <v>66</v>
      </c>
      <c r="D75" s="21" t="s">
        <v>433</v>
      </c>
      <c r="E75" s="24">
        <v>55</v>
      </c>
      <c r="G75" s="2">
        <f t="shared" si="31"/>
        <v>56</v>
      </c>
      <c r="H75" s="5">
        <v>5</v>
      </c>
      <c r="I75" s="13">
        <v>12</v>
      </c>
      <c r="L75" s="4"/>
      <c r="M75" s="7"/>
      <c r="O75" s="7"/>
      <c r="T75" s="7"/>
      <c r="AE75" s="7"/>
      <c r="BD75" s="26"/>
      <c r="BE75" s="26">
        <f t="shared" si="30"/>
        <v>45</v>
      </c>
      <c r="BF75">
        <v>45</v>
      </c>
      <c r="BG75">
        <v>55</v>
      </c>
      <c r="BH75" s="42">
        <v>109</v>
      </c>
      <c r="BI75" s="42">
        <v>109</v>
      </c>
      <c r="BJ75" s="42">
        <v>109</v>
      </c>
      <c r="BK75" s="42">
        <v>110</v>
      </c>
      <c r="BL75" s="42">
        <v>109</v>
      </c>
      <c r="BM75" s="42">
        <v>109</v>
      </c>
      <c r="BN75" s="42">
        <v>113</v>
      </c>
      <c r="BO75" s="42">
        <v>106</v>
      </c>
      <c r="BP75" s="42">
        <v>111</v>
      </c>
      <c r="BQ75" s="42">
        <v>113</v>
      </c>
      <c r="BR75" s="42">
        <v>109</v>
      </c>
      <c r="BS75" s="42">
        <v>109</v>
      </c>
      <c r="BT75" s="42">
        <v>109</v>
      </c>
      <c r="BU75" s="42">
        <v>109</v>
      </c>
      <c r="BV75" s="42">
        <v>109</v>
      </c>
      <c r="BW75" s="42">
        <v>110</v>
      </c>
      <c r="BX75" s="42">
        <v>109</v>
      </c>
      <c r="BY75" s="42">
        <v>109</v>
      </c>
      <c r="BZ75" s="42">
        <v>107</v>
      </c>
      <c r="CA75" s="42">
        <v>107</v>
      </c>
      <c r="CB75" s="42" t="s">
        <v>326</v>
      </c>
      <c r="CC75" s="42" t="s">
        <v>326</v>
      </c>
      <c r="CD75" s="42" t="s">
        <v>326</v>
      </c>
      <c r="CE75" s="42" t="s">
        <v>326</v>
      </c>
      <c r="CF75" s="42" t="s">
        <v>326</v>
      </c>
      <c r="CG75" s="42" t="s">
        <v>326</v>
      </c>
      <c r="CH75" s="42" t="s">
        <v>326</v>
      </c>
      <c r="CI75" s="42" t="s">
        <v>326</v>
      </c>
      <c r="CJ75" s="42" t="s">
        <v>326</v>
      </c>
      <c r="CK75" s="42" t="s">
        <v>326</v>
      </c>
      <c r="CL75" s="42" t="s">
        <v>326</v>
      </c>
      <c r="CM75" s="42" t="s">
        <v>326</v>
      </c>
      <c r="CN75" s="42" t="s">
        <v>326</v>
      </c>
      <c r="CO75" s="42" t="s">
        <v>326</v>
      </c>
      <c r="CP75" s="42" t="s">
        <v>326</v>
      </c>
      <c r="CQ75" s="42" t="s">
        <v>326</v>
      </c>
      <c r="CR75" s="42" t="s">
        <v>326</v>
      </c>
      <c r="CS75" s="42" t="s">
        <v>326</v>
      </c>
      <c r="CT75" s="42" t="s">
        <v>326</v>
      </c>
      <c r="CU75" s="42" t="s">
        <v>326</v>
      </c>
      <c r="CV75" s="42" t="s">
        <v>326</v>
      </c>
      <c r="CW75" s="42" t="s">
        <v>326</v>
      </c>
      <c r="CX75" s="42" t="s">
        <v>326</v>
      </c>
      <c r="CY75" s="42" t="s">
        <v>326</v>
      </c>
      <c r="CZ75" s="42" t="s">
        <v>326</v>
      </c>
      <c r="DA75" s="42" t="s">
        <v>326</v>
      </c>
      <c r="DB75" s="42" t="s">
        <v>326</v>
      </c>
      <c r="DC75" s="42" t="s">
        <v>326</v>
      </c>
      <c r="DD75" s="42" t="s">
        <v>326</v>
      </c>
      <c r="DE75" s="42" t="s">
        <v>326</v>
      </c>
      <c r="DF75" s="42" t="s">
        <v>326</v>
      </c>
      <c r="DG75" s="42" t="s">
        <v>327</v>
      </c>
      <c r="DH75" s="42" t="s">
        <v>326</v>
      </c>
      <c r="DI75" s="42" t="s">
        <v>326</v>
      </c>
      <c r="DJ75" s="42" t="s">
        <v>326</v>
      </c>
      <c r="DK75" s="42" t="s">
        <v>326</v>
      </c>
      <c r="DL75" s="42" t="s">
        <v>326</v>
      </c>
      <c r="DM75" s="42" t="s">
        <v>326</v>
      </c>
      <c r="DN75" s="42" t="s">
        <v>326</v>
      </c>
      <c r="DO75" s="26" t="s">
        <v>326</v>
      </c>
      <c r="DP75" s="26" t="s">
        <v>326</v>
      </c>
      <c r="DQ75" s="26" t="s">
        <v>326</v>
      </c>
      <c r="DR75" s="26" t="s">
        <v>326</v>
      </c>
      <c r="DS75" s="26" t="s">
        <v>326</v>
      </c>
      <c r="DT75" s="29">
        <v>56</v>
      </c>
      <c r="DU75" s="29">
        <v>55</v>
      </c>
      <c r="DV75" s="29">
        <v>55</v>
      </c>
      <c r="DW75" s="29">
        <v>55</v>
      </c>
      <c r="DX75" s="29">
        <v>53</v>
      </c>
      <c r="DY75" s="29">
        <v>52</v>
      </c>
      <c r="DZ75" s="29">
        <v>51</v>
      </c>
      <c r="EA75" s="29">
        <v>55</v>
      </c>
      <c r="EB75" s="29">
        <v>54</v>
      </c>
      <c r="EC75" s="29">
        <v>55</v>
      </c>
      <c r="ED75" s="29" t="s">
        <v>326</v>
      </c>
      <c r="EE75" s="29" t="s">
        <v>326</v>
      </c>
      <c r="EF75" s="29" t="s">
        <v>326</v>
      </c>
      <c r="EG75" s="29" t="s">
        <v>326</v>
      </c>
      <c r="EH75" s="29" t="s">
        <v>326</v>
      </c>
      <c r="EI75" s="29" t="s">
        <v>326</v>
      </c>
      <c r="EJ75" s="29" t="s">
        <v>326</v>
      </c>
      <c r="EK75" s="29" t="s">
        <v>326</v>
      </c>
      <c r="EL75" s="29" t="s">
        <v>326</v>
      </c>
      <c r="EM75" s="29" t="s">
        <v>326</v>
      </c>
      <c r="EN75" s="29" t="s">
        <v>326</v>
      </c>
      <c r="EO75" s="29" t="s">
        <v>326</v>
      </c>
      <c r="EP75" s="29" t="s">
        <v>326</v>
      </c>
      <c r="EQ75" s="29" t="s">
        <v>326</v>
      </c>
      <c r="ER75" s="29" t="s">
        <v>326</v>
      </c>
      <c r="ES75" s="29" t="s">
        <v>326</v>
      </c>
      <c r="ET75" s="29" t="s">
        <v>326</v>
      </c>
      <c r="EU75" s="29" t="s">
        <v>326</v>
      </c>
      <c r="EV75" s="29" t="s">
        <v>326</v>
      </c>
      <c r="EW75" s="29" t="s">
        <v>326</v>
      </c>
      <c r="EX75" s="29" t="s">
        <v>326</v>
      </c>
      <c r="EY75" s="29" t="s">
        <v>326</v>
      </c>
      <c r="EZ75" s="26"/>
      <c r="FA75" s="26"/>
      <c r="FB75" s="26"/>
      <c r="FC75" s="26"/>
      <c r="FD75" s="26"/>
      <c r="FE75" s="26"/>
      <c r="FF75" s="26"/>
      <c r="FG75" s="26"/>
      <c r="FH75" s="26"/>
      <c r="FI75" s="26"/>
      <c r="FK75" s="26"/>
      <c r="FL75" s="26"/>
      <c r="FM75" s="26"/>
      <c r="FN75" s="26"/>
      <c r="FO75" s="26"/>
      <c r="FP75" s="26"/>
      <c r="FQ75" s="26"/>
      <c r="FR75" s="26"/>
      <c r="FS75" s="26"/>
      <c r="FT75" s="26"/>
      <c r="FU75" s="26"/>
      <c r="FV75" s="26"/>
      <c r="FW75" s="26"/>
      <c r="FX75" s="26"/>
      <c r="FY75" s="26"/>
      <c r="FZ75" s="26"/>
      <c r="GA75" s="26"/>
      <c r="GB75" s="26"/>
      <c r="GC75" s="26"/>
      <c r="GD75" s="26"/>
      <c r="GG75" s="26"/>
      <c r="GJ75">
        <f>GJ71+1</f>
        <v>19</v>
      </c>
      <c r="GK75" t="str">
        <f>IF(Grps&gt;GJ71,GJ75,"")</f>
        <v/>
      </c>
    </row>
    <row r="76" spans="2:193" x14ac:dyDescent="0.3">
      <c r="B76" s="18" t="s">
        <v>434</v>
      </c>
      <c r="C76" s="13">
        <v>67</v>
      </c>
      <c r="D76" s="21" t="s">
        <v>435</v>
      </c>
      <c r="E76" s="24">
        <v>54</v>
      </c>
      <c r="G76" s="2">
        <f t="shared" si="31"/>
        <v>57</v>
      </c>
      <c r="H76" s="5">
        <v>5</v>
      </c>
      <c r="I76" s="13">
        <v>12</v>
      </c>
      <c r="L76" s="4"/>
      <c r="M76" s="7"/>
      <c r="O76" s="7"/>
      <c r="T76" s="7"/>
      <c r="AE76" s="7"/>
      <c r="BD76" s="26"/>
      <c r="BE76" s="26" t="str">
        <f t="shared" si="30"/>
        <v>BYE</v>
      </c>
      <c r="BF76">
        <v>84</v>
      </c>
      <c r="BG76">
        <v>56</v>
      </c>
      <c r="BH76" s="42">
        <v>20</v>
      </c>
      <c r="BI76" s="42">
        <v>20</v>
      </c>
      <c r="BJ76" s="42">
        <v>20</v>
      </c>
      <c r="BK76" s="42">
        <v>20</v>
      </c>
      <c r="BL76" s="42">
        <v>20</v>
      </c>
      <c r="BM76" s="42">
        <v>20</v>
      </c>
      <c r="BN76" s="42">
        <v>20</v>
      </c>
      <c r="BO76" s="42">
        <v>20</v>
      </c>
      <c r="BP76" s="42">
        <v>20</v>
      </c>
      <c r="BQ76" s="42">
        <v>20</v>
      </c>
      <c r="BR76" s="42">
        <v>20</v>
      </c>
      <c r="BS76" s="42">
        <v>20</v>
      </c>
      <c r="BT76" s="42">
        <v>20</v>
      </c>
      <c r="BU76" s="42">
        <v>20</v>
      </c>
      <c r="BV76" s="42">
        <v>20</v>
      </c>
      <c r="BW76" s="42">
        <v>20</v>
      </c>
      <c r="BX76" s="42">
        <v>20</v>
      </c>
      <c r="BY76" s="42">
        <v>20</v>
      </c>
      <c r="BZ76" s="42">
        <v>20</v>
      </c>
      <c r="CA76" s="42">
        <v>20</v>
      </c>
      <c r="CB76" s="42">
        <v>20</v>
      </c>
      <c r="CC76" s="42">
        <v>20</v>
      </c>
      <c r="CD76" s="42">
        <v>20</v>
      </c>
      <c r="CE76" s="42">
        <v>20</v>
      </c>
      <c r="CF76" s="42">
        <v>20</v>
      </c>
      <c r="CG76" s="42">
        <v>20</v>
      </c>
      <c r="CH76" s="42">
        <v>20</v>
      </c>
      <c r="CI76" s="42">
        <v>20</v>
      </c>
      <c r="CJ76" s="42">
        <v>20</v>
      </c>
      <c r="CK76" s="42">
        <v>20</v>
      </c>
      <c r="CL76" s="42">
        <v>20</v>
      </c>
      <c r="CM76" s="42">
        <v>20</v>
      </c>
      <c r="CN76" s="42">
        <v>20</v>
      </c>
      <c r="CO76" s="42">
        <v>20</v>
      </c>
      <c r="CP76" s="42">
        <v>20</v>
      </c>
      <c r="CQ76" s="42">
        <v>20</v>
      </c>
      <c r="CR76" s="42">
        <v>20</v>
      </c>
      <c r="CS76" s="42">
        <v>20</v>
      </c>
      <c r="CT76" s="42">
        <v>20</v>
      </c>
      <c r="CU76" s="42">
        <v>20</v>
      </c>
      <c r="CV76" s="42">
        <v>20</v>
      </c>
      <c r="CW76" s="42">
        <v>20</v>
      </c>
      <c r="CX76" s="42">
        <v>20</v>
      </c>
      <c r="CY76" s="42">
        <v>20</v>
      </c>
      <c r="CZ76" s="42">
        <v>20</v>
      </c>
      <c r="DA76" s="42">
        <v>20</v>
      </c>
      <c r="DB76" s="42">
        <v>20</v>
      </c>
      <c r="DC76" s="42">
        <v>20</v>
      </c>
      <c r="DD76" s="42">
        <v>20</v>
      </c>
      <c r="DE76" s="42">
        <v>20</v>
      </c>
      <c r="DF76" s="42">
        <v>20</v>
      </c>
      <c r="DG76" s="42">
        <v>46</v>
      </c>
      <c r="DH76" s="42">
        <v>20</v>
      </c>
      <c r="DI76" s="42">
        <v>20</v>
      </c>
      <c r="DJ76" s="42">
        <v>20</v>
      </c>
      <c r="DK76" s="42">
        <v>20</v>
      </c>
      <c r="DL76" s="42">
        <v>20</v>
      </c>
      <c r="DM76" s="42">
        <v>20</v>
      </c>
      <c r="DN76" s="42">
        <v>20</v>
      </c>
      <c r="DO76" s="26">
        <v>20</v>
      </c>
      <c r="DP76" s="26">
        <v>20</v>
      </c>
      <c r="DQ76" s="26">
        <v>20</v>
      </c>
      <c r="DR76" s="26">
        <v>20</v>
      </c>
      <c r="DS76" s="26">
        <v>20</v>
      </c>
      <c r="DT76" s="29">
        <v>10</v>
      </c>
      <c r="DU76" s="29">
        <v>10</v>
      </c>
      <c r="DV76" s="29">
        <v>10</v>
      </c>
      <c r="DW76" s="29">
        <v>11</v>
      </c>
      <c r="DX76" s="29">
        <v>10</v>
      </c>
      <c r="DY76" s="29">
        <v>10</v>
      </c>
      <c r="DZ76" s="29">
        <v>10</v>
      </c>
      <c r="EA76" s="29">
        <v>10</v>
      </c>
      <c r="EB76" s="29">
        <v>10</v>
      </c>
      <c r="EC76" s="29">
        <v>10</v>
      </c>
      <c r="ED76" s="29">
        <v>10</v>
      </c>
      <c r="EE76" s="29">
        <v>10</v>
      </c>
      <c r="EF76" s="29">
        <v>10</v>
      </c>
      <c r="EG76" s="29">
        <v>10</v>
      </c>
      <c r="EH76" s="29">
        <v>10</v>
      </c>
      <c r="EI76" s="29">
        <v>10</v>
      </c>
      <c r="EJ76" s="29">
        <v>10</v>
      </c>
      <c r="EK76" s="29">
        <v>10</v>
      </c>
      <c r="EL76" s="29">
        <v>10</v>
      </c>
      <c r="EM76" s="29">
        <v>10</v>
      </c>
      <c r="EN76" s="29">
        <v>10</v>
      </c>
      <c r="EO76" s="29">
        <v>10</v>
      </c>
      <c r="EP76" s="29">
        <v>10</v>
      </c>
      <c r="EQ76" s="29">
        <v>10</v>
      </c>
      <c r="ER76" s="29">
        <v>10</v>
      </c>
      <c r="ES76" s="29">
        <v>10</v>
      </c>
      <c r="ET76" s="29">
        <v>10</v>
      </c>
      <c r="EU76" s="29">
        <v>10</v>
      </c>
      <c r="EV76" s="29">
        <v>10</v>
      </c>
      <c r="EW76" s="29">
        <v>10</v>
      </c>
      <c r="EX76" s="29">
        <v>10</v>
      </c>
      <c r="EY76" s="29">
        <v>10</v>
      </c>
      <c r="EZ76" s="26"/>
      <c r="FA76" s="26"/>
      <c r="FB76" s="26"/>
      <c r="FC76" s="26"/>
      <c r="FD76" s="26"/>
      <c r="FE76" s="26"/>
      <c r="FF76" s="26"/>
      <c r="FG76" s="26"/>
      <c r="FH76" s="26"/>
      <c r="FI76" s="26"/>
      <c r="FK76" s="26"/>
      <c r="FL76" s="26"/>
      <c r="FM76" s="26"/>
      <c r="FN76" s="26"/>
      <c r="FO76" s="26"/>
      <c r="FP76" s="26"/>
      <c r="FQ76" s="26"/>
      <c r="FR76" s="26"/>
      <c r="FS76" s="26"/>
      <c r="FT76" s="26"/>
      <c r="FU76" s="26"/>
      <c r="FV76" s="26"/>
      <c r="FW76" s="26"/>
      <c r="FX76" s="26"/>
      <c r="FY76" s="26"/>
      <c r="FZ76" s="26"/>
      <c r="GA76" s="26"/>
      <c r="GB76" s="26"/>
      <c r="GC76" s="26"/>
      <c r="GD76" s="26"/>
      <c r="GG76" s="26"/>
      <c r="GK76">
        <f>IF(ISNUMBER(EY671),EY671,999)</f>
        <v>999</v>
      </c>
    </row>
    <row r="77" spans="2:193" x14ac:dyDescent="0.3">
      <c r="B77" s="18" t="s">
        <v>436</v>
      </c>
      <c r="C77" s="13">
        <v>68</v>
      </c>
      <c r="D77" s="21" t="s">
        <v>437</v>
      </c>
      <c r="E77" s="24">
        <v>53</v>
      </c>
      <c r="G77" s="2">
        <f t="shared" si="31"/>
        <v>58</v>
      </c>
      <c r="H77" s="5">
        <v>5</v>
      </c>
      <c r="I77" s="13">
        <v>12</v>
      </c>
      <c r="L77" s="4"/>
      <c r="M77" s="7"/>
      <c r="O77" s="7"/>
      <c r="AE77" s="7"/>
      <c r="BD77" s="26"/>
      <c r="BE77" s="26">
        <f t="shared" si="30"/>
        <v>27</v>
      </c>
      <c r="BF77">
        <v>27</v>
      </c>
      <c r="BG77">
        <v>57</v>
      </c>
      <c r="BH77" s="38">
        <v>29</v>
      </c>
      <c r="BI77" s="39">
        <v>29</v>
      </c>
      <c r="BJ77" s="39">
        <v>29</v>
      </c>
      <c r="BK77" s="39">
        <v>29</v>
      </c>
      <c r="BL77" s="39">
        <v>29</v>
      </c>
      <c r="BM77" s="39">
        <v>29</v>
      </c>
      <c r="BN77" s="39">
        <v>29</v>
      </c>
      <c r="BO77" s="39">
        <v>29</v>
      </c>
      <c r="BP77" s="39">
        <v>29</v>
      </c>
      <c r="BQ77" s="39">
        <v>29</v>
      </c>
      <c r="BR77" s="39">
        <v>29</v>
      </c>
      <c r="BS77" s="39">
        <v>29</v>
      </c>
      <c r="BT77" s="39">
        <v>29</v>
      </c>
      <c r="BU77" s="39">
        <v>29</v>
      </c>
      <c r="BV77" s="39">
        <v>29</v>
      </c>
      <c r="BW77" s="39">
        <v>29</v>
      </c>
      <c r="BX77" s="39">
        <v>29</v>
      </c>
      <c r="BY77" s="39">
        <v>29</v>
      </c>
      <c r="BZ77" s="39">
        <v>29</v>
      </c>
      <c r="CA77" s="39">
        <v>29</v>
      </c>
      <c r="CB77" s="39">
        <v>29</v>
      </c>
      <c r="CC77" s="39">
        <v>29</v>
      </c>
      <c r="CD77" s="39">
        <v>29</v>
      </c>
      <c r="CE77" s="39">
        <v>29</v>
      </c>
      <c r="CF77" s="39">
        <v>29</v>
      </c>
      <c r="CG77" s="39">
        <v>29</v>
      </c>
      <c r="CH77" s="39">
        <v>29</v>
      </c>
      <c r="CI77" s="39">
        <v>29</v>
      </c>
      <c r="CJ77" s="39">
        <v>29</v>
      </c>
      <c r="CK77" s="39">
        <v>29</v>
      </c>
      <c r="CL77" s="39">
        <v>29</v>
      </c>
      <c r="CM77" s="39">
        <v>29</v>
      </c>
      <c r="CN77" s="39">
        <v>29</v>
      </c>
      <c r="CO77" s="39">
        <v>29</v>
      </c>
      <c r="CP77" s="39">
        <v>29</v>
      </c>
      <c r="CQ77" s="39">
        <v>29</v>
      </c>
      <c r="CR77" s="39">
        <v>29</v>
      </c>
      <c r="CS77" s="39">
        <v>29</v>
      </c>
      <c r="CT77" s="39">
        <v>29</v>
      </c>
      <c r="CU77" s="39">
        <v>29</v>
      </c>
      <c r="CV77" s="39">
        <v>29</v>
      </c>
      <c r="CW77" s="39">
        <v>29</v>
      </c>
      <c r="CX77" s="39">
        <v>29</v>
      </c>
      <c r="CY77" s="39">
        <v>29</v>
      </c>
      <c r="CZ77" s="39">
        <v>30</v>
      </c>
      <c r="DA77" s="39">
        <v>30</v>
      </c>
      <c r="DB77" s="39">
        <v>30</v>
      </c>
      <c r="DC77" s="39">
        <v>29</v>
      </c>
      <c r="DD77" s="39">
        <v>29</v>
      </c>
      <c r="DE77" s="39">
        <v>29</v>
      </c>
      <c r="DF77" s="39">
        <v>30</v>
      </c>
      <c r="DG77" s="39">
        <v>27</v>
      </c>
      <c r="DH77" s="39">
        <v>30</v>
      </c>
      <c r="DI77" s="39">
        <v>29</v>
      </c>
      <c r="DJ77" s="39">
        <v>29</v>
      </c>
      <c r="DK77" s="39">
        <v>29</v>
      </c>
      <c r="DL77" s="39">
        <v>30</v>
      </c>
      <c r="DM77" s="39">
        <v>30</v>
      </c>
      <c r="DN77" s="39">
        <v>30</v>
      </c>
      <c r="DO77" s="36">
        <v>29</v>
      </c>
      <c r="DP77" s="36">
        <v>29</v>
      </c>
      <c r="DQ77" s="36">
        <v>29</v>
      </c>
      <c r="DR77" s="36">
        <v>30</v>
      </c>
      <c r="DS77" s="36">
        <v>30</v>
      </c>
      <c r="DT77" s="50">
        <v>15</v>
      </c>
      <c r="DU77" s="50">
        <v>15</v>
      </c>
      <c r="DV77" s="50">
        <v>15</v>
      </c>
      <c r="DW77" s="50">
        <v>15</v>
      </c>
      <c r="DX77" s="50">
        <v>15</v>
      </c>
      <c r="DY77" s="50">
        <v>15</v>
      </c>
      <c r="DZ77" s="50">
        <v>15</v>
      </c>
      <c r="EA77" s="50">
        <v>15</v>
      </c>
      <c r="EB77" s="50">
        <v>15</v>
      </c>
      <c r="EC77" s="50">
        <v>15</v>
      </c>
      <c r="ED77" s="50">
        <v>15</v>
      </c>
      <c r="EE77" s="50">
        <v>15</v>
      </c>
      <c r="EF77" s="50">
        <v>15</v>
      </c>
      <c r="EG77" s="50">
        <v>15</v>
      </c>
      <c r="EH77" s="50">
        <v>15</v>
      </c>
      <c r="EI77" s="50">
        <v>15</v>
      </c>
      <c r="EJ77" s="50">
        <v>15</v>
      </c>
      <c r="EK77" s="50">
        <v>15</v>
      </c>
      <c r="EL77" s="50">
        <v>15</v>
      </c>
      <c r="EM77" s="50">
        <v>15</v>
      </c>
      <c r="EN77" s="50">
        <v>15</v>
      </c>
      <c r="EO77" s="50">
        <v>15</v>
      </c>
      <c r="EP77" s="50">
        <v>16</v>
      </c>
      <c r="EQ77" s="50">
        <v>16</v>
      </c>
      <c r="ER77" s="50">
        <v>16</v>
      </c>
      <c r="ES77" s="50">
        <v>15</v>
      </c>
      <c r="ET77" s="50">
        <v>15</v>
      </c>
      <c r="EU77" s="50">
        <v>15</v>
      </c>
      <c r="EV77" s="50">
        <v>16</v>
      </c>
      <c r="EW77" s="50">
        <v>16</v>
      </c>
      <c r="EX77" s="50">
        <v>16</v>
      </c>
      <c r="EY77" s="51">
        <v>15</v>
      </c>
      <c r="EZ77" s="26"/>
      <c r="FA77" s="26"/>
      <c r="FB77" s="26"/>
      <c r="FC77" s="26"/>
      <c r="FD77" s="26"/>
      <c r="FE77" s="26"/>
      <c r="FF77" s="26"/>
      <c r="FG77" s="26"/>
      <c r="FH77" s="26"/>
      <c r="FI77" s="26"/>
      <c r="FK77" s="26"/>
      <c r="FL77" s="26"/>
      <c r="FM77" s="26"/>
      <c r="FN77" s="26"/>
      <c r="FO77" s="26"/>
      <c r="FP77" s="26"/>
      <c r="FQ77" s="26"/>
      <c r="FR77" s="26"/>
      <c r="FS77" s="26"/>
      <c r="FT77" s="26"/>
      <c r="FU77" s="26"/>
      <c r="FV77" s="26"/>
      <c r="FW77" s="26"/>
      <c r="FX77" s="26"/>
      <c r="FY77" s="26"/>
      <c r="FZ77" s="26"/>
      <c r="GA77" s="26"/>
      <c r="GB77" s="26"/>
      <c r="GC77" s="26"/>
      <c r="GD77" s="26"/>
      <c r="GG77" s="26"/>
      <c r="GK77">
        <f>IF(ISNUMBER(EY672),EY672,999)</f>
        <v>999</v>
      </c>
    </row>
    <row r="78" spans="2:193" x14ac:dyDescent="0.3">
      <c r="B78" s="18" t="s">
        <v>438</v>
      </c>
      <c r="C78" s="13">
        <v>69</v>
      </c>
      <c r="D78" s="21" t="s">
        <v>439</v>
      </c>
      <c r="E78" s="24">
        <v>52</v>
      </c>
      <c r="G78" s="2">
        <f t="shared" si="31"/>
        <v>59</v>
      </c>
      <c r="H78" s="5">
        <v>5</v>
      </c>
      <c r="I78" s="13">
        <v>12</v>
      </c>
      <c r="L78" s="4"/>
      <c r="M78" s="7"/>
      <c r="O78" s="7"/>
      <c r="T78" s="7"/>
      <c r="AE78" s="7"/>
      <c r="BD78" s="26"/>
      <c r="BE78" s="26" t="str">
        <f t="shared" si="30"/>
        <v>BYE</v>
      </c>
      <c r="BF78">
        <v>102</v>
      </c>
      <c r="BG78">
        <v>58</v>
      </c>
      <c r="BH78" s="40">
        <v>100</v>
      </c>
      <c r="BI78" s="41">
        <v>100</v>
      </c>
      <c r="BJ78" s="41">
        <v>100</v>
      </c>
      <c r="BK78" s="41">
        <v>100</v>
      </c>
      <c r="BL78" s="41">
        <v>99</v>
      </c>
      <c r="BM78" s="41">
        <v>100</v>
      </c>
      <c r="BN78" s="41">
        <v>100</v>
      </c>
      <c r="BO78" s="41">
        <v>99</v>
      </c>
      <c r="BP78" s="41">
        <v>103</v>
      </c>
      <c r="BQ78" s="41">
        <v>96</v>
      </c>
      <c r="BR78" s="41">
        <v>104</v>
      </c>
      <c r="BS78" s="41">
        <v>100</v>
      </c>
      <c r="BT78" s="41">
        <v>100</v>
      </c>
      <c r="BU78" s="41">
        <v>100</v>
      </c>
      <c r="BV78" s="41">
        <v>100</v>
      </c>
      <c r="BW78" s="41">
        <v>100</v>
      </c>
      <c r="BX78" s="41">
        <v>99</v>
      </c>
      <c r="BY78" s="41">
        <v>100</v>
      </c>
      <c r="BZ78" s="41">
        <v>100</v>
      </c>
      <c r="CA78" s="41">
        <v>97</v>
      </c>
      <c r="CB78" s="41">
        <v>98</v>
      </c>
      <c r="CC78" s="41">
        <v>104</v>
      </c>
      <c r="CD78" s="41">
        <v>104</v>
      </c>
      <c r="CE78" s="41">
        <v>100</v>
      </c>
      <c r="CF78" s="41">
        <v>100</v>
      </c>
      <c r="CG78" s="41">
        <v>100</v>
      </c>
      <c r="CH78" s="41">
        <v>100</v>
      </c>
      <c r="CI78" s="41">
        <v>100</v>
      </c>
      <c r="CJ78" s="41">
        <v>99</v>
      </c>
      <c r="CK78" s="41" t="s">
        <v>326</v>
      </c>
      <c r="CL78" s="41" t="s">
        <v>326</v>
      </c>
      <c r="CM78" s="41" t="s">
        <v>326</v>
      </c>
      <c r="CN78" s="41" t="s">
        <v>326</v>
      </c>
      <c r="CO78" s="41" t="s">
        <v>326</v>
      </c>
      <c r="CP78" s="41" t="s">
        <v>326</v>
      </c>
      <c r="CQ78" s="41" t="s">
        <v>326</v>
      </c>
      <c r="CR78" s="41" t="s">
        <v>326</v>
      </c>
      <c r="CS78" s="41" t="s">
        <v>326</v>
      </c>
      <c r="CT78" s="41" t="s">
        <v>326</v>
      </c>
      <c r="CU78" s="41" t="s">
        <v>326</v>
      </c>
      <c r="CV78" s="41" t="s">
        <v>326</v>
      </c>
      <c r="CW78" s="41" t="s">
        <v>326</v>
      </c>
      <c r="CX78" s="41" t="s">
        <v>326</v>
      </c>
      <c r="CY78" s="41" t="s">
        <v>326</v>
      </c>
      <c r="CZ78" s="41" t="s">
        <v>326</v>
      </c>
      <c r="DA78" s="41" t="s">
        <v>326</v>
      </c>
      <c r="DB78" s="41" t="s">
        <v>326</v>
      </c>
      <c r="DC78" s="41" t="s">
        <v>326</v>
      </c>
      <c r="DD78" s="41" t="s">
        <v>326</v>
      </c>
      <c r="DE78" s="41" t="s">
        <v>326</v>
      </c>
      <c r="DF78" s="41" t="s">
        <v>326</v>
      </c>
      <c r="DG78" s="41" t="s">
        <v>327</v>
      </c>
      <c r="DH78" s="41" t="s">
        <v>326</v>
      </c>
      <c r="DI78" s="41" t="s">
        <v>326</v>
      </c>
      <c r="DJ78" s="41" t="s">
        <v>326</v>
      </c>
      <c r="DK78" s="41" t="s">
        <v>326</v>
      </c>
      <c r="DL78" s="41" t="s">
        <v>326</v>
      </c>
      <c r="DM78" s="41" t="s">
        <v>326</v>
      </c>
      <c r="DN78" s="41" t="s">
        <v>326</v>
      </c>
      <c r="DO78" s="37" t="s">
        <v>326</v>
      </c>
      <c r="DP78" s="37" t="s">
        <v>326</v>
      </c>
      <c r="DQ78" s="37" t="s">
        <v>326</v>
      </c>
      <c r="DR78" s="37" t="s">
        <v>326</v>
      </c>
      <c r="DS78" s="37" t="s">
        <v>326</v>
      </c>
      <c r="DT78" s="52">
        <v>50</v>
      </c>
      <c r="DU78" s="52">
        <v>50</v>
      </c>
      <c r="DV78" s="52">
        <v>54</v>
      </c>
      <c r="DW78" s="52">
        <v>48</v>
      </c>
      <c r="DX78" s="52">
        <v>52</v>
      </c>
      <c r="DY78" s="52">
        <v>50</v>
      </c>
      <c r="DZ78" s="52">
        <v>50</v>
      </c>
      <c r="EA78" s="52">
        <v>50</v>
      </c>
      <c r="EB78" s="52">
        <v>51</v>
      </c>
      <c r="EC78" s="52">
        <v>50</v>
      </c>
      <c r="ED78" s="52">
        <v>50</v>
      </c>
      <c r="EE78" s="52">
        <v>49</v>
      </c>
      <c r="EF78" s="52">
        <v>50</v>
      </c>
      <c r="EG78" s="52">
        <v>50</v>
      </c>
      <c r="EH78" s="52">
        <v>46</v>
      </c>
      <c r="EI78" s="52" t="s">
        <v>326</v>
      </c>
      <c r="EJ78" s="52" t="s">
        <v>326</v>
      </c>
      <c r="EK78" s="52" t="s">
        <v>326</v>
      </c>
      <c r="EL78" s="52" t="s">
        <v>326</v>
      </c>
      <c r="EM78" s="52" t="s">
        <v>326</v>
      </c>
      <c r="EN78" s="52" t="s">
        <v>326</v>
      </c>
      <c r="EO78" s="52" t="s">
        <v>326</v>
      </c>
      <c r="EP78" s="52" t="s">
        <v>326</v>
      </c>
      <c r="EQ78" s="52" t="s">
        <v>326</v>
      </c>
      <c r="ER78" s="52" t="s">
        <v>326</v>
      </c>
      <c r="ES78" s="52" t="s">
        <v>326</v>
      </c>
      <c r="ET78" s="52" t="s">
        <v>326</v>
      </c>
      <c r="EU78" s="52" t="s">
        <v>326</v>
      </c>
      <c r="EV78" s="52" t="s">
        <v>326</v>
      </c>
      <c r="EW78" s="52" t="s">
        <v>326</v>
      </c>
      <c r="EX78" s="52" t="s">
        <v>326</v>
      </c>
      <c r="EY78" s="53" t="s">
        <v>326</v>
      </c>
      <c r="EZ78" s="26"/>
      <c r="FA78" s="26"/>
      <c r="FB78" s="26"/>
      <c r="FC78" s="26"/>
      <c r="FD78" s="26"/>
      <c r="FE78" s="26"/>
      <c r="FF78" s="26"/>
      <c r="FG78" s="26"/>
      <c r="FH78" s="26"/>
      <c r="FI78" s="26"/>
      <c r="FK78" s="26"/>
      <c r="FL78" s="26"/>
      <c r="FM78" s="26"/>
      <c r="FN78" s="26"/>
      <c r="FO78" s="26"/>
      <c r="FP78" s="26"/>
      <c r="FQ78" s="26"/>
      <c r="FR78" s="26"/>
      <c r="FS78" s="26"/>
      <c r="FT78" s="26"/>
      <c r="FU78" s="26"/>
      <c r="FV78" s="26"/>
      <c r="FW78" s="26"/>
      <c r="FX78" s="26"/>
      <c r="FY78" s="26"/>
      <c r="FZ78" s="26"/>
      <c r="GA78" s="26"/>
      <c r="GB78" s="26"/>
      <c r="GC78" s="26"/>
      <c r="GD78" s="26"/>
      <c r="GG78" s="26"/>
      <c r="GK78">
        <f>IF(ISNUMBER(EY673),EY673,999)</f>
        <v>999</v>
      </c>
    </row>
    <row r="79" spans="2:193" x14ac:dyDescent="0.3">
      <c r="B79" s="18" t="s">
        <v>440</v>
      </c>
      <c r="C79" s="13">
        <v>52</v>
      </c>
      <c r="D79" s="21" t="s">
        <v>441</v>
      </c>
      <c r="E79" s="24">
        <v>34</v>
      </c>
      <c r="G79" s="2">
        <f t="shared" si="31"/>
        <v>60</v>
      </c>
      <c r="H79" s="5">
        <v>5</v>
      </c>
      <c r="I79" s="13">
        <v>12</v>
      </c>
      <c r="L79" s="4"/>
      <c r="M79" s="7"/>
      <c r="O79" s="7"/>
      <c r="T79" s="7"/>
      <c r="AE79" s="7"/>
      <c r="BD79" s="26"/>
      <c r="BE79" s="26">
        <f t="shared" si="30"/>
        <v>36</v>
      </c>
      <c r="BF79">
        <v>36</v>
      </c>
      <c r="BG79">
        <v>59</v>
      </c>
      <c r="BH79" s="42">
        <v>93</v>
      </c>
      <c r="BI79" s="42">
        <v>93</v>
      </c>
      <c r="BJ79" s="42">
        <v>93</v>
      </c>
      <c r="BK79" s="42">
        <v>94</v>
      </c>
      <c r="BL79" s="42">
        <v>93</v>
      </c>
      <c r="BM79" s="42">
        <v>93</v>
      </c>
      <c r="BN79" s="42">
        <v>97</v>
      </c>
      <c r="BO79" s="42">
        <v>97</v>
      </c>
      <c r="BP79" s="42">
        <v>96</v>
      </c>
      <c r="BQ79" s="42">
        <v>97</v>
      </c>
      <c r="BR79" s="42">
        <v>93</v>
      </c>
      <c r="BS79" s="42">
        <v>93</v>
      </c>
      <c r="BT79" s="42">
        <v>93</v>
      </c>
      <c r="BU79" s="42">
        <v>93</v>
      </c>
      <c r="BV79" s="42">
        <v>93</v>
      </c>
      <c r="BW79" s="42">
        <v>94</v>
      </c>
      <c r="BX79" s="42">
        <v>93</v>
      </c>
      <c r="BY79" s="42">
        <v>93</v>
      </c>
      <c r="BZ79" s="42">
        <v>97</v>
      </c>
      <c r="CA79" s="42">
        <v>96</v>
      </c>
      <c r="CB79" s="42">
        <v>95</v>
      </c>
      <c r="CC79" s="42">
        <v>97</v>
      </c>
      <c r="CD79" s="42">
        <v>93</v>
      </c>
      <c r="CE79" s="42">
        <v>93</v>
      </c>
      <c r="CF79" s="42">
        <v>93</v>
      </c>
      <c r="CG79" s="42">
        <v>93</v>
      </c>
      <c r="CH79" s="42">
        <v>93</v>
      </c>
      <c r="CI79" s="42">
        <v>94</v>
      </c>
      <c r="CJ79" s="42">
        <v>93</v>
      </c>
      <c r="CK79" s="42">
        <v>93</v>
      </c>
      <c r="CL79" s="42">
        <v>98</v>
      </c>
      <c r="CM79" s="42">
        <v>96</v>
      </c>
      <c r="CN79" s="42">
        <v>95</v>
      </c>
      <c r="CO79" s="42">
        <v>93</v>
      </c>
      <c r="CP79" s="42">
        <v>93</v>
      </c>
      <c r="CQ79" s="42">
        <v>93</v>
      </c>
      <c r="CR79" s="42" t="s">
        <v>326</v>
      </c>
      <c r="CS79" s="42" t="s">
        <v>326</v>
      </c>
      <c r="CT79" s="42" t="s">
        <v>326</v>
      </c>
      <c r="CU79" s="42" t="s">
        <v>326</v>
      </c>
      <c r="CV79" s="42" t="s">
        <v>326</v>
      </c>
      <c r="CW79" s="42" t="s">
        <v>326</v>
      </c>
      <c r="CX79" s="42" t="s">
        <v>326</v>
      </c>
      <c r="CY79" s="42" t="s">
        <v>326</v>
      </c>
      <c r="CZ79" s="42" t="s">
        <v>326</v>
      </c>
      <c r="DA79" s="42" t="s">
        <v>326</v>
      </c>
      <c r="DB79" s="42" t="s">
        <v>326</v>
      </c>
      <c r="DC79" s="42" t="s">
        <v>326</v>
      </c>
      <c r="DD79" s="42" t="s">
        <v>326</v>
      </c>
      <c r="DE79" s="42" t="s">
        <v>326</v>
      </c>
      <c r="DF79" s="42" t="s">
        <v>326</v>
      </c>
      <c r="DG79" s="42">
        <v>35</v>
      </c>
      <c r="DH79" s="42" t="s">
        <v>326</v>
      </c>
      <c r="DI79" s="42" t="s">
        <v>326</v>
      </c>
      <c r="DJ79" s="42" t="s">
        <v>326</v>
      </c>
      <c r="DK79" s="42" t="s">
        <v>326</v>
      </c>
      <c r="DL79" s="42" t="s">
        <v>326</v>
      </c>
      <c r="DM79" s="42" t="s">
        <v>326</v>
      </c>
      <c r="DN79" s="42" t="s">
        <v>326</v>
      </c>
      <c r="DO79" s="26" t="s">
        <v>326</v>
      </c>
      <c r="DP79" s="26" t="s">
        <v>326</v>
      </c>
      <c r="DQ79" s="26" t="s">
        <v>326</v>
      </c>
      <c r="DR79" s="26" t="s">
        <v>326</v>
      </c>
      <c r="DS79" s="26" t="s">
        <v>326</v>
      </c>
      <c r="DT79" s="29">
        <v>48</v>
      </c>
      <c r="DU79" s="29">
        <v>47</v>
      </c>
      <c r="DV79" s="29">
        <v>47</v>
      </c>
      <c r="DW79" s="29">
        <v>46</v>
      </c>
      <c r="DX79" s="29">
        <v>45</v>
      </c>
      <c r="DY79" s="29">
        <v>43</v>
      </c>
      <c r="DZ79" s="29">
        <v>43</v>
      </c>
      <c r="EA79" s="29">
        <v>47</v>
      </c>
      <c r="EB79" s="29">
        <v>46</v>
      </c>
      <c r="EC79" s="29">
        <v>47</v>
      </c>
      <c r="ED79" s="29">
        <v>47</v>
      </c>
      <c r="EE79" s="29">
        <v>51</v>
      </c>
      <c r="EF79" s="29">
        <v>48</v>
      </c>
      <c r="EG79" s="29">
        <v>47</v>
      </c>
      <c r="EH79" s="29">
        <v>47</v>
      </c>
      <c r="EI79" s="29">
        <v>46</v>
      </c>
      <c r="EJ79" s="29">
        <v>45</v>
      </c>
      <c r="EK79" s="29">
        <v>35</v>
      </c>
      <c r="EL79" s="29" t="s">
        <v>326</v>
      </c>
      <c r="EM79" s="29" t="s">
        <v>326</v>
      </c>
      <c r="EN79" s="29" t="s">
        <v>326</v>
      </c>
      <c r="EO79" s="29" t="s">
        <v>326</v>
      </c>
      <c r="EP79" s="29" t="s">
        <v>326</v>
      </c>
      <c r="EQ79" s="29" t="s">
        <v>326</v>
      </c>
      <c r="ER79" s="29" t="s">
        <v>326</v>
      </c>
      <c r="ES79" s="29" t="s">
        <v>326</v>
      </c>
      <c r="ET79" s="29" t="s">
        <v>326</v>
      </c>
      <c r="EU79" s="29" t="s">
        <v>326</v>
      </c>
      <c r="EV79" s="29" t="s">
        <v>326</v>
      </c>
      <c r="EW79" s="29" t="s">
        <v>326</v>
      </c>
      <c r="EX79" s="29" t="s">
        <v>326</v>
      </c>
      <c r="EY79" s="29" t="s">
        <v>326</v>
      </c>
      <c r="EZ79" s="26"/>
      <c r="FA79" s="26"/>
      <c r="FB79" s="26"/>
      <c r="FC79" s="26"/>
      <c r="FD79" s="26"/>
      <c r="FE79" s="26"/>
      <c r="FF79" s="26"/>
      <c r="FG79" s="26"/>
      <c r="FH79" s="26"/>
      <c r="FI79" s="26"/>
      <c r="FK79" s="26"/>
      <c r="FL79" s="26"/>
      <c r="FM79" s="26"/>
      <c r="FN79" s="26"/>
      <c r="FO79" s="26"/>
      <c r="FP79" s="26"/>
      <c r="FQ79" s="26"/>
      <c r="FR79" s="26"/>
      <c r="FS79" s="26"/>
      <c r="FT79" s="26"/>
      <c r="FU79" s="26"/>
      <c r="FV79" s="26"/>
      <c r="FW79" s="26"/>
      <c r="FX79" s="26"/>
      <c r="FY79" s="26"/>
      <c r="FZ79" s="26"/>
      <c r="GA79" s="26"/>
      <c r="GB79" s="26"/>
      <c r="GC79" s="26"/>
      <c r="GD79" s="26"/>
      <c r="GG79" s="26"/>
      <c r="GJ79">
        <f>GJ75+1</f>
        <v>20</v>
      </c>
      <c r="GK79" t="str">
        <f>IF(Grps&gt;GJ75,GJ79,"")</f>
        <v/>
      </c>
    </row>
    <row r="80" spans="2:193" x14ac:dyDescent="0.3">
      <c r="B80" s="18" t="s">
        <v>442</v>
      </c>
      <c r="C80" s="13">
        <v>70</v>
      </c>
      <c r="D80" s="21" t="s">
        <v>443</v>
      </c>
      <c r="E80" s="24">
        <v>51</v>
      </c>
      <c r="G80" s="2">
        <f t="shared" si="31"/>
        <v>61</v>
      </c>
      <c r="H80" s="5">
        <v>5</v>
      </c>
      <c r="I80" s="13">
        <v>12</v>
      </c>
      <c r="L80" s="4"/>
      <c r="M80" s="7"/>
      <c r="O80" s="7"/>
      <c r="T80" s="7"/>
      <c r="AE80" s="7"/>
      <c r="BD80" s="26"/>
      <c r="BE80" s="26" t="str">
        <f t="shared" si="30"/>
        <v>BYE</v>
      </c>
      <c r="BF80">
        <v>93</v>
      </c>
      <c r="BG80">
        <v>60</v>
      </c>
      <c r="BH80" s="42">
        <v>36</v>
      </c>
      <c r="BI80" s="42">
        <v>36</v>
      </c>
      <c r="BJ80" s="42">
        <v>36</v>
      </c>
      <c r="BK80" s="42">
        <v>36</v>
      </c>
      <c r="BL80" s="42">
        <v>36</v>
      </c>
      <c r="BM80" s="42">
        <v>36</v>
      </c>
      <c r="BN80" s="42">
        <v>36</v>
      </c>
      <c r="BO80" s="42">
        <v>36</v>
      </c>
      <c r="BP80" s="42">
        <v>36</v>
      </c>
      <c r="BQ80" s="42">
        <v>36</v>
      </c>
      <c r="BR80" s="42">
        <v>36</v>
      </c>
      <c r="BS80" s="42">
        <v>36</v>
      </c>
      <c r="BT80" s="42">
        <v>36</v>
      </c>
      <c r="BU80" s="42">
        <v>36</v>
      </c>
      <c r="BV80" s="42">
        <v>36</v>
      </c>
      <c r="BW80" s="42">
        <v>36</v>
      </c>
      <c r="BX80" s="42">
        <v>36</v>
      </c>
      <c r="BY80" s="42">
        <v>36</v>
      </c>
      <c r="BZ80" s="42">
        <v>36</v>
      </c>
      <c r="CA80" s="42">
        <v>36</v>
      </c>
      <c r="CB80" s="42">
        <v>36</v>
      </c>
      <c r="CC80" s="42">
        <v>36</v>
      </c>
      <c r="CD80" s="42">
        <v>36</v>
      </c>
      <c r="CE80" s="42">
        <v>36</v>
      </c>
      <c r="CF80" s="42">
        <v>36</v>
      </c>
      <c r="CG80" s="42">
        <v>36</v>
      </c>
      <c r="CH80" s="42">
        <v>35</v>
      </c>
      <c r="CI80" s="42">
        <v>35</v>
      </c>
      <c r="CJ80" s="42">
        <v>35</v>
      </c>
      <c r="CK80" s="42">
        <v>36</v>
      </c>
      <c r="CL80" s="42">
        <v>36</v>
      </c>
      <c r="CM80" s="42">
        <v>36</v>
      </c>
      <c r="CN80" s="42">
        <v>35</v>
      </c>
      <c r="CO80" s="42">
        <v>34</v>
      </c>
      <c r="CP80" s="42">
        <v>40</v>
      </c>
      <c r="CQ80" s="42">
        <v>36</v>
      </c>
      <c r="CR80" s="42">
        <v>36</v>
      </c>
      <c r="CS80" s="42">
        <v>36</v>
      </c>
      <c r="CT80" s="42">
        <v>35</v>
      </c>
      <c r="CU80" s="42">
        <v>35</v>
      </c>
      <c r="CV80" s="42">
        <v>35</v>
      </c>
      <c r="CW80" s="42">
        <v>36</v>
      </c>
      <c r="CX80" s="42">
        <v>36</v>
      </c>
      <c r="CY80" s="42">
        <v>36</v>
      </c>
      <c r="CZ80" s="42">
        <v>35</v>
      </c>
      <c r="DA80" s="42">
        <v>35</v>
      </c>
      <c r="DB80" s="42">
        <v>35</v>
      </c>
      <c r="DC80" s="42">
        <v>36</v>
      </c>
      <c r="DD80" s="42">
        <v>36</v>
      </c>
      <c r="DE80" s="42">
        <v>36</v>
      </c>
      <c r="DF80" s="42">
        <v>35</v>
      </c>
      <c r="DG80" s="42" t="s">
        <v>327</v>
      </c>
      <c r="DH80" s="42">
        <v>35</v>
      </c>
      <c r="DI80" s="42">
        <v>36</v>
      </c>
      <c r="DJ80" s="42">
        <v>36</v>
      </c>
      <c r="DK80" s="42">
        <v>36</v>
      </c>
      <c r="DL80" s="42">
        <v>35</v>
      </c>
      <c r="DM80" s="42">
        <v>35</v>
      </c>
      <c r="DN80" s="42">
        <v>35</v>
      </c>
      <c r="DO80" s="26">
        <v>36</v>
      </c>
      <c r="DP80" s="26">
        <v>36</v>
      </c>
      <c r="DQ80" s="26">
        <v>36</v>
      </c>
      <c r="DR80" s="26">
        <v>35</v>
      </c>
      <c r="DS80" s="26">
        <v>35</v>
      </c>
      <c r="DT80" s="29">
        <v>18</v>
      </c>
      <c r="DU80" s="29">
        <v>18</v>
      </c>
      <c r="DV80" s="29">
        <v>18</v>
      </c>
      <c r="DW80" s="29">
        <v>18</v>
      </c>
      <c r="DX80" s="29">
        <v>18</v>
      </c>
      <c r="DY80" s="29">
        <v>18</v>
      </c>
      <c r="DZ80" s="29">
        <v>18</v>
      </c>
      <c r="EA80" s="29">
        <v>18</v>
      </c>
      <c r="EB80" s="29">
        <v>18</v>
      </c>
      <c r="EC80" s="29">
        <v>18</v>
      </c>
      <c r="ED80" s="29">
        <v>18</v>
      </c>
      <c r="EE80" s="29">
        <v>18</v>
      </c>
      <c r="EF80" s="29">
        <v>18</v>
      </c>
      <c r="EG80" s="29">
        <v>18</v>
      </c>
      <c r="EH80" s="29">
        <v>18</v>
      </c>
      <c r="EI80" s="29">
        <v>18</v>
      </c>
      <c r="EJ80" s="29">
        <v>17</v>
      </c>
      <c r="EK80" s="29">
        <v>17</v>
      </c>
      <c r="EL80" s="29">
        <v>17</v>
      </c>
      <c r="EM80" s="29">
        <v>18</v>
      </c>
      <c r="EN80" s="29">
        <v>18</v>
      </c>
      <c r="EO80" s="29">
        <v>18</v>
      </c>
      <c r="EP80" s="29">
        <v>17</v>
      </c>
      <c r="EQ80" s="29">
        <v>17</v>
      </c>
      <c r="ER80" s="29">
        <v>17</v>
      </c>
      <c r="ES80" s="29">
        <v>18</v>
      </c>
      <c r="ET80" s="29">
        <v>18</v>
      </c>
      <c r="EU80" s="29">
        <v>18</v>
      </c>
      <c r="EV80" s="29">
        <v>17</v>
      </c>
      <c r="EW80" s="29">
        <v>17</v>
      </c>
      <c r="EX80" s="29">
        <v>17</v>
      </c>
      <c r="EY80" s="29">
        <v>18</v>
      </c>
      <c r="EZ80" s="26"/>
      <c r="FA80" s="26"/>
      <c r="FB80" s="26"/>
      <c r="FC80" s="26"/>
      <c r="FD80" s="26"/>
      <c r="FE80" s="26"/>
      <c r="FF80" s="26"/>
      <c r="FG80" s="26"/>
      <c r="FH80" s="26"/>
      <c r="FI80" s="26"/>
      <c r="FK80" s="26"/>
      <c r="FL80" s="26"/>
      <c r="FM80" s="26"/>
      <c r="FN80" s="26"/>
      <c r="FO80" s="26"/>
      <c r="FP80" s="26"/>
      <c r="FQ80" s="26"/>
      <c r="FR80" s="26"/>
      <c r="FS80" s="26"/>
      <c r="FT80" s="26"/>
      <c r="FU80" s="26"/>
      <c r="FV80" s="26"/>
      <c r="FW80" s="26"/>
      <c r="FX80" s="26"/>
      <c r="FY80" s="26"/>
      <c r="FZ80" s="26"/>
      <c r="GA80" s="26"/>
      <c r="GB80" s="26"/>
      <c r="GC80" s="26"/>
      <c r="GD80" s="26"/>
      <c r="GG80" s="26"/>
      <c r="GK80">
        <f>IF(ISNUMBER(EY708),EY708,999)</f>
        <v>999</v>
      </c>
    </row>
    <row r="81" spans="2:193" x14ac:dyDescent="0.3">
      <c r="B81" s="18" t="s">
        <v>444</v>
      </c>
      <c r="C81" s="13">
        <v>71</v>
      </c>
      <c r="D81" s="21" t="s">
        <v>445</v>
      </c>
      <c r="E81" s="24">
        <v>50</v>
      </c>
      <c r="G81" s="2">
        <f t="shared" si="31"/>
        <v>62</v>
      </c>
      <c r="H81" s="5">
        <v>5</v>
      </c>
      <c r="I81" s="13">
        <v>12</v>
      </c>
      <c r="L81" s="4"/>
      <c r="M81" s="7"/>
      <c r="O81" s="7"/>
      <c r="T81" s="7"/>
      <c r="AE81" s="7"/>
      <c r="BD81" s="26"/>
      <c r="BE81" s="26">
        <f t="shared" si="30"/>
        <v>61</v>
      </c>
      <c r="BF81">
        <v>61</v>
      </c>
      <c r="BG81">
        <v>61</v>
      </c>
      <c r="BH81" s="38">
        <v>61</v>
      </c>
      <c r="BI81" s="39">
        <v>61</v>
      </c>
      <c r="BJ81" s="39">
        <v>62</v>
      </c>
      <c r="BK81" s="39">
        <v>62</v>
      </c>
      <c r="BL81" s="39">
        <v>62</v>
      </c>
      <c r="BM81" s="39">
        <v>61</v>
      </c>
      <c r="BN81" s="39">
        <v>61</v>
      </c>
      <c r="BO81" s="39">
        <v>61</v>
      </c>
      <c r="BP81" s="39">
        <v>62</v>
      </c>
      <c r="BQ81" s="39">
        <v>62</v>
      </c>
      <c r="BR81" s="39">
        <v>62</v>
      </c>
      <c r="BS81" s="39">
        <v>61</v>
      </c>
      <c r="BT81" s="39">
        <v>61</v>
      </c>
      <c r="BU81" s="39">
        <v>61</v>
      </c>
      <c r="BV81" s="39">
        <v>62</v>
      </c>
      <c r="BW81" s="39">
        <v>62</v>
      </c>
      <c r="BX81" s="39">
        <v>62</v>
      </c>
      <c r="BY81" s="39">
        <v>61</v>
      </c>
      <c r="BZ81" s="39">
        <v>61</v>
      </c>
      <c r="CA81" s="39">
        <v>61</v>
      </c>
      <c r="CB81" s="39">
        <v>62</v>
      </c>
      <c r="CC81" s="39">
        <v>62</v>
      </c>
      <c r="CD81" s="39">
        <v>62</v>
      </c>
      <c r="CE81" s="39">
        <v>61</v>
      </c>
      <c r="CF81" s="39">
        <v>61</v>
      </c>
      <c r="CG81" s="39">
        <v>61</v>
      </c>
      <c r="CH81" s="39">
        <v>62</v>
      </c>
      <c r="CI81" s="39">
        <v>62</v>
      </c>
      <c r="CJ81" s="39">
        <v>62</v>
      </c>
      <c r="CK81" s="39">
        <v>61</v>
      </c>
      <c r="CL81" s="39">
        <v>61</v>
      </c>
      <c r="CM81" s="39">
        <v>61</v>
      </c>
      <c r="CN81" s="39">
        <v>62</v>
      </c>
      <c r="CO81" s="39">
        <v>62</v>
      </c>
      <c r="CP81" s="39">
        <v>62</v>
      </c>
      <c r="CQ81" s="39">
        <v>61</v>
      </c>
      <c r="CR81" s="39">
        <v>61</v>
      </c>
      <c r="CS81" s="39">
        <v>61</v>
      </c>
      <c r="CT81" s="39">
        <v>61</v>
      </c>
      <c r="CU81" s="39">
        <v>62</v>
      </c>
      <c r="CV81" s="39">
        <v>61</v>
      </c>
      <c r="CW81" s="39">
        <v>61</v>
      </c>
      <c r="CX81" s="39">
        <v>65</v>
      </c>
      <c r="CY81" s="39">
        <v>64</v>
      </c>
      <c r="CZ81" s="39">
        <v>63</v>
      </c>
      <c r="DA81" s="39">
        <v>64</v>
      </c>
      <c r="DB81" s="39">
        <v>61</v>
      </c>
      <c r="DC81" s="39">
        <v>61</v>
      </c>
      <c r="DD81" s="39">
        <v>61</v>
      </c>
      <c r="DE81" s="39">
        <v>61</v>
      </c>
      <c r="DF81" s="39">
        <v>61</v>
      </c>
      <c r="DG81" s="39">
        <v>61</v>
      </c>
      <c r="DH81" s="39">
        <v>61</v>
      </c>
      <c r="DI81" s="39">
        <v>61</v>
      </c>
      <c r="DJ81" s="39">
        <v>65</v>
      </c>
      <c r="DK81" s="39">
        <v>64</v>
      </c>
      <c r="DL81" s="39">
        <v>63</v>
      </c>
      <c r="DM81" s="39">
        <v>63</v>
      </c>
      <c r="DN81" s="39">
        <v>61</v>
      </c>
      <c r="DO81" s="36">
        <v>61</v>
      </c>
      <c r="DP81" s="36">
        <v>61</v>
      </c>
      <c r="DQ81" s="36">
        <v>61</v>
      </c>
      <c r="DR81" s="36">
        <v>61</v>
      </c>
      <c r="DS81" s="36">
        <v>62</v>
      </c>
      <c r="DT81" s="50">
        <v>32</v>
      </c>
      <c r="DU81" s="50">
        <v>31</v>
      </c>
      <c r="DV81" s="50">
        <v>31</v>
      </c>
      <c r="DW81" s="50">
        <v>31</v>
      </c>
      <c r="DX81" s="50">
        <v>32</v>
      </c>
      <c r="DY81" s="50">
        <v>32</v>
      </c>
      <c r="DZ81" s="50">
        <v>32</v>
      </c>
      <c r="EA81" s="50">
        <v>31</v>
      </c>
      <c r="EB81" s="50">
        <v>31</v>
      </c>
      <c r="EC81" s="50">
        <v>31</v>
      </c>
      <c r="ED81" s="50">
        <v>32</v>
      </c>
      <c r="EE81" s="50">
        <v>32</v>
      </c>
      <c r="EF81" s="50">
        <v>32</v>
      </c>
      <c r="EG81" s="50">
        <v>31</v>
      </c>
      <c r="EH81" s="50">
        <v>31</v>
      </c>
      <c r="EI81" s="50">
        <v>31</v>
      </c>
      <c r="EJ81" s="50">
        <v>32</v>
      </c>
      <c r="EK81" s="50">
        <v>32</v>
      </c>
      <c r="EL81" s="50">
        <v>20</v>
      </c>
      <c r="EM81" s="50">
        <v>31</v>
      </c>
      <c r="EN81" s="50">
        <v>32</v>
      </c>
      <c r="EO81" s="50">
        <v>31</v>
      </c>
      <c r="EP81" s="50">
        <v>31</v>
      </c>
      <c r="EQ81" s="50">
        <v>33</v>
      </c>
      <c r="ER81" s="50">
        <v>32</v>
      </c>
      <c r="ES81" s="50">
        <v>31</v>
      </c>
      <c r="ET81" s="50">
        <v>31</v>
      </c>
      <c r="EU81" s="50">
        <v>30</v>
      </c>
      <c r="EV81" s="50">
        <v>29</v>
      </c>
      <c r="EW81" s="50">
        <v>28</v>
      </c>
      <c r="EX81" s="50">
        <v>27</v>
      </c>
      <c r="EY81" s="51">
        <v>31</v>
      </c>
      <c r="EZ81" s="26"/>
      <c r="FA81" s="26"/>
      <c r="FB81" s="26"/>
      <c r="FC81" s="26"/>
      <c r="FD81" s="26"/>
      <c r="FE81" s="26"/>
      <c r="FF81" s="26"/>
      <c r="FG81" s="26"/>
      <c r="FH81" s="26"/>
      <c r="FI81" s="26"/>
      <c r="FK81" s="26"/>
      <c r="FL81" s="26"/>
      <c r="FM81" s="26"/>
      <c r="FN81" s="26"/>
      <c r="FO81" s="26"/>
      <c r="FP81" s="26"/>
      <c r="FQ81" s="26"/>
      <c r="FR81" s="26"/>
      <c r="FS81" s="26"/>
      <c r="FT81" s="26"/>
      <c r="FU81" s="26"/>
      <c r="FV81" s="26"/>
      <c r="FW81" s="26"/>
      <c r="FX81" s="26"/>
      <c r="FY81" s="26"/>
      <c r="FZ81" s="26"/>
      <c r="GA81" s="26"/>
      <c r="GB81" s="26"/>
      <c r="GC81" s="26"/>
      <c r="GD81" s="26"/>
      <c r="GG81" s="26"/>
      <c r="GK81">
        <f>IF(ISNUMBER(EY709),EY709,999)</f>
        <v>999</v>
      </c>
    </row>
    <row r="82" spans="2:193" x14ac:dyDescent="0.3">
      <c r="B82" s="18" t="s">
        <v>446</v>
      </c>
      <c r="C82" s="13">
        <v>72</v>
      </c>
      <c r="D82" s="21" t="s">
        <v>447</v>
      </c>
      <c r="E82" s="24">
        <v>49</v>
      </c>
      <c r="G82" s="2">
        <f t="shared" si="31"/>
        <v>63</v>
      </c>
      <c r="H82" s="5">
        <v>5</v>
      </c>
      <c r="I82" s="13">
        <v>12</v>
      </c>
      <c r="L82" s="4"/>
      <c r="M82" s="7"/>
      <c r="O82" s="7"/>
      <c r="T82" s="7"/>
      <c r="AE82" s="7"/>
      <c r="BD82" s="26"/>
      <c r="BE82" s="26" t="str">
        <f t="shared" si="30"/>
        <v>BYE</v>
      </c>
      <c r="BF82">
        <v>68</v>
      </c>
      <c r="BG82">
        <v>62</v>
      </c>
      <c r="BH82" s="40">
        <v>68</v>
      </c>
      <c r="BI82" s="41">
        <v>68</v>
      </c>
      <c r="BJ82" s="41">
        <v>67</v>
      </c>
      <c r="BK82" s="41">
        <v>67</v>
      </c>
      <c r="BL82" s="41">
        <v>67</v>
      </c>
      <c r="BM82" s="41">
        <v>68</v>
      </c>
      <c r="BN82" s="41">
        <v>68</v>
      </c>
      <c r="BO82" s="41">
        <v>68</v>
      </c>
      <c r="BP82" s="41">
        <v>67</v>
      </c>
      <c r="BQ82" s="41">
        <v>67</v>
      </c>
      <c r="BR82" s="41">
        <v>67</v>
      </c>
      <c r="BS82" s="41">
        <v>68</v>
      </c>
      <c r="BT82" s="41">
        <v>68</v>
      </c>
      <c r="BU82" s="41">
        <v>68</v>
      </c>
      <c r="BV82" s="41">
        <v>67</v>
      </c>
      <c r="BW82" s="41">
        <v>67</v>
      </c>
      <c r="BX82" s="41">
        <v>67</v>
      </c>
      <c r="BY82" s="41">
        <v>68</v>
      </c>
      <c r="BZ82" s="41">
        <v>68</v>
      </c>
      <c r="CA82" s="41">
        <v>68</v>
      </c>
      <c r="CB82" s="41">
        <v>67</v>
      </c>
      <c r="CC82" s="41">
        <v>67</v>
      </c>
      <c r="CD82" s="41">
        <v>67</v>
      </c>
      <c r="CE82" s="41">
        <v>68</v>
      </c>
      <c r="CF82" s="41">
        <v>68</v>
      </c>
      <c r="CG82" s="41">
        <v>68</v>
      </c>
      <c r="CH82" s="41">
        <v>67</v>
      </c>
      <c r="CI82" s="41">
        <v>67</v>
      </c>
      <c r="CJ82" s="41">
        <v>67</v>
      </c>
      <c r="CK82" s="41">
        <v>68</v>
      </c>
      <c r="CL82" s="41">
        <v>68</v>
      </c>
      <c r="CM82" s="41">
        <v>67</v>
      </c>
      <c r="CN82" s="41">
        <v>66</v>
      </c>
      <c r="CO82" s="41">
        <v>71</v>
      </c>
      <c r="CP82" s="41">
        <v>72</v>
      </c>
      <c r="CQ82" s="41">
        <v>68</v>
      </c>
      <c r="CR82" s="41">
        <v>68</v>
      </c>
      <c r="CS82" s="41">
        <v>68</v>
      </c>
      <c r="CT82" s="41">
        <v>68</v>
      </c>
      <c r="CU82" s="41">
        <v>68</v>
      </c>
      <c r="CV82" s="41">
        <v>67</v>
      </c>
      <c r="CW82" s="41">
        <v>68</v>
      </c>
      <c r="CX82" s="41">
        <v>68</v>
      </c>
      <c r="CY82" s="41">
        <v>72</v>
      </c>
      <c r="CZ82" s="41">
        <v>66</v>
      </c>
      <c r="DA82" s="41">
        <v>71</v>
      </c>
      <c r="DB82" s="41">
        <v>72</v>
      </c>
      <c r="DC82" s="41">
        <v>68</v>
      </c>
      <c r="DD82" s="41">
        <v>68</v>
      </c>
      <c r="DE82" s="41">
        <v>68</v>
      </c>
      <c r="DF82" s="41">
        <v>68</v>
      </c>
      <c r="DG82" s="41">
        <v>68</v>
      </c>
      <c r="DH82" s="41">
        <v>67</v>
      </c>
      <c r="DI82" s="41">
        <v>68</v>
      </c>
      <c r="DJ82" s="41">
        <v>68</v>
      </c>
      <c r="DK82" s="41">
        <v>65</v>
      </c>
      <c r="DL82" s="41">
        <v>66</v>
      </c>
      <c r="DM82" s="41">
        <v>65</v>
      </c>
      <c r="DN82" s="41">
        <v>68</v>
      </c>
      <c r="DO82" s="37">
        <v>68</v>
      </c>
      <c r="DP82" s="37">
        <v>68</v>
      </c>
      <c r="DQ82" s="37" t="s">
        <v>326</v>
      </c>
      <c r="DR82" s="37" t="s">
        <v>326</v>
      </c>
      <c r="DS82" s="37" t="s">
        <v>326</v>
      </c>
      <c r="DT82" s="52">
        <v>33</v>
      </c>
      <c r="DU82" s="52">
        <v>34</v>
      </c>
      <c r="DV82" s="52">
        <v>34</v>
      </c>
      <c r="DW82" s="52">
        <v>34</v>
      </c>
      <c r="DX82" s="52">
        <v>33</v>
      </c>
      <c r="DY82" s="52">
        <v>33</v>
      </c>
      <c r="DZ82" s="52">
        <v>33</v>
      </c>
      <c r="EA82" s="52">
        <v>34</v>
      </c>
      <c r="EB82" s="52">
        <v>34</v>
      </c>
      <c r="EC82" s="52">
        <v>34</v>
      </c>
      <c r="ED82" s="52">
        <v>33</v>
      </c>
      <c r="EE82" s="52">
        <v>33</v>
      </c>
      <c r="EF82" s="52">
        <v>33</v>
      </c>
      <c r="EG82" s="52">
        <v>34</v>
      </c>
      <c r="EH82" s="52">
        <v>34</v>
      </c>
      <c r="EI82" s="52">
        <v>34</v>
      </c>
      <c r="EJ82" s="52">
        <v>36</v>
      </c>
      <c r="EK82" s="52">
        <v>34</v>
      </c>
      <c r="EL82" s="52">
        <v>34</v>
      </c>
      <c r="EM82" s="52">
        <v>34</v>
      </c>
      <c r="EN82" s="52">
        <v>35</v>
      </c>
      <c r="EO82" s="52">
        <v>34</v>
      </c>
      <c r="EP82" s="52">
        <v>34</v>
      </c>
      <c r="EQ82" s="52">
        <v>35</v>
      </c>
      <c r="ER82" s="52">
        <v>34</v>
      </c>
      <c r="ES82" s="52">
        <v>34</v>
      </c>
      <c r="ET82" s="52">
        <v>38</v>
      </c>
      <c r="EU82" s="52">
        <v>37</v>
      </c>
      <c r="EV82" s="52">
        <v>36</v>
      </c>
      <c r="EW82" s="52">
        <v>34</v>
      </c>
      <c r="EX82" s="52">
        <v>34</v>
      </c>
      <c r="EY82" s="53" t="s">
        <v>326</v>
      </c>
      <c r="EZ82" s="26"/>
      <c r="FA82" s="26"/>
      <c r="FB82" s="26"/>
      <c r="FC82" s="26"/>
      <c r="FD82" s="26"/>
      <c r="FE82" s="26"/>
      <c r="FF82" s="26"/>
      <c r="FG82" s="26"/>
      <c r="FH82" s="26"/>
      <c r="FI82" s="26"/>
      <c r="FK82" s="26"/>
      <c r="FL82" s="26"/>
      <c r="FM82" s="26"/>
      <c r="FN82" s="26"/>
      <c r="FO82" s="26"/>
      <c r="FP82" s="26"/>
      <c r="FQ82" s="26"/>
      <c r="FR82" s="26"/>
      <c r="FS82" s="26"/>
      <c r="FT82" s="26"/>
      <c r="FU82" s="26"/>
      <c r="FV82" s="26"/>
      <c r="FW82" s="26"/>
      <c r="FX82" s="26"/>
      <c r="FY82" s="26"/>
      <c r="FZ82" s="26"/>
      <c r="GA82" s="26"/>
      <c r="GB82" s="26"/>
      <c r="GC82" s="26"/>
      <c r="GD82" s="26"/>
      <c r="GG82" s="26"/>
      <c r="GK82">
        <f>IF(ISNUMBER(EY710),EY710,999)</f>
        <v>999</v>
      </c>
    </row>
    <row r="83" spans="2:193" x14ac:dyDescent="0.3">
      <c r="B83" s="18" t="s">
        <v>448</v>
      </c>
      <c r="C83" s="13">
        <v>73</v>
      </c>
      <c r="D83" s="21" t="s">
        <v>449</v>
      </c>
      <c r="E83" s="24">
        <v>48</v>
      </c>
      <c r="G83" s="2">
        <f t="shared" si="31"/>
        <v>64</v>
      </c>
      <c r="H83" s="5">
        <v>5</v>
      </c>
      <c r="I83" s="13">
        <v>12</v>
      </c>
      <c r="L83" s="4"/>
      <c r="M83" s="7"/>
      <c r="O83" s="7"/>
      <c r="T83" s="7"/>
      <c r="AE83" s="7"/>
      <c r="BD83" s="26"/>
      <c r="BE83" s="26" t="str">
        <f t="shared" si="30"/>
        <v>BYE</v>
      </c>
      <c r="BF83">
        <v>125</v>
      </c>
      <c r="BG83">
        <v>63</v>
      </c>
      <c r="BH83" s="42">
        <v>125</v>
      </c>
      <c r="BI83" s="42">
        <v>125</v>
      </c>
      <c r="BJ83" s="42">
        <v>125</v>
      </c>
      <c r="BK83" s="42">
        <v>126</v>
      </c>
      <c r="BL83" s="42" t="s">
        <v>326</v>
      </c>
      <c r="BM83" s="42" t="s">
        <v>326</v>
      </c>
      <c r="BN83" s="42" t="s">
        <v>326</v>
      </c>
      <c r="BO83" s="42" t="s">
        <v>326</v>
      </c>
      <c r="BP83" s="42" t="s">
        <v>326</v>
      </c>
      <c r="BQ83" s="42" t="s">
        <v>326</v>
      </c>
      <c r="BR83" s="42" t="s">
        <v>326</v>
      </c>
      <c r="BS83" s="42" t="s">
        <v>326</v>
      </c>
      <c r="BT83" s="42" t="s">
        <v>326</v>
      </c>
      <c r="BU83" s="42" t="s">
        <v>326</v>
      </c>
      <c r="BV83" s="42" t="s">
        <v>326</v>
      </c>
      <c r="BW83" s="42" t="s">
        <v>326</v>
      </c>
      <c r="BX83" s="42" t="s">
        <v>326</v>
      </c>
      <c r="BY83" s="42" t="s">
        <v>326</v>
      </c>
      <c r="BZ83" s="42" t="s">
        <v>326</v>
      </c>
      <c r="CA83" s="42" t="s">
        <v>326</v>
      </c>
      <c r="CB83" s="42" t="s">
        <v>326</v>
      </c>
      <c r="CC83" s="42" t="s">
        <v>326</v>
      </c>
      <c r="CD83" s="42" t="s">
        <v>326</v>
      </c>
      <c r="CE83" s="42" t="s">
        <v>326</v>
      </c>
      <c r="CF83" s="42" t="s">
        <v>326</v>
      </c>
      <c r="CG83" s="42" t="s">
        <v>326</v>
      </c>
      <c r="CH83" s="42" t="s">
        <v>326</v>
      </c>
      <c r="CI83" s="42" t="s">
        <v>326</v>
      </c>
      <c r="CJ83" s="42" t="s">
        <v>326</v>
      </c>
      <c r="CK83" s="42" t="s">
        <v>326</v>
      </c>
      <c r="CL83" s="42" t="s">
        <v>326</v>
      </c>
      <c r="CM83" s="42" t="s">
        <v>326</v>
      </c>
      <c r="CN83" s="42" t="s">
        <v>326</v>
      </c>
      <c r="CO83" s="42" t="s">
        <v>326</v>
      </c>
      <c r="CP83" s="42" t="s">
        <v>326</v>
      </c>
      <c r="CQ83" s="42" t="s">
        <v>326</v>
      </c>
      <c r="CR83" s="42" t="s">
        <v>326</v>
      </c>
      <c r="CS83" s="42" t="s">
        <v>326</v>
      </c>
      <c r="CT83" s="42" t="s">
        <v>326</v>
      </c>
      <c r="CU83" s="42" t="s">
        <v>326</v>
      </c>
      <c r="CV83" s="42" t="s">
        <v>326</v>
      </c>
      <c r="CW83" s="42" t="s">
        <v>326</v>
      </c>
      <c r="CX83" s="42" t="s">
        <v>326</v>
      </c>
      <c r="CY83" s="42" t="s">
        <v>326</v>
      </c>
      <c r="CZ83" s="42" t="s">
        <v>326</v>
      </c>
      <c r="DA83" s="42" t="s">
        <v>326</v>
      </c>
      <c r="DB83" s="42" t="s">
        <v>326</v>
      </c>
      <c r="DC83" s="42" t="s">
        <v>326</v>
      </c>
      <c r="DD83" s="42" t="s">
        <v>326</v>
      </c>
      <c r="DE83" s="42" t="s">
        <v>326</v>
      </c>
      <c r="DF83" s="42" t="s">
        <v>326</v>
      </c>
      <c r="DG83" s="42" t="s">
        <v>327</v>
      </c>
      <c r="DH83" s="42" t="s">
        <v>326</v>
      </c>
      <c r="DI83" s="42" t="s">
        <v>326</v>
      </c>
      <c r="DJ83" s="42" t="s">
        <v>326</v>
      </c>
      <c r="DK83" s="42" t="s">
        <v>326</v>
      </c>
      <c r="DL83" s="42" t="s">
        <v>326</v>
      </c>
      <c r="DM83" s="42" t="s">
        <v>326</v>
      </c>
      <c r="DN83" s="42" t="s">
        <v>326</v>
      </c>
      <c r="DO83" s="26" t="s">
        <v>326</v>
      </c>
      <c r="DP83" s="26" t="s">
        <v>326</v>
      </c>
      <c r="DQ83" s="26" t="s">
        <v>326</v>
      </c>
      <c r="DR83" s="26" t="s">
        <v>326</v>
      </c>
      <c r="DS83" s="26" t="s">
        <v>326</v>
      </c>
      <c r="DT83" s="29">
        <v>61</v>
      </c>
      <c r="DU83" s="29">
        <v>63</v>
      </c>
      <c r="DV83" s="29" t="s">
        <v>326</v>
      </c>
      <c r="DW83" s="29" t="s">
        <v>326</v>
      </c>
      <c r="DX83" s="29" t="s">
        <v>326</v>
      </c>
      <c r="DY83" s="29" t="s">
        <v>326</v>
      </c>
      <c r="DZ83" s="29" t="s">
        <v>326</v>
      </c>
      <c r="EA83" s="29" t="s">
        <v>326</v>
      </c>
      <c r="EB83" s="29" t="s">
        <v>326</v>
      </c>
      <c r="EC83" s="29" t="s">
        <v>326</v>
      </c>
      <c r="ED83" s="29" t="s">
        <v>326</v>
      </c>
      <c r="EE83" s="29" t="s">
        <v>326</v>
      </c>
      <c r="EF83" s="29" t="s">
        <v>326</v>
      </c>
      <c r="EG83" s="29" t="s">
        <v>326</v>
      </c>
      <c r="EH83" s="29" t="s">
        <v>326</v>
      </c>
      <c r="EI83" s="29" t="s">
        <v>326</v>
      </c>
      <c r="EJ83" s="29" t="s">
        <v>326</v>
      </c>
      <c r="EK83" s="29" t="s">
        <v>326</v>
      </c>
      <c r="EL83" s="29" t="s">
        <v>326</v>
      </c>
      <c r="EM83" s="29" t="s">
        <v>326</v>
      </c>
      <c r="EN83" s="29" t="s">
        <v>326</v>
      </c>
      <c r="EO83" s="29" t="s">
        <v>326</v>
      </c>
      <c r="EP83" s="29" t="s">
        <v>326</v>
      </c>
      <c r="EQ83" s="29" t="s">
        <v>326</v>
      </c>
      <c r="ER83" s="29" t="s">
        <v>326</v>
      </c>
      <c r="ES83" s="29" t="s">
        <v>326</v>
      </c>
      <c r="ET83" s="29" t="s">
        <v>326</v>
      </c>
      <c r="EU83" s="29" t="s">
        <v>326</v>
      </c>
      <c r="EV83" s="29" t="s">
        <v>326</v>
      </c>
      <c r="EW83" s="29" t="s">
        <v>326</v>
      </c>
      <c r="EX83" s="29" t="s">
        <v>326</v>
      </c>
      <c r="EY83" s="29" t="s">
        <v>326</v>
      </c>
      <c r="EZ83" s="26"/>
      <c r="FA83" s="26"/>
      <c r="FB83" s="26"/>
      <c r="FC83" s="26"/>
      <c r="FD83" s="26"/>
      <c r="FE83" s="26"/>
      <c r="FF83" s="26"/>
      <c r="FG83" s="26"/>
      <c r="FH83" s="26"/>
      <c r="FI83" s="26"/>
      <c r="FK83" s="26"/>
      <c r="FL83" s="26"/>
      <c r="FM83" s="26"/>
      <c r="FN83" s="26"/>
      <c r="FO83" s="26"/>
      <c r="FP83" s="26"/>
      <c r="FQ83" s="26"/>
      <c r="FR83" s="26"/>
      <c r="FS83" s="26"/>
      <c r="FT83" s="26"/>
      <c r="FU83" s="26"/>
      <c r="FV83" s="26"/>
      <c r="FW83" s="26"/>
      <c r="FX83" s="26"/>
      <c r="FY83" s="26"/>
      <c r="FZ83" s="26"/>
      <c r="GA83" s="26"/>
      <c r="GB83" s="26"/>
      <c r="GC83" s="26"/>
      <c r="GD83" s="26"/>
      <c r="GG83" s="26"/>
      <c r="GJ83">
        <f>GJ79+1</f>
        <v>21</v>
      </c>
      <c r="GK83" t="str">
        <f>IF(Grps&gt;GJ79,GJ83,"")</f>
        <v/>
      </c>
    </row>
    <row r="84" spans="2:193" x14ac:dyDescent="0.3">
      <c r="B84" s="18" t="s">
        <v>450</v>
      </c>
      <c r="C84" s="13">
        <v>74</v>
      </c>
      <c r="D84" s="21" t="s">
        <v>451</v>
      </c>
      <c r="E84" s="24">
        <v>47</v>
      </c>
      <c r="G84" s="2">
        <f t="shared" si="31"/>
        <v>65</v>
      </c>
      <c r="H84" s="5">
        <v>5</v>
      </c>
      <c r="I84" s="13">
        <v>12</v>
      </c>
      <c r="L84" s="4"/>
      <c r="M84" s="7"/>
      <c r="O84" s="7"/>
      <c r="T84" s="7"/>
      <c r="AE84" s="7"/>
      <c r="BD84" s="26"/>
      <c r="BE84" s="26">
        <f t="shared" si="30"/>
        <v>4</v>
      </c>
      <c r="BF84">
        <v>4</v>
      </c>
      <c r="BG84">
        <v>64</v>
      </c>
      <c r="BH84" s="26">
        <v>4</v>
      </c>
      <c r="BI84" s="26">
        <v>4</v>
      </c>
      <c r="BJ84" s="42">
        <v>4</v>
      </c>
      <c r="BK84" s="42">
        <v>4</v>
      </c>
      <c r="BL84" s="42">
        <v>4</v>
      </c>
      <c r="BM84" s="42">
        <v>4</v>
      </c>
      <c r="BN84" s="42">
        <v>4</v>
      </c>
      <c r="BO84" s="42">
        <v>4</v>
      </c>
      <c r="BP84" s="42">
        <v>4</v>
      </c>
      <c r="BQ84" s="42">
        <v>4</v>
      </c>
      <c r="BR84" s="42">
        <v>4</v>
      </c>
      <c r="BS84" s="42">
        <v>4</v>
      </c>
      <c r="BT84" s="42">
        <v>4</v>
      </c>
      <c r="BU84" s="42">
        <v>4</v>
      </c>
      <c r="BV84" s="42">
        <v>4</v>
      </c>
      <c r="BW84" s="42">
        <v>4</v>
      </c>
      <c r="BX84" s="42">
        <v>4</v>
      </c>
      <c r="BY84" s="42">
        <v>4</v>
      </c>
      <c r="BZ84" s="42">
        <v>4</v>
      </c>
      <c r="CA84" s="42">
        <v>4</v>
      </c>
      <c r="CB84" s="42">
        <v>4</v>
      </c>
      <c r="CC84" s="42">
        <v>4</v>
      </c>
      <c r="CD84" s="42">
        <v>4</v>
      </c>
      <c r="CE84" s="42">
        <v>4</v>
      </c>
      <c r="CF84" s="42">
        <v>4</v>
      </c>
      <c r="CG84" s="42">
        <v>4</v>
      </c>
      <c r="CH84" s="42">
        <v>4</v>
      </c>
      <c r="CI84" s="42">
        <v>4</v>
      </c>
      <c r="CJ84" s="42">
        <v>4</v>
      </c>
      <c r="CK84" s="42">
        <v>4</v>
      </c>
      <c r="CL84" s="42">
        <v>4</v>
      </c>
      <c r="CM84" s="42">
        <v>4</v>
      </c>
      <c r="CN84" s="42">
        <v>4</v>
      </c>
      <c r="CO84" s="42">
        <v>4</v>
      </c>
      <c r="CP84" s="42">
        <v>4</v>
      </c>
      <c r="CQ84" s="42">
        <v>4</v>
      </c>
      <c r="CR84" s="42">
        <v>4</v>
      </c>
      <c r="CS84" s="42">
        <v>4</v>
      </c>
      <c r="CT84" s="42">
        <v>4</v>
      </c>
      <c r="CU84" s="42">
        <v>4</v>
      </c>
      <c r="CV84" s="42">
        <v>4</v>
      </c>
      <c r="CW84" s="42">
        <v>4</v>
      </c>
      <c r="CX84" s="42">
        <v>4</v>
      </c>
      <c r="CY84" s="42">
        <v>4</v>
      </c>
      <c r="CZ84" s="42">
        <v>4</v>
      </c>
      <c r="DA84" s="42">
        <v>4</v>
      </c>
      <c r="DB84" s="42">
        <v>4</v>
      </c>
      <c r="DC84" s="42">
        <v>4</v>
      </c>
      <c r="DD84" s="42">
        <v>4</v>
      </c>
      <c r="DE84" s="42">
        <v>4</v>
      </c>
      <c r="DF84" s="42">
        <v>4</v>
      </c>
      <c r="DG84" s="42">
        <v>4</v>
      </c>
      <c r="DH84" s="42">
        <v>4</v>
      </c>
      <c r="DI84" s="42">
        <v>4</v>
      </c>
      <c r="DJ84" s="42">
        <v>4</v>
      </c>
      <c r="DK84" s="42">
        <v>4</v>
      </c>
      <c r="DL84" s="42">
        <v>4</v>
      </c>
      <c r="DM84" s="42">
        <v>4</v>
      </c>
      <c r="DN84" s="42">
        <v>4</v>
      </c>
      <c r="DO84" s="26">
        <v>4</v>
      </c>
      <c r="DP84" s="26">
        <v>4</v>
      </c>
      <c r="DQ84" s="26">
        <v>4</v>
      </c>
      <c r="DR84" s="26">
        <v>4</v>
      </c>
      <c r="DS84" s="26">
        <v>4</v>
      </c>
      <c r="DT84" s="29">
        <v>2</v>
      </c>
      <c r="DU84" s="29">
        <v>2</v>
      </c>
      <c r="DV84" s="29">
        <v>2</v>
      </c>
      <c r="DW84" s="29">
        <v>2</v>
      </c>
      <c r="DX84" s="29">
        <v>2</v>
      </c>
      <c r="DY84" s="29">
        <v>2</v>
      </c>
      <c r="DZ84" s="29">
        <v>2</v>
      </c>
      <c r="EA84" s="29">
        <v>2</v>
      </c>
      <c r="EB84" s="29">
        <v>2</v>
      </c>
      <c r="EC84" s="29">
        <v>2</v>
      </c>
      <c r="ED84" s="29">
        <v>2</v>
      </c>
      <c r="EE84" s="29">
        <v>2</v>
      </c>
      <c r="EF84" s="29">
        <v>2</v>
      </c>
      <c r="EG84" s="29">
        <v>2</v>
      </c>
      <c r="EH84" s="29">
        <v>2</v>
      </c>
      <c r="EI84" s="29">
        <v>2</v>
      </c>
      <c r="EJ84" s="29">
        <v>2</v>
      </c>
      <c r="EK84" s="29">
        <v>2</v>
      </c>
      <c r="EL84" s="29">
        <v>2</v>
      </c>
      <c r="EM84" s="29">
        <v>2</v>
      </c>
      <c r="EN84" s="29">
        <v>2</v>
      </c>
      <c r="EO84" s="29">
        <v>2</v>
      </c>
      <c r="EP84" s="29">
        <v>2</v>
      </c>
      <c r="EQ84" s="29">
        <v>2</v>
      </c>
      <c r="ER84" s="29">
        <v>2</v>
      </c>
      <c r="ES84" s="29">
        <v>2</v>
      </c>
      <c r="ET84" s="29">
        <v>2</v>
      </c>
      <c r="EU84" s="29">
        <v>2</v>
      </c>
      <c r="EV84" s="29">
        <v>2</v>
      </c>
      <c r="EW84" s="29">
        <v>2</v>
      </c>
      <c r="EX84" s="29">
        <v>2</v>
      </c>
      <c r="EY84" s="29">
        <v>2</v>
      </c>
      <c r="EZ84" s="26"/>
      <c r="FA84" s="26"/>
      <c r="FB84" s="26"/>
      <c r="FC84" s="26"/>
      <c r="FD84" s="26"/>
      <c r="FE84" s="26"/>
      <c r="FF84" s="26"/>
      <c r="FG84" s="26"/>
      <c r="FH84" s="26"/>
      <c r="FI84" s="26"/>
      <c r="FK84" s="26"/>
      <c r="FL84" s="26"/>
      <c r="FM84" s="26"/>
      <c r="FN84" s="26"/>
      <c r="FO84" s="26"/>
      <c r="FP84" s="26"/>
      <c r="FQ84" s="26"/>
      <c r="FR84" s="26"/>
      <c r="FS84" s="26"/>
      <c r="FT84" s="26"/>
      <c r="FU84" s="26"/>
      <c r="FV84" s="26"/>
      <c r="FW84" s="26"/>
      <c r="FX84" s="26"/>
      <c r="FY84" s="26"/>
      <c r="FZ84" s="26"/>
      <c r="GA84" s="26"/>
      <c r="GB84" s="26"/>
      <c r="GC84" s="26"/>
      <c r="GD84" s="26"/>
      <c r="GG84" s="26"/>
      <c r="GH84">
        <v>4</v>
      </c>
      <c r="GK84">
        <f>IF(ISNUMBER(EY745),EY745,999)</f>
        <v>999</v>
      </c>
    </row>
    <row r="85" spans="2:193" x14ac:dyDescent="0.3">
      <c r="B85" s="18" t="s">
        <v>452</v>
      </c>
      <c r="C85" s="13">
        <v>75</v>
      </c>
      <c r="D85" s="21" t="s">
        <v>453</v>
      </c>
      <c r="E85" s="24">
        <v>46</v>
      </c>
      <c r="G85" s="2">
        <f t="shared" si="31"/>
        <v>66</v>
      </c>
      <c r="H85" s="5">
        <v>5</v>
      </c>
      <c r="I85" s="13">
        <v>12</v>
      </c>
      <c r="L85" s="4"/>
      <c r="M85" s="7"/>
      <c r="O85" s="7"/>
      <c r="T85" s="7"/>
      <c r="AE85" s="7"/>
      <c r="BD85" s="26"/>
      <c r="BE85" s="26">
        <f t="shared" si="30"/>
        <v>3</v>
      </c>
      <c r="BF85">
        <v>3</v>
      </c>
      <c r="BG85">
        <v>65</v>
      </c>
      <c r="BH85" s="43">
        <v>3</v>
      </c>
      <c r="BI85" s="44">
        <v>3</v>
      </c>
      <c r="BJ85" s="44">
        <v>3</v>
      </c>
      <c r="BK85" s="44">
        <v>3</v>
      </c>
      <c r="BL85" s="44">
        <v>3</v>
      </c>
      <c r="BM85" s="44">
        <v>3</v>
      </c>
      <c r="BN85" s="44">
        <v>3</v>
      </c>
      <c r="BO85" s="44">
        <v>3</v>
      </c>
      <c r="BP85" s="44">
        <v>3</v>
      </c>
      <c r="BQ85" s="44">
        <v>3</v>
      </c>
      <c r="BR85" s="44">
        <v>3</v>
      </c>
      <c r="BS85" s="44">
        <v>3</v>
      </c>
      <c r="BT85" s="44">
        <v>3</v>
      </c>
      <c r="BU85" s="44">
        <v>3</v>
      </c>
      <c r="BV85" s="44">
        <v>3</v>
      </c>
      <c r="BW85" s="44">
        <v>3</v>
      </c>
      <c r="BX85" s="44">
        <v>3</v>
      </c>
      <c r="BY85" s="44">
        <v>3</v>
      </c>
      <c r="BZ85" s="44">
        <v>3</v>
      </c>
      <c r="CA85" s="44">
        <v>3</v>
      </c>
      <c r="CB85" s="44">
        <v>3</v>
      </c>
      <c r="CC85" s="44">
        <v>3</v>
      </c>
      <c r="CD85" s="44">
        <v>3</v>
      </c>
      <c r="CE85" s="44">
        <v>3</v>
      </c>
      <c r="CF85" s="44">
        <v>3</v>
      </c>
      <c r="CG85" s="44">
        <v>3</v>
      </c>
      <c r="CH85" s="44">
        <v>3</v>
      </c>
      <c r="CI85" s="44">
        <v>3</v>
      </c>
      <c r="CJ85" s="44">
        <v>3</v>
      </c>
      <c r="CK85" s="44">
        <v>3</v>
      </c>
      <c r="CL85" s="44">
        <v>3</v>
      </c>
      <c r="CM85" s="44">
        <v>3</v>
      </c>
      <c r="CN85" s="44">
        <v>3</v>
      </c>
      <c r="CO85" s="44">
        <v>3</v>
      </c>
      <c r="CP85" s="44">
        <v>3</v>
      </c>
      <c r="CQ85" s="44">
        <v>3</v>
      </c>
      <c r="CR85" s="44">
        <v>3</v>
      </c>
      <c r="CS85" s="44">
        <v>3</v>
      </c>
      <c r="CT85" s="44">
        <v>3</v>
      </c>
      <c r="CU85" s="44">
        <v>3</v>
      </c>
      <c r="CV85" s="44">
        <v>3</v>
      </c>
      <c r="CW85" s="44">
        <v>3</v>
      </c>
      <c r="CX85" s="44">
        <v>3</v>
      </c>
      <c r="CY85" s="44">
        <v>3</v>
      </c>
      <c r="CZ85" s="44">
        <v>3</v>
      </c>
      <c r="DA85" s="44">
        <v>3</v>
      </c>
      <c r="DB85" s="44">
        <v>3</v>
      </c>
      <c r="DC85" s="44">
        <v>3</v>
      </c>
      <c r="DD85" s="44">
        <v>3</v>
      </c>
      <c r="DE85" s="44">
        <v>3</v>
      </c>
      <c r="DF85" s="44">
        <v>3</v>
      </c>
      <c r="DG85" s="44">
        <v>3</v>
      </c>
      <c r="DH85" s="44">
        <v>3</v>
      </c>
      <c r="DI85" s="44">
        <v>3</v>
      </c>
      <c r="DJ85" s="44">
        <v>3</v>
      </c>
      <c r="DK85" s="44">
        <v>3</v>
      </c>
      <c r="DL85" s="44">
        <v>3</v>
      </c>
      <c r="DM85" s="44">
        <v>3</v>
      </c>
      <c r="DN85" s="44">
        <v>3</v>
      </c>
      <c r="DO85" s="34">
        <v>3</v>
      </c>
      <c r="DP85" s="34">
        <v>3</v>
      </c>
      <c r="DQ85" s="34">
        <v>3</v>
      </c>
      <c r="DR85" s="34">
        <v>3</v>
      </c>
      <c r="DS85" s="34">
        <v>3</v>
      </c>
      <c r="EZ85" s="26"/>
      <c r="FA85" s="26"/>
      <c r="FB85" s="26"/>
      <c r="FC85" s="26"/>
      <c r="FD85" s="26"/>
      <c r="FE85" s="26"/>
      <c r="FF85" s="26"/>
      <c r="FG85" s="26"/>
      <c r="FH85" s="26"/>
      <c r="FI85" s="26"/>
      <c r="FK85" s="26"/>
      <c r="FL85" s="26"/>
      <c r="FM85" s="26"/>
      <c r="FN85" s="26"/>
      <c r="FO85" s="26"/>
      <c r="FP85" s="26"/>
      <c r="FQ85" s="26"/>
      <c r="FR85" s="26"/>
      <c r="FS85" s="26"/>
      <c r="FT85" s="26"/>
      <c r="FU85" s="26"/>
      <c r="FV85" s="26"/>
      <c r="FW85" s="26"/>
      <c r="FX85" s="26"/>
      <c r="FY85" s="26"/>
      <c r="FZ85" s="26"/>
      <c r="GA85" s="26"/>
      <c r="GB85" s="26"/>
      <c r="GC85" s="26"/>
      <c r="GD85" s="26"/>
      <c r="GG85" s="26"/>
      <c r="GH85">
        <v>3</v>
      </c>
      <c r="GJ85" s="30"/>
      <c r="GK85">
        <f>IF(ISNUMBER(EY746),EY746,999)</f>
        <v>999</v>
      </c>
    </row>
    <row r="86" spans="2:193" x14ac:dyDescent="0.3">
      <c r="B86" s="18" t="s">
        <v>454</v>
      </c>
      <c r="C86" s="13">
        <v>53</v>
      </c>
      <c r="D86" s="21" t="s">
        <v>455</v>
      </c>
      <c r="E86" s="24">
        <v>45</v>
      </c>
      <c r="G86" s="2">
        <f t="shared" si="31"/>
        <v>67</v>
      </c>
      <c r="H86" s="5">
        <v>5</v>
      </c>
      <c r="I86" s="13">
        <v>12</v>
      </c>
      <c r="L86" s="4"/>
      <c r="M86" s="7"/>
      <c r="O86" s="7"/>
      <c r="T86" s="7"/>
      <c r="AE86" s="7"/>
      <c r="BD86" s="26"/>
      <c r="BE86" s="26" t="str">
        <f t="shared" ref="BE86:BE148" si="32">IF(BF86&gt;66,"BYE",BF86)</f>
        <v>BYE</v>
      </c>
      <c r="BF86">
        <v>126</v>
      </c>
      <c r="BG86">
        <v>66</v>
      </c>
      <c r="BH86" s="45">
        <v>127</v>
      </c>
      <c r="BI86" s="46">
        <v>126</v>
      </c>
      <c r="BJ86" s="46">
        <v>126</v>
      </c>
      <c r="BK86" s="46">
        <v>125</v>
      </c>
      <c r="BL86" s="46" t="s">
        <v>326</v>
      </c>
      <c r="BM86" s="46" t="s">
        <v>326</v>
      </c>
      <c r="BN86" s="46" t="s">
        <v>326</v>
      </c>
      <c r="BO86" s="46" t="s">
        <v>326</v>
      </c>
      <c r="BP86" s="46" t="s">
        <v>326</v>
      </c>
      <c r="BQ86" s="46" t="s">
        <v>326</v>
      </c>
      <c r="BR86" s="46" t="s">
        <v>326</v>
      </c>
      <c r="BS86" s="46" t="s">
        <v>326</v>
      </c>
      <c r="BT86" s="46" t="s">
        <v>326</v>
      </c>
      <c r="BU86" s="46" t="s">
        <v>326</v>
      </c>
      <c r="BV86" s="46" t="s">
        <v>326</v>
      </c>
      <c r="BW86" s="46" t="s">
        <v>326</v>
      </c>
      <c r="BX86" s="46" t="s">
        <v>326</v>
      </c>
      <c r="BY86" s="46" t="s">
        <v>326</v>
      </c>
      <c r="BZ86" s="46" t="s">
        <v>326</v>
      </c>
      <c r="CA86" s="46" t="s">
        <v>326</v>
      </c>
      <c r="CB86" s="46" t="s">
        <v>326</v>
      </c>
      <c r="CC86" s="46" t="s">
        <v>326</v>
      </c>
      <c r="CD86" s="46" t="s">
        <v>326</v>
      </c>
      <c r="CE86" s="46" t="s">
        <v>326</v>
      </c>
      <c r="CF86" s="46" t="s">
        <v>326</v>
      </c>
      <c r="CG86" s="46" t="s">
        <v>326</v>
      </c>
      <c r="CH86" s="46" t="s">
        <v>326</v>
      </c>
      <c r="CI86" s="46" t="s">
        <v>326</v>
      </c>
      <c r="CJ86" s="46" t="s">
        <v>326</v>
      </c>
      <c r="CK86" s="46" t="s">
        <v>326</v>
      </c>
      <c r="CL86" s="46" t="s">
        <v>326</v>
      </c>
      <c r="CM86" s="46" t="s">
        <v>326</v>
      </c>
      <c r="CN86" s="46" t="s">
        <v>326</v>
      </c>
      <c r="CO86" s="46" t="s">
        <v>326</v>
      </c>
      <c r="CP86" s="46" t="s">
        <v>326</v>
      </c>
      <c r="CQ86" s="46" t="s">
        <v>326</v>
      </c>
      <c r="CR86" s="46" t="s">
        <v>326</v>
      </c>
      <c r="CS86" s="46" t="s">
        <v>326</v>
      </c>
      <c r="CT86" s="46" t="s">
        <v>326</v>
      </c>
      <c r="CU86" s="46" t="s">
        <v>326</v>
      </c>
      <c r="CV86" s="46" t="s">
        <v>326</v>
      </c>
      <c r="CW86" s="46" t="s">
        <v>326</v>
      </c>
      <c r="CX86" s="46" t="s">
        <v>326</v>
      </c>
      <c r="CY86" s="46" t="s">
        <v>326</v>
      </c>
      <c r="CZ86" s="46" t="s">
        <v>326</v>
      </c>
      <c r="DA86" s="46" t="s">
        <v>326</v>
      </c>
      <c r="DB86" s="46" t="s">
        <v>326</v>
      </c>
      <c r="DC86" s="46" t="s">
        <v>326</v>
      </c>
      <c r="DD86" s="46" t="s">
        <v>326</v>
      </c>
      <c r="DE86" s="46" t="s">
        <v>326</v>
      </c>
      <c r="DF86" s="46" t="s">
        <v>326</v>
      </c>
      <c r="DG86" s="46" t="s">
        <v>327</v>
      </c>
      <c r="DH86" s="46" t="s">
        <v>326</v>
      </c>
      <c r="DI86" s="46" t="s">
        <v>326</v>
      </c>
      <c r="DJ86" s="46" t="s">
        <v>326</v>
      </c>
      <c r="DK86" s="46" t="s">
        <v>326</v>
      </c>
      <c r="DL86" s="46" t="s">
        <v>326</v>
      </c>
      <c r="DM86" s="46" t="s">
        <v>326</v>
      </c>
      <c r="DN86" s="46" t="s">
        <v>326</v>
      </c>
      <c r="DO86" s="35" t="s">
        <v>326</v>
      </c>
      <c r="DP86" s="35" t="s">
        <v>326</v>
      </c>
      <c r="DQ86" s="35" t="s">
        <v>326</v>
      </c>
      <c r="DR86" s="35" t="s">
        <v>326</v>
      </c>
      <c r="DS86" s="35" t="s">
        <v>326</v>
      </c>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K86" s="26"/>
      <c r="FL86" s="26"/>
      <c r="FM86" s="26"/>
      <c r="FN86" s="26"/>
      <c r="FO86" s="26"/>
      <c r="FP86" s="26"/>
      <c r="FQ86" s="26"/>
      <c r="FR86" s="26"/>
      <c r="FS86" s="26"/>
      <c r="FT86" s="26"/>
      <c r="FU86" s="26"/>
      <c r="FV86" s="26"/>
      <c r="FW86" s="26"/>
      <c r="FX86" s="26"/>
      <c r="FY86" s="26"/>
      <c r="FZ86" s="26"/>
      <c r="GA86" s="26"/>
      <c r="GB86" s="26"/>
      <c r="GC86" s="26"/>
      <c r="GD86" s="26"/>
      <c r="GG86" s="26"/>
      <c r="GJ86" s="26"/>
      <c r="GK86">
        <f>IF(ISNUMBER(EY747),EY747,999)</f>
        <v>999</v>
      </c>
    </row>
    <row r="87" spans="2:193" x14ac:dyDescent="0.3">
      <c r="B87" s="18" t="s">
        <v>456</v>
      </c>
      <c r="C87" s="13">
        <v>54</v>
      </c>
      <c r="D87" s="21" t="s">
        <v>457</v>
      </c>
      <c r="E87" s="24">
        <v>44</v>
      </c>
      <c r="G87" s="2">
        <f t="shared" si="31"/>
        <v>68</v>
      </c>
      <c r="H87" s="5">
        <v>5</v>
      </c>
      <c r="I87" s="13">
        <v>12</v>
      </c>
      <c r="L87" s="4"/>
      <c r="M87" s="7"/>
      <c r="O87" s="7"/>
      <c r="T87" s="7"/>
      <c r="AE87" s="7"/>
      <c r="BD87" s="26"/>
      <c r="BE87" s="26">
        <f t="shared" si="32"/>
        <v>60</v>
      </c>
      <c r="BF87">
        <v>60</v>
      </c>
      <c r="BG87">
        <v>67</v>
      </c>
      <c r="BH87" s="47">
        <v>67</v>
      </c>
      <c r="BI87" s="47">
        <v>67</v>
      </c>
      <c r="BJ87" s="47">
        <v>68</v>
      </c>
      <c r="BK87" s="47">
        <v>68</v>
      </c>
      <c r="BL87" s="47">
        <v>68</v>
      </c>
      <c r="BM87" s="47">
        <v>67</v>
      </c>
      <c r="BN87" s="47">
        <v>67</v>
      </c>
      <c r="BO87" s="47">
        <v>67</v>
      </c>
      <c r="BP87" s="47">
        <v>68</v>
      </c>
      <c r="BQ87" s="47">
        <v>68</v>
      </c>
      <c r="BR87" s="47">
        <v>68</v>
      </c>
      <c r="BS87" s="47">
        <v>67</v>
      </c>
      <c r="BT87" s="47">
        <v>67</v>
      </c>
      <c r="BU87" s="47">
        <v>67</v>
      </c>
      <c r="BV87" s="47">
        <v>68</v>
      </c>
      <c r="BW87" s="47">
        <v>68</v>
      </c>
      <c r="BX87" s="47">
        <v>68</v>
      </c>
      <c r="BY87" s="47">
        <v>67</v>
      </c>
      <c r="BZ87" s="47">
        <v>67</v>
      </c>
      <c r="CA87" s="47">
        <v>67</v>
      </c>
      <c r="CB87" s="47">
        <v>68</v>
      </c>
      <c r="CC87" s="47">
        <v>68</v>
      </c>
      <c r="CD87" s="47">
        <v>68</v>
      </c>
      <c r="CE87" s="47">
        <v>67</v>
      </c>
      <c r="CF87" s="47">
        <v>67</v>
      </c>
      <c r="CG87" s="47">
        <v>67</v>
      </c>
      <c r="CH87" s="47">
        <v>68</v>
      </c>
      <c r="CI87" s="47">
        <v>101</v>
      </c>
      <c r="CJ87" s="47">
        <v>68</v>
      </c>
      <c r="CK87" s="47">
        <v>67</v>
      </c>
      <c r="CL87" s="47">
        <v>67</v>
      </c>
      <c r="CM87" s="47">
        <v>68</v>
      </c>
      <c r="CN87" s="47">
        <v>65</v>
      </c>
      <c r="CO87" s="47">
        <v>65</v>
      </c>
      <c r="CP87" s="47">
        <v>71</v>
      </c>
      <c r="CQ87" s="47">
        <v>67</v>
      </c>
      <c r="CR87" s="47">
        <v>63</v>
      </c>
      <c r="CS87" s="47">
        <v>67</v>
      </c>
      <c r="CT87" s="47">
        <v>67</v>
      </c>
      <c r="CU87" s="47">
        <v>66</v>
      </c>
      <c r="CV87" s="47">
        <v>68</v>
      </c>
      <c r="CW87" s="47">
        <v>67</v>
      </c>
      <c r="CX87" s="47">
        <v>67</v>
      </c>
      <c r="CY87" s="47">
        <v>63</v>
      </c>
      <c r="CZ87" s="47">
        <v>65</v>
      </c>
      <c r="DA87" s="47">
        <v>65</v>
      </c>
      <c r="DB87" s="47">
        <v>67</v>
      </c>
      <c r="DC87" s="47">
        <v>67</v>
      </c>
      <c r="DD87" s="47">
        <v>66</v>
      </c>
      <c r="DE87" s="47">
        <v>67</v>
      </c>
      <c r="DF87" s="47">
        <v>67</v>
      </c>
      <c r="DG87" s="47">
        <v>62</v>
      </c>
      <c r="DH87" s="47">
        <v>68</v>
      </c>
      <c r="DI87" s="47">
        <v>67</v>
      </c>
      <c r="DJ87" s="47">
        <v>67</v>
      </c>
      <c r="DK87" s="47">
        <v>66</v>
      </c>
      <c r="DL87" s="47">
        <v>65</v>
      </c>
      <c r="DM87" s="47">
        <v>64</v>
      </c>
      <c r="DN87" s="47">
        <v>67</v>
      </c>
      <c r="DO87" s="33">
        <v>67</v>
      </c>
      <c r="DP87" s="33">
        <v>66</v>
      </c>
      <c r="DQ87" s="33">
        <v>67</v>
      </c>
      <c r="DR87" s="33" t="s">
        <v>326</v>
      </c>
      <c r="DS87" s="33" t="s">
        <v>326</v>
      </c>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K87" s="26"/>
      <c r="FL87" s="26"/>
      <c r="FM87" s="26"/>
      <c r="FN87" s="26"/>
      <c r="FO87" s="26"/>
      <c r="FP87" s="26"/>
      <c r="FQ87" s="26"/>
      <c r="FR87" s="26"/>
      <c r="FS87" s="26"/>
      <c r="FT87" s="26"/>
      <c r="FU87" s="26"/>
      <c r="FV87" s="26"/>
      <c r="FW87" s="26"/>
      <c r="FX87" s="26"/>
      <c r="FY87" s="26"/>
      <c r="FZ87" s="26"/>
      <c r="GA87" s="26"/>
      <c r="GB87" s="26"/>
      <c r="GC87" s="26"/>
      <c r="GD87" s="26"/>
      <c r="GG87" s="26"/>
      <c r="GJ87">
        <f>GJ83+1</f>
        <v>22</v>
      </c>
      <c r="GK87" t="str">
        <f>IF(Grps&gt;GJ83,GJ87,"")</f>
        <v/>
      </c>
    </row>
    <row r="88" spans="2:193" x14ac:dyDescent="0.3">
      <c r="B88" s="18" t="s">
        <v>458</v>
      </c>
      <c r="C88" s="13">
        <v>55</v>
      </c>
      <c r="D88" s="21" t="s">
        <v>459</v>
      </c>
      <c r="E88" s="24">
        <v>43</v>
      </c>
      <c r="G88" s="2">
        <f t="shared" si="31"/>
        <v>69</v>
      </c>
      <c r="H88" s="5">
        <v>5</v>
      </c>
      <c r="I88" s="13">
        <v>12</v>
      </c>
      <c r="L88" s="4"/>
      <c r="M88" s="7"/>
      <c r="O88" s="7"/>
      <c r="T88" s="7"/>
      <c r="AE88" s="7"/>
      <c r="BD88" s="26"/>
      <c r="BE88" s="26" t="str">
        <f t="shared" si="32"/>
        <v>BYE</v>
      </c>
      <c r="BF88">
        <v>67</v>
      </c>
      <c r="BG88">
        <v>68</v>
      </c>
      <c r="BH88" s="47">
        <v>62</v>
      </c>
      <c r="BI88" s="47">
        <v>62</v>
      </c>
      <c r="BJ88" s="47">
        <v>61</v>
      </c>
      <c r="BK88" s="47">
        <v>61</v>
      </c>
      <c r="BL88" s="47">
        <v>61</v>
      </c>
      <c r="BM88" s="47">
        <v>62</v>
      </c>
      <c r="BN88" s="47">
        <v>62</v>
      </c>
      <c r="BO88" s="47">
        <v>62</v>
      </c>
      <c r="BP88" s="47">
        <v>61</v>
      </c>
      <c r="BQ88" s="47">
        <v>61</v>
      </c>
      <c r="BR88" s="47">
        <v>61</v>
      </c>
      <c r="BS88" s="47">
        <v>62</v>
      </c>
      <c r="BT88" s="47">
        <v>62</v>
      </c>
      <c r="BU88" s="47">
        <v>62</v>
      </c>
      <c r="BV88" s="47">
        <v>61</v>
      </c>
      <c r="BW88" s="47">
        <v>61</v>
      </c>
      <c r="BX88" s="47">
        <v>61</v>
      </c>
      <c r="BY88" s="47">
        <v>62</v>
      </c>
      <c r="BZ88" s="47">
        <v>62</v>
      </c>
      <c r="CA88" s="47">
        <v>62</v>
      </c>
      <c r="CB88" s="47">
        <v>61</v>
      </c>
      <c r="CC88" s="47">
        <v>61</v>
      </c>
      <c r="CD88" s="47">
        <v>61</v>
      </c>
      <c r="CE88" s="47">
        <v>62</v>
      </c>
      <c r="CF88" s="47">
        <v>62</v>
      </c>
      <c r="CG88" s="47">
        <v>62</v>
      </c>
      <c r="CH88" s="47">
        <v>61</v>
      </c>
      <c r="CI88" s="47">
        <v>61</v>
      </c>
      <c r="CJ88" s="47">
        <v>61</v>
      </c>
      <c r="CK88" s="47">
        <v>62</v>
      </c>
      <c r="CL88" s="47">
        <v>62</v>
      </c>
      <c r="CM88" s="47">
        <v>62</v>
      </c>
      <c r="CN88" s="47">
        <v>61</v>
      </c>
      <c r="CO88" s="47">
        <v>61</v>
      </c>
      <c r="CP88" s="47">
        <v>61</v>
      </c>
      <c r="CQ88" s="47">
        <v>62</v>
      </c>
      <c r="CR88" s="47">
        <v>62</v>
      </c>
      <c r="CS88" s="47">
        <v>62</v>
      </c>
      <c r="CT88" s="47">
        <v>62</v>
      </c>
      <c r="CU88" s="47">
        <v>61</v>
      </c>
      <c r="CV88" s="47">
        <v>62</v>
      </c>
      <c r="CW88" s="47">
        <v>62</v>
      </c>
      <c r="CX88" s="47">
        <v>66</v>
      </c>
      <c r="CY88" s="47">
        <v>65</v>
      </c>
      <c r="CZ88" s="47">
        <v>64</v>
      </c>
      <c r="DA88" s="47">
        <v>62</v>
      </c>
      <c r="DB88" s="47">
        <v>62</v>
      </c>
      <c r="DC88" s="47">
        <v>62</v>
      </c>
      <c r="DD88" s="47">
        <v>63</v>
      </c>
      <c r="DE88" s="47">
        <v>62</v>
      </c>
      <c r="DF88" s="47">
        <v>62</v>
      </c>
      <c r="DG88" s="47">
        <v>67</v>
      </c>
      <c r="DH88" s="47">
        <v>62</v>
      </c>
      <c r="DI88" s="47">
        <v>62</v>
      </c>
      <c r="DJ88" s="47">
        <v>66</v>
      </c>
      <c r="DK88" s="47">
        <v>63</v>
      </c>
      <c r="DL88" s="47">
        <v>64</v>
      </c>
      <c r="DM88" s="47">
        <v>62</v>
      </c>
      <c r="DN88" s="47">
        <v>62</v>
      </c>
      <c r="DO88" s="33">
        <v>62</v>
      </c>
      <c r="DP88" s="33">
        <v>63</v>
      </c>
      <c r="DQ88" s="33">
        <v>62</v>
      </c>
      <c r="DR88" s="33">
        <v>62</v>
      </c>
      <c r="DS88" s="33">
        <v>61</v>
      </c>
      <c r="EZ88" s="26"/>
      <c r="FA88" s="26"/>
      <c r="FB88" s="26"/>
      <c r="FC88" s="26"/>
      <c r="FD88" s="26"/>
      <c r="FE88" s="26"/>
      <c r="FF88" s="26"/>
      <c r="FG88" s="26"/>
      <c r="FH88" s="26"/>
      <c r="FI88" s="26"/>
      <c r="FK88" s="26"/>
      <c r="FL88" s="26"/>
      <c r="FM88" s="26"/>
      <c r="FN88" s="26"/>
      <c r="FO88" s="26"/>
      <c r="FP88" s="26"/>
      <c r="FQ88" s="26"/>
      <c r="FR88" s="26"/>
      <c r="FS88" s="26"/>
      <c r="FT88" s="26"/>
      <c r="FU88" s="26"/>
      <c r="FV88" s="26"/>
      <c r="FW88" s="26"/>
      <c r="FX88" s="26"/>
      <c r="FY88" s="26"/>
      <c r="FZ88" s="26"/>
      <c r="GA88" s="26"/>
      <c r="GB88" s="26"/>
      <c r="GC88" s="26"/>
      <c r="GD88" s="26"/>
      <c r="GG88" s="26"/>
      <c r="GK88">
        <f>IF(ISNUMBER(EY782),EY782,999)</f>
        <v>999</v>
      </c>
    </row>
    <row r="89" spans="2:193" x14ac:dyDescent="0.3">
      <c r="B89" s="18" t="s">
        <v>460</v>
      </c>
      <c r="C89" s="13">
        <v>56</v>
      </c>
      <c r="D89" s="21" t="s">
        <v>461</v>
      </c>
      <c r="E89" s="24">
        <v>42</v>
      </c>
      <c r="G89" s="2">
        <f t="shared" si="31"/>
        <v>70</v>
      </c>
      <c r="H89" s="5">
        <v>5</v>
      </c>
      <c r="I89" s="13">
        <v>12</v>
      </c>
      <c r="L89" s="4"/>
      <c r="M89" s="7"/>
      <c r="O89" s="7"/>
      <c r="T89" s="7"/>
      <c r="AE89" s="7"/>
      <c r="BD89" s="26"/>
      <c r="BE89" s="26">
        <f t="shared" si="32"/>
        <v>30</v>
      </c>
      <c r="BF89">
        <v>30</v>
      </c>
      <c r="BG89">
        <v>69</v>
      </c>
      <c r="BH89" s="43">
        <v>35</v>
      </c>
      <c r="BI89" s="44">
        <v>35</v>
      </c>
      <c r="BJ89" s="44">
        <v>35</v>
      </c>
      <c r="BK89" s="44">
        <v>35</v>
      </c>
      <c r="BL89" s="44">
        <v>35</v>
      </c>
      <c r="BM89" s="44">
        <v>35</v>
      </c>
      <c r="BN89" s="44">
        <v>35</v>
      </c>
      <c r="BO89" s="44">
        <v>35</v>
      </c>
      <c r="BP89" s="44">
        <v>35</v>
      </c>
      <c r="BQ89" s="44">
        <v>35</v>
      </c>
      <c r="BR89" s="44">
        <v>35</v>
      </c>
      <c r="BS89" s="44">
        <v>35</v>
      </c>
      <c r="BT89" s="44">
        <v>35</v>
      </c>
      <c r="BU89" s="44">
        <v>35</v>
      </c>
      <c r="BV89" s="44">
        <v>35</v>
      </c>
      <c r="BW89" s="44">
        <v>35</v>
      </c>
      <c r="BX89" s="44">
        <v>35</v>
      </c>
      <c r="BY89" s="44">
        <v>35</v>
      </c>
      <c r="BZ89" s="44">
        <v>35</v>
      </c>
      <c r="CA89" s="44">
        <v>35</v>
      </c>
      <c r="CB89" s="44">
        <v>35</v>
      </c>
      <c r="CC89" s="44">
        <v>35</v>
      </c>
      <c r="CD89" s="44">
        <v>35</v>
      </c>
      <c r="CE89" s="44">
        <v>35</v>
      </c>
      <c r="CF89" s="44">
        <v>35</v>
      </c>
      <c r="CG89" s="44">
        <v>35</v>
      </c>
      <c r="CH89" s="44">
        <v>36</v>
      </c>
      <c r="CI89" s="44">
        <v>36</v>
      </c>
      <c r="CJ89" s="44">
        <v>36</v>
      </c>
      <c r="CK89" s="44">
        <v>35</v>
      </c>
      <c r="CL89" s="44">
        <v>35</v>
      </c>
      <c r="CM89" s="44">
        <v>35</v>
      </c>
      <c r="CN89" s="44">
        <v>36</v>
      </c>
      <c r="CO89" s="44">
        <v>36</v>
      </c>
      <c r="CP89" s="44">
        <v>34</v>
      </c>
      <c r="CQ89" s="44">
        <v>35</v>
      </c>
      <c r="CR89" s="44">
        <v>35</v>
      </c>
      <c r="CS89" s="44">
        <v>35</v>
      </c>
      <c r="CT89" s="44">
        <v>36</v>
      </c>
      <c r="CU89" s="44">
        <v>36</v>
      </c>
      <c r="CV89" s="44">
        <v>36</v>
      </c>
      <c r="CW89" s="44">
        <v>35</v>
      </c>
      <c r="CX89" s="44">
        <v>35</v>
      </c>
      <c r="CY89" s="44">
        <v>35</v>
      </c>
      <c r="CZ89" s="44">
        <v>36</v>
      </c>
      <c r="DA89" s="44">
        <v>36</v>
      </c>
      <c r="DB89" s="44">
        <v>36</v>
      </c>
      <c r="DC89" s="44">
        <v>35</v>
      </c>
      <c r="DD89" s="44">
        <v>35</v>
      </c>
      <c r="DE89" s="44">
        <v>35</v>
      </c>
      <c r="DF89" s="44">
        <v>36</v>
      </c>
      <c r="DG89" s="44">
        <v>30</v>
      </c>
      <c r="DH89" s="44">
        <v>36</v>
      </c>
      <c r="DI89" s="44">
        <v>35</v>
      </c>
      <c r="DJ89" s="44">
        <v>35</v>
      </c>
      <c r="DK89" s="44">
        <v>35</v>
      </c>
      <c r="DL89" s="44">
        <v>36</v>
      </c>
      <c r="DM89" s="44">
        <v>36</v>
      </c>
      <c r="DN89" s="44">
        <v>36</v>
      </c>
      <c r="DO89" s="34">
        <v>35</v>
      </c>
      <c r="DP89" s="34">
        <v>35</v>
      </c>
      <c r="DQ89" s="34">
        <v>35</v>
      </c>
      <c r="DR89" s="34">
        <v>36</v>
      </c>
      <c r="DS89" s="34">
        <v>36</v>
      </c>
      <c r="DV89" s="26"/>
      <c r="DW89" s="26"/>
      <c r="EZ89" s="26"/>
      <c r="FA89" s="26"/>
      <c r="FB89" s="26"/>
      <c r="FC89" s="26"/>
      <c r="FD89" s="26"/>
      <c r="FE89" s="26"/>
      <c r="FF89" s="26"/>
      <c r="FG89" s="26"/>
      <c r="FH89" s="26"/>
      <c r="FI89" s="26"/>
      <c r="FK89" s="26"/>
      <c r="FL89" s="26"/>
      <c r="FM89" s="26"/>
      <c r="FN89" s="26"/>
      <c r="FO89" s="26"/>
      <c r="FP89" s="26"/>
      <c r="FQ89" s="26"/>
      <c r="FR89" s="26"/>
      <c r="FS89" s="26"/>
      <c r="FT89" s="26"/>
      <c r="FU89" s="26"/>
      <c r="FV89" s="26"/>
      <c r="FW89" s="26"/>
      <c r="FX89" s="26"/>
      <c r="FY89" s="26"/>
      <c r="FZ89" s="26"/>
      <c r="GA89" s="26"/>
      <c r="GB89" s="26"/>
      <c r="GC89" s="26"/>
      <c r="GD89" s="26"/>
      <c r="GG89" s="26"/>
      <c r="GK89">
        <f>IF(ISNUMBER(EY783),EY783,999)</f>
        <v>999</v>
      </c>
    </row>
    <row r="90" spans="2:193" x14ac:dyDescent="0.3">
      <c r="B90" s="18" t="s">
        <v>462</v>
      </c>
      <c r="C90" s="13">
        <v>57</v>
      </c>
      <c r="D90" s="21" t="s">
        <v>463</v>
      </c>
      <c r="E90" s="24">
        <v>33</v>
      </c>
      <c r="G90" s="2">
        <f t="shared" si="31"/>
        <v>71</v>
      </c>
      <c r="H90" s="5">
        <v>5</v>
      </c>
      <c r="I90" s="13">
        <v>12</v>
      </c>
      <c r="L90" s="4"/>
      <c r="M90" s="7"/>
      <c r="O90" s="7"/>
      <c r="T90" s="7"/>
      <c r="AE90" s="7"/>
      <c r="BD90" s="26"/>
      <c r="BE90" s="26" t="str">
        <f t="shared" si="32"/>
        <v>BYE</v>
      </c>
      <c r="BF90">
        <v>99</v>
      </c>
      <c r="BG90">
        <v>70</v>
      </c>
      <c r="BH90" s="45">
        <v>95</v>
      </c>
      <c r="BI90" s="46">
        <v>94</v>
      </c>
      <c r="BJ90" s="46">
        <v>94</v>
      </c>
      <c r="BK90" s="46">
        <v>93</v>
      </c>
      <c r="BL90" s="46">
        <v>94</v>
      </c>
      <c r="BM90" s="46">
        <v>94</v>
      </c>
      <c r="BN90" s="46">
        <v>98</v>
      </c>
      <c r="BO90" s="46">
        <v>98</v>
      </c>
      <c r="BP90" s="46">
        <v>97</v>
      </c>
      <c r="BQ90" s="46">
        <v>94</v>
      </c>
      <c r="BR90" s="46">
        <v>94</v>
      </c>
      <c r="BS90" s="46">
        <v>94</v>
      </c>
      <c r="BT90" s="46">
        <v>90</v>
      </c>
      <c r="BU90" s="46">
        <v>94</v>
      </c>
      <c r="BV90" s="46">
        <v>94</v>
      </c>
      <c r="BW90" s="46">
        <v>93</v>
      </c>
      <c r="BX90" s="46">
        <v>94</v>
      </c>
      <c r="BY90" s="46">
        <v>94</v>
      </c>
      <c r="BZ90" s="46">
        <v>98</v>
      </c>
      <c r="CA90" s="46">
        <v>95</v>
      </c>
      <c r="CB90" s="46">
        <v>96</v>
      </c>
      <c r="CC90" s="46">
        <v>94</v>
      </c>
      <c r="CD90" s="46">
        <v>94</v>
      </c>
      <c r="CE90" s="46">
        <v>94</v>
      </c>
      <c r="CF90" s="46">
        <v>95</v>
      </c>
      <c r="CG90" s="46">
        <v>94</v>
      </c>
      <c r="CH90" s="46">
        <v>94</v>
      </c>
      <c r="CI90" s="46">
        <v>93</v>
      </c>
      <c r="CJ90" s="46">
        <v>94</v>
      </c>
      <c r="CK90" s="46">
        <v>94</v>
      </c>
      <c r="CL90" s="46">
        <v>90</v>
      </c>
      <c r="CM90" s="46">
        <v>97</v>
      </c>
      <c r="CN90" s="46">
        <v>96</v>
      </c>
      <c r="CO90" s="46">
        <v>94</v>
      </c>
      <c r="CP90" s="46">
        <v>94</v>
      </c>
      <c r="CQ90" s="46" t="s">
        <v>326</v>
      </c>
      <c r="CR90" s="46" t="s">
        <v>326</v>
      </c>
      <c r="CS90" s="46" t="s">
        <v>326</v>
      </c>
      <c r="CT90" s="46" t="s">
        <v>326</v>
      </c>
      <c r="CU90" s="46" t="s">
        <v>326</v>
      </c>
      <c r="CV90" s="46" t="s">
        <v>326</v>
      </c>
      <c r="CW90" s="46" t="s">
        <v>326</v>
      </c>
      <c r="CX90" s="46" t="s">
        <v>326</v>
      </c>
      <c r="CY90" s="46" t="s">
        <v>326</v>
      </c>
      <c r="CZ90" s="46" t="s">
        <v>326</v>
      </c>
      <c r="DA90" s="46" t="s">
        <v>326</v>
      </c>
      <c r="DB90" s="46" t="s">
        <v>326</v>
      </c>
      <c r="DC90" s="46" t="s">
        <v>326</v>
      </c>
      <c r="DD90" s="46" t="s">
        <v>326</v>
      </c>
      <c r="DE90" s="46" t="s">
        <v>326</v>
      </c>
      <c r="DF90" s="46" t="s">
        <v>326</v>
      </c>
      <c r="DG90" s="46" t="s">
        <v>327</v>
      </c>
      <c r="DH90" s="46" t="s">
        <v>326</v>
      </c>
      <c r="DI90" s="46" t="s">
        <v>326</v>
      </c>
      <c r="DJ90" s="46" t="s">
        <v>326</v>
      </c>
      <c r="DK90" s="46" t="s">
        <v>326</v>
      </c>
      <c r="DL90" s="46" t="s">
        <v>326</v>
      </c>
      <c r="DM90" s="46" t="s">
        <v>326</v>
      </c>
      <c r="DN90" s="46" t="s">
        <v>326</v>
      </c>
      <c r="DO90" s="35" t="s">
        <v>326</v>
      </c>
      <c r="DP90" s="35" t="s">
        <v>326</v>
      </c>
      <c r="DQ90" s="35" t="s">
        <v>326</v>
      </c>
      <c r="DR90" s="35" t="s">
        <v>326</v>
      </c>
      <c r="DS90" s="35" t="s">
        <v>326</v>
      </c>
      <c r="DV90" s="26"/>
      <c r="DW90" s="26"/>
      <c r="EZ90" s="26"/>
      <c r="FA90" s="26"/>
      <c r="FB90" s="26"/>
      <c r="FC90" s="26"/>
      <c r="FD90" s="26"/>
      <c r="FE90" s="26"/>
      <c r="FF90" s="26"/>
      <c r="FG90" s="26"/>
      <c r="FH90" s="26"/>
      <c r="FI90" s="26"/>
      <c r="FK90" s="26"/>
      <c r="FL90" s="26"/>
      <c r="FM90" s="26"/>
      <c r="FN90" s="26"/>
      <c r="FO90" s="26"/>
      <c r="FP90" s="26"/>
      <c r="FQ90" s="26"/>
      <c r="FR90" s="26"/>
      <c r="FS90" s="26"/>
      <c r="FT90" s="26"/>
      <c r="FU90" s="26"/>
      <c r="FV90" s="26"/>
      <c r="FW90" s="26"/>
      <c r="FX90" s="26"/>
      <c r="FY90" s="26"/>
      <c r="FZ90" s="26"/>
      <c r="GA90" s="26"/>
      <c r="GB90" s="26"/>
      <c r="GC90" s="26"/>
      <c r="GD90" s="26"/>
      <c r="GG90" s="26"/>
      <c r="GK90">
        <f>IF(ISNUMBER(EY784),EY784,999)</f>
        <v>999</v>
      </c>
    </row>
    <row r="91" spans="2:193" x14ac:dyDescent="0.3">
      <c r="B91" s="18" t="s">
        <v>464</v>
      </c>
      <c r="C91" s="13">
        <v>58</v>
      </c>
      <c r="D91" s="21" t="s">
        <v>465</v>
      </c>
      <c r="E91" s="24">
        <v>9</v>
      </c>
      <c r="G91" s="2">
        <f t="shared" si="31"/>
        <v>72</v>
      </c>
      <c r="H91" s="5">
        <v>5</v>
      </c>
      <c r="I91" s="13">
        <v>12</v>
      </c>
      <c r="L91" s="4"/>
      <c r="M91" s="7"/>
      <c r="O91" s="7"/>
      <c r="T91" s="7"/>
      <c r="AE91" s="7"/>
      <c r="BD91" s="26"/>
      <c r="BE91" s="26">
        <f t="shared" si="32"/>
        <v>41</v>
      </c>
      <c r="BF91">
        <v>41</v>
      </c>
      <c r="BG91">
        <v>71</v>
      </c>
      <c r="BH91" s="47">
        <v>98</v>
      </c>
      <c r="BI91" s="47">
        <v>99</v>
      </c>
      <c r="BJ91" s="47">
        <v>99</v>
      </c>
      <c r="BK91" s="47">
        <v>98</v>
      </c>
      <c r="BL91" s="47">
        <v>100</v>
      </c>
      <c r="BM91" s="47">
        <v>99</v>
      </c>
      <c r="BN91" s="47">
        <v>99</v>
      </c>
      <c r="BO91" s="47">
        <v>100</v>
      </c>
      <c r="BP91" s="47">
        <v>95</v>
      </c>
      <c r="BQ91" s="47">
        <v>103</v>
      </c>
      <c r="BR91" s="47">
        <v>103</v>
      </c>
      <c r="BS91" s="47">
        <v>99</v>
      </c>
      <c r="BT91" s="47">
        <v>95</v>
      </c>
      <c r="BU91" s="47">
        <v>99</v>
      </c>
      <c r="BV91" s="47">
        <v>99</v>
      </c>
      <c r="BW91" s="47">
        <v>98</v>
      </c>
      <c r="BX91" s="47">
        <v>100</v>
      </c>
      <c r="BY91" s="47">
        <v>99</v>
      </c>
      <c r="BZ91" s="47">
        <v>99</v>
      </c>
      <c r="CA91" s="47">
        <v>98</v>
      </c>
      <c r="CB91" s="47">
        <v>97</v>
      </c>
      <c r="CC91" s="47">
        <v>103</v>
      </c>
      <c r="CD91" s="47">
        <v>103</v>
      </c>
      <c r="CE91" s="47">
        <v>99</v>
      </c>
      <c r="CF91" s="47">
        <v>98</v>
      </c>
      <c r="CG91" s="47">
        <v>99</v>
      </c>
      <c r="CH91" s="47">
        <v>99</v>
      </c>
      <c r="CI91" s="47">
        <v>98</v>
      </c>
      <c r="CJ91" s="47">
        <v>100</v>
      </c>
      <c r="CK91" s="47">
        <v>99</v>
      </c>
      <c r="CL91" s="47" t="s">
        <v>326</v>
      </c>
      <c r="CM91" s="47" t="s">
        <v>326</v>
      </c>
      <c r="CN91" s="47" t="s">
        <v>326</v>
      </c>
      <c r="CO91" s="47" t="s">
        <v>326</v>
      </c>
      <c r="CP91" s="47" t="s">
        <v>326</v>
      </c>
      <c r="CQ91" s="47" t="s">
        <v>326</v>
      </c>
      <c r="CR91" s="47" t="s">
        <v>326</v>
      </c>
      <c r="CS91" s="47" t="s">
        <v>326</v>
      </c>
      <c r="CT91" s="47" t="s">
        <v>326</v>
      </c>
      <c r="CU91" s="47" t="s">
        <v>326</v>
      </c>
      <c r="CV91" s="47" t="s">
        <v>326</v>
      </c>
      <c r="CW91" s="47" t="s">
        <v>326</v>
      </c>
      <c r="CX91" s="47" t="s">
        <v>326</v>
      </c>
      <c r="CY91" s="47" t="s">
        <v>326</v>
      </c>
      <c r="CZ91" s="47" t="s">
        <v>326</v>
      </c>
      <c r="DA91" s="47" t="s">
        <v>326</v>
      </c>
      <c r="DB91" s="47" t="s">
        <v>326</v>
      </c>
      <c r="DC91" s="47" t="s">
        <v>326</v>
      </c>
      <c r="DD91" s="47" t="s">
        <v>326</v>
      </c>
      <c r="DE91" s="47" t="s">
        <v>326</v>
      </c>
      <c r="DF91" s="47" t="s">
        <v>326</v>
      </c>
      <c r="DG91" s="47" t="s">
        <v>327</v>
      </c>
      <c r="DH91" s="47" t="s">
        <v>326</v>
      </c>
      <c r="DI91" s="47" t="s">
        <v>326</v>
      </c>
      <c r="DJ91" s="47" t="s">
        <v>326</v>
      </c>
      <c r="DK91" s="47" t="s">
        <v>326</v>
      </c>
      <c r="DL91" s="47" t="s">
        <v>326</v>
      </c>
      <c r="DM91" s="47" t="s">
        <v>326</v>
      </c>
      <c r="DN91" s="47" t="s">
        <v>326</v>
      </c>
      <c r="DO91" s="33" t="s">
        <v>326</v>
      </c>
      <c r="DP91" s="33" t="s">
        <v>326</v>
      </c>
      <c r="DQ91" s="33" t="s">
        <v>326</v>
      </c>
      <c r="DR91" s="33" t="s">
        <v>326</v>
      </c>
      <c r="DS91" s="33" t="s">
        <v>326</v>
      </c>
      <c r="DV91" s="26"/>
      <c r="DW91" s="26"/>
      <c r="EZ91" s="26"/>
      <c r="FA91" s="26"/>
      <c r="FB91" s="26"/>
      <c r="FC91" s="26"/>
      <c r="FD91" s="26"/>
      <c r="FE91" s="26"/>
      <c r="FF91" s="26"/>
      <c r="FG91" s="26"/>
      <c r="FH91" s="26"/>
      <c r="FI91" s="26"/>
      <c r="FK91" s="26"/>
      <c r="FL91" s="26"/>
      <c r="FM91" s="26"/>
      <c r="FN91" s="26"/>
      <c r="FO91" s="26"/>
      <c r="FP91" s="26"/>
      <c r="FQ91" s="26"/>
      <c r="FR91" s="26"/>
      <c r="FS91" s="26"/>
      <c r="FT91" s="26"/>
      <c r="FU91" s="26"/>
      <c r="FV91" s="26"/>
      <c r="FW91" s="26"/>
      <c r="FX91" s="26"/>
      <c r="FY91" s="26"/>
      <c r="FZ91" s="26"/>
      <c r="GA91" s="26"/>
      <c r="GB91" s="26"/>
      <c r="GC91" s="26"/>
      <c r="GD91" s="26"/>
      <c r="GG91" s="26"/>
      <c r="GJ91">
        <f>GJ87+1</f>
        <v>23</v>
      </c>
      <c r="GK91" t="str">
        <f>IF(Grps&gt;GJ87,GJ91,"")</f>
        <v/>
      </c>
    </row>
    <row r="92" spans="2:193" x14ac:dyDescent="0.3">
      <c r="B92" s="18" t="s">
        <v>466</v>
      </c>
      <c r="C92" s="13">
        <v>59</v>
      </c>
      <c r="D92" s="21" t="s">
        <v>467</v>
      </c>
      <c r="E92" s="24">
        <v>8</v>
      </c>
      <c r="G92" s="2">
        <f t="shared" si="31"/>
        <v>73</v>
      </c>
      <c r="H92" s="5">
        <v>5</v>
      </c>
      <c r="I92" s="13">
        <v>12</v>
      </c>
      <c r="L92" s="4"/>
      <c r="M92" s="7"/>
      <c r="O92" s="7"/>
      <c r="T92" s="7"/>
      <c r="AE92" s="7"/>
      <c r="BD92" s="26"/>
      <c r="BE92" s="26" t="str">
        <f t="shared" si="32"/>
        <v>BYE</v>
      </c>
      <c r="BF92">
        <v>88</v>
      </c>
      <c r="BG92">
        <v>72</v>
      </c>
      <c r="BH92" s="47">
        <v>30</v>
      </c>
      <c r="BI92" s="47">
        <v>30</v>
      </c>
      <c r="BJ92" s="47">
        <v>30</v>
      </c>
      <c r="BK92" s="47">
        <v>30</v>
      </c>
      <c r="BL92" s="47">
        <v>30</v>
      </c>
      <c r="BM92" s="47">
        <v>30</v>
      </c>
      <c r="BN92" s="47">
        <v>30</v>
      </c>
      <c r="BO92" s="47">
        <v>30</v>
      </c>
      <c r="BP92" s="47">
        <v>30</v>
      </c>
      <c r="BQ92" s="47">
        <v>30</v>
      </c>
      <c r="BR92" s="47">
        <v>30</v>
      </c>
      <c r="BS92" s="47">
        <v>30</v>
      </c>
      <c r="BT92" s="47">
        <v>30</v>
      </c>
      <c r="BU92" s="47">
        <v>30</v>
      </c>
      <c r="BV92" s="47">
        <v>30</v>
      </c>
      <c r="BW92" s="47">
        <v>30</v>
      </c>
      <c r="BX92" s="47">
        <v>30</v>
      </c>
      <c r="BY92" s="47">
        <v>30</v>
      </c>
      <c r="BZ92" s="47">
        <v>30</v>
      </c>
      <c r="CA92" s="47">
        <v>30</v>
      </c>
      <c r="CB92" s="47">
        <v>30</v>
      </c>
      <c r="CC92" s="47">
        <v>30</v>
      </c>
      <c r="CD92" s="47">
        <v>30</v>
      </c>
      <c r="CE92" s="47">
        <v>30</v>
      </c>
      <c r="CF92" s="47">
        <v>30</v>
      </c>
      <c r="CG92" s="47">
        <v>30</v>
      </c>
      <c r="CH92" s="47">
        <v>30</v>
      </c>
      <c r="CI92" s="47">
        <v>30</v>
      </c>
      <c r="CJ92" s="47">
        <v>30</v>
      </c>
      <c r="CK92" s="47">
        <v>30</v>
      </c>
      <c r="CL92" s="47">
        <v>30</v>
      </c>
      <c r="CM92" s="47">
        <v>30</v>
      </c>
      <c r="CN92" s="47">
        <v>30</v>
      </c>
      <c r="CO92" s="47">
        <v>30</v>
      </c>
      <c r="CP92" s="47">
        <v>30</v>
      </c>
      <c r="CQ92" s="47">
        <v>30</v>
      </c>
      <c r="CR92" s="47">
        <v>30</v>
      </c>
      <c r="CS92" s="47">
        <v>30</v>
      </c>
      <c r="CT92" s="47">
        <v>30</v>
      </c>
      <c r="CU92" s="47">
        <v>30</v>
      </c>
      <c r="CV92" s="47">
        <v>30</v>
      </c>
      <c r="CW92" s="47">
        <v>30</v>
      </c>
      <c r="CX92" s="47">
        <v>30</v>
      </c>
      <c r="CY92" s="47">
        <v>30</v>
      </c>
      <c r="CZ92" s="47">
        <v>29</v>
      </c>
      <c r="DA92" s="47">
        <v>29</v>
      </c>
      <c r="DB92" s="47">
        <v>29</v>
      </c>
      <c r="DC92" s="47">
        <v>30</v>
      </c>
      <c r="DD92" s="47">
        <v>30</v>
      </c>
      <c r="DE92" s="47">
        <v>30</v>
      </c>
      <c r="DF92" s="47">
        <v>29</v>
      </c>
      <c r="DG92" s="47">
        <v>40</v>
      </c>
      <c r="DH92" s="47">
        <v>29</v>
      </c>
      <c r="DI92" s="47">
        <v>30</v>
      </c>
      <c r="DJ92" s="47">
        <v>30</v>
      </c>
      <c r="DK92" s="47">
        <v>30</v>
      </c>
      <c r="DL92" s="47">
        <v>29</v>
      </c>
      <c r="DM92" s="47">
        <v>29</v>
      </c>
      <c r="DN92" s="47">
        <v>29</v>
      </c>
      <c r="DO92" s="33">
        <v>30</v>
      </c>
      <c r="DP92" s="33">
        <v>30</v>
      </c>
      <c r="DQ92" s="33">
        <v>30</v>
      </c>
      <c r="DR92" s="33">
        <v>29</v>
      </c>
      <c r="DS92" s="33">
        <v>29</v>
      </c>
      <c r="DV92" s="26"/>
      <c r="DW92" s="26"/>
      <c r="EZ92" s="26"/>
      <c r="FA92" s="26"/>
      <c r="FB92" s="26"/>
      <c r="FC92" s="26"/>
      <c r="FD92" s="26"/>
      <c r="FE92" s="26"/>
      <c r="FF92" s="26"/>
      <c r="FG92" s="26"/>
      <c r="FH92" s="26"/>
      <c r="FI92" s="26"/>
      <c r="FK92" s="26"/>
      <c r="FL92" s="26"/>
      <c r="FM92" s="26"/>
      <c r="FN92" s="26"/>
      <c r="FO92" s="26"/>
      <c r="FP92" s="26"/>
      <c r="FQ92" s="26"/>
      <c r="FR92" s="26"/>
      <c r="FS92" s="26"/>
      <c r="FT92" s="26"/>
      <c r="FU92" s="26"/>
      <c r="FV92" s="26"/>
      <c r="FW92" s="26"/>
      <c r="FX92" s="26"/>
      <c r="FY92" s="26"/>
      <c r="FZ92" s="26"/>
      <c r="GA92" s="26"/>
      <c r="GB92" s="26"/>
      <c r="GC92" s="26"/>
      <c r="GD92" s="26"/>
      <c r="GG92" s="26"/>
      <c r="GK92">
        <f>IF(ISNUMBER(EY819),EY819,999)</f>
        <v>999</v>
      </c>
    </row>
    <row r="93" spans="2:193" x14ac:dyDescent="0.3">
      <c r="B93" s="18" t="s">
        <v>468</v>
      </c>
      <c r="C93" s="13">
        <v>100</v>
      </c>
      <c r="D93" s="21" t="s">
        <v>469</v>
      </c>
      <c r="E93" s="24">
        <v>7</v>
      </c>
      <c r="G93" s="2">
        <f t="shared" ref="G93:G156" si="33">G92+1</f>
        <v>74</v>
      </c>
      <c r="H93" s="5">
        <v>5</v>
      </c>
      <c r="I93" s="13">
        <v>12</v>
      </c>
      <c r="L93" s="4"/>
      <c r="M93" s="7"/>
      <c r="O93" s="7"/>
      <c r="T93" s="7"/>
      <c r="AE93" s="7"/>
      <c r="BD93" s="26"/>
      <c r="BE93" s="26">
        <f t="shared" si="32"/>
        <v>14</v>
      </c>
      <c r="BF93">
        <v>14</v>
      </c>
      <c r="BG93">
        <v>73</v>
      </c>
      <c r="BH93" s="43">
        <v>19</v>
      </c>
      <c r="BI93" s="44">
        <v>19</v>
      </c>
      <c r="BJ93" s="44">
        <v>19</v>
      </c>
      <c r="BK93" s="44">
        <v>19</v>
      </c>
      <c r="BL93" s="44">
        <v>19</v>
      </c>
      <c r="BM93" s="44">
        <v>19</v>
      </c>
      <c r="BN93" s="44">
        <v>19</v>
      </c>
      <c r="BO93" s="44">
        <v>19</v>
      </c>
      <c r="BP93" s="44">
        <v>19</v>
      </c>
      <c r="BQ93" s="44">
        <v>19</v>
      </c>
      <c r="BR93" s="44">
        <v>19</v>
      </c>
      <c r="BS93" s="44">
        <v>19</v>
      </c>
      <c r="BT93" s="44">
        <v>19</v>
      </c>
      <c r="BU93" s="44">
        <v>19</v>
      </c>
      <c r="BV93" s="44">
        <v>19</v>
      </c>
      <c r="BW93" s="44">
        <v>19</v>
      </c>
      <c r="BX93" s="44">
        <v>19</v>
      </c>
      <c r="BY93" s="44">
        <v>19</v>
      </c>
      <c r="BZ93" s="44">
        <v>19</v>
      </c>
      <c r="CA93" s="44">
        <v>19</v>
      </c>
      <c r="CB93" s="44">
        <v>19</v>
      </c>
      <c r="CC93" s="44">
        <v>19</v>
      </c>
      <c r="CD93" s="44">
        <v>19</v>
      </c>
      <c r="CE93" s="44">
        <v>19</v>
      </c>
      <c r="CF93" s="44">
        <v>19</v>
      </c>
      <c r="CG93" s="44">
        <v>19</v>
      </c>
      <c r="CH93" s="44">
        <v>19</v>
      </c>
      <c r="CI93" s="44">
        <v>19</v>
      </c>
      <c r="CJ93" s="44">
        <v>19</v>
      </c>
      <c r="CK93" s="44">
        <v>19</v>
      </c>
      <c r="CL93" s="44">
        <v>19</v>
      </c>
      <c r="CM93" s="44">
        <v>19</v>
      </c>
      <c r="CN93" s="44">
        <v>19</v>
      </c>
      <c r="CO93" s="44">
        <v>19</v>
      </c>
      <c r="CP93" s="44">
        <v>19</v>
      </c>
      <c r="CQ93" s="44">
        <v>19</v>
      </c>
      <c r="CR93" s="44">
        <v>19</v>
      </c>
      <c r="CS93" s="44">
        <v>19</v>
      </c>
      <c r="CT93" s="44">
        <v>19</v>
      </c>
      <c r="CU93" s="44">
        <v>19</v>
      </c>
      <c r="CV93" s="44">
        <v>19</v>
      </c>
      <c r="CW93" s="44">
        <v>19</v>
      </c>
      <c r="CX93" s="44">
        <v>19</v>
      </c>
      <c r="CY93" s="44">
        <v>19</v>
      </c>
      <c r="CZ93" s="44">
        <v>19</v>
      </c>
      <c r="DA93" s="44">
        <v>19</v>
      </c>
      <c r="DB93" s="44">
        <v>19</v>
      </c>
      <c r="DC93" s="44">
        <v>19</v>
      </c>
      <c r="DD93" s="44">
        <v>19</v>
      </c>
      <c r="DE93" s="44">
        <v>19</v>
      </c>
      <c r="DF93" s="44">
        <v>19</v>
      </c>
      <c r="DG93" s="44">
        <v>14</v>
      </c>
      <c r="DH93" s="44">
        <v>19</v>
      </c>
      <c r="DI93" s="44">
        <v>19</v>
      </c>
      <c r="DJ93" s="44">
        <v>19</v>
      </c>
      <c r="DK93" s="44">
        <v>19</v>
      </c>
      <c r="DL93" s="44">
        <v>19</v>
      </c>
      <c r="DM93" s="44">
        <v>19</v>
      </c>
      <c r="DN93" s="44">
        <v>19</v>
      </c>
      <c r="DO93" s="34">
        <v>19</v>
      </c>
      <c r="DP93" s="34">
        <v>19</v>
      </c>
      <c r="DQ93" s="34">
        <v>19</v>
      </c>
      <c r="DR93" s="34">
        <v>19</v>
      </c>
      <c r="DS93" s="34">
        <v>19</v>
      </c>
      <c r="DV93" s="26"/>
      <c r="DW93" s="26"/>
      <c r="EZ93" s="26"/>
      <c r="FB93" s="26"/>
      <c r="FC93" s="26"/>
      <c r="FD93" s="26"/>
      <c r="FE93" s="26"/>
      <c r="FF93" s="26"/>
      <c r="FG93" s="26"/>
      <c r="FH93" s="26"/>
      <c r="FI93" s="26"/>
      <c r="FK93" s="26"/>
      <c r="FL93" s="26"/>
      <c r="FM93" s="26"/>
      <c r="FN93" s="26"/>
      <c r="FO93" s="26"/>
      <c r="FP93" s="26"/>
      <c r="FQ93" s="26"/>
      <c r="FR93" s="26"/>
      <c r="FS93" s="26"/>
      <c r="FT93" s="26"/>
      <c r="FU93" s="26"/>
      <c r="FV93" s="26"/>
      <c r="FW93" s="26"/>
      <c r="FX93" s="26"/>
      <c r="FY93" s="26"/>
      <c r="FZ93" s="26"/>
      <c r="GA93" s="26"/>
      <c r="GB93" s="26"/>
      <c r="GC93" s="26"/>
      <c r="GD93" s="26"/>
      <c r="GG93" s="26"/>
      <c r="GK93">
        <f>IF(ISNUMBER(EY820),EY820,999)</f>
        <v>999</v>
      </c>
    </row>
    <row r="94" spans="2:193" x14ac:dyDescent="0.3">
      <c r="B94" s="18" t="s">
        <v>470</v>
      </c>
      <c r="C94" s="13">
        <v>91</v>
      </c>
      <c r="D94" s="21" t="s">
        <v>471</v>
      </c>
      <c r="E94" s="24">
        <v>6</v>
      </c>
      <c r="G94" s="2">
        <f t="shared" si="33"/>
        <v>75</v>
      </c>
      <c r="H94" s="5">
        <v>5</v>
      </c>
      <c r="I94" s="13">
        <v>12</v>
      </c>
      <c r="L94" s="4"/>
      <c r="M94" s="7"/>
      <c r="O94" s="7"/>
      <c r="T94" s="7"/>
      <c r="AE94" s="7"/>
      <c r="BD94" s="26"/>
      <c r="BE94" s="26" t="str">
        <f t="shared" si="32"/>
        <v>BYE</v>
      </c>
      <c r="BF94">
        <v>115</v>
      </c>
      <c r="BG94">
        <v>74</v>
      </c>
      <c r="BH94" s="45">
        <v>111</v>
      </c>
      <c r="BI94" s="46">
        <v>110</v>
      </c>
      <c r="BJ94" s="46">
        <v>110</v>
      </c>
      <c r="BK94" s="46">
        <v>109</v>
      </c>
      <c r="BL94" s="46">
        <v>110</v>
      </c>
      <c r="BM94" s="46">
        <v>110</v>
      </c>
      <c r="BN94" s="46">
        <v>114</v>
      </c>
      <c r="BO94" s="46">
        <v>113</v>
      </c>
      <c r="BP94" s="46">
        <v>113</v>
      </c>
      <c r="BQ94" s="46">
        <v>110</v>
      </c>
      <c r="BR94" s="46">
        <v>110</v>
      </c>
      <c r="BS94" s="46">
        <v>110</v>
      </c>
      <c r="BT94" s="46">
        <v>106</v>
      </c>
      <c r="BU94" s="46">
        <v>110</v>
      </c>
      <c r="BV94" s="46">
        <v>110</v>
      </c>
      <c r="BW94" s="46">
        <v>109</v>
      </c>
      <c r="BX94" s="46">
        <v>110</v>
      </c>
      <c r="BY94" s="46">
        <v>110</v>
      </c>
      <c r="BZ94" s="46">
        <v>104</v>
      </c>
      <c r="CA94" s="46" t="s">
        <v>326</v>
      </c>
      <c r="CB94" s="46" t="s">
        <v>326</v>
      </c>
      <c r="CC94" s="46" t="s">
        <v>326</v>
      </c>
      <c r="CD94" s="46" t="s">
        <v>326</v>
      </c>
      <c r="CE94" s="46" t="s">
        <v>326</v>
      </c>
      <c r="CF94" s="46" t="s">
        <v>326</v>
      </c>
      <c r="CG94" s="46" t="s">
        <v>326</v>
      </c>
      <c r="CH94" s="46" t="s">
        <v>326</v>
      </c>
      <c r="CI94" s="46" t="s">
        <v>326</v>
      </c>
      <c r="CJ94" s="46" t="s">
        <v>326</v>
      </c>
      <c r="CK94" s="46" t="s">
        <v>326</v>
      </c>
      <c r="CL94" s="46" t="s">
        <v>326</v>
      </c>
      <c r="CM94" s="46" t="s">
        <v>326</v>
      </c>
      <c r="CN94" s="46" t="s">
        <v>326</v>
      </c>
      <c r="CO94" s="46" t="s">
        <v>326</v>
      </c>
      <c r="CP94" s="46" t="s">
        <v>326</v>
      </c>
      <c r="CQ94" s="46" t="s">
        <v>326</v>
      </c>
      <c r="CR94" s="46" t="s">
        <v>326</v>
      </c>
      <c r="CS94" s="46" t="s">
        <v>326</v>
      </c>
      <c r="CT94" s="46" t="s">
        <v>326</v>
      </c>
      <c r="CU94" s="46" t="s">
        <v>326</v>
      </c>
      <c r="CV94" s="46" t="s">
        <v>326</v>
      </c>
      <c r="CW94" s="46" t="s">
        <v>326</v>
      </c>
      <c r="CX94" s="46" t="s">
        <v>326</v>
      </c>
      <c r="CY94" s="46" t="s">
        <v>326</v>
      </c>
      <c r="CZ94" s="46" t="s">
        <v>326</v>
      </c>
      <c r="DA94" s="46" t="s">
        <v>326</v>
      </c>
      <c r="DB94" s="46" t="s">
        <v>326</v>
      </c>
      <c r="DC94" s="46" t="s">
        <v>326</v>
      </c>
      <c r="DD94" s="46" t="s">
        <v>326</v>
      </c>
      <c r="DE94" s="46" t="s">
        <v>326</v>
      </c>
      <c r="DF94" s="46" t="s">
        <v>326</v>
      </c>
      <c r="DG94" s="46" t="s">
        <v>327</v>
      </c>
      <c r="DH94" s="46" t="s">
        <v>326</v>
      </c>
      <c r="DI94" s="46" t="s">
        <v>326</v>
      </c>
      <c r="DJ94" s="46" t="s">
        <v>326</v>
      </c>
      <c r="DK94" s="46" t="s">
        <v>326</v>
      </c>
      <c r="DL94" s="46" t="s">
        <v>326</v>
      </c>
      <c r="DM94" s="46" t="s">
        <v>326</v>
      </c>
      <c r="DN94" s="46" t="s">
        <v>326</v>
      </c>
      <c r="DO94" s="35" t="s">
        <v>326</v>
      </c>
      <c r="DP94" s="35" t="s">
        <v>326</v>
      </c>
      <c r="DQ94" s="35" t="s">
        <v>326</v>
      </c>
      <c r="DR94" s="35" t="s">
        <v>326</v>
      </c>
      <c r="DS94" s="35" t="s">
        <v>326</v>
      </c>
      <c r="DV94" s="26"/>
      <c r="DW94" s="26"/>
      <c r="EZ94" s="26"/>
      <c r="FB94" s="26"/>
      <c r="FC94" s="26"/>
      <c r="FD94" s="26"/>
      <c r="FE94" s="26"/>
      <c r="FF94" s="26"/>
      <c r="FG94" s="26"/>
      <c r="FH94" s="26"/>
      <c r="FI94" s="26"/>
      <c r="FK94" s="26"/>
      <c r="FL94" s="26"/>
      <c r="FM94" s="26"/>
      <c r="FN94" s="26"/>
      <c r="FO94" s="26"/>
      <c r="FP94" s="26"/>
      <c r="FQ94" s="26"/>
      <c r="FR94" s="26"/>
      <c r="FS94" s="26"/>
      <c r="FT94" s="26"/>
      <c r="FU94" s="26"/>
      <c r="FV94" s="26"/>
      <c r="FW94" s="26"/>
      <c r="FX94" s="26"/>
      <c r="FY94" s="26"/>
      <c r="FZ94" s="26"/>
      <c r="GA94" s="26"/>
      <c r="GB94" s="26"/>
      <c r="GC94" s="26"/>
      <c r="GD94" s="26"/>
      <c r="GG94" s="26"/>
      <c r="GK94">
        <f>IF(ISNUMBER(EY821),EY821,999)</f>
        <v>999</v>
      </c>
    </row>
    <row r="95" spans="2:193" x14ac:dyDescent="0.3">
      <c r="B95" s="18" t="s">
        <v>472</v>
      </c>
      <c r="C95" s="13">
        <v>90</v>
      </c>
      <c r="D95" s="21" t="s">
        <v>473</v>
      </c>
      <c r="E95" s="24">
        <v>5</v>
      </c>
      <c r="G95" s="2">
        <f t="shared" si="33"/>
        <v>76</v>
      </c>
      <c r="H95" s="5">
        <v>5</v>
      </c>
      <c r="I95" s="13">
        <v>12</v>
      </c>
      <c r="L95" s="4"/>
      <c r="M95" s="7"/>
      <c r="O95" s="7"/>
      <c r="T95" s="7"/>
      <c r="AE95" s="7"/>
      <c r="BD95" s="26"/>
      <c r="BE95" s="26">
        <f t="shared" si="32"/>
        <v>51</v>
      </c>
      <c r="BF95">
        <v>51</v>
      </c>
      <c r="BG95">
        <v>75</v>
      </c>
      <c r="BH95" s="47">
        <v>83</v>
      </c>
      <c r="BI95" s="47">
        <v>83</v>
      </c>
      <c r="BJ95" s="47">
        <v>84</v>
      </c>
      <c r="BK95" s="47">
        <v>84</v>
      </c>
      <c r="BL95" s="47">
        <v>84</v>
      </c>
      <c r="BM95" s="47">
        <v>83</v>
      </c>
      <c r="BN95" s="47">
        <v>83</v>
      </c>
      <c r="BO95" s="47">
        <v>84</v>
      </c>
      <c r="BP95" s="47">
        <v>81</v>
      </c>
      <c r="BQ95" s="47">
        <v>87</v>
      </c>
      <c r="BR95" s="47">
        <v>87</v>
      </c>
      <c r="BS95" s="47">
        <v>83</v>
      </c>
      <c r="BT95" s="47">
        <v>79</v>
      </c>
      <c r="BU95" s="47">
        <v>83</v>
      </c>
      <c r="BV95" s="47">
        <v>83</v>
      </c>
      <c r="BW95" s="47">
        <v>82</v>
      </c>
      <c r="BX95" s="47">
        <v>84</v>
      </c>
      <c r="BY95" s="47">
        <v>83</v>
      </c>
      <c r="BZ95" s="47">
        <v>83</v>
      </c>
      <c r="CA95" s="47">
        <v>82</v>
      </c>
      <c r="CB95" s="47">
        <v>81</v>
      </c>
      <c r="CC95" s="47">
        <v>87</v>
      </c>
      <c r="CD95" s="47">
        <v>87</v>
      </c>
      <c r="CE95" s="47">
        <v>83</v>
      </c>
      <c r="CF95" s="47">
        <v>82</v>
      </c>
      <c r="CG95" s="47">
        <v>83</v>
      </c>
      <c r="CH95" s="47">
        <v>83</v>
      </c>
      <c r="CI95" s="47">
        <v>82</v>
      </c>
      <c r="CJ95" s="47">
        <v>84</v>
      </c>
      <c r="CK95" s="47">
        <v>83</v>
      </c>
      <c r="CL95" s="47">
        <v>83</v>
      </c>
      <c r="CM95" s="47">
        <v>82</v>
      </c>
      <c r="CN95" s="47">
        <v>81</v>
      </c>
      <c r="CO95" s="47">
        <v>81</v>
      </c>
      <c r="CP95" s="47">
        <v>87</v>
      </c>
      <c r="CQ95" s="47">
        <v>83</v>
      </c>
      <c r="CR95" s="47">
        <v>79</v>
      </c>
      <c r="CS95" s="47">
        <v>83</v>
      </c>
      <c r="CT95" s="47">
        <v>83</v>
      </c>
      <c r="CU95" s="47">
        <v>82</v>
      </c>
      <c r="CV95" s="47">
        <v>84</v>
      </c>
      <c r="CW95" s="47">
        <v>83</v>
      </c>
      <c r="CX95" s="47">
        <v>83</v>
      </c>
      <c r="CY95" s="47">
        <v>82</v>
      </c>
      <c r="CZ95" s="47">
        <v>82</v>
      </c>
      <c r="DA95" s="47">
        <v>81</v>
      </c>
      <c r="DB95" s="47" t="s">
        <v>326</v>
      </c>
      <c r="DC95" s="47" t="s">
        <v>326</v>
      </c>
      <c r="DD95" s="47" t="s">
        <v>326</v>
      </c>
      <c r="DE95" s="47" t="s">
        <v>326</v>
      </c>
      <c r="DF95" s="47" t="s">
        <v>326</v>
      </c>
      <c r="DG95" s="47">
        <v>49</v>
      </c>
      <c r="DH95" s="47" t="s">
        <v>326</v>
      </c>
      <c r="DI95" s="47" t="s">
        <v>326</v>
      </c>
      <c r="DJ95" s="47" t="s">
        <v>326</v>
      </c>
      <c r="DK95" s="47" t="s">
        <v>326</v>
      </c>
      <c r="DL95" s="47" t="s">
        <v>326</v>
      </c>
      <c r="DM95" s="47" t="s">
        <v>326</v>
      </c>
      <c r="DN95" s="47" t="s">
        <v>326</v>
      </c>
      <c r="DO95" s="33" t="s">
        <v>326</v>
      </c>
      <c r="DP95" s="33" t="s">
        <v>326</v>
      </c>
      <c r="DQ95" s="33" t="s">
        <v>326</v>
      </c>
      <c r="DR95" s="33" t="s">
        <v>326</v>
      </c>
      <c r="DS95" s="33" t="s">
        <v>326</v>
      </c>
      <c r="DV95" s="26"/>
      <c r="DW95" s="26"/>
      <c r="EZ95" s="26"/>
      <c r="FB95" s="26"/>
      <c r="FC95" s="26"/>
      <c r="FD95" s="26"/>
      <c r="FE95" s="26"/>
      <c r="FF95" s="26"/>
      <c r="FG95" s="26"/>
      <c r="FH95" s="26"/>
      <c r="FI95" s="26"/>
      <c r="FK95" s="26"/>
      <c r="FL95" s="26"/>
      <c r="FM95" s="26"/>
      <c r="FN95" s="26"/>
      <c r="FO95" s="26"/>
      <c r="FP95" s="26"/>
      <c r="FQ95" s="26"/>
      <c r="FR95" s="26"/>
      <c r="FS95" s="26"/>
      <c r="FT95" s="26"/>
      <c r="FU95" s="26"/>
      <c r="FV95" s="26"/>
      <c r="FW95" s="26"/>
      <c r="FX95" s="26"/>
      <c r="FY95" s="26"/>
      <c r="FZ95" s="26"/>
      <c r="GA95" s="26"/>
      <c r="GB95" s="26"/>
      <c r="GC95" s="26"/>
      <c r="GD95" s="26"/>
      <c r="GG95" s="26"/>
      <c r="GJ95">
        <f>GJ91+1</f>
        <v>24</v>
      </c>
      <c r="GK95" t="str">
        <f>IF(Grps&gt;GJ91,GJ95,"")</f>
        <v/>
      </c>
    </row>
    <row r="96" spans="2:193" x14ac:dyDescent="0.3">
      <c r="B96" s="18" t="s">
        <v>474</v>
      </c>
      <c r="C96" s="13">
        <v>89</v>
      </c>
      <c r="D96" s="21" t="s">
        <v>475</v>
      </c>
      <c r="E96" s="24">
        <v>4</v>
      </c>
      <c r="G96" s="2">
        <f t="shared" si="33"/>
        <v>77</v>
      </c>
      <c r="H96" s="5">
        <v>5</v>
      </c>
      <c r="I96" s="13">
        <v>12</v>
      </c>
      <c r="L96" s="4"/>
      <c r="M96" s="7"/>
      <c r="O96" s="7"/>
      <c r="T96" s="7"/>
      <c r="AE96" s="7"/>
      <c r="BD96" s="26"/>
      <c r="BE96" s="26" t="str">
        <f t="shared" si="32"/>
        <v>BYE</v>
      </c>
      <c r="BF96">
        <v>78</v>
      </c>
      <c r="BG96">
        <v>76</v>
      </c>
      <c r="BH96" s="47">
        <v>46</v>
      </c>
      <c r="BI96" s="47">
        <v>46</v>
      </c>
      <c r="BJ96" s="47">
        <v>45</v>
      </c>
      <c r="BK96" s="47">
        <v>45</v>
      </c>
      <c r="BL96" s="47">
        <v>45</v>
      </c>
      <c r="BM96" s="47">
        <v>46</v>
      </c>
      <c r="BN96" s="47">
        <v>46</v>
      </c>
      <c r="BO96" s="47">
        <v>46</v>
      </c>
      <c r="BP96" s="47">
        <v>45</v>
      </c>
      <c r="BQ96" s="47">
        <v>45</v>
      </c>
      <c r="BR96" s="47">
        <v>45</v>
      </c>
      <c r="BS96" s="47">
        <v>46</v>
      </c>
      <c r="BT96" s="47">
        <v>46</v>
      </c>
      <c r="BU96" s="47">
        <v>46</v>
      </c>
      <c r="BV96" s="47">
        <v>45</v>
      </c>
      <c r="BW96" s="47">
        <v>45</v>
      </c>
      <c r="BX96" s="47">
        <v>45</v>
      </c>
      <c r="BY96" s="47">
        <v>46</v>
      </c>
      <c r="BZ96" s="47">
        <v>46</v>
      </c>
      <c r="CA96" s="47">
        <v>46</v>
      </c>
      <c r="CB96" s="47">
        <v>45</v>
      </c>
      <c r="CC96" s="47">
        <v>45</v>
      </c>
      <c r="CD96" s="47">
        <v>45</v>
      </c>
      <c r="CE96" s="47">
        <v>46</v>
      </c>
      <c r="CF96" s="47">
        <v>46</v>
      </c>
      <c r="CG96" s="47">
        <v>46</v>
      </c>
      <c r="CH96" s="47">
        <v>45</v>
      </c>
      <c r="CI96" s="47">
        <v>45</v>
      </c>
      <c r="CJ96" s="47">
        <v>45</v>
      </c>
      <c r="CK96" s="47">
        <v>46</v>
      </c>
      <c r="CL96" s="47">
        <v>46</v>
      </c>
      <c r="CM96" s="47">
        <v>46</v>
      </c>
      <c r="CN96" s="47">
        <v>45</v>
      </c>
      <c r="CO96" s="47">
        <v>45</v>
      </c>
      <c r="CP96" s="47">
        <v>45</v>
      </c>
      <c r="CQ96" s="47">
        <v>46</v>
      </c>
      <c r="CR96" s="47">
        <v>46</v>
      </c>
      <c r="CS96" s="47">
        <v>46</v>
      </c>
      <c r="CT96" s="47">
        <v>45</v>
      </c>
      <c r="CU96" s="47">
        <v>45</v>
      </c>
      <c r="CV96" s="47">
        <v>45</v>
      </c>
      <c r="CW96" s="47">
        <v>46</v>
      </c>
      <c r="CX96" s="47">
        <v>46</v>
      </c>
      <c r="CY96" s="47">
        <v>46</v>
      </c>
      <c r="CZ96" s="47">
        <v>45</v>
      </c>
      <c r="DA96" s="47">
        <v>45</v>
      </c>
      <c r="DB96" s="47">
        <v>45</v>
      </c>
      <c r="DC96" s="47">
        <v>46</v>
      </c>
      <c r="DD96" s="47">
        <v>46</v>
      </c>
      <c r="DE96" s="47">
        <v>46</v>
      </c>
      <c r="DF96" s="47">
        <v>45</v>
      </c>
      <c r="DG96" s="47" t="s">
        <v>327</v>
      </c>
      <c r="DH96" s="47">
        <v>45</v>
      </c>
      <c r="DI96" s="47">
        <v>46</v>
      </c>
      <c r="DJ96" s="47">
        <v>46</v>
      </c>
      <c r="DK96" s="47">
        <v>46</v>
      </c>
      <c r="DL96" s="47">
        <v>45</v>
      </c>
      <c r="DM96" s="47">
        <v>48</v>
      </c>
      <c r="DN96" s="47">
        <v>45</v>
      </c>
      <c r="DO96" s="33">
        <v>46</v>
      </c>
      <c r="DP96" s="33">
        <v>47</v>
      </c>
      <c r="DQ96" s="33">
        <v>46</v>
      </c>
      <c r="DR96" s="33">
        <v>46</v>
      </c>
      <c r="DS96" s="33">
        <v>45</v>
      </c>
      <c r="DV96" s="26"/>
      <c r="DW96" s="26"/>
      <c r="EZ96" s="26"/>
      <c r="FB96" s="26"/>
      <c r="FC96" s="26"/>
      <c r="FD96" s="26"/>
      <c r="FE96" s="26"/>
      <c r="FF96" s="26"/>
      <c r="FG96" s="26"/>
      <c r="FH96" s="26"/>
      <c r="FI96" s="26"/>
      <c r="FK96" s="26"/>
      <c r="FL96" s="26"/>
      <c r="FM96" s="26"/>
      <c r="FN96" s="26"/>
      <c r="FO96" s="26"/>
      <c r="FP96" s="26"/>
      <c r="FQ96" s="26"/>
      <c r="FR96" s="26"/>
      <c r="FS96" s="26"/>
      <c r="FT96" s="26"/>
      <c r="FU96" s="26"/>
      <c r="FV96" s="26"/>
      <c r="FW96" s="26"/>
      <c r="FX96" s="26"/>
      <c r="FY96" s="26"/>
      <c r="FZ96" s="26"/>
      <c r="GA96" s="26"/>
      <c r="GB96" s="26"/>
      <c r="GC96" s="26"/>
      <c r="GD96" s="26"/>
      <c r="GG96" s="26"/>
      <c r="GK96">
        <f>IF(ISNUMBER(EY856),EY856,999)</f>
        <v>999</v>
      </c>
    </row>
    <row r="97" spans="2:193" x14ac:dyDescent="0.3">
      <c r="B97" s="18" t="s">
        <v>476</v>
      </c>
      <c r="C97" s="13">
        <v>88</v>
      </c>
      <c r="D97" s="21" t="s">
        <v>477</v>
      </c>
      <c r="E97" s="24">
        <v>32</v>
      </c>
      <c r="G97" s="2">
        <f t="shared" si="33"/>
        <v>78</v>
      </c>
      <c r="H97" s="5">
        <v>5</v>
      </c>
      <c r="I97" s="13">
        <v>12</v>
      </c>
      <c r="L97" s="4"/>
      <c r="M97" s="7"/>
      <c r="O97" s="7"/>
      <c r="T97" s="7"/>
      <c r="AE97" s="7"/>
      <c r="BD97" s="26"/>
      <c r="BE97" s="26">
        <f t="shared" si="32"/>
        <v>19</v>
      </c>
      <c r="BF97">
        <v>19</v>
      </c>
      <c r="BG97">
        <v>77</v>
      </c>
      <c r="BH97" s="43">
        <v>51</v>
      </c>
      <c r="BI97" s="44">
        <v>51</v>
      </c>
      <c r="BJ97" s="44">
        <v>52</v>
      </c>
      <c r="BK97" s="44">
        <v>52</v>
      </c>
      <c r="BL97" s="44">
        <v>52</v>
      </c>
      <c r="BM97" s="44">
        <v>51</v>
      </c>
      <c r="BN97" s="44">
        <v>51</v>
      </c>
      <c r="BO97" s="44">
        <v>51</v>
      </c>
      <c r="BP97" s="44">
        <v>52</v>
      </c>
      <c r="BQ97" s="44">
        <v>52</v>
      </c>
      <c r="BR97" s="44">
        <v>52</v>
      </c>
      <c r="BS97" s="44">
        <v>51</v>
      </c>
      <c r="BT97" s="44">
        <v>51</v>
      </c>
      <c r="BU97" s="44">
        <v>51</v>
      </c>
      <c r="BV97" s="44">
        <v>52</v>
      </c>
      <c r="BW97" s="44">
        <v>52</v>
      </c>
      <c r="BX97" s="44">
        <v>52</v>
      </c>
      <c r="BY97" s="44">
        <v>51</v>
      </c>
      <c r="BZ97" s="44">
        <v>51</v>
      </c>
      <c r="CA97" s="44">
        <v>51</v>
      </c>
      <c r="CB97" s="44">
        <v>52</v>
      </c>
      <c r="CC97" s="44">
        <v>52</v>
      </c>
      <c r="CD97" s="44">
        <v>52</v>
      </c>
      <c r="CE97" s="44">
        <v>51</v>
      </c>
      <c r="CF97" s="44">
        <v>51</v>
      </c>
      <c r="CG97" s="44">
        <v>51</v>
      </c>
      <c r="CH97" s="44">
        <v>52</v>
      </c>
      <c r="CI97" s="44">
        <v>52</v>
      </c>
      <c r="CJ97" s="44">
        <v>52</v>
      </c>
      <c r="CK97" s="44">
        <v>51</v>
      </c>
      <c r="CL97" s="44">
        <v>51</v>
      </c>
      <c r="CM97" s="44">
        <v>51</v>
      </c>
      <c r="CN97" s="44">
        <v>52</v>
      </c>
      <c r="CO97" s="44">
        <v>52</v>
      </c>
      <c r="CP97" s="44">
        <v>52</v>
      </c>
      <c r="CQ97" s="44">
        <v>51</v>
      </c>
      <c r="CR97" s="44">
        <v>51</v>
      </c>
      <c r="CS97" s="44">
        <v>51</v>
      </c>
      <c r="CT97" s="44">
        <v>52</v>
      </c>
      <c r="CU97" s="44">
        <v>52</v>
      </c>
      <c r="CV97" s="44">
        <v>52</v>
      </c>
      <c r="CW97" s="44">
        <v>51</v>
      </c>
      <c r="CX97" s="44">
        <v>51</v>
      </c>
      <c r="CY97" s="44">
        <v>51</v>
      </c>
      <c r="CZ97" s="44">
        <v>52</v>
      </c>
      <c r="DA97" s="44">
        <v>52</v>
      </c>
      <c r="DB97" s="44">
        <v>52</v>
      </c>
      <c r="DC97" s="44">
        <v>51</v>
      </c>
      <c r="DD97" s="44">
        <v>51</v>
      </c>
      <c r="DE97" s="44">
        <v>51</v>
      </c>
      <c r="DF97" s="44">
        <v>52</v>
      </c>
      <c r="DG97" s="44">
        <v>19</v>
      </c>
      <c r="DH97" s="44">
        <v>52</v>
      </c>
      <c r="DI97" s="44">
        <v>51</v>
      </c>
      <c r="DJ97" s="44">
        <v>51</v>
      </c>
      <c r="DK97" s="44">
        <v>52</v>
      </c>
      <c r="DL97" s="44">
        <v>49</v>
      </c>
      <c r="DM97" s="44">
        <v>51</v>
      </c>
      <c r="DN97" s="44">
        <v>55</v>
      </c>
      <c r="DO97" s="34">
        <v>51</v>
      </c>
      <c r="DP97" s="34">
        <v>50</v>
      </c>
      <c r="DQ97" s="34">
        <v>51</v>
      </c>
      <c r="DR97" s="34">
        <v>51</v>
      </c>
      <c r="DS97" s="34">
        <v>50</v>
      </c>
      <c r="DV97" s="26"/>
      <c r="DW97" s="26"/>
      <c r="EZ97" s="26"/>
      <c r="FB97" s="26"/>
      <c r="FC97" s="26"/>
      <c r="FD97" s="26"/>
      <c r="FE97" s="26"/>
      <c r="FF97" s="26"/>
      <c r="FG97" s="26"/>
      <c r="FH97" s="26"/>
      <c r="FI97" s="26"/>
      <c r="FK97" s="26"/>
      <c r="FL97" s="26"/>
      <c r="FM97" s="26"/>
      <c r="FN97" s="26"/>
      <c r="FO97" s="26"/>
      <c r="FP97" s="26"/>
      <c r="FQ97" s="26"/>
      <c r="FR97" s="26"/>
      <c r="FS97" s="26"/>
      <c r="FT97" s="26"/>
      <c r="FU97" s="26"/>
      <c r="FV97" s="26"/>
      <c r="FW97" s="26"/>
      <c r="FX97" s="26"/>
      <c r="FY97" s="26"/>
      <c r="FZ97" s="26"/>
      <c r="GA97" s="26"/>
      <c r="GB97" s="26"/>
      <c r="GC97" s="26"/>
      <c r="GD97" s="26"/>
      <c r="GG97" s="26"/>
      <c r="GK97">
        <f>IF(ISNUMBER(EY857),EY857,999)</f>
        <v>999</v>
      </c>
    </row>
    <row r="98" spans="2:193" x14ac:dyDescent="0.3">
      <c r="B98" s="18" t="s">
        <v>478</v>
      </c>
      <c r="C98" s="13">
        <v>87</v>
      </c>
      <c r="D98" s="21" t="s">
        <v>479</v>
      </c>
      <c r="E98" s="24">
        <v>31</v>
      </c>
      <c r="G98" s="2">
        <f t="shared" si="33"/>
        <v>79</v>
      </c>
      <c r="H98" s="5">
        <v>5</v>
      </c>
      <c r="I98" s="13">
        <v>12</v>
      </c>
      <c r="L98" s="4"/>
      <c r="M98" s="7"/>
      <c r="O98" s="7"/>
      <c r="T98" s="7"/>
      <c r="AE98" s="7"/>
      <c r="BD98" s="26"/>
      <c r="BE98" s="26" t="str">
        <f t="shared" si="32"/>
        <v>BYE</v>
      </c>
      <c r="BF98">
        <v>110</v>
      </c>
      <c r="BG98">
        <v>78</v>
      </c>
      <c r="BH98" s="45">
        <v>78</v>
      </c>
      <c r="BI98" s="46">
        <v>78</v>
      </c>
      <c r="BJ98" s="46">
        <v>77</v>
      </c>
      <c r="BK98" s="46">
        <v>77</v>
      </c>
      <c r="BL98" s="46">
        <v>77</v>
      </c>
      <c r="BM98" s="46">
        <v>78</v>
      </c>
      <c r="BN98" s="46">
        <v>78</v>
      </c>
      <c r="BO98" s="46">
        <v>78</v>
      </c>
      <c r="BP98" s="46">
        <v>77</v>
      </c>
      <c r="BQ98" s="46">
        <v>77</v>
      </c>
      <c r="BR98" s="46">
        <v>77</v>
      </c>
      <c r="BS98" s="46">
        <v>78</v>
      </c>
      <c r="BT98" s="46">
        <v>78</v>
      </c>
      <c r="BU98" s="46">
        <v>78</v>
      </c>
      <c r="BV98" s="46">
        <v>78</v>
      </c>
      <c r="BW98" s="46">
        <v>77</v>
      </c>
      <c r="BX98" s="46">
        <v>78</v>
      </c>
      <c r="BY98" s="46">
        <v>78</v>
      </c>
      <c r="BZ98" s="46">
        <v>82</v>
      </c>
      <c r="CA98" s="46">
        <v>79</v>
      </c>
      <c r="CB98" s="46">
        <v>80</v>
      </c>
      <c r="CC98" s="46">
        <v>78</v>
      </c>
      <c r="CD98" s="46">
        <v>78</v>
      </c>
      <c r="CE98" s="46">
        <v>78</v>
      </c>
      <c r="CF98" s="46">
        <v>79</v>
      </c>
      <c r="CG98" s="46">
        <v>78</v>
      </c>
      <c r="CH98" s="46">
        <v>78</v>
      </c>
      <c r="CI98" s="46">
        <v>77</v>
      </c>
      <c r="CJ98" s="46">
        <v>78</v>
      </c>
      <c r="CK98" s="46">
        <v>78</v>
      </c>
      <c r="CL98" s="46">
        <v>82</v>
      </c>
      <c r="CM98" s="46">
        <v>79</v>
      </c>
      <c r="CN98" s="46">
        <v>80</v>
      </c>
      <c r="CO98" s="46">
        <v>78</v>
      </c>
      <c r="CP98" s="46">
        <v>78</v>
      </c>
      <c r="CQ98" s="46">
        <v>78</v>
      </c>
      <c r="CR98" s="46">
        <v>74</v>
      </c>
      <c r="CS98" s="46">
        <v>78</v>
      </c>
      <c r="CT98" s="46">
        <v>78</v>
      </c>
      <c r="CU98" s="46">
        <v>77</v>
      </c>
      <c r="CV98" s="46">
        <v>78</v>
      </c>
      <c r="CW98" s="46">
        <v>78</v>
      </c>
      <c r="CX98" s="46">
        <v>80</v>
      </c>
      <c r="CY98" s="46">
        <v>81</v>
      </c>
      <c r="CZ98" s="46">
        <v>81</v>
      </c>
      <c r="DA98" s="46">
        <v>78</v>
      </c>
      <c r="DB98" s="46">
        <v>78</v>
      </c>
      <c r="DC98" s="46">
        <v>78</v>
      </c>
      <c r="DD98" s="46">
        <v>79</v>
      </c>
      <c r="DE98" s="46">
        <v>78</v>
      </c>
      <c r="DF98" s="46">
        <v>78</v>
      </c>
      <c r="DG98" s="46" t="s">
        <v>327</v>
      </c>
      <c r="DH98" s="46" t="s">
        <v>326</v>
      </c>
      <c r="DI98" s="46" t="s">
        <v>326</v>
      </c>
      <c r="DJ98" s="46" t="s">
        <v>326</v>
      </c>
      <c r="DK98" s="46" t="s">
        <v>326</v>
      </c>
      <c r="DL98" s="46" t="s">
        <v>326</v>
      </c>
      <c r="DM98" s="46" t="s">
        <v>326</v>
      </c>
      <c r="DN98" s="46" t="s">
        <v>326</v>
      </c>
      <c r="DO98" s="35" t="s">
        <v>326</v>
      </c>
      <c r="DP98" s="35" t="s">
        <v>326</v>
      </c>
      <c r="DQ98" s="35" t="s">
        <v>326</v>
      </c>
      <c r="DR98" s="35" t="s">
        <v>326</v>
      </c>
      <c r="DS98" s="35" t="s">
        <v>326</v>
      </c>
      <c r="DV98" s="26"/>
      <c r="DW98" s="26"/>
      <c r="EZ98" s="26"/>
      <c r="FB98" s="26"/>
      <c r="FC98" s="26"/>
      <c r="FD98" s="26"/>
      <c r="FE98" s="26"/>
      <c r="FF98" s="26"/>
      <c r="FG98" s="26"/>
      <c r="FH98" s="26"/>
      <c r="FI98" s="26"/>
      <c r="FK98" s="26"/>
      <c r="FL98" s="26"/>
      <c r="FM98" s="26"/>
      <c r="FN98" s="26"/>
      <c r="FO98" s="26"/>
      <c r="FP98" s="26"/>
      <c r="FQ98" s="26"/>
      <c r="FR98" s="26"/>
      <c r="FS98" s="26"/>
      <c r="FT98" s="26"/>
      <c r="FU98" s="26"/>
      <c r="FV98" s="26"/>
      <c r="FW98" s="26"/>
      <c r="FX98" s="26"/>
      <c r="FY98" s="26"/>
      <c r="FZ98" s="26"/>
      <c r="GA98" s="26"/>
      <c r="GB98" s="26"/>
      <c r="GC98" s="26"/>
      <c r="GD98" s="26"/>
      <c r="GG98" s="26"/>
      <c r="GK98">
        <f>IF(ISNUMBER(EY858),EY858,999)</f>
        <v>999</v>
      </c>
    </row>
    <row r="99" spans="2:193" x14ac:dyDescent="0.3">
      <c r="B99" s="18" t="s">
        <v>480</v>
      </c>
      <c r="C99" s="13">
        <v>86</v>
      </c>
      <c r="D99" s="21" t="s">
        <v>481</v>
      </c>
      <c r="E99" s="24">
        <v>30</v>
      </c>
      <c r="G99" s="2">
        <f t="shared" si="33"/>
        <v>80</v>
      </c>
      <c r="H99" s="5">
        <v>5</v>
      </c>
      <c r="I99" s="13">
        <v>12</v>
      </c>
      <c r="L99" s="4"/>
      <c r="M99" s="7"/>
      <c r="O99" s="7"/>
      <c r="T99" s="7"/>
      <c r="AE99" s="7"/>
      <c r="BD99" s="26"/>
      <c r="BE99" s="26">
        <f t="shared" si="32"/>
        <v>44</v>
      </c>
      <c r="BF99">
        <v>44</v>
      </c>
      <c r="BG99">
        <v>79</v>
      </c>
      <c r="BH99" s="47">
        <v>114</v>
      </c>
      <c r="BI99" s="47">
        <v>115</v>
      </c>
      <c r="BJ99" s="47">
        <v>115</v>
      </c>
      <c r="BK99" s="47">
        <v>114</v>
      </c>
      <c r="BL99" s="47">
        <v>116</v>
      </c>
      <c r="BM99" s="47">
        <v>115</v>
      </c>
      <c r="BN99" s="47">
        <v>115</v>
      </c>
      <c r="BO99" s="47">
        <v>119</v>
      </c>
      <c r="BP99" s="47">
        <v>119</v>
      </c>
      <c r="BQ99" s="47">
        <v>119</v>
      </c>
      <c r="BR99" s="47" t="s">
        <v>326</v>
      </c>
      <c r="BS99" s="47">
        <v>115</v>
      </c>
      <c r="BT99" s="47">
        <v>111</v>
      </c>
      <c r="BU99" s="47">
        <v>115</v>
      </c>
      <c r="BV99" s="47" t="s">
        <v>326</v>
      </c>
      <c r="BW99" s="47" t="s">
        <v>326</v>
      </c>
      <c r="BX99" s="47" t="s">
        <v>326</v>
      </c>
      <c r="BY99" s="47" t="s">
        <v>326</v>
      </c>
      <c r="BZ99" s="47" t="s">
        <v>326</v>
      </c>
      <c r="CA99" s="47" t="s">
        <v>326</v>
      </c>
      <c r="CB99" s="47" t="s">
        <v>326</v>
      </c>
      <c r="CC99" s="47" t="s">
        <v>326</v>
      </c>
      <c r="CD99" s="47" t="s">
        <v>326</v>
      </c>
      <c r="CE99" s="47" t="s">
        <v>326</v>
      </c>
      <c r="CF99" s="47" t="s">
        <v>326</v>
      </c>
      <c r="CG99" s="47" t="s">
        <v>326</v>
      </c>
      <c r="CH99" s="47" t="s">
        <v>326</v>
      </c>
      <c r="CI99" s="47" t="s">
        <v>326</v>
      </c>
      <c r="CJ99" s="47" t="s">
        <v>326</v>
      </c>
      <c r="CK99" s="47" t="s">
        <v>326</v>
      </c>
      <c r="CL99" s="47" t="s">
        <v>326</v>
      </c>
      <c r="CM99" s="47" t="s">
        <v>326</v>
      </c>
      <c r="CN99" s="47" t="s">
        <v>326</v>
      </c>
      <c r="CO99" s="47" t="s">
        <v>326</v>
      </c>
      <c r="CP99" s="47" t="s">
        <v>326</v>
      </c>
      <c r="CQ99" s="47" t="s">
        <v>326</v>
      </c>
      <c r="CR99" s="47" t="s">
        <v>326</v>
      </c>
      <c r="CS99" s="47" t="s">
        <v>326</v>
      </c>
      <c r="CT99" s="47" t="s">
        <v>326</v>
      </c>
      <c r="CU99" s="47" t="s">
        <v>326</v>
      </c>
      <c r="CV99" s="47" t="s">
        <v>326</v>
      </c>
      <c r="CW99" s="47" t="s">
        <v>326</v>
      </c>
      <c r="CX99" s="47" t="s">
        <v>326</v>
      </c>
      <c r="CY99" s="47" t="s">
        <v>326</v>
      </c>
      <c r="CZ99" s="47" t="s">
        <v>326</v>
      </c>
      <c r="DA99" s="47" t="s">
        <v>326</v>
      </c>
      <c r="DB99" s="47" t="s">
        <v>326</v>
      </c>
      <c r="DC99" s="47" t="s">
        <v>326</v>
      </c>
      <c r="DD99" s="47" t="s">
        <v>326</v>
      </c>
      <c r="DE99" s="47" t="s">
        <v>326</v>
      </c>
      <c r="DF99" s="47" t="s">
        <v>326</v>
      </c>
      <c r="DG99" s="47" t="s">
        <v>327</v>
      </c>
      <c r="DH99" s="47" t="s">
        <v>326</v>
      </c>
      <c r="DI99" s="47" t="s">
        <v>326</v>
      </c>
      <c r="DJ99" s="47" t="s">
        <v>326</v>
      </c>
      <c r="DK99" s="47" t="s">
        <v>326</v>
      </c>
      <c r="DL99" s="47" t="s">
        <v>326</v>
      </c>
      <c r="DM99" s="47" t="s">
        <v>326</v>
      </c>
      <c r="DN99" s="47" t="s">
        <v>326</v>
      </c>
      <c r="DO99" s="33" t="s">
        <v>326</v>
      </c>
      <c r="DP99" s="33" t="s">
        <v>326</v>
      </c>
      <c r="DQ99" s="33" t="s">
        <v>326</v>
      </c>
      <c r="DR99" s="33" t="s">
        <v>326</v>
      </c>
      <c r="DS99" s="33" t="s">
        <v>326</v>
      </c>
      <c r="DV99" s="26"/>
      <c r="DW99" s="26"/>
      <c r="EZ99" s="26"/>
      <c r="FB99" s="26"/>
      <c r="FC99" s="26"/>
      <c r="FD99" s="26"/>
      <c r="FE99" s="26"/>
      <c r="FF99" s="26"/>
      <c r="FG99" s="26"/>
      <c r="FH99" s="26"/>
      <c r="FI99" s="26"/>
      <c r="FK99" s="26"/>
      <c r="FL99" s="26"/>
      <c r="FM99" s="26"/>
      <c r="FN99" s="26"/>
      <c r="FO99" s="26"/>
      <c r="FP99" s="26"/>
      <c r="FQ99" s="26"/>
      <c r="FR99" s="26"/>
      <c r="FS99" s="26"/>
      <c r="FT99" s="26"/>
      <c r="FU99" s="26"/>
      <c r="FV99" s="26"/>
      <c r="FW99" s="26"/>
      <c r="FX99" s="26"/>
      <c r="FY99" s="26"/>
      <c r="FZ99" s="26"/>
      <c r="GA99" s="26"/>
      <c r="GB99" s="26"/>
      <c r="GC99" s="26"/>
      <c r="GD99" s="26"/>
      <c r="GG99" s="26"/>
      <c r="GJ99">
        <f>GJ95+1</f>
        <v>25</v>
      </c>
      <c r="GK99" t="str">
        <f>IF(Grps&gt;GJ95,GJ99,"")</f>
        <v/>
      </c>
    </row>
    <row r="100" spans="2:193" x14ac:dyDescent="0.3">
      <c r="B100" s="18" t="s">
        <v>482</v>
      </c>
      <c r="C100" s="13">
        <v>85</v>
      </c>
      <c r="D100" s="21" t="s">
        <v>483</v>
      </c>
      <c r="E100" s="24">
        <v>3</v>
      </c>
      <c r="G100" s="2">
        <f t="shared" si="33"/>
        <v>81</v>
      </c>
      <c r="H100" s="5">
        <v>5</v>
      </c>
      <c r="I100" s="13">
        <v>12</v>
      </c>
      <c r="L100" s="4"/>
      <c r="M100" s="7"/>
      <c r="O100" s="7"/>
      <c r="T100" s="7"/>
      <c r="AE100" s="7"/>
      <c r="BD100" s="26"/>
      <c r="BE100" s="26" t="str">
        <f t="shared" si="32"/>
        <v>BYE</v>
      </c>
      <c r="BF100">
        <v>83</v>
      </c>
      <c r="BG100">
        <v>80</v>
      </c>
      <c r="BH100" s="47">
        <v>14</v>
      </c>
      <c r="BI100" s="47">
        <v>14</v>
      </c>
      <c r="BJ100" s="47">
        <v>14</v>
      </c>
      <c r="BK100" s="47">
        <v>14</v>
      </c>
      <c r="BL100" s="47">
        <v>14</v>
      </c>
      <c r="BM100" s="47">
        <v>14</v>
      </c>
      <c r="BN100" s="47">
        <v>14</v>
      </c>
      <c r="BO100" s="47">
        <v>14</v>
      </c>
      <c r="BP100" s="47">
        <v>14</v>
      </c>
      <c r="BQ100" s="47">
        <v>14</v>
      </c>
      <c r="BR100" s="47">
        <v>14</v>
      </c>
      <c r="BS100" s="47">
        <v>14</v>
      </c>
      <c r="BT100" s="47">
        <v>14</v>
      </c>
      <c r="BU100" s="47">
        <v>14</v>
      </c>
      <c r="BV100" s="47">
        <v>14</v>
      </c>
      <c r="BW100" s="47">
        <v>14</v>
      </c>
      <c r="BX100" s="47">
        <v>14</v>
      </c>
      <c r="BY100" s="47">
        <v>14</v>
      </c>
      <c r="BZ100" s="47">
        <v>14</v>
      </c>
      <c r="CA100" s="47">
        <v>14</v>
      </c>
      <c r="CB100" s="47">
        <v>14</v>
      </c>
      <c r="CC100" s="47">
        <v>14</v>
      </c>
      <c r="CD100" s="47">
        <v>14</v>
      </c>
      <c r="CE100" s="47">
        <v>14</v>
      </c>
      <c r="CF100" s="47">
        <v>14</v>
      </c>
      <c r="CG100" s="47">
        <v>14</v>
      </c>
      <c r="CH100" s="47">
        <v>14</v>
      </c>
      <c r="CI100" s="47">
        <v>14</v>
      </c>
      <c r="CJ100" s="47">
        <v>14</v>
      </c>
      <c r="CK100" s="47">
        <v>14</v>
      </c>
      <c r="CL100" s="47">
        <v>14</v>
      </c>
      <c r="CM100" s="47">
        <v>14</v>
      </c>
      <c r="CN100" s="47">
        <v>14</v>
      </c>
      <c r="CO100" s="47">
        <v>14</v>
      </c>
      <c r="CP100" s="47">
        <v>14</v>
      </c>
      <c r="CQ100" s="47">
        <v>14</v>
      </c>
      <c r="CR100" s="47">
        <v>14</v>
      </c>
      <c r="CS100" s="47">
        <v>14</v>
      </c>
      <c r="CT100" s="47">
        <v>14</v>
      </c>
      <c r="CU100" s="47">
        <v>14</v>
      </c>
      <c r="CV100" s="47">
        <v>14</v>
      </c>
      <c r="CW100" s="47">
        <v>14</v>
      </c>
      <c r="CX100" s="47">
        <v>14</v>
      </c>
      <c r="CY100" s="47">
        <v>14</v>
      </c>
      <c r="CZ100" s="47">
        <v>14</v>
      </c>
      <c r="DA100" s="47">
        <v>14</v>
      </c>
      <c r="DB100" s="47">
        <v>14</v>
      </c>
      <c r="DC100" s="47">
        <v>14</v>
      </c>
      <c r="DD100" s="47">
        <v>14</v>
      </c>
      <c r="DE100" s="47">
        <v>14</v>
      </c>
      <c r="DF100" s="47">
        <v>14</v>
      </c>
      <c r="DG100" s="47">
        <v>45</v>
      </c>
      <c r="DH100" s="47">
        <v>14</v>
      </c>
      <c r="DI100" s="47">
        <v>14</v>
      </c>
      <c r="DJ100" s="47">
        <v>14</v>
      </c>
      <c r="DK100" s="47">
        <v>14</v>
      </c>
      <c r="DL100" s="47">
        <v>14</v>
      </c>
      <c r="DM100" s="47">
        <v>14</v>
      </c>
      <c r="DN100" s="47">
        <v>14</v>
      </c>
      <c r="DO100" s="33">
        <v>14</v>
      </c>
      <c r="DP100" s="33">
        <v>14</v>
      </c>
      <c r="DQ100" s="33">
        <v>14</v>
      </c>
      <c r="DR100" s="33">
        <v>14</v>
      </c>
      <c r="DS100" s="33">
        <v>14</v>
      </c>
      <c r="DV100" s="26"/>
      <c r="DW100" s="26"/>
      <c r="EZ100" s="26"/>
      <c r="FB100" s="26"/>
      <c r="FC100" s="26"/>
      <c r="FD100" s="26"/>
      <c r="FE100" s="26"/>
      <c r="FF100" s="26"/>
      <c r="FG100" s="26"/>
      <c r="FH100" s="26"/>
      <c r="FI100" s="26"/>
      <c r="FK100" s="26"/>
      <c r="FL100" s="26"/>
      <c r="FM100" s="26"/>
      <c r="FN100" s="26"/>
      <c r="FO100" s="26"/>
      <c r="FP100" s="26"/>
      <c r="FQ100" s="26"/>
      <c r="FR100" s="26"/>
      <c r="FS100" s="26"/>
      <c r="FT100" s="26"/>
      <c r="FU100" s="26"/>
      <c r="FV100" s="26"/>
      <c r="FW100" s="26"/>
      <c r="FX100" s="26"/>
      <c r="FY100" s="26"/>
      <c r="FZ100" s="26"/>
      <c r="GA100" s="26"/>
      <c r="GB100" s="26"/>
      <c r="GC100" s="26"/>
      <c r="GD100" s="26"/>
      <c r="GG100" s="26"/>
      <c r="GK100">
        <f>IF(ISNUMBER(EY893),EY893,999)</f>
        <v>999</v>
      </c>
    </row>
    <row r="101" spans="2:193" x14ac:dyDescent="0.3">
      <c r="B101" s="18" t="s">
        <v>484</v>
      </c>
      <c r="C101" s="13">
        <v>84</v>
      </c>
      <c r="D101" s="21" t="s">
        <v>485</v>
      </c>
      <c r="E101" s="24">
        <v>29</v>
      </c>
      <c r="G101" s="2">
        <f t="shared" si="33"/>
        <v>82</v>
      </c>
      <c r="H101" s="5">
        <v>5</v>
      </c>
      <c r="I101" s="13">
        <v>12</v>
      </c>
      <c r="L101" s="4"/>
      <c r="M101" s="7"/>
      <c r="O101" s="7"/>
      <c r="T101" s="7"/>
      <c r="AE101" s="7"/>
      <c r="BD101" s="26"/>
      <c r="BE101" s="26">
        <f t="shared" si="32"/>
        <v>11</v>
      </c>
      <c r="BF101">
        <v>11</v>
      </c>
      <c r="BG101">
        <v>81</v>
      </c>
      <c r="BH101" s="43">
        <v>11</v>
      </c>
      <c r="BI101" s="44">
        <v>11</v>
      </c>
      <c r="BJ101" s="44">
        <v>11</v>
      </c>
      <c r="BK101" s="44">
        <v>11</v>
      </c>
      <c r="BL101" s="44">
        <v>11</v>
      </c>
      <c r="BM101" s="44">
        <v>11</v>
      </c>
      <c r="BN101" s="44">
        <v>11</v>
      </c>
      <c r="BO101" s="44">
        <v>11</v>
      </c>
      <c r="BP101" s="44">
        <v>11</v>
      </c>
      <c r="BQ101" s="44">
        <v>11</v>
      </c>
      <c r="BR101" s="44">
        <v>11</v>
      </c>
      <c r="BS101" s="44">
        <v>11</v>
      </c>
      <c r="BT101" s="44">
        <v>11</v>
      </c>
      <c r="BU101" s="44">
        <v>11</v>
      </c>
      <c r="BV101" s="44">
        <v>11</v>
      </c>
      <c r="BW101" s="44">
        <v>11</v>
      </c>
      <c r="BX101" s="44">
        <v>11</v>
      </c>
      <c r="BY101" s="44">
        <v>11</v>
      </c>
      <c r="BZ101" s="44">
        <v>11</v>
      </c>
      <c r="CA101" s="44">
        <v>11</v>
      </c>
      <c r="CB101" s="44">
        <v>11</v>
      </c>
      <c r="CC101" s="44">
        <v>11</v>
      </c>
      <c r="CD101" s="44">
        <v>11</v>
      </c>
      <c r="CE101" s="44">
        <v>11</v>
      </c>
      <c r="CF101" s="44">
        <v>11</v>
      </c>
      <c r="CG101" s="44">
        <v>11</v>
      </c>
      <c r="CH101" s="44">
        <v>11</v>
      </c>
      <c r="CI101" s="44">
        <v>11</v>
      </c>
      <c r="CJ101" s="44">
        <v>11</v>
      </c>
      <c r="CK101" s="44">
        <v>11</v>
      </c>
      <c r="CL101" s="44">
        <v>11</v>
      </c>
      <c r="CM101" s="44">
        <v>11</v>
      </c>
      <c r="CN101" s="44">
        <v>11</v>
      </c>
      <c r="CO101" s="44">
        <v>11</v>
      </c>
      <c r="CP101" s="44">
        <v>11</v>
      </c>
      <c r="CQ101" s="44">
        <v>11</v>
      </c>
      <c r="CR101" s="44">
        <v>11</v>
      </c>
      <c r="CS101" s="44">
        <v>11</v>
      </c>
      <c r="CT101" s="44">
        <v>11</v>
      </c>
      <c r="CU101" s="44">
        <v>11</v>
      </c>
      <c r="CV101" s="44">
        <v>11</v>
      </c>
      <c r="CW101" s="44">
        <v>11</v>
      </c>
      <c r="CX101" s="44">
        <v>11</v>
      </c>
      <c r="CY101" s="44">
        <v>11</v>
      </c>
      <c r="CZ101" s="44">
        <v>11</v>
      </c>
      <c r="DA101" s="44">
        <v>11</v>
      </c>
      <c r="DB101" s="44">
        <v>11</v>
      </c>
      <c r="DC101" s="44">
        <v>11</v>
      </c>
      <c r="DD101" s="44">
        <v>11</v>
      </c>
      <c r="DE101" s="44">
        <v>11</v>
      </c>
      <c r="DF101" s="44">
        <v>11</v>
      </c>
      <c r="DG101" s="44">
        <v>11</v>
      </c>
      <c r="DH101" s="44">
        <v>11</v>
      </c>
      <c r="DI101" s="44">
        <v>11</v>
      </c>
      <c r="DJ101" s="44">
        <v>11</v>
      </c>
      <c r="DK101" s="44">
        <v>11</v>
      </c>
      <c r="DL101" s="44">
        <v>11</v>
      </c>
      <c r="DM101" s="44">
        <v>11</v>
      </c>
      <c r="DN101" s="44">
        <v>11</v>
      </c>
      <c r="DO101" s="34">
        <v>11</v>
      </c>
      <c r="DP101" s="34">
        <v>11</v>
      </c>
      <c r="DQ101" s="34">
        <v>11</v>
      </c>
      <c r="DR101" s="34">
        <v>11</v>
      </c>
      <c r="DS101" s="34">
        <v>11</v>
      </c>
      <c r="DV101" s="26"/>
      <c r="DW101" s="26"/>
      <c r="EZ101" s="26"/>
      <c r="FB101" s="26"/>
      <c r="FC101" s="26"/>
      <c r="FD101" s="26"/>
      <c r="FE101" s="26"/>
      <c r="FF101" s="26"/>
      <c r="FG101" s="26"/>
      <c r="FH101" s="26"/>
      <c r="FI101" s="26"/>
      <c r="FK101" s="26"/>
      <c r="FL101" s="26"/>
      <c r="FM101" s="26"/>
      <c r="FN101" s="26"/>
      <c r="FO101" s="26"/>
      <c r="FP101" s="26"/>
      <c r="FQ101" s="26"/>
      <c r="FR101" s="26"/>
      <c r="FS101" s="26"/>
      <c r="FT101" s="26"/>
      <c r="FU101" s="26"/>
      <c r="FV101" s="26"/>
      <c r="FW101" s="26"/>
      <c r="FX101" s="26"/>
      <c r="FY101" s="26"/>
      <c r="FZ101" s="26"/>
      <c r="GA101" s="26"/>
      <c r="GB101" s="26"/>
      <c r="GC101" s="26"/>
      <c r="GD101" s="26"/>
      <c r="GG101" s="26"/>
      <c r="GK101">
        <f>IF(ISNUMBER(EY894),EY894,999)</f>
        <v>999</v>
      </c>
    </row>
    <row r="102" spans="2:193" x14ac:dyDescent="0.3">
      <c r="B102" s="18" t="s">
        <v>486</v>
      </c>
      <c r="C102" s="13">
        <v>83</v>
      </c>
      <c r="D102" s="21" t="s">
        <v>487</v>
      </c>
      <c r="E102" s="24">
        <v>28</v>
      </c>
      <c r="G102" s="2">
        <f t="shared" si="33"/>
        <v>83</v>
      </c>
      <c r="H102" s="5">
        <v>5</v>
      </c>
      <c r="I102" s="13">
        <v>12</v>
      </c>
      <c r="L102" s="4"/>
      <c r="M102" s="7"/>
      <c r="O102" s="7"/>
      <c r="T102" s="7"/>
      <c r="AE102" s="7"/>
      <c r="BD102" s="26"/>
      <c r="BE102" s="26" t="str">
        <f t="shared" si="32"/>
        <v>BYE</v>
      </c>
      <c r="BF102">
        <v>118</v>
      </c>
      <c r="BG102">
        <v>82</v>
      </c>
      <c r="BH102" s="45">
        <v>119</v>
      </c>
      <c r="BI102" s="46">
        <v>118</v>
      </c>
      <c r="BJ102" s="46">
        <v>118</v>
      </c>
      <c r="BK102" s="46">
        <v>117</v>
      </c>
      <c r="BL102" s="46">
        <v>118</v>
      </c>
      <c r="BM102" s="46">
        <v>118</v>
      </c>
      <c r="BN102" s="46">
        <v>122</v>
      </c>
      <c r="BO102" s="46">
        <v>121</v>
      </c>
      <c r="BP102" s="46">
        <v>120</v>
      </c>
      <c r="BQ102" s="46">
        <v>118</v>
      </c>
      <c r="BR102" s="46">
        <v>118</v>
      </c>
      <c r="BS102" s="46" t="s">
        <v>326</v>
      </c>
      <c r="BT102" s="46" t="s">
        <v>326</v>
      </c>
      <c r="BU102" s="46" t="s">
        <v>326</v>
      </c>
      <c r="BV102" s="46" t="s">
        <v>326</v>
      </c>
      <c r="BW102" s="46" t="s">
        <v>326</v>
      </c>
      <c r="BX102" s="46" t="s">
        <v>326</v>
      </c>
      <c r="BY102" s="46" t="s">
        <v>326</v>
      </c>
      <c r="BZ102" s="46" t="s">
        <v>326</v>
      </c>
      <c r="CA102" s="46" t="s">
        <v>326</v>
      </c>
      <c r="CB102" s="46" t="s">
        <v>326</v>
      </c>
      <c r="CC102" s="46" t="s">
        <v>326</v>
      </c>
      <c r="CD102" s="46" t="s">
        <v>326</v>
      </c>
      <c r="CE102" s="46" t="s">
        <v>326</v>
      </c>
      <c r="CF102" s="46" t="s">
        <v>326</v>
      </c>
      <c r="CG102" s="46" t="s">
        <v>326</v>
      </c>
      <c r="CH102" s="46" t="s">
        <v>326</v>
      </c>
      <c r="CI102" s="46" t="s">
        <v>326</v>
      </c>
      <c r="CJ102" s="46" t="s">
        <v>326</v>
      </c>
      <c r="CK102" s="46" t="s">
        <v>326</v>
      </c>
      <c r="CL102" s="46" t="s">
        <v>326</v>
      </c>
      <c r="CM102" s="46" t="s">
        <v>326</v>
      </c>
      <c r="CN102" s="46" t="s">
        <v>326</v>
      </c>
      <c r="CO102" s="46" t="s">
        <v>326</v>
      </c>
      <c r="CP102" s="46" t="s">
        <v>326</v>
      </c>
      <c r="CQ102" s="46" t="s">
        <v>326</v>
      </c>
      <c r="CR102" s="46" t="s">
        <v>326</v>
      </c>
      <c r="CS102" s="46" t="s">
        <v>326</v>
      </c>
      <c r="CT102" s="46" t="s">
        <v>326</v>
      </c>
      <c r="CU102" s="46" t="s">
        <v>326</v>
      </c>
      <c r="CV102" s="46" t="s">
        <v>326</v>
      </c>
      <c r="CW102" s="46" t="s">
        <v>326</v>
      </c>
      <c r="CX102" s="46" t="s">
        <v>326</v>
      </c>
      <c r="CY102" s="46" t="s">
        <v>326</v>
      </c>
      <c r="CZ102" s="46" t="s">
        <v>326</v>
      </c>
      <c r="DA102" s="46" t="s">
        <v>326</v>
      </c>
      <c r="DB102" s="46" t="s">
        <v>326</v>
      </c>
      <c r="DC102" s="46" t="s">
        <v>326</v>
      </c>
      <c r="DD102" s="46" t="s">
        <v>326</v>
      </c>
      <c r="DE102" s="46" t="s">
        <v>326</v>
      </c>
      <c r="DF102" s="46" t="s">
        <v>326</v>
      </c>
      <c r="DG102" s="46" t="s">
        <v>327</v>
      </c>
      <c r="DH102" s="46" t="s">
        <v>326</v>
      </c>
      <c r="DI102" s="46" t="s">
        <v>326</v>
      </c>
      <c r="DJ102" s="46" t="s">
        <v>326</v>
      </c>
      <c r="DK102" s="46" t="s">
        <v>326</v>
      </c>
      <c r="DL102" s="46" t="s">
        <v>326</v>
      </c>
      <c r="DM102" s="46" t="s">
        <v>326</v>
      </c>
      <c r="DN102" s="46" t="s">
        <v>326</v>
      </c>
      <c r="DO102" s="35" t="s">
        <v>326</v>
      </c>
      <c r="DP102" s="35" t="s">
        <v>326</v>
      </c>
      <c r="DQ102" s="35" t="s">
        <v>326</v>
      </c>
      <c r="DR102" s="35" t="s">
        <v>326</v>
      </c>
      <c r="DS102" s="35" t="s">
        <v>326</v>
      </c>
      <c r="DV102" s="26"/>
      <c r="DW102" s="26"/>
      <c r="EZ102" s="26"/>
      <c r="FB102" s="26"/>
      <c r="FC102" s="26"/>
      <c r="FD102" s="26"/>
      <c r="FE102" s="26"/>
      <c r="FF102" s="26"/>
      <c r="FG102" s="26"/>
      <c r="FH102" s="26"/>
      <c r="FI102" s="26"/>
      <c r="FK102" s="26"/>
      <c r="FL102" s="26"/>
      <c r="FM102" s="26"/>
      <c r="FN102" s="26"/>
      <c r="FO102" s="26"/>
      <c r="FP102" s="26"/>
      <c r="FQ102" s="26"/>
      <c r="FR102" s="26"/>
      <c r="FS102" s="26"/>
      <c r="FT102" s="26"/>
      <c r="FU102" s="26"/>
      <c r="FV102" s="26"/>
      <c r="FW102" s="26"/>
      <c r="FX102" s="26"/>
      <c r="FY102" s="26"/>
      <c r="FZ102" s="26"/>
      <c r="GA102" s="26"/>
      <c r="GB102" s="26"/>
      <c r="GC102" s="26"/>
      <c r="GD102" s="26"/>
      <c r="GG102" s="26"/>
      <c r="GK102">
        <f>IF(ISNUMBER(EY895),EY895,999)</f>
        <v>999</v>
      </c>
    </row>
    <row r="103" spans="2:193" x14ac:dyDescent="0.3">
      <c r="B103" s="18" t="s">
        <v>488</v>
      </c>
      <c r="C103" s="13">
        <v>82</v>
      </c>
      <c r="D103" s="21" t="s">
        <v>489</v>
      </c>
      <c r="E103" s="24">
        <v>27</v>
      </c>
      <c r="G103" s="2">
        <f t="shared" si="33"/>
        <v>84</v>
      </c>
      <c r="H103" s="5">
        <v>5</v>
      </c>
      <c r="I103" s="13">
        <v>12</v>
      </c>
      <c r="L103" s="4"/>
      <c r="M103" s="7"/>
      <c r="O103" s="7"/>
      <c r="T103" s="7"/>
      <c r="AE103" s="7"/>
      <c r="BD103" s="26"/>
      <c r="BE103" s="26">
        <f t="shared" si="32"/>
        <v>52</v>
      </c>
      <c r="BF103">
        <v>52</v>
      </c>
      <c r="BG103">
        <v>83</v>
      </c>
      <c r="BH103" s="47">
        <v>75</v>
      </c>
      <c r="BI103" s="47">
        <v>75</v>
      </c>
      <c r="BJ103" s="47">
        <v>76</v>
      </c>
      <c r="BK103" s="47">
        <v>76</v>
      </c>
      <c r="BL103" s="47">
        <v>76</v>
      </c>
      <c r="BM103" s="47">
        <v>75</v>
      </c>
      <c r="BN103" s="47">
        <v>75</v>
      </c>
      <c r="BO103" s="47">
        <v>75</v>
      </c>
      <c r="BP103" s="47">
        <v>76</v>
      </c>
      <c r="BQ103" s="47">
        <v>76</v>
      </c>
      <c r="BR103" s="47">
        <v>76</v>
      </c>
      <c r="BS103" s="47">
        <v>75</v>
      </c>
      <c r="BT103" s="47">
        <v>75</v>
      </c>
      <c r="BU103" s="47">
        <v>75</v>
      </c>
      <c r="BV103" s="47">
        <v>76</v>
      </c>
      <c r="BW103" s="47">
        <v>76</v>
      </c>
      <c r="BX103" s="47">
        <v>76</v>
      </c>
      <c r="BY103" s="47">
        <v>75</v>
      </c>
      <c r="BZ103" s="47">
        <v>75</v>
      </c>
      <c r="CA103" s="47">
        <v>76</v>
      </c>
      <c r="CB103" s="47">
        <v>73</v>
      </c>
      <c r="CC103" s="47">
        <v>79</v>
      </c>
      <c r="CD103" s="47">
        <v>79</v>
      </c>
      <c r="CE103" s="47">
        <v>75</v>
      </c>
      <c r="CF103" s="47">
        <v>74</v>
      </c>
      <c r="CG103" s="47">
        <v>75</v>
      </c>
      <c r="CH103" s="47">
        <v>75</v>
      </c>
      <c r="CI103" s="47">
        <v>74</v>
      </c>
      <c r="CJ103" s="47">
        <v>76</v>
      </c>
      <c r="CK103" s="47">
        <v>75</v>
      </c>
      <c r="CL103" s="47">
        <v>75</v>
      </c>
      <c r="CM103" s="47">
        <v>74</v>
      </c>
      <c r="CN103" s="47">
        <v>73</v>
      </c>
      <c r="CO103" s="47">
        <v>73</v>
      </c>
      <c r="CP103" s="47">
        <v>79</v>
      </c>
      <c r="CQ103" s="47">
        <v>75</v>
      </c>
      <c r="CR103" s="47">
        <v>71</v>
      </c>
      <c r="CS103" s="47">
        <v>75</v>
      </c>
      <c r="CT103" s="47">
        <v>75</v>
      </c>
      <c r="CU103" s="47">
        <v>74</v>
      </c>
      <c r="CV103" s="47">
        <v>76</v>
      </c>
      <c r="CW103" s="47">
        <v>75</v>
      </c>
      <c r="CX103" s="47">
        <v>75</v>
      </c>
      <c r="CY103" s="47">
        <v>79</v>
      </c>
      <c r="CZ103" s="47">
        <v>73</v>
      </c>
      <c r="DA103" s="47">
        <v>73</v>
      </c>
      <c r="DB103" s="47">
        <v>79</v>
      </c>
      <c r="DC103" s="47">
        <v>75</v>
      </c>
      <c r="DD103" s="47">
        <v>74</v>
      </c>
      <c r="DE103" s="47">
        <v>75</v>
      </c>
      <c r="DF103" s="47">
        <v>75</v>
      </c>
      <c r="DG103" s="47">
        <v>54</v>
      </c>
      <c r="DH103" s="47">
        <v>76</v>
      </c>
      <c r="DI103" s="47">
        <v>75</v>
      </c>
      <c r="DJ103" s="47" t="s">
        <v>326</v>
      </c>
      <c r="DK103" s="47" t="s">
        <v>326</v>
      </c>
      <c r="DL103" s="47" t="s">
        <v>326</v>
      </c>
      <c r="DM103" s="47" t="s">
        <v>326</v>
      </c>
      <c r="DN103" s="47" t="s">
        <v>326</v>
      </c>
      <c r="DO103" s="33" t="s">
        <v>326</v>
      </c>
      <c r="DP103" s="33" t="s">
        <v>326</v>
      </c>
      <c r="DQ103" s="33" t="s">
        <v>326</v>
      </c>
      <c r="DR103" s="33" t="s">
        <v>326</v>
      </c>
      <c r="DS103" s="33" t="s">
        <v>326</v>
      </c>
      <c r="DV103" s="26"/>
      <c r="DW103" s="26"/>
      <c r="EZ103" s="26"/>
      <c r="FB103" s="26"/>
      <c r="FC103" s="26"/>
      <c r="FD103" s="26"/>
      <c r="FE103" s="26"/>
      <c r="FF103" s="26"/>
      <c r="FG103" s="26"/>
      <c r="FH103" s="26"/>
      <c r="FI103" s="26"/>
      <c r="FK103" s="26"/>
      <c r="FL103" s="26"/>
      <c r="FM103" s="26"/>
      <c r="FN103" s="26"/>
      <c r="FO103" s="26"/>
      <c r="FP103" s="26"/>
      <c r="FQ103" s="26"/>
      <c r="FR103" s="26"/>
      <c r="FS103" s="26"/>
      <c r="FT103" s="26"/>
      <c r="FU103" s="26"/>
      <c r="FV103" s="26"/>
      <c r="FW103" s="26"/>
      <c r="FX103" s="26"/>
      <c r="FY103" s="26"/>
      <c r="FZ103" s="26"/>
      <c r="GA103" s="26"/>
      <c r="GB103" s="26"/>
      <c r="GC103" s="26"/>
      <c r="GD103" s="26"/>
      <c r="GG103" s="26"/>
      <c r="GJ103">
        <f>GJ99+1</f>
        <v>26</v>
      </c>
      <c r="GK103" t="str">
        <f>IF(Grps&gt;GJ99,GJ103,"")</f>
        <v/>
      </c>
    </row>
    <row r="104" spans="2:193" x14ac:dyDescent="0.3">
      <c r="B104" s="18" t="s">
        <v>490</v>
      </c>
      <c r="C104" s="13">
        <v>99</v>
      </c>
      <c r="D104" s="21" t="s">
        <v>491</v>
      </c>
      <c r="E104" s="24">
        <v>26</v>
      </c>
      <c r="G104" s="2">
        <f t="shared" si="33"/>
        <v>85</v>
      </c>
      <c r="H104" s="5">
        <v>5</v>
      </c>
      <c r="I104" s="13">
        <v>12</v>
      </c>
      <c r="L104" s="4"/>
      <c r="M104" s="7"/>
      <c r="O104" s="7"/>
      <c r="T104" s="7"/>
      <c r="AE104" s="7"/>
      <c r="BD104" s="26"/>
      <c r="BE104" s="26" t="str">
        <f t="shared" si="32"/>
        <v>BYE</v>
      </c>
      <c r="BF104">
        <v>75</v>
      </c>
      <c r="BG104">
        <v>84</v>
      </c>
      <c r="BH104" s="47">
        <v>54</v>
      </c>
      <c r="BI104" s="47">
        <v>54</v>
      </c>
      <c r="BJ104" s="47">
        <v>53</v>
      </c>
      <c r="BK104" s="47">
        <v>53</v>
      </c>
      <c r="BL104" s="47">
        <v>53</v>
      </c>
      <c r="BM104" s="47">
        <v>54</v>
      </c>
      <c r="BN104" s="47">
        <v>54</v>
      </c>
      <c r="BO104" s="47">
        <v>54</v>
      </c>
      <c r="BP104" s="47">
        <v>53</v>
      </c>
      <c r="BQ104" s="47">
        <v>53</v>
      </c>
      <c r="BR104" s="47">
        <v>53</v>
      </c>
      <c r="BS104" s="47">
        <v>54</v>
      </c>
      <c r="BT104" s="47">
        <v>54</v>
      </c>
      <c r="BU104" s="47">
        <v>54</v>
      </c>
      <c r="BV104" s="47">
        <v>53</v>
      </c>
      <c r="BW104" s="47">
        <v>53</v>
      </c>
      <c r="BX104" s="47">
        <v>53</v>
      </c>
      <c r="BY104" s="47">
        <v>54</v>
      </c>
      <c r="BZ104" s="47">
        <v>54</v>
      </c>
      <c r="CA104" s="47">
        <v>54</v>
      </c>
      <c r="CB104" s="47">
        <v>53</v>
      </c>
      <c r="CC104" s="47">
        <v>53</v>
      </c>
      <c r="CD104" s="47">
        <v>53</v>
      </c>
      <c r="CE104" s="47">
        <v>54</v>
      </c>
      <c r="CF104" s="47">
        <v>54</v>
      </c>
      <c r="CG104" s="47">
        <v>54</v>
      </c>
      <c r="CH104" s="47">
        <v>53</v>
      </c>
      <c r="CI104" s="47">
        <v>53</v>
      </c>
      <c r="CJ104" s="47">
        <v>53</v>
      </c>
      <c r="CK104" s="47">
        <v>54</v>
      </c>
      <c r="CL104" s="47">
        <v>54</v>
      </c>
      <c r="CM104" s="47">
        <v>54</v>
      </c>
      <c r="CN104" s="47">
        <v>53</v>
      </c>
      <c r="CO104" s="47">
        <v>53</v>
      </c>
      <c r="CP104" s="47">
        <v>53</v>
      </c>
      <c r="CQ104" s="47">
        <v>54</v>
      </c>
      <c r="CR104" s="47">
        <v>54</v>
      </c>
      <c r="CS104" s="47">
        <v>54</v>
      </c>
      <c r="CT104" s="47">
        <v>53</v>
      </c>
      <c r="CU104" s="47">
        <v>53</v>
      </c>
      <c r="CV104" s="47">
        <v>53</v>
      </c>
      <c r="CW104" s="47">
        <v>54</v>
      </c>
      <c r="CX104" s="47">
        <v>54</v>
      </c>
      <c r="CY104" s="47">
        <v>54</v>
      </c>
      <c r="CZ104" s="47">
        <v>53</v>
      </c>
      <c r="DA104" s="47">
        <v>53</v>
      </c>
      <c r="DB104" s="47">
        <v>53</v>
      </c>
      <c r="DC104" s="47">
        <v>54</v>
      </c>
      <c r="DD104" s="47">
        <v>54</v>
      </c>
      <c r="DE104" s="47">
        <v>54</v>
      </c>
      <c r="DF104" s="47">
        <v>54</v>
      </c>
      <c r="DG104" s="47">
        <v>75</v>
      </c>
      <c r="DH104" s="47">
        <v>54</v>
      </c>
      <c r="DI104" s="47">
        <v>54</v>
      </c>
      <c r="DJ104" s="47">
        <v>58</v>
      </c>
      <c r="DK104" s="47">
        <v>55</v>
      </c>
      <c r="DL104" s="47">
        <v>56</v>
      </c>
      <c r="DM104" s="47">
        <v>54</v>
      </c>
      <c r="DN104" s="47">
        <v>54</v>
      </c>
      <c r="DO104" s="33">
        <v>54</v>
      </c>
      <c r="DP104" s="33">
        <v>55</v>
      </c>
      <c r="DQ104" s="33">
        <v>54</v>
      </c>
      <c r="DR104" s="33">
        <v>54</v>
      </c>
      <c r="DS104" s="33">
        <v>53</v>
      </c>
      <c r="DV104" s="26"/>
      <c r="DW104" s="26"/>
      <c r="EZ104" s="26"/>
      <c r="FB104" s="26"/>
      <c r="FC104" s="26"/>
      <c r="FD104" s="26"/>
      <c r="FE104" s="26"/>
      <c r="FF104" s="26"/>
      <c r="FG104" s="26"/>
      <c r="FH104" s="26"/>
      <c r="FI104" s="26"/>
      <c r="FK104" s="26"/>
      <c r="FL104" s="26"/>
      <c r="FM104" s="26"/>
      <c r="FN104" s="26"/>
      <c r="FO104" s="26"/>
      <c r="FP104" s="26"/>
      <c r="FQ104" s="26"/>
      <c r="FR104" s="26"/>
      <c r="FS104" s="26"/>
      <c r="FT104" s="26"/>
      <c r="FU104" s="26"/>
      <c r="FV104" s="26"/>
      <c r="FW104" s="26"/>
      <c r="FX104" s="26"/>
      <c r="FY104" s="26"/>
      <c r="FZ104" s="26"/>
      <c r="GA104" s="26"/>
      <c r="GB104" s="26"/>
      <c r="GC104" s="26"/>
      <c r="GD104" s="26"/>
      <c r="GG104" s="26"/>
      <c r="GK104">
        <f>IF(ISNUMBER(EY930),EY930,999)</f>
        <v>999</v>
      </c>
    </row>
    <row r="105" spans="2:193" x14ac:dyDescent="0.3">
      <c r="B105" s="18" t="s">
        <v>492</v>
      </c>
      <c r="C105" s="13">
        <v>81</v>
      </c>
      <c r="D105" s="21" t="s">
        <v>493</v>
      </c>
      <c r="E105" s="24">
        <v>25</v>
      </c>
      <c r="G105" s="2">
        <f t="shared" si="33"/>
        <v>86</v>
      </c>
      <c r="H105" s="5">
        <v>5</v>
      </c>
      <c r="I105" s="13">
        <v>12</v>
      </c>
      <c r="L105" s="4"/>
      <c r="M105" s="7"/>
      <c r="O105" s="7"/>
      <c r="T105" s="7"/>
      <c r="AE105" s="7"/>
      <c r="BD105" s="26"/>
      <c r="BE105" s="26">
        <f t="shared" si="32"/>
        <v>22</v>
      </c>
      <c r="BF105">
        <v>22</v>
      </c>
      <c r="BG105">
        <v>85</v>
      </c>
      <c r="BH105" s="43">
        <v>43</v>
      </c>
      <c r="BI105" s="44">
        <v>43</v>
      </c>
      <c r="BJ105" s="44">
        <v>44</v>
      </c>
      <c r="BK105" s="44">
        <v>44</v>
      </c>
      <c r="BL105" s="44">
        <v>44</v>
      </c>
      <c r="BM105" s="44">
        <v>43</v>
      </c>
      <c r="BN105" s="44">
        <v>43</v>
      </c>
      <c r="BO105" s="44">
        <v>43</v>
      </c>
      <c r="BP105" s="44">
        <v>44</v>
      </c>
      <c r="BQ105" s="44">
        <v>44</v>
      </c>
      <c r="BR105" s="44">
        <v>44</v>
      </c>
      <c r="BS105" s="44">
        <v>43</v>
      </c>
      <c r="BT105" s="44">
        <v>43</v>
      </c>
      <c r="BU105" s="44">
        <v>43</v>
      </c>
      <c r="BV105" s="44">
        <v>44</v>
      </c>
      <c r="BW105" s="44">
        <v>44</v>
      </c>
      <c r="BX105" s="44">
        <v>44</v>
      </c>
      <c r="BY105" s="44">
        <v>43</v>
      </c>
      <c r="BZ105" s="44">
        <v>43</v>
      </c>
      <c r="CA105" s="44">
        <v>43</v>
      </c>
      <c r="CB105" s="44">
        <v>44</v>
      </c>
      <c r="CC105" s="44">
        <v>44</v>
      </c>
      <c r="CD105" s="44">
        <v>44</v>
      </c>
      <c r="CE105" s="44">
        <v>43</v>
      </c>
      <c r="CF105" s="44">
        <v>43</v>
      </c>
      <c r="CG105" s="44">
        <v>43</v>
      </c>
      <c r="CH105" s="44">
        <v>44</v>
      </c>
      <c r="CI105" s="44">
        <v>44</v>
      </c>
      <c r="CJ105" s="44">
        <v>44</v>
      </c>
      <c r="CK105" s="44">
        <v>43</v>
      </c>
      <c r="CL105" s="44">
        <v>43</v>
      </c>
      <c r="CM105" s="44">
        <v>43</v>
      </c>
      <c r="CN105" s="44">
        <v>44</v>
      </c>
      <c r="CO105" s="44">
        <v>44</v>
      </c>
      <c r="CP105" s="44">
        <v>44</v>
      </c>
      <c r="CQ105" s="44">
        <v>43</v>
      </c>
      <c r="CR105" s="44">
        <v>43</v>
      </c>
      <c r="CS105" s="44">
        <v>43</v>
      </c>
      <c r="CT105" s="44">
        <v>44</v>
      </c>
      <c r="CU105" s="44">
        <v>44</v>
      </c>
      <c r="CV105" s="44">
        <v>44</v>
      </c>
      <c r="CW105" s="44">
        <v>43</v>
      </c>
      <c r="CX105" s="44">
        <v>43</v>
      </c>
      <c r="CY105" s="44">
        <v>43</v>
      </c>
      <c r="CZ105" s="44">
        <v>44</v>
      </c>
      <c r="DA105" s="44">
        <v>44</v>
      </c>
      <c r="DB105" s="44">
        <v>40</v>
      </c>
      <c r="DC105" s="44">
        <v>43</v>
      </c>
      <c r="DD105" s="44">
        <v>43</v>
      </c>
      <c r="DE105" s="44">
        <v>43</v>
      </c>
      <c r="DF105" s="44">
        <v>44</v>
      </c>
      <c r="DG105" s="44">
        <v>22</v>
      </c>
      <c r="DH105" s="44">
        <v>44</v>
      </c>
      <c r="DI105" s="44">
        <v>43</v>
      </c>
      <c r="DJ105" s="44">
        <v>43</v>
      </c>
      <c r="DK105" s="44">
        <v>43</v>
      </c>
      <c r="DL105" s="44">
        <v>44</v>
      </c>
      <c r="DM105" s="44">
        <v>44</v>
      </c>
      <c r="DN105" s="44">
        <v>44</v>
      </c>
      <c r="DO105" s="34">
        <v>43</v>
      </c>
      <c r="DP105" s="34">
        <v>43</v>
      </c>
      <c r="DQ105" s="34">
        <v>43</v>
      </c>
      <c r="DR105" s="34">
        <v>44</v>
      </c>
      <c r="DS105" s="34">
        <v>44</v>
      </c>
      <c r="DV105" s="26"/>
      <c r="DW105" s="26"/>
      <c r="EZ105" s="26"/>
      <c r="FB105" s="26"/>
      <c r="FC105" s="26"/>
      <c r="FD105" s="26"/>
      <c r="FE105" s="26"/>
      <c r="FF105" s="26"/>
      <c r="FG105" s="26"/>
      <c r="FH105" s="26"/>
      <c r="FI105" s="26"/>
      <c r="FK105" s="26"/>
      <c r="FL105" s="26"/>
      <c r="FM105" s="26"/>
      <c r="FN105" s="26"/>
      <c r="FO105" s="26"/>
      <c r="FP105" s="26"/>
      <c r="FQ105" s="26"/>
      <c r="FR105" s="26"/>
      <c r="FS105" s="26"/>
      <c r="FT105" s="26"/>
      <c r="FU105" s="26"/>
      <c r="FV105" s="26"/>
      <c r="FW105" s="26"/>
      <c r="FX105" s="26"/>
      <c r="FY105" s="26"/>
      <c r="FZ105" s="26"/>
      <c r="GA105" s="26"/>
      <c r="GB105" s="26"/>
      <c r="GC105" s="26"/>
      <c r="GD105" s="26"/>
      <c r="GG105" s="26"/>
      <c r="GK105">
        <f>IF(ISNUMBER(EY931),EY931,999)</f>
        <v>999</v>
      </c>
    </row>
    <row r="106" spans="2:193" x14ac:dyDescent="0.3">
      <c r="B106" s="18" t="s">
        <v>494</v>
      </c>
      <c r="C106" s="13">
        <v>80</v>
      </c>
      <c r="D106" s="21" t="s">
        <v>495</v>
      </c>
      <c r="E106" s="24">
        <v>24</v>
      </c>
      <c r="G106" s="2">
        <f t="shared" si="33"/>
        <v>87</v>
      </c>
      <c r="H106" s="5">
        <v>5</v>
      </c>
      <c r="I106" s="13">
        <v>12</v>
      </c>
      <c r="L106" s="4"/>
      <c r="M106" s="7"/>
      <c r="O106" s="7"/>
      <c r="T106" s="7"/>
      <c r="AE106" s="7"/>
      <c r="BD106" s="26"/>
      <c r="BE106" s="26" t="str">
        <f t="shared" si="32"/>
        <v>BYE</v>
      </c>
      <c r="BF106">
        <v>107</v>
      </c>
      <c r="BG106">
        <v>86</v>
      </c>
      <c r="BH106" s="45">
        <v>86</v>
      </c>
      <c r="BI106" s="46">
        <v>86</v>
      </c>
      <c r="BJ106" s="46">
        <v>86</v>
      </c>
      <c r="BK106" s="46">
        <v>85</v>
      </c>
      <c r="BL106" s="46">
        <v>86</v>
      </c>
      <c r="BM106" s="46">
        <v>86</v>
      </c>
      <c r="BN106" s="46">
        <v>90</v>
      </c>
      <c r="BO106" s="46">
        <v>87</v>
      </c>
      <c r="BP106" s="46">
        <v>89</v>
      </c>
      <c r="BQ106" s="46">
        <v>86</v>
      </c>
      <c r="BR106" s="46">
        <v>86</v>
      </c>
      <c r="BS106" s="46">
        <v>86</v>
      </c>
      <c r="BT106" s="46">
        <v>82</v>
      </c>
      <c r="BU106" s="46">
        <v>86</v>
      </c>
      <c r="BV106" s="46">
        <v>86</v>
      </c>
      <c r="BW106" s="46">
        <v>85</v>
      </c>
      <c r="BX106" s="46">
        <v>86</v>
      </c>
      <c r="BY106" s="46">
        <v>86</v>
      </c>
      <c r="BZ106" s="46">
        <v>90</v>
      </c>
      <c r="CA106" s="46">
        <v>87</v>
      </c>
      <c r="CB106" s="46">
        <v>88</v>
      </c>
      <c r="CC106" s="46">
        <v>86</v>
      </c>
      <c r="CD106" s="46">
        <v>86</v>
      </c>
      <c r="CE106" s="46">
        <v>86</v>
      </c>
      <c r="CF106" s="46">
        <v>87</v>
      </c>
      <c r="CG106" s="46">
        <v>86</v>
      </c>
      <c r="CH106" s="46">
        <v>86</v>
      </c>
      <c r="CI106" s="46">
        <v>85</v>
      </c>
      <c r="CJ106" s="46">
        <v>86</v>
      </c>
      <c r="CK106" s="46">
        <v>86</v>
      </c>
      <c r="CL106" s="46">
        <v>88</v>
      </c>
      <c r="CM106" s="46">
        <v>87</v>
      </c>
      <c r="CN106" s="46">
        <v>88</v>
      </c>
      <c r="CO106" s="46">
        <v>86</v>
      </c>
      <c r="CP106" s="46">
        <v>86</v>
      </c>
      <c r="CQ106" s="46">
        <v>86</v>
      </c>
      <c r="CR106" s="46">
        <v>82</v>
      </c>
      <c r="CS106" s="46">
        <v>86</v>
      </c>
      <c r="CT106" s="46">
        <v>86</v>
      </c>
      <c r="CU106" s="46">
        <v>85</v>
      </c>
      <c r="CV106" s="46">
        <v>86</v>
      </c>
      <c r="CW106" s="46">
        <v>86</v>
      </c>
      <c r="CX106" s="46">
        <v>85</v>
      </c>
      <c r="CY106" s="46" t="s">
        <v>326</v>
      </c>
      <c r="CZ106" s="46" t="s">
        <v>326</v>
      </c>
      <c r="DA106" s="46" t="s">
        <v>326</v>
      </c>
      <c r="DB106" s="46" t="s">
        <v>326</v>
      </c>
      <c r="DC106" s="46" t="s">
        <v>326</v>
      </c>
      <c r="DD106" s="46" t="s">
        <v>326</v>
      </c>
      <c r="DE106" s="46" t="s">
        <v>326</v>
      </c>
      <c r="DF106" s="46" t="s">
        <v>326</v>
      </c>
      <c r="DG106" s="46" t="s">
        <v>327</v>
      </c>
      <c r="DH106" s="46" t="s">
        <v>326</v>
      </c>
      <c r="DI106" s="46" t="s">
        <v>326</v>
      </c>
      <c r="DJ106" s="46" t="s">
        <v>326</v>
      </c>
      <c r="DK106" s="46" t="s">
        <v>326</v>
      </c>
      <c r="DL106" s="46" t="s">
        <v>326</v>
      </c>
      <c r="DM106" s="46" t="s">
        <v>326</v>
      </c>
      <c r="DN106" s="46" t="s">
        <v>326</v>
      </c>
      <c r="DO106" s="35" t="s">
        <v>326</v>
      </c>
      <c r="DP106" s="35" t="s">
        <v>326</v>
      </c>
      <c r="DQ106" s="35" t="s">
        <v>326</v>
      </c>
      <c r="DR106" s="35" t="s">
        <v>326</v>
      </c>
      <c r="DS106" s="35" t="s">
        <v>326</v>
      </c>
      <c r="DV106" s="26"/>
      <c r="DW106" s="26"/>
      <c r="EZ106" s="26"/>
      <c r="FB106" s="26"/>
      <c r="FC106" s="26"/>
      <c r="FD106" s="26"/>
      <c r="FE106" s="26"/>
      <c r="FF106" s="26"/>
      <c r="FG106" s="26"/>
      <c r="FH106" s="26"/>
      <c r="FI106" s="26"/>
      <c r="FK106" s="26"/>
      <c r="FL106" s="26"/>
      <c r="FM106" s="26"/>
      <c r="FN106" s="26"/>
      <c r="FO106" s="26"/>
      <c r="FP106" s="26"/>
      <c r="FQ106" s="26"/>
      <c r="FR106" s="26"/>
      <c r="FS106" s="26"/>
      <c r="FT106" s="26"/>
      <c r="FU106" s="26"/>
      <c r="FV106" s="26"/>
      <c r="FW106" s="26"/>
      <c r="FX106" s="26"/>
      <c r="FY106" s="26"/>
      <c r="FZ106" s="26"/>
      <c r="GA106" s="26"/>
      <c r="GB106" s="26"/>
      <c r="GC106" s="26"/>
      <c r="GD106" s="26"/>
      <c r="GG106" s="26"/>
      <c r="GK106">
        <f>IF(ISNUMBER(EY932),EY932,999)</f>
        <v>999</v>
      </c>
    </row>
    <row r="107" spans="2:193" x14ac:dyDescent="0.3">
      <c r="B107" s="18" t="s">
        <v>496</v>
      </c>
      <c r="C107" s="13">
        <v>79</v>
      </c>
      <c r="D107" s="21" t="s">
        <v>497</v>
      </c>
      <c r="E107" s="24">
        <v>23</v>
      </c>
      <c r="G107" s="2">
        <f t="shared" si="33"/>
        <v>88</v>
      </c>
      <c r="H107" s="5">
        <v>5</v>
      </c>
      <c r="I107" s="13">
        <v>12</v>
      </c>
      <c r="L107" s="4"/>
      <c r="M107" s="7"/>
      <c r="O107" s="7"/>
      <c r="T107" s="7"/>
      <c r="AE107" s="7"/>
      <c r="BD107" s="26"/>
      <c r="BE107" s="26">
        <f t="shared" si="32"/>
        <v>43</v>
      </c>
      <c r="BF107">
        <v>43</v>
      </c>
      <c r="BG107">
        <v>87</v>
      </c>
      <c r="BH107" s="47">
        <v>106</v>
      </c>
      <c r="BI107" s="47">
        <v>107</v>
      </c>
      <c r="BJ107" s="47">
        <v>107</v>
      </c>
      <c r="BK107" s="47">
        <v>106</v>
      </c>
      <c r="BL107" s="47">
        <v>108</v>
      </c>
      <c r="BM107" s="47">
        <v>107</v>
      </c>
      <c r="BN107" s="47">
        <v>107</v>
      </c>
      <c r="BO107" s="47">
        <v>111</v>
      </c>
      <c r="BP107" s="47">
        <v>105</v>
      </c>
      <c r="BQ107" s="47">
        <v>111</v>
      </c>
      <c r="BR107" s="47">
        <v>111</v>
      </c>
      <c r="BS107" s="47">
        <v>107</v>
      </c>
      <c r="BT107" s="47">
        <v>103</v>
      </c>
      <c r="BU107" s="47">
        <v>107</v>
      </c>
      <c r="BV107" s="47">
        <v>107</v>
      </c>
      <c r="BW107" s="47">
        <v>107</v>
      </c>
      <c r="BX107" s="47">
        <v>108</v>
      </c>
      <c r="BY107" s="47">
        <v>107</v>
      </c>
      <c r="BZ107" s="47">
        <v>109</v>
      </c>
      <c r="CA107" s="47">
        <v>106</v>
      </c>
      <c r="CB107" s="47">
        <v>105</v>
      </c>
      <c r="CC107" s="47">
        <v>73</v>
      </c>
      <c r="CD107" s="47" t="s">
        <v>326</v>
      </c>
      <c r="CE107" s="47" t="s">
        <v>326</v>
      </c>
      <c r="CF107" s="47" t="s">
        <v>326</v>
      </c>
      <c r="CG107" s="47" t="s">
        <v>326</v>
      </c>
      <c r="CH107" s="47" t="s">
        <v>326</v>
      </c>
      <c r="CI107" s="47" t="s">
        <v>326</v>
      </c>
      <c r="CJ107" s="47" t="s">
        <v>326</v>
      </c>
      <c r="CK107" s="47" t="s">
        <v>326</v>
      </c>
      <c r="CL107" s="47" t="s">
        <v>326</v>
      </c>
      <c r="CM107" s="47" t="s">
        <v>326</v>
      </c>
      <c r="CN107" s="47" t="s">
        <v>326</v>
      </c>
      <c r="CO107" s="47" t="s">
        <v>326</v>
      </c>
      <c r="CP107" s="47" t="s">
        <v>326</v>
      </c>
      <c r="CQ107" s="47" t="s">
        <v>326</v>
      </c>
      <c r="CR107" s="47" t="s">
        <v>326</v>
      </c>
      <c r="CS107" s="47" t="s">
        <v>326</v>
      </c>
      <c r="CT107" s="47" t="s">
        <v>326</v>
      </c>
      <c r="CU107" s="47" t="s">
        <v>326</v>
      </c>
      <c r="CV107" s="47" t="s">
        <v>326</v>
      </c>
      <c r="CW107" s="47" t="s">
        <v>326</v>
      </c>
      <c r="CX107" s="47" t="s">
        <v>326</v>
      </c>
      <c r="CY107" s="47" t="s">
        <v>326</v>
      </c>
      <c r="CZ107" s="47" t="s">
        <v>326</v>
      </c>
      <c r="DA107" s="47" t="s">
        <v>326</v>
      </c>
      <c r="DB107" s="47" t="s">
        <v>326</v>
      </c>
      <c r="DC107" s="47" t="s">
        <v>326</v>
      </c>
      <c r="DD107" s="47" t="s">
        <v>326</v>
      </c>
      <c r="DE107" s="47" t="s">
        <v>326</v>
      </c>
      <c r="DF107" s="47" t="s">
        <v>326</v>
      </c>
      <c r="DG107" s="47" t="s">
        <v>327</v>
      </c>
      <c r="DH107" s="47" t="s">
        <v>326</v>
      </c>
      <c r="DI107" s="47" t="s">
        <v>326</v>
      </c>
      <c r="DJ107" s="47" t="s">
        <v>326</v>
      </c>
      <c r="DK107" s="47" t="s">
        <v>326</v>
      </c>
      <c r="DL107" s="47" t="s">
        <v>326</v>
      </c>
      <c r="DM107" s="47" t="s">
        <v>326</v>
      </c>
      <c r="DN107" s="47" t="s">
        <v>326</v>
      </c>
      <c r="DO107" s="33" t="s">
        <v>326</v>
      </c>
      <c r="DP107" s="33" t="s">
        <v>326</v>
      </c>
      <c r="DQ107" s="33" t="s">
        <v>326</v>
      </c>
      <c r="DR107" s="33" t="s">
        <v>326</v>
      </c>
      <c r="DS107" s="33" t="s">
        <v>326</v>
      </c>
      <c r="DV107" s="26"/>
      <c r="DW107" s="26"/>
      <c r="EZ107" s="26"/>
      <c r="FB107" s="26"/>
      <c r="FC107" s="26"/>
      <c r="FD107" s="26"/>
      <c r="FE107" s="26"/>
      <c r="FF107" s="26"/>
      <c r="FG107" s="26"/>
      <c r="FH107" s="26"/>
      <c r="FI107" s="26"/>
      <c r="FK107" s="26"/>
      <c r="FL107" s="26"/>
      <c r="FM107" s="26"/>
      <c r="FN107" s="26"/>
      <c r="FO107" s="26"/>
      <c r="FP107" s="26"/>
      <c r="FQ107" s="26"/>
      <c r="FR107" s="26"/>
      <c r="FS107" s="26"/>
      <c r="FT107" s="26"/>
      <c r="FU107" s="26"/>
      <c r="FV107" s="26"/>
      <c r="FW107" s="26"/>
      <c r="FX107" s="26"/>
      <c r="FY107" s="26"/>
      <c r="FZ107" s="26"/>
      <c r="GA107" s="26"/>
      <c r="GB107" s="26"/>
      <c r="GC107" s="26"/>
      <c r="GD107" s="26"/>
      <c r="GG107" s="26"/>
      <c r="GJ107">
        <f>GJ103+1</f>
        <v>27</v>
      </c>
      <c r="GK107" t="str">
        <f>IF(Grps&gt;GJ103,GJ107,"")</f>
        <v/>
      </c>
    </row>
    <row r="108" spans="2:193" x14ac:dyDescent="0.3">
      <c r="B108" s="18" t="s">
        <v>498</v>
      </c>
      <c r="C108" s="13">
        <v>78</v>
      </c>
      <c r="D108" s="21" t="s">
        <v>499</v>
      </c>
      <c r="E108" s="24">
        <v>22</v>
      </c>
      <c r="G108" s="2">
        <f t="shared" si="33"/>
        <v>89</v>
      </c>
      <c r="H108" s="5">
        <v>5</v>
      </c>
      <c r="I108" s="13">
        <v>12</v>
      </c>
      <c r="L108" s="4"/>
      <c r="M108" s="7"/>
      <c r="O108" s="7"/>
      <c r="T108" s="7"/>
      <c r="AE108" s="7"/>
      <c r="BD108" s="26"/>
      <c r="BE108" s="26">
        <f t="shared" si="32"/>
        <v>64</v>
      </c>
      <c r="BF108">
        <v>64</v>
      </c>
      <c r="BG108">
        <v>88</v>
      </c>
      <c r="BH108" s="47">
        <v>22</v>
      </c>
      <c r="BI108" s="47">
        <v>22</v>
      </c>
      <c r="BJ108" s="47">
        <v>22</v>
      </c>
      <c r="BK108" s="47">
        <v>22</v>
      </c>
      <c r="BL108" s="47">
        <v>22</v>
      </c>
      <c r="BM108" s="47">
        <v>22</v>
      </c>
      <c r="BN108" s="47">
        <v>22</v>
      </c>
      <c r="BO108" s="47">
        <v>22</v>
      </c>
      <c r="BP108" s="47">
        <v>22</v>
      </c>
      <c r="BQ108" s="47">
        <v>22</v>
      </c>
      <c r="BR108" s="47">
        <v>22</v>
      </c>
      <c r="BS108" s="47">
        <v>22</v>
      </c>
      <c r="BT108" s="47">
        <v>22</v>
      </c>
      <c r="BU108" s="47">
        <v>22</v>
      </c>
      <c r="BV108" s="47">
        <v>22</v>
      </c>
      <c r="BW108" s="47">
        <v>22</v>
      </c>
      <c r="BX108" s="47">
        <v>22</v>
      </c>
      <c r="BY108" s="47">
        <v>22</v>
      </c>
      <c r="BZ108" s="47">
        <v>22</v>
      </c>
      <c r="CA108" s="47">
        <v>22</v>
      </c>
      <c r="CB108" s="47">
        <v>22</v>
      </c>
      <c r="CC108" s="47">
        <v>22</v>
      </c>
      <c r="CD108" s="47">
        <v>22</v>
      </c>
      <c r="CE108" s="47">
        <v>22</v>
      </c>
      <c r="CF108" s="47">
        <v>22</v>
      </c>
      <c r="CG108" s="47">
        <v>22</v>
      </c>
      <c r="CH108" s="47">
        <v>22</v>
      </c>
      <c r="CI108" s="47">
        <v>22</v>
      </c>
      <c r="CJ108" s="47">
        <v>22</v>
      </c>
      <c r="CK108" s="47">
        <v>22</v>
      </c>
      <c r="CL108" s="47">
        <v>22</v>
      </c>
      <c r="CM108" s="47">
        <v>22</v>
      </c>
      <c r="CN108" s="47">
        <v>22</v>
      </c>
      <c r="CO108" s="47">
        <v>22</v>
      </c>
      <c r="CP108" s="47">
        <v>22</v>
      </c>
      <c r="CQ108" s="47">
        <v>22</v>
      </c>
      <c r="CR108" s="47">
        <v>22</v>
      </c>
      <c r="CS108" s="47">
        <v>22</v>
      </c>
      <c r="CT108" s="47">
        <v>22</v>
      </c>
      <c r="CU108" s="47">
        <v>22</v>
      </c>
      <c r="CV108" s="47">
        <v>22</v>
      </c>
      <c r="CW108" s="47">
        <v>22</v>
      </c>
      <c r="CX108" s="47">
        <v>22</v>
      </c>
      <c r="CY108" s="47">
        <v>22</v>
      </c>
      <c r="CZ108" s="47">
        <v>22</v>
      </c>
      <c r="DA108" s="47">
        <v>22</v>
      </c>
      <c r="DB108" s="47">
        <v>22</v>
      </c>
      <c r="DC108" s="47">
        <v>22</v>
      </c>
      <c r="DD108" s="47">
        <v>22</v>
      </c>
      <c r="DE108" s="47">
        <v>22</v>
      </c>
      <c r="DF108" s="47">
        <v>22</v>
      </c>
      <c r="DG108" s="47">
        <v>44</v>
      </c>
      <c r="DH108" s="47">
        <v>22</v>
      </c>
      <c r="DI108" s="47">
        <v>22</v>
      </c>
      <c r="DJ108" s="47">
        <v>22</v>
      </c>
      <c r="DK108" s="47">
        <v>22</v>
      </c>
      <c r="DL108" s="47">
        <v>22</v>
      </c>
      <c r="DM108" s="47">
        <v>22</v>
      </c>
      <c r="DN108" s="47">
        <v>22</v>
      </c>
      <c r="DO108" s="33">
        <v>22</v>
      </c>
      <c r="DP108" s="33">
        <v>22</v>
      </c>
      <c r="DQ108" s="33">
        <v>22</v>
      </c>
      <c r="DR108" s="33">
        <v>22</v>
      </c>
      <c r="DS108" s="33">
        <v>22</v>
      </c>
      <c r="DV108" s="26"/>
      <c r="DW108" s="26"/>
      <c r="EZ108" s="26"/>
      <c r="FB108" s="26"/>
      <c r="FC108" s="26"/>
      <c r="FD108" s="26"/>
      <c r="FE108" s="26"/>
      <c r="FF108" s="26"/>
      <c r="FG108" s="26"/>
      <c r="FH108" s="26"/>
      <c r="FI108" s="26"/>
      <c r="FK108" s="26"/>
      <c r="FL108" s="26"/>
      <c r="FM108" s="26"/>
      <c r="FN108" s="26"/>
      <c r="FO108" s="26"/>
      <c r="FP108" s="26"/>
      <c r="FQ108" s="26"/>
      <c r="FR108" s="26"/>
      <c r="FS108" s="26"/>
      <c r="FT108" s="26"/>
      <c r="FU108" s="26"/>
      <c r="FV108" s="26"/>
      <c r="FW108" s="26"/>
      <c r="FX108" s="26"/>
      <c r="FY108" s="26"/>
      <c r="FZ108" s="26"/>
      <c r="GA108" s="26"/>
      <c r="GB108" s="26"/>
      <c r="GC108" s="26"/>
      <c r="GD108" s="26"/>
      <c r="GG108" s="26"/>
      <c r="GK108">
        <f>IF(ISNUMBER(EY967),EY967,999)</f>
        <v>999</v>
      </c>
    </row>
    <row r="109" spans="2:193" x14ac:dyDescent="0.3">
      <c r="B109" s="18" t="s">
        <v>500</v>
      </c>
      <c r="C109" s="13">
        <v>77</v>
      </c>
      <c r="D109" s="21" t="s">
        <v>501</v>
      </c>
      <c r="E109" s="24">
        <v>21</v>
      </c>
      <c r="G109" s="2">
        <f t="shared" si="33"/>
        <v>90</v>
      </c>
      <c r="H109" s="5">
        <v>5</v>
      </c>
      <c r="I109" s="13">
        <v>12</v>
      </c>
      <c r="L109" s="4"/>
      <c r="M109" s="7"/>
      <c r="O109" s="7"/>
      <c r="T109" s="7"/>
      <c r="AE109" s="7"/>
      <c r="BD109" s="26"/>
      <c r="BE109" s="26">
        <f t="shared" si="32"/>
        <v>6</v>
      </c>
      <c r="BF109">
        <v>6</v>
      </c>
      <c r="BG109">
        <v>89</v>
      </c>
      <c r="BH109" s="43">
        <v>27</v>
      </c>
      <c r="BI109" s="44">
        <v>27</v>
      </c>
      <c r="BJ109" s="44">
        <v>27</v>
      </c>
      <c r="BK109" s="44">
        <v>27</v>
      </c>
      <c r="BL109" s="44">
        <v>27</v>
      </c>
      <c r="BM109" s="44">
        <v>27</v>
      </c>
      <c r="BN109" s="44">
        <v>27</v>
      </c>
      <c r="BO109" s="44">
        <v>27</v>
      </c>
      <c r="BP109" s="44">
        <v>27</v>
      </c>
      <c r="BQ109" s="44">
        <v>27</v>
      </c>
      <c r="BR109" s="44">
        <v>27</v>
      </c>
      <c r="BS109" s="44">
        <v>27</v>
      </c>
      <c r="BT109" s="44">
        <v>27</v>
      </c>
      <c r="BU109" s="44">
        <v>27</v>
      </c>
      <c r="BV109" s="44">
        <v>27</v>
      </c>
      <c r="BW109" s="44">
        <v>27</v>
      </c>
      <c r="BX109" s="44">
        <v>27</v>
      </c>
      <c r="BY109" s="44">
        <v>27</v>
      </c>
      <c r="BZ109" s="44">
        <v>27</v>
      </c>
      <c r="CA109" s="44">
        <v>27</v>
      </c>
      <c r="CB109" s="44">
        <v>27</v>
      </c>
      <c r="CC109" s="44">
        <v>27</v>
      </c>
      <c r="CD109" s="44">
        <v>27</v>
      </c>
      <c r="CE109" s="44">
        <v>27</v>
      </c>
      <c r="CF109" s="44">
        <v>27</v>
      </c>
      <c r="CG109" s="44">
        <v>27</v>
      </c>
      <c r="CH109" s="44">
        <v>27</v>
      </c>
      <c r="CI109" s="44">
        <v>27</v>
      </c>
      <c r="CJ109" s="44">
        <v>27</v>
      </c>
      <c r="CK109" s="44">
        <v>27</v>
      </c>
      <c r="CL109" s="44">
        <v>27</v>
      </c>
      <c r="CM109" s="44">
        <v>27</v>
      </c>
      <c r="CN109" s="44">
        <v>27</v>
      </c>
      <c r="CO109" s="44">
        <v>27</v>
      </c>
      <c r="CP109" s="44">
        <v>27</v>
      </c>
      <c r="CQ109" s="44">
        <v>27</v>
      </c>
      <c r="CR109" s="44">
        <v>27</v>
      </c>
      <c r="CS109" s="44">
        <v>27</v>
      </c>
      <c r="CT109" s="44">
        <v>27</v>
      </c>
      <c r="CU109" s="44">
        <v>27</v>
      </c>
      <c r="CV109" s="44">
        <v>27</v>
      </c>
      <c r="CW109" s="44">
        <v>27</v>
      </c>
      <c r="CX109" s="44">
        <v>27</v>
      </c>
      <c r="CY109" s="44">
        <v>27</v>
      </c>
      <c r="CZ109" s="44">
        <v>27</v>
      </c>
      <c r="DA109" s="44">
        <v>27</v>
      </c>
      <c r="DB109" s="44">
        <v>27</v>
      </c>
      <c r="DC109" s="44">
        <v>27</v>
      </c>
      <c r="DD109" s="44">
        <v>27</v>
      </c>
      <c r="DE109" s="44">
        <v>27</v>
      </c>
      <c r="DF109" s="44">
        <v>28</v>
      </c>
      <c r="DG109" s="44">
        <v>6</v>
      </c>
      <c r="DH109" s="44">
        <v>28</v>
      </c>
      <c r="DI109" s="44">
        <v>27</v>
      </c>
      <c r="DJ109" s="44">
        <v>27</v>
      </c>
      <c r="DK109" s="44">
        <v>27</v>
      </c>
      <c r="DL109" s="44">
        <v>28</v>
      </c>
      <c r="DM109" s="44">
        <v>28</v>
      </c>
      <c r="DN109" s="44">
        <v>48</v>
      </c>
      <c r="DO109" s="34">
        <v>27</v>
      </c>
      <c r="DP109" s="34">
        <v>27</v>
      </c>
      <c r="DQ109" s="34">
        <v>27</v>
      </c>
      <c r="DR109" s="34">
        <v>28</v>
      </c>
      <c r="DS109" s="34">
        <v>28</v>
      </c>
      <c r="DV109" s="26"/>
      <c r="DW109" s="26"/>
      <c r="EZ109" s="26"/>
      <c r="FB109" s="26"/>
      <c r="FC109" s="26"/>
      <c r="FD109" s="26"/>
      <c r="FE109" s="26"/>
      <c r="FF109" s="26"/>
      <c r="FG109" s="26"/>
      <c r="FH109" s="26"/>
      <c r="FI109" s="26"/>
      <c r="FK109" s="26"/>
      <c r="FL109" s="26"/>
      <c r="FM109" s="26"/>
      <c r="FN109" s="26"/>
      <c r="FO109" s="26"/>
      <c r="FP109" s="26"/>
      <c r="FQ109" s="26"/>
      <c r="FR109" s="26"/>
      <c r="FS109" s="26"/>
      <c r="FT109" s="26"/>
      <c r="FU109" s="26"/>
      <c r="FV109" s="26"/>
      <c r="FW109" s="26"/>
      <c r="FX109" s="26"/>
      <c r="FY109" s="26"/>
      <c r="FZ109" s="26"/>
      <c r="GA109" s="26"/>
      <c r="GB109" s="26"/>
      <c r="GC109" s="26"/>
      <c r="GD109" s="26"/>
      <c r="GG109" s="26"/>
      <c r="GK109">
        <f>IF(ISNUMBER(EY968),EY968,999)</f>
        <v>999</v>
      </c>
    </row>
    <row r="110" spans="2:193" x14ac:dyDescent="0.3">
      <c r="B110" s="18" t="s">
        <v>502</v>
      </c>
      <c r="C110" s="13">
        <v>76</v>
      </c>
      <c r="D110" s="21" t="s">
        <v>503</v>
      </c>
      <c r="E110" s="24">
        <v>20</v>
      </c>
      <c r="G110" s="2">
        <f t="shared" si="33"/>
        <v>91</v>
      </c>
      <c r="H110" s="5">
        <v>5</v>
      </c>
      <c r="I110" s="13">
        <v>12</v>
      </c>
      <c r="L110" s="4"/>
      <c r="M110" s="7"/>
      <c r="O110" s="7"/>
      <c r="T110" s="7"/>
      <c r="AE110" s="7"/>
      <c r="BD110" s="26"/>
      <c r="BE110" s="26" t="str">
        <f t="shared" si="32"/>
        <v>BYE</v>
      </c>
      <c r="BF110">
        <v>123</v>
      </c>
      <c r="BG110">
        <v>90</v>
      </c>
      <c r="BH110" s="45">
        <v>103</v>
      </c>
      <c r="BI110" s="46">
        <v>102</v>
      </c>
      <c r="BJ110" s="46">
        <v>102</v>
      </c>
      <c r="BK110" s="46">
        <v>101</v>
      </c>
      <c r="BL110" s="46">
        <v>102</v>
      </c>
      <c r="BM110" s="46">
        <v>102</v>
      </c>
      <c r="BN110" s="46">
        <v>106</v>
      </c>
      <c r="BO110" s="46">
        <v>103</v>
      </c>
      <c r="BP110" s="46">
        <v>106</v>
      </c>
      <c r="BQ110" s="46">
        <v>102</v>
      </c>
      <c r="BR110" s="46">
        <v>102</v>
      </c>
      <c r="BS110" s="46">
        <v>102</v>
      </c>
      <c r="BT110" s="46">
        <v>98</v>
      </c>
      <c r="BU110" s="46">
        <v>102</v>
      </c>
      <c r="BV110" s="46">
        <v>102</v>
      </c>
      <c r="BW110" s="46">
        <v>103</v>
      </c>
      <c r="BX110" s="46">
        <v>102</v>
      </c>
      <c r="BY110" s="46">
        <v>102</v>
      </c>
      <c r="BZ110" s="46">
        <v>106</v>
      </c>
      <c r="CA110" s="46">
        <v>103</v>
      </c>
      <c r="CB110" s="46">
        <v>104</v>
      </c>
      <c r="CC110" s="46">
        <v>102</v>
      </c>
      <c r="CD110" s="46">
        <v>102</v>
      </c>
      <c r="CE110" s="46">
        <v>102</v>
      </c>
      <c r="CF110" s="46" t="s">
        <v>326</v>
      </c>
      <c r="CG110" s="46">
        <v>102</v>
      </c>
      <c r="CH110" s="46">
        <v>102</v>
      </c>
      <c r="CI110" s="46" t="s">
        <v>326</v>
      </c>
      <c r="CJ110" s="46" t="s">
        <v>326</v>
      </c>
      <c r="CK110" s="46" t="s">
        <v>326</v>
      </c>
      <c r="CL110" s="46" t="s">
        <v>326</v>
      </c>
      <c r="CM110" s="46" t="s">
        <v>326</v>
      </c>
      <c r="CN110" s="46" t="s">
        <v>326</v>
      </c>
      <c r="CO110" s="46" t="s">
        <v>326</v>
      </c>
      <c r="CP110" s="46" t="s">
        <v>326</v>
      </c>
      <c r="CQ110" s="46" t="s">
        <v>326</v>
      </c>
      <c r="CR110" s="46" t="s">
        <v>326</v>
      </c>
      <c r="CS110" s="46" t="s">
        <v>326</v>
      </c>
      <c r="CT110" s="46" t="s">
        <v>326</v>
      </c>
      <c r="CU110" s="46" t="s">
        <v>326</v>
      </c>
      <c r="CV110" s="46" t="s">
        <v>326</v>
      </c>
      <c r="CW110" s="46" t="s">
        <v>326</v>
      </c>
      <c r="CX110" s="46" t="s">
        <v>326</v>
      </c>
      <c r="CY110" s="46" t="s">
        <v>326</v>
      </c>
      <c r="CZ110" s="46" t="s">
        <v>326</v>
      </c>
      <c r="DA110" s="46" t="s">
        <v>326</v>
      </c>
      <c r="DB110" s="46" t="s">
        <v>326</v>
      </c>
      <c r="DC110" s="46" t="s">
        <v>326</v>
      </c>
      <c r="DD110" s="46" t="s">
        <v>326</v>
      </c>
      <c r="DE110" s="46" t="s">
        <v>326</v>
      </c>
      <c r="DF110" s="46" t="s">
        <v>326</v>
      </c>
      <c r="DG110" s="46" t="s">
        <v>327</v>
      </c>
      <c r="DH110" s="46" t="s">
        <v>326</v>
      </c>
      <c r="DI110" s="46" t="s">
        <v>326</v>
      </c>
      <c r="DJ110" s="46" t="s">
        <v>326</v>
      </c>
      <c r="DK110" s="46" t="s">
        <v>326</v>
      </c>
      <c r="DL110" s="46" t="s">
        <v>326</v>
      </c>
      <c r="DM110" s="46" t="s">
        <v>326</v>
      </c>
      <c r="DN110" s="46" t="s">
        <v>326</v>
      </c>
      <c r="DO110" s="35" t="s">
        <v>326</v>
      </c>
      <c r="DP110" s="35" t="s">
        <v>326</v>
      </c>
      <c r="DQ110" s="35" t="s">
        <v>326</v>
      </c>
      <c r="DR110" s="35" t="s">
        <v>326</v>
      </c>
      <c r="DS110" s="35" t="s">
        <v>326</v>
      </c>
      <c r="DV110" s="26"/>
      <c r="DW110" s="26"/>
      <c r="EZ110" s="26"/>
      <c r="FB110" s="26"/>
      <c r="FC110" s="26"/>
      <c r="FD110" s="26"/>
      <c r="FE110" s="26"/>
      <c r="FF110" s="26"/>
      <c r="FG110" s="26"/>
      <c r="FH110" s="26"/>
      <c r="FI110" s="26"/>
      <c r="FK110" s="26"/>
      <c r="FL110" s="26"/>
      <c r="FM110" s="26"/>
      <c r="FN110" s="26"/>
      <c r="FO110" s="26"/>
      <c r="FP110" s="26"/>
      <c r="FQ110" s="26"/>
      <c r="FR110" s="26"/>
      <c r="FS110" s="26"/>
      <c r="FT110" s="26"/>
      <c r="FU110" s="26"/>
      <c r="FV110" s="26"/>
      <c r="FW110" s="26"/>
      <c r="FX110" s="26"/>
      <c r="FY110" s="26"/>
      <c r="FZ110" s="26"/>
      <c r="GA110" s="26"/>
      <c r="GB110" s="26"/>
      <c r="GC110" s="26"/>
      <c r="GD110" s="26"/>
      <c r="GG110" s="26"/>
      <c r="GK110">
        <f>IF(ISNUMBER(EY969),EY969,999)</f>
        <v>999</v>
      </c>
    </row>
    <row r="111" spans="2:193" x14ac:dyDescent="0.3">
      <c r="B111" s="18" t="s">
        <v>504</v>
      </c>
      <c r="C111" s="13">
        <v>98</v>
      </c>
      <c r="D111" s="21" t="s">
        <v>505</v>
      </c>
      <c r="E111" s="24">
        <v>2</v>
      </c>
      <c r="G111" s="2">
        <f t="shared" si="33"/>
        <v>92</v>
      </c>
      <c r="H111" s="5">
        <v>5</v>
      </c>
      <c r="I111" s="13">
        <v>12</v>
      </c>
      <c r="L111" s="4"/>
      <c r="M111" s="7"/>
      <c r="O111" s="7"/>
      <c r="T111" s="7"/>
      <c r="AE111" s="7"/>
      <c r="BD111" s="26"/>
      <c r="BE111" s="26">
        <f t="shared" si="32"/>
        <v>59</v>
      </c>
      <c r="BF111">
        <v>59</v>
      </c>
      <c r="BG111">
        <v>91</v>
      </c>
      <c r="BH111" s="47">
        <v>90</v>
      </c>
      <c r="BI111" s="47">
        <v>91</v>
      </c>
      <c r="BJ111" s="47">
        <v>91</v>
      </c>
      <c r="BK111" s="47">
        <v>90</v>
      </c>
      <c r="BL111" s="47">
        <v>92</v>
      </c>
      <c r="BM111" s="47">
        <v>91</v>
      </c>
      <c r="BN111" s="47">
        <v>91</v>
      </c>
      <c r="BO111" s="47">
        <v>90</v>
      </c>
      <c r="BP111" s="47">
        <v>88</v>
      </c>
      <c r="BQ111" s="47">
        <v>95</v>
      </c>
      <c r="BR111" s="47">
        <v>95</v>
      </c>
      <c r="BS111" s="47">
        <v>91</v>
      </c>
      <c r="BT111" s="47">
        <v>87</v>
      </c>
      <c r="BU111" s="47">
        <v>91</v>
      </c>
      <c r="BV111" s="47">
        <v>91</v>
      </c>
      <c r="BW111" s="47">
        <v>90</v>
      </c>
      <c r="BX111" s="47">
        <v>92</v>
      </c>
      <c r="BY111" s="47">
        <v>91</v>
      </c>
      <c r="BZ111" s="47">
        <v>91</v>
      </c>
      <c r="CA111" s="47">
        <v>90</v>
      </c>
      <c r="CB111" s="47">
        <v>89</v>
      </c>
      <c r="CC111" s="47">
        <v>95</v>
      </c>
      <c r="CD111" s="47">
        <v>95</v>
      </c>
      <c r="CE111" s="47">
        <v>91</v>
      </c>
      <c r="CF111" s="47">
        <v>90</v>
      </c>
      <c r="CG111" s="47">
        <v>91</v>
      </c>
      <c r="CH111" s="47">
        <v>91</v>
      </c>
      <c r="CI111" s="47">
        <v>90</v>
      </c>
      <c r="CJ111" s="47">
        <v>92</v>
      </c>
      <c r="CK111" s="47">
        <v>91</v>
      </c>
      <c r="CL111" s="47">
        <v>91</v>
      </c>
      <c r="CM111" s="47">
        <v>90</v>
      </c>
      <c r="CN111" s="47">
        <v>89</v>
      </c>
      <c r="CO111" s="47">
        <v>89</v>
      </c>
      <c r="CP111" s="47">
        <v>91</v>
      </c>
      <c r="CQ111" s="47">
        <v>91</v>
      </c>
      <c r="CR111" s="47">
        <v>87</v>
      </c>
      <c r="CS111" s="47">
        <v>91</v>
      </c>
      <c r="CT111" s="47" t="s">
        <v>326</v>
      </c>
      <c r="CU111" s="47" t="s">
        <v>326</v>
      </c>
      <c r="CV111" s="47" t="s">
        <v>326</v>
      </c>
      <c r="CW111" s="47" t="s">
        <v>326</v>
      </c>
      <c r="CX111" s="47" t="s">
        <v>326</v>
      </c>
      <c r="CY111" s="47" t="s">
        <v>326</v>
      </c>
      <c r="CZ111" s="47" t="s">
        <v>326</v>
      </c>
      <c r="DA111" s="47" t="s">
        <v>326</v>
      </c>
      <c r="DB111" s="47" t="s">
        <v>326</v>
      </c>
      <c r="DC111" s="47" t="s">
        <v>326</v>
      </c>
      <c r="DD111" s="47" t="s">
        <v>326</v>
      </c>
      <c r="DE111" s="47" t="s">
        <v>326</v>
      </c>
      <c r="DF111" s="47" t="s">
        <v>326</v>
      </c>
      <c r="DG111" s="47">
        <v>59</v>
      </c>
      <c r="DH111" s="47" t="s">
        <v>326</v>
      </c>
      <c r="DI111" s="47" t="s">
        <v>326</v>
      </c>
      <c r="DJ111" s="47" t="s">
        <v>326</v>
      </c>
      <c r="DK111" s="47" t="s">
        <v>326</v>
      </c>
      <c r="DL111" s="47" t="s">
        <v>326</v>
      </c>
      <c r="DM111" s="47" t="s">
        <v>326</v>
      </c>
      <c r="DN111" s="47" t="s">
        <v>326</v>
      </c>
      <c r="DO111" s="33" t="s">
        <v>326</v>
      </c>
      <c r="DP111" s="33" t="s">
        <v>326</v>
      </c>
      <c r="DQ111" s="33" t="s">
        <v>326</v>
      </c>
      <c r="DR111" s="33" t="s">
        <v>326</v>
      </c>
      <c r="DS111" s="33" t="s">
        <v>326</v>
      </c>
      <c r="DV111" s="26"/>
      <c r="DW111" s="26"/>
      <c r="EZ111" s="26"/>
      <c r="FB111" s="26"/>
      <c r="FC111" s="26"/>
      <c r="FD111" s="26"/>
      <c r="FE111" s="26"/>
      <c r="FF111" s="26"/>
      <c r="FG111" s="26"/>
      <c r="FH111" s="26"/>
      <c r="FI111" s="26"/>
      <c r="FK111" s="26"/>
      <c r="FL111" s="26"/>
      <c r="FM111" s="26"/>
      <c r="FN111" s="26"/>
      <c r="FO111" s="26"/>
      <c r="FP111" s="26"/>
      <c r="FQ111" s="26"/>
      <c r="FR111" s="26"/>
      <c r="FS111" s="26"/>
      <c r="FT111" s="26"/>
      <c r="FU111" s="26"/>
      <c r="FV111" s="26"/>
      <c r="FW111" s="26"/>
      <c r="FX111" s="26"/>
      <c r="FY111" s="26"/>
      <c r="FZ111" s="26"/>
      <c r="GA111" s="26"/>
      <c r="GB111" s="26"/>
      <c r="GC111" s="26"/>
      <c r="GD111" s="26"/>
      <c r="GG111" s="26"/>
      <c r="GJ111">
        <f>GJ107+1</f>
        <v>28</v>
      </c>
      <c r="GK111" t="str">
        <f>IF(Grps&gt;GJ107,GJ111,"")</f>
        <v/>
      </c>
    </row>
    <row r="112" spans="2:193" x14ac:dyDescent="0.3">
      <c r="B112" s="18" t="s">
        <v>506</v>
      </c>
      <c r="C112" s="13">
        <v>97</v>
      </c>
      <c r="D112" s="21" t="s">
        <v>507</v>
      </c>
      <c r="E112" s="24">
        <v>19</v>
      </c>
      <c r="G112" s="2">
        <f t="shared" si="33"/>
        <v>93</v>
      </c>
      <c r="H112" s="5">
        <v>5</v>
      </c>
      <c r="I112" s="13">
        <v>12</v>
      </c>
      <c r="L112" s="4"/>
      <c r="M112" s="7"/>
      <c r="O112" s="7"/>
      <c r="T112" s="7"/>
      <c r="AE112" s="7"/>
      <c r="BD112" s="26"/>
      <c r="BE112" s="26" t="str">
        <f t="shared" si="32"/>
        <v>BYE</v>
      </c>
      <c r="BF112">
        <v>70</v>
      </c>
      <c r="BG112">
        <v>92</v>
      </c>
      <c r="BH112" s="47">
        <v>38</v>
      </c>
      <c r="BI112" s="47">
        <v>38</v>
      </c>
      <c r="BJ112" s="47">
        <v>38</v>
      </c>
      <c r="BK112" s="47">
        <v>38</v>
      </c>
      <c r="BL112" s="47">
        <v>38</v>
      </c>
      <c r="BM112" s="47">
        <v>38</v>
      </c>
      <c r="BN112" s="47">
        <v>38</v>
      </c>
      <c r="BO112" s="47">
        <v>38</v>
      </c>
      <c r="BP112" s="47">
        <v>38</v>
      </c>
      <c r="BQ112" s="47">
        <v>38</v>
      </c>
      <c r="BR112" s="47">
        <v>38</v>
      </c>
      <c r="BS112" s="47">
        <v>38</v>
      </c>
      <c r="BT112" s="47">
        <v>38</v>
      </c>
      <c r="BU112" s="47">
        <v>38</v>
      </c>
      <c r="BV112" s="47">
        <v>38</v>
      </c>
      <c r="BW112" s="47">
        <v>38</v>
      </c>
      <c r="BX112" s="47">
        <v>38</v>
      </c>
      <c r="BY112" s="47">
        <v>38</v>
      </c>
      <c r="BZ112" s="47">
        <v>38</v>
      </c>
      <c r="CA112" s="47">
        <v>38</v>
      </c>
      <c r="CB112" s="47">
        <v>37</v>
      </c>
      <c r="CC112" s="47">
        <v>37</v>
      </c>
      <c r="CD112" s="47">
        <v>37</v>
      </c>
      <c r="CE112" s="47">
        <v>38</v>
      </c>
      <c r="CF112" s="47">
        <v>38</v>
      </c>
      <c r="CG112" s="47">
        <v>38</v>
      </c>
      <c r="CH112" s="47">
        <v>37</v>
      </c>
      <c r="CI112" s="47">
        <v>37</v>
      </c>
      <c r="CJ112" s="47">
        <v>37</v>
      </c>
      <c r="CK112" s="47">
        <v>38</v>
      </c>
      <c r="CL112" s="47">
        <v>38</v>
      </c>
      <c r="CM112" s="47">
        <v>38</v>
      </c>
      <c r="CN112" s="47">
        <v>37</v>
      </c>
      <c r="CO112" s="47">
        <v>37</v>
      </c>
      <c r="CP112" s="47">
        <v>37</v>
      </c>
      <c r="CQ112" s="47">
        <v>38</v>
      </c>
      <c r="CR112" s="47">
        <v>38</v>
      </c>
      <c r="CS112" s="47">
        <v>38</v>
      </c>
      <c r="CT112" s="47">
        <v>37</v>
      </c>
      <c r="CU112" s="47">
        <v>37</v>
      </c>
      <c r="CV112" s="47">
        <v>37</v>
      </c>
      <c r="CW112" s="47">
        <v>38</v>
      </c>
      <c r="CX112" s="47">
        <v>38</v>
      </c>
      <c r="CY112" s="47">
        <v>38</v>
      </c>
      <c r="CZ112" s="47">
        <v>37</v>
      </c>
      <c r="DA112" s="47">
        <v>37</v>
      </c>
      <c r="DB112" s="47">
        <v>37</v>
      </c>
      <c r="DC112" s="47">
        <v>38</v>
      </c>
      <c r="DD112" s="47">
        <v>38</v>
      </c>
      <c r="DE112" s="47">
        <v>38</v>
      </c>
      <c r="DF112" s="47">
        <v>37</v>
      </c>
      <c r="DG112" s="47">
        <v>70</v>
      </c>
      <c r="DH112" s="47">
        <v>37</v>
      </c>
      <c r="DI112" s="47">
        <v>38</v>
      </c>
      <c r="DJ112" s="47">
        <v>38</v>
      </c>
      <c r="DK112" s="47">
        <v>38</v>
      </c>
      <c r="DL112" s="47">
        <v>37</v>
      </c>
      <c r="DM112" s="47">
        <v>37</v>
      </c>
      <c r="DN112" s="47">
        <v>37</v>
      </c>
      <c r="DO112" s="33">
        <v>38</v>
      </c>
      <c r="DP112" s="33">
        <v>38</v>
      </c>
      <c r="DQ112" s="33">
        <v>38</v>
      </c>
      <c r="DR112" s="33">
        <v>37</v>
      </c>
      <c r="DS112" s="33">
        <v>37</v>
      </c>
      <c r="DV112" s="26"/>
      <c r="DW112" s="26"/>
      <c r="EZ112" s="26"/>
      <c r="FB112" s="26"/>
      <c r="FC112" s="26"/>
      <c r="FD112" s="26"/>
      <c r="FE112" s="26"/>
      <c r="FF112" s="26"/>
      <c r="FG112" s="26"/>
      <c r="FH112" s="26"/>
      <c r="FI112" s="26"/>
      <c r="FK112" s="26"/>
      <c r="FL112" s="26"/>
      <c r="FM112" s="26"/>
      <c r="FN112" s="26"/>
      <c r="FO112" s="26"/>
      <c r="FP112" s="26"/>
      <c r="FQ112" s="26"/>
      <c r="FR112" s="26"/>
      <c r="FS112" s="26"/>
      <c r="FT112" s="26"/>
      <c r="FU112" s="26"/>
      <c r="FV112" s="26"/>
      <c r="FW112" s="26"/>
      <c r="FX112" s="26"/>
      <c r="FY112" s="26"/>
      <c r="FZ112" s="26"/>
      <c r="GA112" s="26"/>
      <c r="GB112" s="26"/>
      <c r="GC112" s="26"/>
      <c r="GD112" s="26"/>
      <c r="GG112" s="26"/>
      <c r="GK112">
        <f>IF(ISNUMBER(EY1004),EY1004,999)</f>
        <v>999</v>
      </c>
    </row>
    <row r="113" spans="2:193" x14ac:dyDescent="0.3">
      <c r="B113" s="18" t="s">
        <v>508</v>
      </c>
      <c r="C113" s="13">
        <v>96</v>
      </c>
      <c r="D113" s="21" t="s">
        <v>509</v>
      </c>
      <c r="E113" s="24">
        <v>18</v>
      </c>
      <c r="G113" s="2">
        <f t="shared" si="33"/>
        <v>94</v>
      </c>
      <c r="H113" s="5">
        <v>5</v>
      </c>
      <c r="I113" s="13">
        <v>12</v>
      </c>
      <c r="L113" s="4"/>
      <c r="M113" s="7"/>
      <c r="O113" s="7"/>
      <c r="T113" s="7"/>
      <c r="AE113" s="7"/>
      <c r="BD113" s="26"/>
      <c r="BE113" s="26">
        <f t="shared" si="32"/>
        <v>29</v>
      </c>
      <c r="BF113">
        <v>29</v>
      </c>
      <c r="BG113">
        <v>93</v>
      </c>
      <c r="BH113" s="43">
        <v>59</v>
      </c>
      <c r="BI113" s="44">
        <v>59</v>
      </c>
      <c r="BJ113" s="44">
        <v>60</v>
      </c>
      <c r="BK113" s="44">
        <v>60</v>
      </c>
      <c r="BL113" s="44">
        <v>60</v>
      </c>
      <c r="BM113" s="44">
        <v>59</v>
      </c>
      <c r="BN113" s="44">
        <v>59</v>
      </c>
      <c r="BO113" s="44">
        <v>59</v>
      </c>
      <c r="BP113" s="44">
        <v>60</v>
      </c>
      <c r="BQ113" s="44">
        <v>60</v>
      </c>
      <c r="BR113" s="44">
        <v>60</v>
      </c>
      <c r="BS113" s="44">
        <v>59</v>
      </c>
      <c r="BT113" s="44">
        <v>59</v>
      </c>
      <c r="BU113" s="44">
        <v>59</v>
      </c>
      <c r="BV113" s="44">
        <v>60</v>
      </c>
      <c r="BW113" s="44">
        <v>60</v>
      </c>
      <c r="BX113" s="44">
        <v>60</v>
      </c>
      <c r="BY113" s="44">
        <v>59</v>
      </c>
      <c r="BZ113" s="44">
        <v>59</v>
      </c>
      <c r="CA113" s="44">
        <v>59</v>
      </c>
      <c r="CB113" s="44">
        <v>60</v>
      </c>
      <c r="CC113" s="44">
        <v>60</v>
      </c>
      <c r="CD113" s="44">
        <v>60</v>
      </c>
      <c r="CE113" s="44">
        <v>59</v>
      </c>
      <c r="CF113" s="44">
        <v>59</v>
      </c>
      <c r="CG113" s="44">
        <v>59</v>
      </c>
      <c r="CH113" s="44">
        <v>60</v>
      </c>
      <c r="CI113" s="44">
        <v>60</v>
      </c>
      <c r="CJ113" s="44">
        <v>60</v>
      </c>
      <c r="CK113" s="44">
        <v>59</v>
      </c>
      <c r="CL113" s="44">
        <v>59</v>
      </c>
      <c r="CM113" s="44">
        <v>59</v>
      </c>
      <c r="CN113" s="44">
        <v>60</v>
      </c>
      <c r="CO113" s="44">
        <v>60</v>
      </c>
      <c r="CP113" s="44">
        <v>60</v>
      </c>
      <c r="CQ113" s="44">
        <v>59</v>
      </c>
      <c r="CR113" s="44">
        <v>59</v>
      </c>
      <c r="CS113" s="44">
        <v>59</v>
      </c>
      <c r="CT113" s="44">
        <v>60</v>
      </c>
      <c r="CU113" s="44">
        <v>60</v>
      </c>
      <c r="CV113" s="44">
        <v>60</v>
      </c>
      <c r="CW113" s="44">
        <v>59</v>
      </c>
      <c r="CX113" s="44">
        <v>59</v>
      </c>
      <c r="CY113" s="44">
        <v>60</v>
      </c>
      <c r="CZ113" s="44">
        <v>57</v>
      </c>
      <c r="DA113" s="44">
        <v>57</v>
      </c>
      <c r="DB113" s="44">
        <v>63</v>
      </c>
      <c r="DC113" s="44">
        <v>59</v>
      </c>
      <c r="DD113" s="44">
        <v>58</v>
      </c>
      <c r="DE113" s="44">
        <v>59</v>
      </c>
      <c r="DF113" s="44">
        <v>59</v>
      </c>
      <c r="DG113" s="44">
        <v>29</v>
      </c>
      <c r="DH113" s="44">
        <v>60</v>
      </c>
      <c r="DI113" s="44">
        <v>59</v>
      </c>
      <c r="DJ113" s="44">
        <v>59</v>
      </c>
      <c r="DK113" s="44">
        <v>58</v>
      </c>
      <c r="DL113" s="44">
        <v>57</v>
      </c>
      <c r="DM113" s="44">
        <v>56</v>
      </c>
      <c r="DN113" s="44">
        <v>63</v>
      </c>
      <c r="DO113" s="48">
        <v>59</v>
      </c>
      <c r="DP113" s="48">
        <v>58</v>
      </c>
      <c r="DQ113" s="48">
        <v>59</v>
      </c>
      <c r="DR113" s="48">
        <v>59</v>
      </c>
      <c r="DS113" s="34">
        <v>58</v>
      </c>
      <c r="DV113" s="26"/>
      <c r="DW113" s="26"/>
      <c r="EZ113" s="26"/>
      <c r="FB113" s="26"/>
      <c r="FC113" s="26"/>
      <c r="FD113" s="26"/>
      <c r="FE113" s="26"/>
      <c r="FF113" s="26"/>
      <c r="FG113" s="26"/>
      <c r="FH113" s="26"/>
      <c r="FI113" s="26"/>
      <c r="FK113" s="26"/>
      <c r="FL113" s="26"/>
      <c r="FM113" s="26"/>
      <c r="FN113" s="26"/>
      <c r="FO113" s="26"/>
      <c r="FP113" s="26"/>
      <c r="FQ113" s="26"/>
      <c r="FR113" s="26"/>
      <c r="FS113" s="26"/>
      <c r="FT113" s="26"/>
      <c r="FU113" s="26"/>
      <c r="FV113" s="26"/>
      <c r="FW113" s="26"/>
      <c r="FX113" s="26"/>
      <c r="FY113" s="26"/>
      <c r="FZ113" s="26"/>
      <c r="GA113" s="26"/>
      <c r="GB113" s="26"/>
      <c r="GC113" s="26"/>
      <c r="GD113" s="26"/>
      <c r="GG113" s="26"/>
      <c r="GK113">
        <f>IF(ISNUMBER(EY1005),EY1005,999)</f>
        <v>999</v>
      </c>
    </row>
    <row r="114" spans="2:193" x14ac:dyDescent="0.3">
      <c r="B114" s="18" t="s">
        <v>510</v>
      </c>
      <c r="C114" s="13">
        <v>95</v>
      </c>
      <c r="D114" s="21" t="s">
        <v>511</v>
      </c>
      <c r="E114" s="24">
        <v>17</v>
      </c>
      <c r="G114" s="2">
        <f t="shared" si="33"/>
        <v>95</v>
      </c>
      <c r="H114" s="5">
        <v>5</v>
      </c>
      <c r="I114" s="13">
        <v>12</v>
      </c>
      <c r="L114" s="4"/>
      <c r="M114" s="7"/>
      <c r="O114" s="7"/>
      <c r="T114" s="7"/>
      <c r="AE114" s="7"/>
      <c r="BD114" s="26"/>
      <c r="BE114" s="26" t="str">
        <f t="shared" si="32"/>
        <v>BYE</v>
      </c>
      <c r="BF114">
        <v>100</v>
      </c>
      <c r="BG114">
        <v>94</v>
      </c>
      <c r="BH114" s="45">
        <v>70</v>
      </c>
      <c r="BI114" s="46">
        <v>70</v>
      </c>
      <c r="BJ114" s="46">
        <v>69</v>
      </c>
      <c r="BK114" s="46">
        <v>69</v>
      </c>
      <c r="BL114" s="46">
        <v>69</v>
      </c>
      <c r="BM114" s="46">
        <v>70</v>
      </c>
      <c r="BN114" s="46">
        <v>70</v>
      </c>
      <c r="BO114" s="46">
        <v>70</v>
      </c>
      <c r="BP114" s="46">
        <v>69</v>
      </c>
      <c r="BQ114" s="46">
        <v>69</v>
      </c>
      <c r="BR114" s="46">
        <v>69</v>
      </c>
      <c r="BS114" s="46">
        <v>70</v>
      </c>
      <c r="BT114" s="46">
        <v>70</v>
      </c>
      <c r="BU114" s="46">
        <v>70</v>
      </c>
      <c r="BV114" s="46">
        <v>69</v>
      </c>
      <c r="BW114" s="46">
        <v>69</v>
      </c>
      <c r="BX114" s="46">
        <v>69</v>
      </c>
      <c r="BY114" s="46">
        <v>70</v>
      </c>
      <c r="BZ114" s="46">
        <v>70</v>
      </c>
      <c r="CA114" s="46">
        <v>70</v>
      </c>
      <c r="CB114" s="46">
        <v>69</v>
      </c>
      <c r="CC114" s="46">
        <v>69</v>
      </c>
      <c r="CD114" s="46">
        <v>69</v>
      </c>
      <c r="CE114" s="46">
        <v>70</v>
      </c>
      <c r="CF114" s="46">
        <v>70</v>
      </c>
      <c r="CG114" s="46">
        <v>70</v>
      </c>
      <c r="CH114" s="46">
        <v>70</v>
      </c>
      <c r="CI114" s="46">
        <v>69</v>
      </c>
      <c r="CJ114" s="46">
        <v>70</v>
      </c>
      <c r="CK114" s="46">
        <v>70</v>
      </c>
      <c r="CL114" s="46">
        <v>74</v>
      </c>
      <c r="CM114" s="46">
        <v>71</v>
      </c>
      <c r="CN114" s="46">
        <v>72</v>
      </c>
      <c r="CO114" s="46">
        <v>70</v>
      </c>
      <c r="CP114" s="46">
        <v>70</v>
      </c>
      <c r="CQ114" s="46">
        <v>70</v>
      </c>
      <c r="CR114" s="46">
        <v>66</v>
      </c>
      <c r="CS114" s="46">
        <v>70</v>
      </c>
      <c r="CT114" s="46">
        <v>70</v>
      </c>
      <c r="CU114" s="46">
        <v>69</v>
      </c>
      <c r="CV114" s="46">
        <v>70</v>
      </c>
      <c r="CW114" s="46">
        <v>70</v>
      </c>
      <c r="CX114" s="46">
        <v>74</v>
      </c>
      <c r="CY114" s="46">
        <v>71</v>
      </c>
      <c r="CZ114" s="46">
        <v>72</v>
      </c>
      <c r="DA114" s="46">
        <v>70</v>
      </c>
      <c r="DB114" s="46">
        <v>70</v>
      </c>
      <c r="DC114" s="46">
        <v>70</v>
      </c>
      <c r="DD114" s="46">
        <v>71</v>
      </c>
      <c r="DE114" s="46">
        <v>70</v>
      </c>
      <c r="DF114" s="46">
        <v>70</v>
      </c>
      <c r="DG114" s="46" t="s">
        <v>327</v>
      </c>
      <c r="DH114" s="46">
        <v>70</v>
      </c>
      <c r="DI114" s="46">
        <v>70</v>
      </c>
      <c r="DJ114" s="46">
        <v>74</v>
      </c>
      <c r="DK114" s="46">
        <v>73</v>
      </c>
      <c r="DL114" s="46">
        <v>72</v>
      </c>
      <c r="DM114" s="46">
        <v>70</v>
      </c>
      <c r="DN114" s="46">
        <v>70</v>
      </c>
      <c r="DO114" s="49" t="s">
        <v>326</v>
      </c>
      <c r="DP114" s="49" t="s">
        <v>326</v>
      </c>
      <c r="DQ114" s="49" t="s">
        <v>326</v>
      </c>
      <c r="DR114" s="49" t="s">
        <v>326</v>
      </c>
      <c r="DS114" s="35" t="s">
        <v>326</v>
      </c>
      <c r="DV114" s="26"/>
      <c r="DW114" s="26"/>
      <c r="EZ114" s="26"/>
      <c r="FB114" s="26"/>
      <c r="FC114" s="26"/>
      <c r="FD114" s="26"/>
      <c r="FE114" s="26"/>
      <c r="FF114" s="26"/>
      <c r="FG114" s="26"/>
      <c r="FH114" s="26"/>
      <c r="FI114" s="26"/>
      <c r="FK114" s="26"/>
      <c r="FL114" s="26"/>
      <c r="FM114" s="26"/>
      <c r="FN114" s="26"/>
      <c r="FO114" s="26"/>
      <c r="FP114" s="26"/>
      <c r="FQ114" s="26"/>
      <c r="FR114" s="26"/>
      <c r="FS114" s="26"/>
      <c r="FT114" s="26"/>
      <c r="FU114" s="26"/>
      <c r="FV114" s="26"/>
      <c r="FW114" s="26"/>
      <c r="FX114" s="26"/>
      <c r="FY114" s="26"/>
      <c r="FZ114" s="26"/>
      <c r="GA114" s="26"/>
      <c r="GB114" s="26"/>
      <c r="GC114" s="26"/>
      <c r="GD114" s="26"/>
      <c r="GG114" s="26"/>
      <c r="GK114">
        <f>IF(ISNUMBER(EY1006),EY1006,999)</f>
        <v>999</v>
      </c>
    </row>
    <row r="115" spans="2:193" x14ac:dyDescent="0.3">
      <c r="B115" s="18" t="s">
        <v>512</v>
      </c>
      <c r="C115" s="13">
        <v>94</v>
      </c>
      <c r="D115" s="21" t="s">
        <v>513</v>
      </c>
      <c r="E115" s="24">
        <v>16</v>
      </c>
      <c r="G115" s="2">
        <f t="shared" si="33"/>
        <v>96</v>
      </c>
      <c r="H115" s="5">
        <v>5</v>
      </c>
      <c r="I115" s="13">
        <v>12</v>
      </c>
      <c r="L115" s="4"/>
      <c r="M115" s="7"/>
      <c r="O115" s="7"/>
      <c r="T115" s="7"/>
      <c r="AE115" s="7"/>
      <c r="BD115" s="26"/>
      <c r="BE115" s="26">
        <f t="shared" si="32"/>
        <v>38</v>
      </c>
      <c r="BF115">
        <v>38</v>
      </c>
      <c r="BG115">
        <v>95</v>
      </c>
      <c r="BH115" s="47">
        <v>122</v>
      </c>
      <c r="BI115" s="47">
        <v>123</v>
      </c>
      <c r="BJ115" s="47">
        <v>123</v>
      </c>
      <c r="BK115" s="47">
        <v>122</v>
      </c>
      <c r="BL115" s="47">
        <v>124</v>
      </c>
      <c r="BM115" s="47">
        <v>123</v>
      </c>
      <c r="BN115" s="47" t="s">
        <v>326</v>
      </c>
      <c r="BO115" s="47" t="s">
        <v>326</v>
      </c>
      <c r="BP115" s="47" t="s">
        <v>326</v>
      </c>
      <c r="BQ115" s="47" t="s">
        <v>326</v>
      </c>
      <c r="BR115" s="47" t="s">
        <v>326</v>
      </c>
      <c r="BS115" s="47" t="s">
        <v>326</v>
      </c>
      <c r="BT115" s="47" t="s">
        <v>326</v>
      </c>
      <c r="BU115" s="47" t="s">
        <v>326</v>
      </c>
      <c r="BV115" s="47" t="s">
        <v>326</v>
      </c>
      <c r="BW115" s="47" t="s">
        <v>326</v>
      </c>
      <c r="BX115" s="47" t="s">
        <v>326</v>
      </c>
      <c r="BY115" s="47" t="s">
        <v>326</v>
      </c>
      <c r="BZ115" s="47" t="s">
        <v>326</v>
      </c>
      <c r="CA115" s="47" t="s">
        <v>326</v>
      </c>
      <c r="CB115" s="47" t="s">
        <v>326</v>
      </c>
      <c r="CC115" s="47" t="s">
        <v>326</v>
      </c>
      <c r="CD115" s="47" t="s">
        <v>326</v>
      </c>
      <c r="CE115" s="47" t="s">
        <v>326</v>
      </c>
      <c r="CF115" s="47" t="s">
        <v>326</v>
      </c>
      <c r="CG115" s="47" t="s">
        <v>326</v>
      </c>
      <c r="CH115" s="47" t="s">
        <v>326</v>
      </c>
      <c r="CI115" s="47" t="s">
        <v>326</v>
      </c>
      <c r="CJ115" s="47" t="s">
        <v>326</v>
      </c>
      <c r="CK115" s="47" t="s">
        <v>326</v>
      </c>
      <c r="CL115" s="47" t="s">
        <v>326</v>
      </c>
      <c r="CM115" s="47" t="s">
        <v>326</v>
      </c>
      <c r="CN115" s="47" t="s">
        <v>326</v>
      </c>
      <c r="CO115" s="47" t="s">
        <v>326</v>
      </c>
      <c r="CP115" s="47" t="s">
        <v>326</v>
      </c>
      <c r="CQ115" s="47" t="s">
        <v>326</v>
      </c>
      <c r="CR115" s="47" t="s">
        <v>326</v>
      </c>
      <c r="CS115" s="47" t="s">
        <v>326</v>
      </c>
      <c r="CT115" s="47" t="s">
        <v>326</v>
      </c>
      <c r="CU115" s="47" t="s">
        <v>326</v>
      </c>
      <c r="CV115" s="47" t="s">
        <v>326</v>
      </c>
      <c r="CW115" s="47" t="s">
        <v>326</v>
      </c>
      <c r="CX115" s="47" t="s">
        <v>326</v>
      </c>
      <c r="CY115" s="47" t="s">
        <v>326</v>
      </c>
      <c r="CZ115" s="47" t="s">
        <v>326</v>
      </c>
      <c r="DA115" s="47" t="s">
        <v>326</v>
      </c>
      <c r="DB115" s="47" t="s">
        <v>326</v>
      </c>
      <c r="DC115" s="47" t="s">
        <v>326</v>
      </c>
      <c r="DD115" s="47" t="s">
        <v>326</v>
      </c>
      <c r="DE115" s="47" t="s">
        <v>326</v>
      </c>
      <c r="DF115" s="47" t="s">
        <v>326</v>
      </c>
      <c r="DG115" s="47" t="s">
        <v>327</v>
      </c>
      <c r="DH115" s="47" t="s">
        <v>326</v>
      </c>
      <c r="DI115" s="47" t="s">
        <v>326</v>
      </c>
      <c r="DJ115" s="47" t="s">
        <v>326</v>
      </c>
      <c r="DK115" s="47" t="s">
        <v>326</v>
      </c>
      <c r="DL115" s="47" t="s">
        <v>326</v>
      </c>
      <c r="DM115" s="47" t="s">
        <v>326</v>
      </c>
      <c r="DN115" s="47" t="s">
        <v>326</v>
      </c>
      <c r="DO115" s="33" t="s">
        <v>326</v>
      </c>
      <c r="DP115" s="33" t="s">
        <v>326</v>
      </c>
      <c r="DQ115" s="33" t="s">
        <v>326</v>
      </c>
      <c r="DR115" s="33" t="s">
        <v>326</v>
      </c>
      <c r="DS115" s="33" t="s">
        <v>326</v>
      </c>
      <c r="DV115" s="26"/>
      <c r="DW115" s="26"/>
      <c r="EZ115" s="26"/>
      <c r="FB115" s="26"/>
      <c r="FC115" s="26"/>
      <c r="FD115" s="26"/>
      <c r="FE115" s="26"/>
      <c r="FF115" s="26"/>
      <c r="FG115" s="26"/>
      <c r="FH115" s="26"/>
      <c r="FI115" s="26"/>
      <c r="FK115" s="26"/>
      <c r="FL115" s="26"/>
      <c r="FM115" s="26"/>
      <c r="FN115" s="26"/>
      <c r="FO115" s="26"/>
      <c r="FP115" s="26"/>
      <c r="FQ115" s="26"/>
      <c r="FR115" s="26"/>
      <c r="FS115" s="26"/>
      <c r="FT115" s="26"/>
      <c r="FU115" s="26"/>
      <c r="FV115" s="26"/>
      <c r="FW115" s="26"/>
      <c r="FX115" s="26"/>
      <c r="FY115" s="26"/>
      <c r="FZ115" s="26"/>
      <c r="GA115" s="26"/>
      <c r="GB115" s="26"/>
      <c r="GC115" s="26"/>
      <c r="GD115" s="26"/>
      <c r="GG115" s="26"/>
      <c r="GJ115">
        <f>GJ111+1</f>
        <v>29</v>
      </c>
      <c r="GK115" t="str">
        <f>IF(Grps&gt;GJ111,GJ115,"")</f>
        <v/>
      </c>
    </row>
    <row r="116" spans="2:193" x14ac:dyDescent="0.3">
      <c r="B116" s="18" t="s">
        <v>514</v>
      </c>
      <c r="C116" s="13">
        <v>93</v>
      </c>
      <c r="D116" s="21" t="s">
        <v>515</v>
      </c>
      <c r="E116" s="24">
        <v>15</v>
      </c>
      <c r="G116" s="2">
        <f t="shared" si="33"/>
        <v>97</v>
      </c>
      <c r="H116" s="5">
        <v>5</v>
      </c>
      <c r="I116" s="13">
        <v>12</v>
      </c>
      <c r="L116" s="4"/>
      <c r="M116" s="7"/>
      <c r="O116" s="7"/>
      <c r="T116" s="7"/>
      <c r="AE116" s="7"/>
      <c r="BD116" s="26"/>
      <c r="BE116" s="26" t="str">
        <f t="shared" si="32"/>
        <v>BYE</v>
      </c>
      <c r="BF116">
        <v>91</v>
      </c>
      <c r="BG116">
        <v>96</v>
      </c>
      <c r="BH116" s="47">
        <v>6</v>
      </c>
      <c r="BI116" s="47">
        <v>6</v>
      </c>
      <c r="BJ116" s="47">
        <v>6</v>
      </c>
      <c r="BK116" s="47">
        <v>6</v>
      </c>
      <c r="BL116" s="47">
        <v>6</v>
      </c>
      <c r="BM116" s="47">
        <v>6</v>
      </c>
      <c r="BN116" s="47">
        <v>6</v>
      </c>
      <c r="BO116" s="47">
        <v>6</v>
      </c>
      <c r="BP116" s="47">
        <v>6</v>
      </c>
      <c r="BQ116" s="47">
        <v>6</v>
      </c>
      <c r="BR116" s="47">
        <v>6</v>
      </c>
      <c r="BS116" s="47">
        <v>6</v>
      </c>
      <c r="BT116" s="47">
        <v>6</v>
      </c>
      <c r="BU116" s="47">
        <v>6</v>
      </c>
      <c r="BV116" s="47">
        <v>6</v>
      </c>
      <c r="BW116" s="47">
        <v>6</v>
      </c>
      <c r="BX116" s="47">
        <v>6</v>
      </c>
      <c r="BY116" s="47">
        <v>6</v>
      </c>
      <c r="BZ116" s="47">
        <v>6</v>
      </c>
      <c r="CA116" s="47">
        <v>6</v>
      </c>
      <c r="CB116" s="47">
        <v>6</v>
      </c>
      <c r="CC116" s="47">
        <v>6</v>
      </c>
      <c r="CD116" s="47">
        <v>6</v>
      </c>
      <c r="CE116" s="47">
        <v>6</v>
      </c>
      <c r="CF116" s="47">
        <v>6</v>
      </c>
      <c r="CG116" s="47">
        <v>6</v>
      </c>
      <c r="CH116" s="47">
        <v>6</v>
      </c>
      <c r="CI116" s="47">
        <v>6</v>
      </c>
      <c r="CJ116" s="47">
        <v>6</v>
      </c>
      <c r="CK116" s="47">
        <v>6</v>
      </c>
      <c r="CL116" s="47">
        <v>6</v>
      </c>
      <c r="CM116" s="47">
        <v>6</v>
      </c>
      <c r="CN116" s="47">
        <v>6</v>
      </c>
      <c r="CO116" s="47">
        <v>6</v>
      </c>
      <c r="CP116" s="47">
        <v>6</v>
      </c>
      <c r="CQ116" s="47">
        <v>6</v>
      </c>
      <c r="CR116" s="47">
        <v>6</v>
      </c>
      <c r="CS116" s="47">
        <v>6</v>
      </c>
      <c r="CT116" s="47">
        <v>6</v>
      </c>
      <c r="CU116" s="47">
        <v>6</v>
      </c>
      <c r="CV116" s="47">
        <v>6</v>
      </c>
      <c r="CW116" s="47">
        <v>6</v>
      </c>
      <c r="CX116" s="47">
        <v>6</v>
      </c>
      <c r="CY116" s="47">
        <v>6</v>
      </c>
      <c r="CZ116" s="47">
        <v>6</v>
      </c>
      <c r="DA116" s="47">
        <v>6</v>
      </c>
      <c r="DB116" s="47">
        <v>6</v>
      </c>
      <c r="DC116" s="47">
        <v>6</v>
      </c>
      <c r="DD116" s="47">
        <v>6</v>
      </c>
      <c r="DE116" s="47">
        <v>6</v>
      </c>
      <c r="DF116" s="47">
        <v>6</v>
      </c>
      <c r="DG116" s="47">
        <v>37</v>
      </c>
      <c r="DH116" s="47">
        <v>6</v>
      </c>
      <c r="DI116" s="47">
        <v>6</v>
      </c>
      <c r="DJ116" s="47">
        <v>6</v>
      </c>
      <c r="DK116" s="47">
        <v>6</v>
      </c>
      <c r="DL116" s="47">
        <v>6</v>
      </c>
      <c r="DM116" s="47">
        <v>6</v>
      </c>
      <c r="DN116" s="47">
        <v>6</v>
      </c>
      <c r="DO116" s="33">
        <v>6</v>
      </c>
      <c r="DP116" s="33">
        <v>6</v>
      </c>
      <c r="DQ116" s="33">
        <v>6</v>
      </c>
      <c r="DR116" s="33">
        <v>6</v>
      </c>
      <c r="DS116" s="33">
        <v>6</v>
      </c>
      <c r="DV116" s="26"/>
      <c r="DW116" s="26"/>
      <c r="EZ116" s="26"/>
      <c r="FB116" s="26"/>
      <c r="FC116" s="26"/>
      <c r="FD116" s="26"/>
      <c r="FE116" s="26"/>
      <c r="FF116" s="26"/>
      <c r="FG116" s="26"/>
      <c r="FH116" s="26"/>
      <c r="FI116" s="26"/>
      <c r="FK116" s="26"/>
      <c r="FL116" s="26"/>
      <c r="FM116" s="26"/>
      <c r="FN116" s="26"/>
      <c r="FO116" s="26"/>
      <c r="FP116" s="26"/>
      <c r="FQ116" s="26"/>
      <c r="FR116" s="26"/>
      <c r="FS116" s="26"/>
      <c r="FT116" s="26"/>
      <c r="FU116" s="26"/>
      <c r="FV116" s="26"/>
      <c r="FW116" s="26"/>
      <c r="FX116" s="26"/>
      <c r="FY116" s="26"/>
      <c r="FZ116" s="26"/>
      <c r="GA116" s="26"/>
      <c r="GB116" s="26"/>
      <c r="GC116" s="26"/>
      <c r="GD116" s="26"/>
      <c r="GG116" s="26"/>
      <c r="GH116">
        <v>5</v>
      </c>
      <c r="GK116">
        <f>IF(ISNUMBER(EY1041),EY1041,999)</f>
        <v>999</v>
      </c>
    </row>
    <row r="117" spans="2:193" x14ac:dyDescent="0.3">
      <c r="B117" s="18" t="s">
        <v>516</v>
      </c>
      <c r="C117" s="13">
        <v>92</v>
      </c>
      <c r="D117" s="21" t="s">
        <v>517</v>
      </c>
      <c r="E117" s="24">
        <v>14</v>
      </c>
      <c r="G117" s="2">
        <f t="shared" si="33"/>
        <v>98</v>
      </c>
      <c r="H117" s="5">
        <v>5</v>
      </c>
      <c r="I117" s="13">
        <v>12</v>
      </c>
      <c r="L117" s="4"/>
      <c r="M117" s="7"/>
      <c r="O117" s="7"/>
      <c r="T117" s="7"/>
      <c r="AE117" s="7"/>
      <c r="BD117" s="26"/>
      <c r="BE117" s="26">
        <f t="shared" si="32"/>
        <v>10</v>
      </c>
      <c r="BF117">
        <v>10</v>
      </c>
      <c r="BG117">
        <v>97</v>
      </c>
      <c r="BH117" s="43">
        <v>7</v>
      </c>
      <c r="BI117" s="44">
        <v>7</v>
      </c>
      <c r="BJ117" s="44">
        <v>7</v>
      </c>
      <c r="BK117" s="44">
        <v>7</v>
      </c>
      <c r="BL117" s="44">
        <v>7</v>
      </c>
      <c r="BM117" s="44">
        <v>7</v>
      </c>
      <c r="BN117" s="44">
        <v>7</v>
      </c>
      <c r="BO117" s="44">
        <v>7</v>
      </c>
      <c r="BP117" s="44">
        <v>7</v>
      </c>
      <c r="BQ117" s="44">
        <v>7</v>
      </c>
      <c r="BR117" s="44">
        <v>7</v>
      </c>
      <c r="BS117" s="44">
        <v>7</v>
      </c>
      <c r="BT117" s="44">
        <v>7</v>
      </c>
      <c r="BU117" s="44">
        <v>7</v>
      </c>
      <c r="BV117" s="44">
        <v>7</v>
      </c>
      <c r="BW117" s="44">
        <v>7</v>
      </c>
      <c r="BX117" s="44">
        <v>7</v>
      </c>
      <c r="BY117" s="44">
        <v>7</v>
      </c>
      <c r="BZ117" s="44">
        <v>7</v>
      </c>
      <c r="CA117" s="44">
        <v>7</v>
      </c>
      <c r="CB117" s="44">
        <v>7</v>
      </c>
      <c r="CC117" s="44">
        <v>7</v>
      </c>
      <c r="CD117" s="44">
        <v>7</v>
      </c>
      <c r="CE117" s="44">
        <v>7</v>
      </c>
      <c r="CF117" s="44">
        <v>7</v>
      </c>
      <c r="CG117" s="44">
        <v>7</v>
      </c>
      <c r="CH117" s="44">
        <v>7</v>
      </c>
      <c r="CI117" s="44">
        <v>7</v>
      </c>
      <c r="CJ117" s="44">
        <v>7</v>
      </c>
      <c r="CK117" s="44">
        <v>7</v>
      </c>
      <c r="CL117" s="44">
        <v>7</v>
      </c>
      <c r="CM117" s="44">
        <v>7</v>
      </c>
      <c r="CN117" s="44">
        <v>7</v>
      </c>
      <c r="CO117" s="44">
        <v>7</v>
      </c>
      <c r="CP117" s="44">
        <v>7</v>
      </c>
      <c r="CQ117" s="44">
        <v>7</v>
      </c>
      <c r="CR117" s="44">
        <v>7</v>
      </c>
      <c r="CS117" s="44">
        <v>7</v>
      </c>
      <c r="CT117" s="44">
        <v>7</v>
      </c>
      <c r="CU117" s="44">
        <v>7</v>
      </c>
      <c r="CV117" s="44">
        <v>7</v>
      </c>
      <c r="CW117" s="44">
        <v>7</v>
      </c>
      <c r="CX117" s="44">
        <v>7</v>
      </c>
      <c r="CY117" s="44">
        <v>7</v>
      </c>
      <c r="CZ117" s="44">
        <v>7</v>
      </c>
      <c r="DA117" s="44">
        <v>7</v>
      </c>
      <c r="DB117" s="44">
        <v>7</v>
      </c>
      <c r="DC117" s="44">
        <v>7</v>
      </c>
      <c r="DD117" s="44">
        <v>7</v>
      </c>
      <c r="DE117" s="44">
        <v>7</v>
      </c>
      <c r="DF117" s="44">
        <v>7</v>
      </c>
      <c r="DG117" s="44">
        <v>10</v>
      </c>
      <c r="DH117" s="44">
        <v>7</v>
      </c>
      <c r="DI117" s="44">
        <v>7</v>
      </c>
      <c r="DJ117" s="44">
        <v>7</v>
      </c>
      <c r="DK117" s="44">
        <v>7</v>
      </c>
      <c r="DL117" s="44">
        <v>7</v>
      </c>
      <c r="DM117" s="44">
        <v>7</v>
      </c>
      <c r="DN117" s="44">
        <v>7</v>
      </c>
      <c r="DO117" s="48">
        <v>7</v>
      </c>
      <c r="DP117" s="48">
        <v>7</v>
      </c>
      <c r="DQ117" s="48">
        <v>7</v>
      </c>
      <c r="DR117" s="48">
        <v>7</v>
      </c>
      <c r="DS117" s="34">
        <v>7</v>
      </c>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Z117" s="26"/>
      <c r="FB117" s="26"/>
      <c r="FC117" s="26"/>
      <c r="FD117" s="26"/>
      <c r="FE117" s="26"/>
      <c r="FF117" s="26"/>
      <c r="FG117" s="26"/>
      <c r="FH117" s="26"/>
      <c r="FI117" s="26"/>
      <c r="FK117" s="26"/>
      <c r="FL117" s="26"/>
      <c r="FM117" s="26"/>
      <c r="FN117" s="26"/>
      <c r="FO117" s="26"/>
      <c r="FP117" s="26"/>
      <c r="FQ117" s="26"/>
      <c r="FR117" s="26"/>
      <c r="FS117" s="26"/>
      <c r="FT117" s="26"/>
      <c r="FU117" s="26"/>
      <c r="FV117" s="26"/>
      <c r="FW117" s="26"/>
      <c r="FX117" s="26"/>
      <c r="FY117" s="26"/>
      <c r="FZ117" s="26"/>
      <c r="GA117" s="26"/>
      <c r="GB117" s="26"/>
      <c r="GC117" s="26"/>
      <c r="GD117" s="26"/>
      <c r="GG117" s="26"/>
      <c r="GK117">
        <f>IF(ISNUMBER(EY1042),EY1042,999)</f>
        <v>999</v>
      </c>
    </row>
    <row r="118" spans="2:193" x14ac:dyDescent="0.3">
      <c r="B118" s="18" t="s">
        <v>518</v>
      </c>
      <c r="C118" s="13">
        <v>1</v>
      </c>
      <c r="D118" s="21" t="s">
        <v>519</v>
      </c>
      <c r="E118" s="24">
        <v>13</v>
      </c>
      <c r="G118" s="2">
        <f t="shared" si="33"/>
        <v>99</v>
      </c>
      <c r="H118" s="5">
        <v>5</v>
      </c>
      <c r="I118" s="13">
        <v>12</v>
      </c>
      <c r="L118" s="4"/>
      <c r="M118" s="7"/>
      <c r="O118" s="7"/>
      <c r="T118" s="7"/>
      <c r="AE118" s="7"/>
      <c r="BD118" s="26"/>
      <c r="BE118" s="26" t="str">
        <f t="shared" si="32"/>
        <v>BYE</v>
      </c>
      <c r="BF118">
        <v>119</v>
      </c>
      <c r="BG118">
        <v>98</v>
      </c>
      <c r="BH118" s="45">
        <v>123</v>
      </c>
      <c r="BI118" s="46">
        <v>122</v>
      </c>
      <c r="BJ118" s="46">
        <v>122</v>
      </c>
      <c r="BK118" s="46">
        <v>123</v>
      </c>
      <c r="BL118" s="46">
        <v>122</v>
      </c>
      <c r="BM118" s="46">
        <v>122</v>
      </c>
      <c r="BN118" s="46">
        <v>118</v>
      </c>
      <c r="BO118" s="46">
        <v>120</v>
      </c>
      <c r="BP118" s="46" t="s">
        <v>326</v>
      </c>
      <c r="BQ118" s="46" t="s">
        <v>326</v>
      </c>
      <c r="BR118" s="46" t="s">
        <v>326</v>
      </c>
      <c r="BS118" s="46" t="s">
        <v>326</v>
      </c>
      <c r="BT118" s="46" t="s">
        <v>326</v>
      </c>
      <c r="BU118" s="46" t="s">
        <v>326</v>
      </c>
      <c r="BV118" s="46" t="s">
        <v>326</v>
      </c>
      <c r="BW118" s="46" t="s">
        <v>326</v>
      </c>
      <c r="BX118" s="46" t="s">
        <v>326</v>
      </c>
      <c r="BY118" s="46" t="s">
        <v>326</v>
      </c>
      <c r="BZ118" s="46" t="s">
        <v>326</v>
      </c>
      <c r="CA118" s="46" t="s">
        <v>326</v>
      </c>
      <c r="CB118" s="46" t="s">
        <v>326</v>
      </c>
      <c r="CC118" s="46" t="s">
        <v>326</v>
      </c>
      <c r="CD118" s="46" t="s">
        <v>326</v>
      </c>
      <c r="CE118" s="46" t="s">
        <v>326</v>
      </c>
      <c r="CF118" s="46" t="s">
        <v>326</v>
      </c>
      <c r="CG118" s="46" t="s">
        <v>326</v>
      </c>
      <c r="CH118" s="46" t="s">
        <v>326</v>
      </c>
      <c r="CI118" s="46" t="s">
        <v>326</v>
      </c>
      <c r="CJ118" s="46" t="s">
        <v>326</v>
      </c>
      <c r="CK118" s="46" t="s">
        <v>326</v>
      </c>
      <c r="CL118" s="46" t="s">
        <v>326</v>
      </c>
      <c r="CM118" s="46" t="s">
        <v>326</v>
      </c>
      <c r="CN118" s="46" t="s">
        <v>326</v>
      </c>
      <c r="CO118" s="46" t="s">
        <v>326</v>
      </c>
      <c r="CP118" s="46" t="s">
        <v>326</v>
      </c>
      <c r="CQ118" s="46" t="s">
        <v>326</v>
      </c>
      <c r="CR118" s="46" t="s">
        <v>326</v>
      </c>
      <c r="CS118" s="46" t="s">
        <v>326</v>
      </c>
      <c r="CT118" s="46" t="s">
        <v>326</v>
      </c>
      <c r="CU118" s="46" t="s">
        <v>326</v>
      </c>
      <c r="CV118" s="46" t="s">
        <v>326</v>
      </c>
      <c r="CW118" s="46" t="s">
        <v>326</v>
      </c>
      <c r="CX118" s="46" t="s">
        <v>326</v>
      </c>
      <c r="CY118" s="46" t="s">
        <v>326</v>
      </c>
      <c r="CZ118" s="46" t="s">
        <v>326</v>
      </c>
      <c r="DA118" s="46" t="s">
        <v>326</v>
      </c>
      <c r="DB118" s="46" t="s">
        <v>326</v>
      </c>
      <c r="DC118" s="46" t="s">
        <v>326</v>
      </c>
      <c r="DD118" s="46" t="s">
        <v>326</v>
      </c>
      <c r="DE118" s="46" t="s">
        <v>326</v>
      </c>
      <c r="DF118" s="46" t="s">
        <v>326</v>
      </c>
      <c r="DG118" s="46" t="s">
        <v>327</v>
      </c>
      <c r="DH118" s="46" t="s">
        <v>326</v>
      </c>
      <c r="DI118" s="46" t="s">
        <v>326</v>
      </c>
      <c r="DJ118" s="46" t="s">
        <v>326</v>
      </c>
      <c r="DK118" s="46" t="s">
        <v>326</v>
      </c>
      <c r="DL118" s="46" t="s">
        <v>326</v>
      </c>
      <c r="DM118" s="46" t="s">
        <v>326</v>
      </c>
      <c r="DN118" s="46" t="s">
        <v>326</v>
      </c>
      <c r="DO118" s="49" t="s">
        <v>326</v>
      </c>
      <c r="DP118" s="49" t="s">
        <v>326</v>
      </c>
      <c r="DQ118" s="49" t="s">
        <v>326</v>
      </c>
      <c r="DR118" s="49" t="s">
        <v>326</v>
      </c>
      <c r="DS118" s="35" t="s">
        <v>326</v>
      </c>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Z118" s="26"/>
      <c r="FB118" s="26"/>
      <c r="FC118" s="26"/>
      <c r="FD118" s="26"/>
      <c r="FE118" s="26"/>
      <c r="FF118" s="26"/>
      <c r="FG118" s="26"/>
      <c r="FH118" s="26"/>
      <c r="FI118" s="26"/>
      <c r="FK118" s="26"/>
      <c r="FL118" s="26"/>
      <c r="FM118" s="26"/>
      <c r="FN118" s="26"/>
      <c r="FO118" s="26"/>
      <c r="FP118" s="26"/>
      <c r="FQ118" s="26"/>
      <c r="FR118" s="26"/>
      <c r="FS118" s="26"/>
      <c r="FT118" s="26"/>
      <c r="FU118" s="26"/>
      <c r="FV118" s="26"/>
      <c r="FW118" s="26"/>
      <c r="FX118" s="26"/>
      <c r="FY118" s="26"/>
      <c r="FZ118" s="26"/>
      <c r="GA118" s="26"/>
      <c r="GB118" s="26"/>
      <c r="GC118" s="26"/>
      <c r="GD118" s="26"/>
      <c r="GG118" s="26"/>
      <c r="GK118">
        <f>IF(ISNUMBER(EY1043),EY1043,999)</f>
        <v>999</v>
      </c>
    </row>
    <row r="119" spans="2:193" x14ac:dyDescent="0.3">
      <c r="B119" s="18" t="s">
        <v>520</v>
      </c>
      <c r="C119" s="13">
        <v>10</v>
      </c>
      <c r="D119" s="21" t="s">
        <v>521</v>
      </c>
      <c r="E119" s="24">
        <v>12</v>
      </c>
      <c r="G119" s="2">
        <f t="shared" si="33"/>
        <v>100</v>
      </c>
      <c r="H119" s="5">
        <v>3</v>
      </c>
      <c r="I119" s="13">
        <v>15</v>
      </c>
      <c r="L119" s="4"/>
      <c r="M119" s="7"/>
      <c r="O119" s="7"/>
      <c r="T119" s="7"/>
      <c r="AE119" s="7"/>
      <c r="BD119" s="26"/>
      <c r="BE119" s="26">
        <f t="shared" si="32"/>
        <v>55</v>
      </c>
      <c r="BF119">
        <v>55</v>
      </c>
      <c r="BG119">
        <v>99</v>
      </c>
      <c r="BH119" s="47">
        <v>71</v>
      </c>
      <c r="BI119" s="47">
        <v>71</v>
      </c>
      <c r="BJ119" s="47">
        <v>72</v>
      </c>
      <c r="BK119" s="47">
        <v>72</v>
      </c>
      <c r="BL119" s="47">
        <v>72</v>
      </c>
      <c r="BM119" s="47">
        <v>71</v>
      </c>
      <c r="BN119" s="47">
        <v>71</v>
      </c>
      <c r="BO119" s="47">
        <v>71</v>
      </c>
      <c r="BP119" s="47">
        <v>72</v>
      </c>
      <c r="BQ119" s="47">
        <v>72</v>
      </c>
      <c r="BR119" s="47">
        <v>72</v>
      </c>
      <c r="BS119" s="47">
        <v>71</v>
      </c>
      <c r="BT119" s="47">
        <v>71</v>
      </c>
      <c r="BU119" s="47">
        <v>71</v>
      </c>
      <c r="BV119" s="47">
        <v>72</v>
      </c>
      <c r="BW119" s="47">
        <v>72</v>
      </c>
      <c r="BX119" s="47">
        <v>72</v>
      </c>
      <c r="BY119" s="47">
        <v>71</v>
      </c>
      <c r="BZ119" s="47">
        <v>71</v>
      </c>
      <c r="CA119" s="47">
        <v>71</v>
      </c>
      <c r="CB119" s="47">
        <v>72</v>
      </c>
      <c r="CC119" s="47">
        <v>72</v>
      </c>
      <c r="CD119" s="47">
        <v>72</v>
      </c>
      <c r="CE119" s="47">
        <v>71</v>
      </c>
      <c r="CF119" s="47">
        <v>71</v>
      </c>
      <c r="CG119" s="47">
        <v>71</v>
      </c>
      <c r="CH119" s="47">
        <v>71</v>
      </c>
      <c r="CI119" s="47">
        <v>73</v>
      </c>
      <c r="CJ119" s="47">
        <v>72</v>
      </c>
      <c r="CK119" s="47">
        <v>71</v>
      </c>
      <c r="CL119" s="47">
        <v>71</v>
      </c>
      <c r="CM119" s="47">
        <v>70</v>
      </c>
      <c r="CN119" s="47">
        <v>69</v>
      </c>
      <c r="CO119" s="47">
        <v>68</v>
      </c>
      <c r="CP119" s="47">
        <v>67</v>
      </c>
      <c r="CQ119" s="47">
        <v>71</v>
      </c>
      <c r="CR119" s="47">
        <v>75</v>
      </c>
      <c r="CS119" s="47">
        <v>71</v>
      </c>
      <c r="CT119" s="47">
        <v>71</v>
      </c>
      <c r="CU119" s="47">
        <v>73</v>
      </c>
      <c r="CV119" s="47">
        <v>72</v>
      </c>
      <c r="CW119" s="47">
        <v>71</v>
      </c>
      <c r="CX119" s="47">
        <v>71</v>
      </c>
      <c r="CY119" s="47">
        <v>70</v>
      </c>
      <c r="CZ119" s="47">
        <v>69</v>
      </c>
      <c r="DA119" s="47">
        <v>68</v>
      </c>
      <c r="DB119" s="47">
        <v>71</v>
      </c>
      <c r="DC119" s="47">
        <v>71</v>
      </c>
      <c r="DD119" s="47">
        <v>70</v>
      </c>
      <c r="DE119" s="47">
        <v>71</v>
      </c>
      <c r="DF119" s="47">
        <v>71</v>
      </c>
      <c r="DG119" s="47">
        <v>55</v>
      </c>
      <c r="DH119" s="47">
        <v>72</v>
      </c>
      <c r="DI119" s="47">
        <v>71</v>
      </c>
      <c r="DJ119" s="47">
        <v>71</v>
      </c>
      <c r="DK119" s="47">
        <v>70</v>
      </c>
      <c r="DL119" s="47">
        <v>69</v>
      </c>
      <c r="DM119" s="47">
        <v>69</v>
      </c>
      <c r="DN119" s="47" t="s">
        <v>326</v>
      </c>
      <c r="DO119" s="33" t="s">
        <v>326</v>
      </c>
      <c r="DP119" s="33" t="s">
        <v>326</v>
      </c>
      <c r="DQ119" s="33" t="s">
        <v>326</v>
      </c>
      <c r="DR119" s="33" t="s">
        <v>326</v>
      </c>
      <c r="DS119" s="33" t="s">
        <v>326</v>
      </c>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Z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c r="GA119" s="26"/>
      <c r="GB119" s="26"/>
      <c r="GC119" s="26"/>
      <c r="GD119" s="26"/>
      <c r="GG119" s="26"/>
      <c r="GJ119">
        <f>GJ115+1</f>
        <v>30</v>
      </c>
      <c r="GK119" t="str">
        <f>IF(Grps&gt;GJ115,GJ119,"")</f>
        <v/>
      </c>
    </row>
    <row r="120" spans="2:193" x14ac:dyDescent="0.3">
      <c r="B120" s="18" t="s">
        <v>522</v>
      </c>
      <c r="C120" s="13">
        <v>11</v>
      </c>
      <c r="D120" s="21" t="s">
        <v>523</v>
      </c>
      <c r="E120" s="24">
        <v>11</v>
      </c>
      <c r="G120" s="2">
        <f t="shared" si="33"/>
        <v>101</v>
      </c>
      <c r="H120" s="5">
        <v>3</v>
      </c>
      <c r="I120" s="13">
        <v>15</v>
      </c>
      <c r="L120" s="4"/>
      <c r="M120" s="7"/>
      <c r="O120" s="7"/>
      <c r="AE120" s="7"/>
      <c r="BD120" s="26"/>
      <c r="BE120" s="26" t="str">
        <f t="shared" si="32"/>
        <v>BYE</v>
      </c>
      <c r="BF120">
        <v>74</v>
      </c>
      <c r="BG120">
        <v>100</v>
      </c>
      <c r="BH120" s="47">
        <v>58</v>
      </c>
      <c r="BI120" s="47">
        <v>58</v>
      </c>
      <c r="BJ120" s="47">
        <v>57</v>
      </c>
      <c r="BK120" s="47">
        <v>57</v>
      </c>
      <c r="BL120" s="47">
        <v>57</v>
      </c>
      <c r="BM120" s="47">
        <v>58</v>
      </c>
      <c r="BN120" s="47">
        <v>58</v>
      </c>
      <c r="BO120" s="47">
        <v>58</v>
      </c>
      <c r="BP120" s="47">
        <v>57</v>
      </c>
      <c r="BQ120" s="47">
        <v>57</v>
      </c>
      <c r="BR120" s="47">
        <v>57</v>
      </c>
      <c r="BS120" s="47">
        <v>58</v>
      </c>
      <c r="BT120" s="47">
        <v>58</v>
      </c>
      <c r="BU120" s="47">
        <v>58</v>
      </c>
      <c r="BV120" s="47">
        <v>57</v>
      </c>
      <c r="BW120" s="47">
        <v>57</v>
      </c>
      <c r="BX120" s="47">
        <v>57</v>
      </c>
      <c r="BY120" s="47">
        <v>58</v>
      </c>
      <c r="BZ120" s="47">
        <v>58</v>
      </c>
      <c r="CA120" s="47">
        <v>58</v>
      </c>
      <c r="CB120" s="47">
        <v>57</v>
      </c>
      <c r="CC120" s="47">
        <v>57</v>
      </c>
      <c r="CD120" s="47">
        <v>57</v>
      </c>
      <c r="CE120" s="47">
        <v>58</v>
      </c>
      <c r="CF120" s="47">
        <v>58</v>
      </c>
      <c r="CG120" s="47">
        <v>58</v>
      </c>
      <c r="CH120" s="47">
        <v>57</v>
      </c>
      <c r="CI120" s="47">
        <v>57</v>
      </c>
      <c r="CJ120" s="47">
        <v>57</v>
      </c>
      <c r="CK120" s="47">
        <v>58</v>
      </c>
      <c r="CL120" s="47">
        <v>58</v>
      </c>
      <c r="CM120" s="47">
        <v>58</v>
      </c>
      <c r="CN120" s="47">
        <v>57</v>
      </c>
      <c r="CO120" s="47">
        <v>57</v>
      </c>
      <c r="CP120" s="47">
        <v>57</v>
      </c>
      <c r="CQ120" s="47">
        <v>58</v>
      </c>
      <c r="CR120" s="47">
        <v>58</v>
      </c>
      <c r="CS120" s="47">
        <v>58</v>
      </c>
      <c r="CT120" s="47">
        <v>57</v>
      </c>
      <c r="CU120" s="47">
        <v>57</v>
      </c>
      <c r="CV120" s="47">
        <v>57</v>
      </c>
      <c r="CW120" s="47">
        <v>58</v>
      </c>
      <c r="CX120" s="47">
        <v>58</v>
      </c>
      <c r="CY120" s="47">
        <v>58</v>
      </c>
      <c r="CZ120" s="47">
        <v>60</v>
      </c>
      <c r="DA120" s="47">
        <v>58</v>
      </c>
      <c r="DB120" s="47">
        <v>58</v>
      </c>
      <c r="DC120" s="47">
        <v>58</v>
      </c>
      <c r="DD120" s="47">
        <v>59</v>
      </c>
      <c r="DE120" s="47">
        <v>58</v>
      </c>
      <c r="DF120" s="47">
        <v>58</v>
      </c>
      <c r="DG120" s="47">
        <v>74</v>
      </c>
      <c r="DH120" s="47">
        <v>58</v>
      </c>
      <c r="DI120" s="47">
        <v>58</v>
      </c>
      <c r="DJ120" s="47">
        <v>54</v>
      </c>
      <c r="DK120" s="47">
        <v>59</v>
      </c>
      <c r="DL120" s="47">
        <v>60</v>
      </c>
      <c r="DM120" s="47">
        <v>58</v>
      </c>
      <c r="DN120" s="47">
        <v>58</v>
      </c>
      <c r="DO120" s="33">
        <v>58</v>
      </c>
      <c r="DP120" s="33">
        <v>59</v>
      </c>
      <c r="DQ120" s="33">
        <v>58</v>
      </c>
      <c r="DR120" s="33">
        <v>58</v>
      </c>
      <c r="DS120" s="33">
        <v>59</v>
      </c>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Z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c r="GA120" s="26"/>
      <c r="GB120" s="26"/>
      <c r="GC120" s="26"/>
      <c r="GD120" s="26"/>
      <c r="GG120" s="26"/>
      <c r="GK120">
        <f>IF(ISNUMBER(EY1078),EY1078,999)</f>
        <v>999</v>
      </c>
    </row>
    <row r="121" spans="2:193" x14ac:dyDescent="0.3">
      <c r="B121" s="18" t="s">
        <v>524</v>
      </c>
      <c r="C121" s="13">
        <v>12</v>
      </c>
      <c r="D121" s="21" t="s">
        <v>525</v>
      </c>
      <c r="E121" s="24">
        <v>10</v>
      </c>
      <c r="G121" s="2">
        <f t="shared" si="33"/>
        <v>102</v>
      </c>
      <c r="H121" s="5">
        <v>3</v>
      </c>
      <c r="I121" s="13">
        <v>15</v>
      </c>
      <c r="L121" s="4"/>
      <c r="M121" s="7"/>
      <c r="O121" s="7"/>
      <c r="T121" s="7"/>
      <c r="AE121" s="7"/>
      <c r="BD121" s="26"/>
      <c r="BE121" s="26">
        <f t="shared" si="32"/>
        <v>25</v>
      </c>
      <c r="BF121">
        <v>25</v>
      </c>
      <c r="BG121">
        <v>101</v>
      </c>
      <c r="BH121" s="43">
        <v>39</v>
      </c>
      <c r="BI121" s="44">
        <v>39</v>
      </c>
      <c r="BJ121" s="44">
        <v>39</v>
      </c>
      <c r="BK121" s="44">
        <v>39</v>
      </c>
      <c r="BL121" s="44">
        <v>39</v>
      </c>
      <c r="BM121" s="44">
        <v>39</v>
      </c>
      <c r="BN121" s="44">
        <v>39</v>
      </c>
      <c r="BO121" s="44">
        <v>39</v>
      </c>
      <c r="BP121" s="44">
        <v>39</v>
      </c>
      <c r="BQ121" s="44">
        <v>39</v>
      </c>
      <c r="BR121" s="44">
        <v>39</v>
      </c>
      <c r="BS121" s="44">
        <v>39</v>
      </c>
      <c r="BT121" s="44">
        <v>39</v>
      </c>
      <c r="BU121" s="44">
        <v>39</v>
      </c>
      <c r="BV121" s="44">
        <v>40</v>
      </c>
      <c r="BW121" s="44">
        <v>40</v>
      </c>
      <c r="BX121" s="44">
        <v>40</v>
      </c>
      <c r="BY121" s="44">
        <v>39</v>
      </c>
      <c r="BZ121" s="44">
        <v>39</v>
      </c>
      <c r="CA121" s="44">
        <v>39</v>
      </c>
      <c r="CB121" s="44">
        <v>40</v>
      </c>
      <c r="CC121" s="44">
        <v>40</v>
      </c>
      <c r="CD121" s="44">
        <v>40</v>
      </c>
      <c r="CE121" s="44">
        <v>39</v>
      </c>
      <c r="CF121" s="44">
        <v>39</v>
      </c>
      <c r="CG121" s="44">
        <v>39</v>
      </c>
      <c r="CH121" s="44">
        <v>40</v>
      </c>
      <c r="CI121" s="44">
        <v>40</v>
      </c>
      <c r="CJ121" s="44">
        <v>40</v>
      </c>
      <c r="CK121" s="44">
        <v>39</v>
      </c>
      <c r="CL121" s="44">
        <v>39</v>
      </c>
      <c r="CM121" s="44">
        <v>39</v>
      </c>
      <c r="CN121" s="44">
        <v>40</v>
      </c>
      <c r="CO121" s="44">
        <v>40</v>
      </c>
      <c r="CP121" s="44">
        <v>35</v>
      </c>
      <c r="CQ121" s="44">
        <v>39</v>
      </c>
      <c r="CR121" s="44">
        <v>39</v>
      </c>
      <c r="CS121" s="44">
        <v>39</v>
      </c>
      <c r="CT121" s="44">
        <v>40</v>
      </c>
      <c r="CU121" s="44">
        <v>40</v>
      </c>
      <c r="CV121" s="44">
        <v>40</v>
      </c>
      <c r="CW121" s="44">
        <v>39</v>
      </c>
      <c r="CX121" s="44">
        <v>39</v>
      </c>
      <c r="CY121" s="44">
        <v>39</v>
      </c>
      <c r="CZ121" s="44">
        <v>40</v>
      </c>
      <c r="DA121" s="44">
        <v>40</v>
      </c>
      <c r="DB121" s="44">
        <v>44</v>
      </c>
      <c r="DC121" s="44">
        <v>39</v>
      </c>
      <c r="DD121" s="44">
        <v>39</v>
      </c>
      <c r="DE121" s="44">
        <v>39</v>
      </c>
      <c r="DF121" s="44">
        <v>40</v>
      </c>
      <c r="DG121" s="44">
        <v>25</v>
      </c>
      <c r="DH121" s="44">
        <v>40</v>
      </c>
      <c r="DI121" s="44">
        <v>39</v>
      </c>
      <c r="DJ121" s="44">
        <v>39</v>
      </c>
      <c r="DK121" s="44">
        <v>39</v>
      </c>
      <c r="DL121" s="44">
        <v>40</v>
      </c>
      <c r="DM121" s="44">
        <v>40</v>
      </c>
      <c r="DN121" s="44">
        <v>40</v>
      </c>
      <c r="DO121" s="48">
        <v>39</v>
      </c>
      <c r="DP121" s="48">
        <v>39</v>
      </c>
      <c r="DQ121" s="48">
        <v>39</v>
      </c>
      <c r="DR121" s="48">
        <v>40</v>
      </c>
      <c r="DS121" s="34">
        <v>40</v>
      </c>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Z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c r="GA121" s="26"/>
      <c r="GB121" s="26"/>
      <c r="GC121" s="26"/>
      <c r="GD121" s="26"/>
      <c r="GG121" s="26"/>
      <c r="GK121">
        <f>IF(ISNUMBER(EY1079),EY1079,999)</f>
        <v>999</v>
      </c>
    </row>
    <row r="122" spans="2:193" x14ac:dyDescent="0.3">
      <c r="B122" s="18" t="s">
        <v>526</v>
      </c>
      <c r="C122" s="13">
        <v>13</v>
      </c>
      <c r="D122" s="21" t="s">
        <v>527</v>
      </c>
      <c r="E122" s="24">
        <v>1</v>
      </c>
      <c r="G122" s="2">
        <f t="shared" si="33"/>
        <v>103</v>
      </c>
      <c r="H122" s="5">
        <v>3</v>
      </c>
      <c r="I122" s="13">
        <v>15</v>
      </c>
      <c r="L122" s="4"/>
      <c r="M122" s="7"/>
      <c r="O122" s="7"/>
      <c r="T122" s="7"/>
      <c r="AE122" s="7"/>
      <c r="BD122" s="26"/>
      <c r="BE122" s="26" t="str">
        <f t="shared" si="32"/>
        <v>BYE</v>
      </c>
      <c r="BF122">
        <v>104</v>
      </c>
      <c r="BG122">
        <v>102</v>
      </c>
      <c r="BH122" s="45">
        <v>91</v>
      </c>
      <c r="BI122" s="46">
        <v>90</v>
      </c>
      <c r="BJ122" s="46">
        <v>90</v>
      </c>
      <c r="BK122" s="46">
        <v>91</v>
      </c>
      <c r="BL122" s="46">
        <v>90</v>
      </c>
      <c r="BM122" s="46">
        <v>90</v>
      </c>
      <c r="BN122" s="46">
        <v>86</v>
      </c>
      <c r="BO122" s="46">
        <v>91</v>
      </c>
      <c r="BP122" s="46">
        <v>92</v>
      </c>
      <c r="BQ122" s="46">
        <v>90</v>
      </c>
      <c r="BR122" s="46">
        <v>90</v>
      </c>
      <c r="BS122" s="46">
        <v>90</v>
      </c>
      <c r="BT122" s="46">
        <v>94</v>
      </c>
      <c r="BU122" s="46">
        <v>90</v>
      </c>
      <c r="BV122" s="46">
        <v>90</v>
      </c>
      <c r="BW122" s="46">
        <v>91</v>
      </c>
      <c r="BX122" s="46">
        <v>90</v>
      </c>
      <c r="BY122" s="46">
        <v>90</v>
      </c>
      <c r="BZ122" s="46">
        <v>86</v>
      </c>
      <c r="CA122" s="46">
        <v>91</v>
      </c>
      <c r="CB122" s="46">
        <v>92</v>
      </c>
      <c r="CC122" s="46">
        <v>90</v>
      </c>
      <c r="CD122" s="46">
        <v>90</v>
      </c>
      <c r="CE122" s="46">
        <v>90</v>
      </c>
      <c r="CF122" s="46">
        <v>91</v>
      </c>
      <c r="CG122" s="46">
        <v>90</v>
      </c>
      <c r="CH122" s="46">
        <v>90</v>
      </c>
      <c r="CI122" s="46">
        <v>91</v>
      </c>
      <c r="CJ122" s="46">
        <v>90</v>
      </c>
      <c r="CK122" s="46">
        <v>90</v>
      </c>
      <c r="CL122" s="46">
        <v>94</v>
      </c>
      <c r="CM122" s="46">
        <v>91</v>
      </c>
      <c r="CN122" s="46">
        <v>92</v>
      </c>
      <c r="CO122" s="46">
        <v>90</v>
      </c>
      <c r="CP122" s="46">
        <v>90</v>
      </c>
      <c r="CQ122" s="46">
        <v>90</v>
      </c>
      <c r="CR122" s="46">
        <v>89</v>
      </c>
      <c r="CS122" s="46">
        <v>90</v>
      </c>
      <c r="CT122" s="46">
        <v>90</v>
      </c>
      <c r="CU122" s="46" t="s">
        <v>326</v>
      </c>
      <c r="CV122" s="46" t="s">
        <v>326</v>
      </c>
      <c r="CW122" s="46" t="s">
        <v>326</v>
      </c>
      <c r="CX122" s="46" t="s">
        <v>326</v>
      </c>
      <c r="CY122" s="46" t="s">
        <v>326</v>
      </c>
      <c r="CZ122" s="46" t="s">
        <v>326</v>
      </c>
      <c r="DA122" s="46" t="s">
        <v>326</v>
      </c>
      <c r="DB122" s="46" t="s">
        <v>326</v>
      </c>
      <c r="DC122" s="46" t="s">
        <v>326</v>
      </c>
      <c r="DD122" s="46" t="s">
        <v>326</v>
      </c>
      <c r="DE122" s="46" t="s">
        <v>326</v>
      </c>
      <c r="DF122" s="46" t="s">
        <v>326</v>
      </c>
      <c r="DG122" s="46" t="s">
        <v>327</v>
      </c>
      <c r="DH122" s="46" t="s">
        <v>326</v>
      </c>
      <c r="DI122" s="46" t="s">
        <v>326</v>
      </c>
      <c r="DJ122" s="46" t="s">
        <v>326</v>
      </c>
      <c r="DK122" s="46" t="s">
        <v>326</v>
      </c>
      <c r="DL122" s="46" t="s">
        <v>326</v>
      </c>
      <c r="DM122" s="46" t="s">
        <v>326</v>
      </c>
      <c r="DN122" s="46" t="s">
        <v>326</v>
      </c>
      <c r="DO122" s="49" t="s">
        <v>326</v>
      </c>
      <c r="DP122" s="49" t="s">
        <v>326</v>
      </c>
      <c r="DQ122" s="49" t="s">
        <v>326</v>
      </c>
      <c r="DR122" s="49" t="s">
        <v>326</v>
      </c>
      <c r="DS122" s="35" t="s">
        <v>326</v>
      </c>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Z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c r="GA122" s="26"/>
      <c r="GB122" s="26"/>
      <c r="GC122" s="26"/>
      <c r="GD122" s="26"/>
      <c r="GG122" s="26"/>
      <c r="GK122">
        <f>IF(ISNUMBER(EY1080),EY1080,999)</f>
        <v>999</v>
      </c>
    </row>
    <row r="123" spans="2:193" x14ac:dyDescent="0.3">
      <c r="B123" s="18" t="s">
        <v>528</v>
      </c>
      <c r="C123" s="13">
        <v>14</v>
      </c>
      <c r="D123" s="21" t="s">
        <v>529</v>
      </c>
      <c r="E123" s="24">
        <v>88</v>
      </c>
      <c r="G123" s="2">
        <f t="shared" si="33"/>
        <v>104</v>
      </c>
      <c r="H123" s="5">
        <v>3</v>
      </c>
      <c r="I123" s="13">
        <v>15</v>
      </c>
      <c r="L123" s="4"/>
      <c r="M123" s="7"/>
      <c r="O123" s="7"/>
      <c r="T123" s="7"/>
      <c r="AE123" s="7"/>
      <c r="BD123" s="26"/>
      <c r="BE123" s="26">
        <f t="shared" si="32"/>
        <v>42</v>
      </c>
      <c r="BF123">
        <v>42</v>
      </c>
      <c r="BG123">
        <v>103</v>
      </c>
      <c r="BH123" s="47">
        <v>102</v>
      </c>
      <c r="BI123" s="47">
        <v>103</v>
      </c>
      <c r="BJ123" s="47">
        <v>103</v>
      </c>
      <c r="BK123" s="47">
        <v>105</v>
      </c>
      <c r="BL123" s="47">
        <v>104</v>
      </c>
      <c r="BM123" s="47">
        <v>103</v>
      </c>
      <c r="BN123" s="47">
        <v>103</v>
      </c>
      <c r="BO123" s="47">
        <v>102</v>
      </c>
      <c r="BP123" s="47">
        <v>100</v>
      </c>
      <c r="BQ123" s="47">
        <v>99</v>
      </c>
      <c r="BR123" s="47">
        <v>99</v>
      </c>
      <c r="BS123" s="47">
        <v>103</v>
      </c>
      <c r="BT123" s="47">
        <v>107</v>
      </c>
      <c r="BU123" s="47">
        <v>103</v>
      </c>
      <c r="BV123" s="47">
        <v>103</v>
      </c>
      <c r="BW123" s="47">
        <v>102</v>
      </c>
      <c r="BX123" s="47">
        <v>104</v>
      </c>
      <c r="BY123" s="47">
        <v>103</v>
      </c>
      <c r="BZ123" s="47">
        <v>103</v>
      </c>
      <c r="CA123" s="47">
        <v>102</v>
      </c>
      <c r="CB123" s="47">
        <v>101</v>
      </c>
      <c r="CC123" s="47">
        <v>99</v>
      </c>
      <c r="CD123" s="47">
        <v>99</v>
      </c>
      <c r="CE123" s="47">
        <v>103</v>
      </c>
      <c r="CF123" s="47">
        <v>102</v>
      </c>
      <c r="CG123" s="47">
        <v>103</v>
      </c>
      <c r="CH123" s="47" t="s">
        <v>326</v>
      </c>
      <c r="CI123" s="47" t="s">
        <v>326</v>
      </c>
      <c r="CJ123" s="47" t="s">
        <v>326</v>
      </c>
      <c r="CK123" s="47" t="s">
        <v>326</v>
      </c>
      <c r="CL123" s="47" t="s">
        <v>326</v>
      </c>
      <c r="CM123" s="47" t="s">
        <v>326</v>
      </c>
      <c r="CN123" s="47" t="s">
        <v>326</v>
      </c>
      <c r="CO123" s="47" t="s">
        <v>326</v>
      </c>
      <c r="CP123" s="47" t="s">
        <v>326</v>
      </c>
      <c r="CQ123" s="47" t="s">
        <v>326</v>
      </c>
      <c r="CR123" s="47" t="s">
        <v>326</v>
      </c>
      <c r="CS123" s="47" t="s">
        <v>326</v>
      </c>
      <c r="CT123" s="47" t="s">
        <v>326</v>
      </c>
      <c r="CU123" s="47" t="s">
        <v>326</v>
      </c>
      <c r="CV123" s="47" t="s">
        <v>326</v>
      </c>
      <c r="CW123" s="47" t="s">
        <v>326</v>
      </c>
      <c r="CX123" s="47" t="s">
        <v>326</v>
      </c>
      <c r="CY123" s="47" t="s">
        <v>326</v>
      </c>
      <c r="CZ123" s="47" t="s">
        <v>326</v>
      </c>
      <c r="DA123" s="47" t="s">
        <v>326</v>
      </c>
      <c r="DB123" s="47" t="s">
        <v>326</v>
      </c>
      <c r="DC123" s="47" t="s">
        <v>326</v>
      </c>
      <c r="DD123" s="47" t="s">
        <v>326</v>
      </c>
      <c r="DE123" s="47" t="s">
        <v>326</v>
      </c>
      <c r="DF123" s="47" t="s">
        <v>326</v>
      </c>
      <c r="DG123" s="47" t="s">
        <v>327</v>
      </c>
      <c r="DH123" s="47" t="s">
        <v>326</v>
      </c>
      <c r="DI123" s="47" t="s">
        <v>326</v>
      </c>
      <c r="DJ123" s="47" t="s">
        <v>326</v>
      </c>
      <c r="DK123" s="47" t="s">
        <v>326</v>
      </c>
      <c r="DL123" s="47" t="s">
        <v>326</v>
      </c>
      <c r="DM123" s="47" t="s">
        <v>326</v>
      </c>
      <c r="DN123" s="47" t="s">
        <v>326</v>
      </c>
      <c r="DO123" s="33" t="s">
        <v>326</v>
      </c>
      <c r="DP123" s="33" t="s">
        <v>326</v>
      </c>
      <c r="DQ123" s="33" t="s">
        <v>326</v>
      </c>
      <c r="DR123" s="33" t="s">
        <v>326</v>
      </c>
      <c r="DS123" s="33" t="s">
        <v>326</v>
      </c>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Z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c r="GA123" s="26"/>
      <c r="GB123" s="26"/>
      <c r="GC123" s="26"/>
      <c r="GD123" s="26"/>
      <c r="GG123" s="26"/>
      <c r="GJ123">
        <f>GJ119+1</f>
        <v>31</v>
      </c>
      <c r="GK123" t="str">
        <f>IF(Grps&gt;GJ119,GJ123,"")</f>
        <v/>
      </c>
    </row>
    <row r="124" spans="2:193" x14ac:dyDescent="0.3">
      <c r="B124" s="18" t="s">
        <v>530</v>
      </c>
      <c r="C124" s="13">
        <v>15</v>
      </c>
      <c r="D124" s="21" t="s">
        <v>531</v>
      </c>
      <c r="E124" s="24">
        <v>89</v>
      </c>
      <c r="G124" s="2">
        <f t="shared" si="33"/>
        <v>105</v>
      </c>
      <c r="H124" s="5">
        <v>3</v>
      </c>
      <c r="I124" s="13">
        <v>15</v>
      </c>
      <c r="L124" s="4"/>
      <c r="M124" s="7"/>
      <c r="O124" s="7"/>
      <c r="T124" s="7"/>
      <c r="AE124" s="7"/>
      <c r="BD124" s="26"/>
      <c r="BE124" s="26" t="str">
        <f t="shared" si="32"/>
        <v>BYE</v>
      </c>
      <c r="BF124">
        <v>87</v>
      </c>
      <c r="BG124">
        <v>104</v>
      </c>
      <c r="BH124" s="47">
        <v>26</v>
      </c>
      <c r="BI124" s="47">
        <v>26</v>
      </c>
      <c r="BJ124" s="47">
        <v>26</v>
      </c>
      <c r="BK124" s="47">
        <v>26</v>
      </c>
      <c r="BL124" s="47">
        <v>26</v>
      </c>
      <c r="BM124" s="47">
        <v>26</v>
      </c>
      <c r="BN124" s="47">
        <v>26</v>
      </c>
      <c r="BO124" s="47">
        <v>26</v>
      </c>
      <c r="BP124" s="47">
        <v>26</v>
      </c>
      <c r="BQ124" s="47">
        <v>26</v>
      </c>
      <c r="BR124" s="47">
        <v>26</v>
      </c>
      <c r="BS124" s="47">
        <v>26</v>
      </c>
      <c r="BT124" s="47">
        <v>26</v>
      </c>
      <c r="BU124" s="47">
        <v>26</v>
      </c>
      <c r="BV124" s="47">
        <v>26</v>
      </c>
      <c r="BW124" s="47">
        <v>26</v>
      </c>
      <c r="BX124" s="47">
        <v>26</v>
      </c>
      <c r="BY124" s="47">
        <v>26</v>
      </c>
      <c r="BZ124" s="47">
        <v>26</v>
      </c>
      <c r="CA124" s="47">
        <v>26</v>
      </c>
      <c r="CB124" s="47">
        <v>26</v>
      </c>
      <c r="CC124" s="47">
        <v>26</v>
      </c>
      <c r="CD124" s="47">
        <v>26</v>
      </c>
      <c r="CE124" s="47">
        <v>26</v>
      </c>
      <c r="CF124" s="47">
        <v>26</v>
      </c>
      <c r="CG124" s="47">
        <v>26</v>
      </c>
      <c r="CH124" s="47">
        <v>26</v>
      </c>
      <c r="CI124" s="47">
        <v>26</v>
      </c>
      <c r="CJ124" s="47">
        <v>26</v>
      </c>
      <c r="CK124" s="47">
        <v>26</v>
      </c>
      <c r="CL124" s="47">
        <v>26</v>
      </c>
      <c r="CM124" s="47">
        <v>26</v>
      </c>
      <c r="CN124" s="47">
        <v>26</v>
      </c>
      <c r="CO124" s="47">
        <v>26</v>
      </c>
      <c r="CP124" s="47">
        <v>26</v>
      </c>
      <c r="CQ124" s="47">
        <v>26</v>
      </c>
      <c r="CR124" s="47">
        <v>26</v>
      </c>
      <c r="CS124" s="47">
        <v>26</v>
      </c>
      <c r="CT124" s="47">
        <v>26</v>
      </c>
      <c r="CU124" s="47">
        <v>26</v>
      </c>
      <c r="CV124" s="47">
        <v>26</v>
      </c>
      <c r="CW124" s="47">
        <v>26</v>
      </c>
      <c r="CX124" s="47">
        <v>26</v>
      </c>
      <c r="CY124" s="47">
        <v>26</v>
      </c>
      <c r="CZ124" s="47">
        <v>26</v>
      </c>
      <c r="DA124" s="47">
        <v>26</v>
      </c>
      <c r="DB124" s="47">
        <v>26</v>
      </c>
      <c r="DC124" s="47">
        <v>26</v>
      </c>
      <c r="DD124" s="47">
        <v>26</v>
      </c>
      <c r="DE124" s="47">
        <v>26</v>
      </c>
      <c r="DF124" s="47">
        <v>26</v>
      </c>
      <c r="DG124" s="47">
        <v>41</v>
      </c>
      <c r="DH124" s="47">
        <v>26</v>
      </c>
      <c r="DI124" s="47">
        <v>26</v>
      </c>
      <c r="DJ124" s="47">
        <v>26</v>
      </c>
      <c r="DK124" s="47">
        <v>26</v>
      </c>
      <c r="DL124" s="47">
        <v>25</v>
      </c>
      <c r="DM124" s="47">
        <v>25</v>
      </c>
      <c r="DN124" s="47">
        <v>25</v>
      </c>
      <c r="DO124" s="33">
        <v>26</v>
      </c>
      <c r="DP124" s="33">
        <v>26</v>
      </c>
      <c r="DQ124" s="33">
        <v>26</v>
      </c>
      <c r="DR124" s="33">
        <v>25</v>
      </c>
      <c r="DS124" s="33">
        <v>25</v>
      </c>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Z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c r="GA124" s="26"/>
      <c r="GB124" s="26"/>
      <c r="GC124" s="26"/>
      <c r="GD124" s="26"/>
      <c r="GG124" s="26"/>
      <c r="GK124">
        <f>IF(ISNUMBER(EY1115),EY1115,999)</f>
        <v>999</v>
      </c>
    </row>
    <row r="125" spans="2:193" x14ac:dyDescent="0.3">
      <c r="B125" s="18" t="s">
        <v>532</v>
      </c>
      <c r="C125" s="13">
        <v>16</v>
      </c>
      <c r="D125" s="21" t="s">
        <v>533</v>
      </c>
      <c r="E125" s="24">
        <v>90</v>
      </c>
      <c r="G125" s="2">
        <f t="shared" si="33"/>
        <v>106</v>
      </c>
      <c r="H125" s="5">
        <v>3</v>
      </c>
      <c r="I125" s="13">
        <v>15</v>
      </c>
      <c r="L125" s="4"/>
      <c r="M125" s="7"/>
      <c r="O125" s="7"/>
      <c r="T125" s="7"/>
      <c r="AE125" s="7"/>
      <c r="BD125" s="26"/>
      <c r="BE125" s="26">
        <f t="shared" si="32"/>
        <v>7</v>
      </c>
      <c r="BF125">
        <v>7</v>
      </c>
      <c r="BG125">
        <v>105</v>
      </c>
      <c r="BH125" s="43">
        <v>23</v>
      </c>
      <c r="BI125" s="44">
        <v>23</v>
      </c>
      <c r="BJ125" s="44">
        <v>23</v>
      </c>
      <c r="BK125" s="44">
        <v>23</v>
      </c>
      <c r="BL125" s="44">
        <v>23</v>
      </c>
      <c r="BM125" s="44">
        <v>23</v>
      </c>
      <c r="BN125" s="44">
        <v>23</v>
      </c>
      <c r="BO125" s="44">
        <v>23</v>
      </c>
      <c r="BP125" s="44">
        <v>23</v>
      </c>
      <c r="BQ125" s="44">
        <v>23</v>
      </c>
      <c r="BR125" s="44">
        <v>23</v>
      </c>
      <c r="BS125" s="44">
        <v>23</v>
      </c>
      <c r="BT125" s="44">
        <v>23</v>
      </c>
      <c r="BU125" s="44">
        <v>23</v>
      </c>
      <c r="BV125" s="44">
        <v>23</v>
      </c>
      <c r="BW125" s="44">
        <v>23</v>
      </c>
      <c r="BX125" s="44">
        <v>23</v>
      </c>
      <c r="BY125" s="44">
        <v>23</v>
      </c>
      <c r="BZ125" s="44">
        <v>23</v>
      </c>
      <c r="CA125" s="44">
        <v>23</v>
      </c>
      <c r="CB125" s="44">
        <v>23</v>
      </c>
      <c r="CC125" s="44">
        <v>23</v>
      </c>
      <c r="CD125" s="44">
        <v>23</v>
      </c>
      <c r="CE125" s="44">
        <v>23</v>
      </c>
      <c r="CF125" s="44">
        <v>23</v>
      </c>
      <c r="CG125" s="44">
        <v>23</v>
      </c>
      <c r="CH125" s="44">
        <v>23</v>
      </c>
      <c r="CI125" s="44">
        <v>23</v>
      </c>
      <c r="CJ125" s="44">
        <v>23</v>
      </c>
      <c r="CK125" s="44">
        <v>23</v>
      </c>
      <c r="CL125" s="44">
        <v>23</v>
      </c>
      <c r="CM125" s="44">
        <v>23</v>
      </c>
      <c r="CN125" s="44">
        <v>23</v>
      </c>
      <c r="CO125" s="44">
        <v>23</v>
      </c>
      <c r="CP125" s="44">
        <v>23</v>
      </c>
      <c r="CQ125" s="44">
        <v>23</v>
      </c>
      <c r="CR125" s="44">
        <v>23</v>
      </c>
      <c r="CS125" s="44">
        <v>23</v>
      </c>
      <c r="CT125" s="44">
        <v>23</v>
      </c>
      <c r="CU125" s="44">
        <v>23</v>
      </c>
      <c r="CV125" s="44">
        <v>23</v>
      </c>
      <c r="CW125" s="44">
        <v>23</v>
      </c>
      <c r="CX125" s="44">
        <v>23</v>
      </c>
      <c r="CY125" s="44">
        <v>23</v>
      </c>
      <c r="CZ125" s="44">
        <v>23</v>
      </c>
      <c r="DA125" s="44">
        <v>23</v>
      </c>
      <c r="DB125" s="44">
        <v>23</v>
      </c>
      <c r="DC125" s="44">
        <v>23</v>
      </c>
      <c r="DD125" s="44">
        <v>23</v>
      </c>
      <c r="DE125" s="44">
        <v>23</v>
      </c>
      <c r="DF125" s="44">
        <v>23</v>
      </c>
      <c r="DG125" s="44">
        <v>7</v>
      </c>
      <c r="DH125" s="44">
        <v>23</v>
      </c>
      <c r="DI125" s="44">
        <v>23</v>
      </c>
      <c r="DJ125" s="44">
        <v>23</v>
      </c>
      <c r="DK125" s="44">
        <v>23</v>
      </c>
      <c r="DL125" s="44">
        <v>23</v>
      </c>
      <c r="DM125" s="44">
        <v>23</v>
      </c>
      <c r="DN125" s="44">
        <v>23</v>
      </c>
      <c r="DO125" s="48">
        <v>23</v>
      </c>
      <c r="DP125" s="48">
        <v>23</v>
      </c>
      <c r="DQ125" s="48">
        <v>23</v>
      </c>
      <c r="DR125" s="48">
        <v>24</v>
      </c>
      <c r="DS125" s="34">
        <v>24</v>
      </c>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Z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c r="GA125" s="26"/>
      <c r="GB125" s="26"/>
      <c r="GC125" s="26"/>
      <c r="GD125" s="26"/>
      <c r="GG125" s="26"/>
      <c r="GK125">
        <f>IF(ISNUMBER(EY1116),EY1116,999)</f>
        <v>999</v>
      </c>
    </row>
    <row r="126" spans="2:193" x14ac:dyDescent="0.3">
      <c r="B126" s="18" t="s">
        <v>534</v>
      </c>
      <c r="C126" s="13">
        <v>17</v>
      </c>
      <c r="D126" s="21" t="s">
        <v>535</v>
      </c>
      <c r="E126" s="24">
        <v>91</v>
      </c>
      <c r="G126" s="2">
        <f t="shared" si="33"/>
        <v>107</v>
      </c>
      <c r="H126" s="5">
        <v>3</v>
      </c>
      <c r="I126" s="13">
        <v>15</v>
      </c>
      <c r="L126" s="4"/>
      <c r="M126" s="7"/>
      <c r="O126" s="7"/>
      <c r="T126" s="7"/>
      <c r="AE126" s="7"/>
      <c r="BD126" s="26"/>
      <c r="BE126" s="26" t="str">
        <f t="shared" si="32"/>
        <v>BYE</v>
      </c>
      <c r="BF126">
        <v>122</v>
      </c>
      <c r="BG126">
        <v>106</v>
      </c>
      <c r="BH126" s="45">
        <v>107</v>
      </c>
      <c r="BI126" s="46">
        <v>106</v>
      </c>
      <c r="BJ126" s="46">
        <v>106</v>
      </c>
      <c r="BK126" s="46">
        <v>107</v>
      </c>
      <c r="BL126" s="46">
        <v>106</v>
      </c>
      <c r="BM126" s="46">
        <v>106</v>
      </c>
      <c r="BN126" s="46">
        <v>102</v>
      </c>
      <c r="BO126" s="46">
        <v>109</v>
      </c>
      <c r="BP126" s="46">
        <v>102</v>
      </c>
      <c r="BQ126" s="46">
        <v>106</v>
      </c>
      <c r="BR126" s="46">
        <v>106</v>
      </c>
      <c r="BS126" s="46">
        <v>106</v>
      </c>
      <c r="BT126" s="46">
        <v>110</v>
      </c>
      <c r="BU126" s="46">
        <v>106</v>
      </c>
      <c r="BV126" s="46">
        <v>106</v>
      </c>
      <c r="BW126" s="46">
        <v>105</v>
      </c>
      <c r="BX126" s="46">
        <v>106</v>
      </c>
      <c r="BY126" s="46">
        <v>106</v>
      </c>
      <c r="BZ126" s="46">
        <v>102</v>
      </c>
      <c r="CA126" s="46">
        <v>109</v>
      </c>
      <c r="CB126" s="46">
        <v>108</v>
      </c>
      <c r="CC126" s="46">
        <v>106</v>
      </c>
      <c r="CD126" s="46">
        <v>106</v>
      </c>
      <c r="CE126" s="46" t="s">
        <v>326</v>
      </c>
      <c r="CF126" s="46" t="s">
        <v>326</v>
      </c>
      <c r="CG126" s="46" t="s">
        <v>326</v>
      </c>
      <c r="CH126" s="46" t="s">
        <v>326</v>
      </c>
      <c r="CI126" s="46" t="s">
        <v>326</v>
      </c>
      <c r="CJ126" s="46" t="s">
        <v>326</v>
      </c>
      <c r="CK126" s="46" t="s">
        <v>326</v>
      </c>
      <c r="CL126" s="46" t="s">
        <v>326</v>
      </c>
      <c r="CM126" s="46" t="s">
        <v>326</v>
      </c>
      <c r="CN126" s="46" t="s">
        <v>326</v>
      </c>
      <c r="CO126" s="46" t="s">
        <v>326</v>
      </c>
      <c r="CP126" s="46" t="s">
        <v>326</v>
      </c>
      <c r="CQ126" s="46" t="s">
        <v>326</v>
      </c>
      <c r="CR126" s="46" t="s">
        <v>326</v>
      </c>
      <c r="CS126" s="46" t="s">
        <v>326</v>
      </c>
      <c r="CT126" s="46" t="s">
        <v>326</v>
      </c>
      <c r="CU126" s="46" t="s">
        <v>326</v>
      </c>
      <c r="CV126" s="46" t="s">
        <v>326</v>
      </c>
      <c r="CW126" s="46" t="s">
        <v>326</v>
      </c>
      <c r="CX126" s="46" t="s">
        <v>326</v>
      </c>
      <c r="CY126" s="46" t="s">
        <v>326</v>
      </c>
      <c r="CZ126" s="46" t="s">
        <v>326</v>
      </c>
      <c r="DA126" s="46" t="s">
        <v>326</v>
      </c>
      <c r="DB126" s="46" t="s">
        <v>326</v>
      </c>
      <c r="DC126" s="46" t="s">
        <v>326</v>
      </c>
      <c r="DD126" s="46" t="s">
        <v>326</v>
      </c>
      <c r="DE126" s="46" t="s">
        <v>326</v>
      </c>
      <c r="DF126" s="46" t="s">
        <v>326</v>
      </c>
      <c r="DG126" s="46" t="s">
        <v>327</v>
      </c>
      <c r="DH126" s="46" t="s">
        <v>326</v>
      </c>
      <c r="DI126" s="46" t="s">
        <v>326</v>
      </c>
      <c r="DJ126" s="46" t="s">
        <v>326</v>
      </c>
      <c r="DK126" s="46" t="s">
        <v>326</v>
      </c>
      <c r="DL126" s="46" t="s">
        <v>326</v>
      </c>
      <c r="DM126" s="46" t="s">
        <v>326</v>
      </c>
      <c r="DN126" s="46" t="s">
        <v>326</v>
      </c>
      <c r="DO126" s="49" t="s">
        <v>326</v>
      </c>
      <c r="DP126" s="49" t="s">
        <v>326</v>
      </c>
      <c r="DQ126" s="49" t="s">
        <v>326</v>
      </c>
      <c r="DR126" s="49" t="s">
        <v>326</v>
      </c>
      <c r="DS126" s="35" t="s">
        <v>326</v>
      </c>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Z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c r="GA126" s="26"/>
      <c r="GB126" s="26"/>
      <c r="GC126" s="26"/>
      <c r="GD126" s="26"/>
      <c r="GG126" s="26"/>
      <c r="GK126">
        <f>IF(ISNUMBER(EY1117),EY1117,999)</f>
        <v>999</v>
      </c>
    </row>
    <row r="127" spans="2:193" x14ac:dyDescent="0.3">
      <c r="B127" s="18" t="s">
        <v>536</v>
      </c>
      <c r="C127" s="13">
        <v>18</v>
      </c>
      <c r="D127" s="21" t="s">
        <v>537</v>
      </c>
      <c r="E127" s="24">
        <v>92</v>
      </c>
      <c r="G127" s="2">
        <f t="shared" si="33"/>
        <v>108</v>
      </c>
      <c r="H127" s="5">
        <v>3</v>
      </c>
      <c r="I127" s="13">
        <v>15</v>
      </c>
      <c r="L127" s="4"/>
      <c r="M127" s="7"/>
      <c r="O127" s="7"/>
      <c r="T127" s="7"/>
      <c r="AE127" s="7"/>
      <c r="BD127" s="26"/>
      <c r="BE127" s="26">
        <f t="shared" si="32"/>
        <v>56</v>
      </c>
      <c r="BF127">
        <v>56</v>
      </c>
      <c r="BG127">
        <v>107</v>
      </c>
      <c r="BH127" s="47">
        <v>88</v>
      </c>
      <c r="BI127" s="47">
        <v>87</v>
      </c>
      <c r="BJ127" s="47">
        <v>87</v>
      </c>
      <c r="BK127" s="47">
        <v>89</v>
      </c>
      <c r="BL127" s="47">
        <v>88</v>
      </c>
      <c r="BM127" s="47">
        <v>87</v>
      </c>
      <c r="BN127" s="47">
        <v>87</v>
      </c>
      <c r="BO127" s="47">
        <v>86</v>
      </c>
      <c r="BP127" s="47">
        <v>85</v>
      </c>
      <c r="BQ127" s="47">
        <v>83</v>
      </c>
      <c r="BR127" s="47">
        <v>83</v>
      </c>
      <c r="BS127" s="47">
        <v>87</v>
      </c>
      <c r="BT127" s="47">
        <v>91</v>
      </c>
      <c r="BU127" s="47">
        <v>87</v>
      </c>
      <c r="BV127" s="47">
        <v>87</v>
      </c>
      <c r="BW127" s="47">
        <v>89</v>
      </c>
      <c r="BX127" s="47">
        <v>88</v>
      </c>
      <c r="BY127" s="47">
        <v>87</v>
      </c>
      <c r="BZ127" s="47">
        <v>87</v>
      </c>
      <c r="CA127" s="47">
        <v>86</v>
      </c>
      <c r="CB127" s="47">
        <v>85</v>
      </c>
      <c r="CC127" s="47">
        <v>83</v>
      </c>
      <c r="CD127" s="47">
        <v>83</v>
      </c>
      <c r="CE127" s="47">
        <v>87</v>
      </c>
      <c r="CF127" s="47">
        <v>86</v>
      </c>
      <c r="CG127" s="47">
        <v>87</v>
      </c>
      <c r="CH127" s="47">
        <v>87</v>
      </c>
      <c r="CI127" s="47">
        <v>89</v>
      </c>
      <c r="CJ127" s="47">
        <v>88</v>
      </c>
      <c r="CK127" s="47">
        <v>87</v>
      </c>
      <c r="CL127" s="47">
        <v>87</v>
      </c>
      <c r="CM127" s="47">
        <v>86</v>
      </c>
      <c r="CN127" s="47">
        <v>85</v>
      </c>
      <c r="CO127" s="47">
        <v>84</v>
      </c>
      <c r="CP127" s="47">
        <v>83</v>
      </c>
      <c r="CQ127" s="47">
        <v>87</v>
      </c>
      <c r="CR127" s="47">
        <v>91</v>
      </c>
      <c r="CS127" s="47">
        <v>87</v>
      </c>
      <c r="CT127" s="47">
        <v>87</v>
      </c>
      <c r="CU127" s="47">
        <v>89</v>
      </c>
      <c r="CV127" s="47">
        <v>88</v>
      </c>
      <c r="CW127" s="47">
        <v>87</v>
      </c>
      <c r="CX127" s="47" t="s">
        <v>326</v>
      </c>
      <c r="CY127" s="47" t="s">
        <v>326</v>
      </c>
      <c r="CZ127" s="47" t="s">
        <v>326</v>
      </c>
      <c r="DA127" s="47" t="s">
        <v>326</v>
      </c>
      <c r="DB127" s="47" t="s">
        <v>326</v>
      </c>
      <c r="DC127" s="47" t="s">
        <v>326</v>
      </c>
      <c r="DD127" s="47" t="s">
        <v>326</v>
      </c>
      <c r="DE127" s="47" t="s">
        <v>326</v>
      </c>
      <c r="DF127" s="47" t="s">
        <v>326</v>
      </c>
      <c r="DG127" s="47">
        <v>58</v>
      </c>
      <c r="DH127" s="47" t="s">
        <v>326</v>
      </c>
      <c r="DI127" s="47" t="s">
        <v>326</v>
      </c>
      <c r="DJ127" s="47" t="s">
        <v>326</v>
      </c>
      <c r="DK127" s="47" t="s">
        <v>326</v>
      </c>
      <c r="DL127" s="47" t="s">
        <v>326</v>
      </c>
      <c r="DM127" s="47" t="s">
        <v>326</v>
      </c>
      <c r="DN127" s="47" t="s">
        <v>326</v>
      </c>
      <c r="DO127" s="33" t="s">
        <v>326</v>
      </c>
      <c r="DP127" s="33" t="s">
        <v>326</v>
      </c>
      <c r="DQ127" s="33" t="s">
        <v>326</v>
      </c>
      <c r="DR127" s="33" t="s">
        <v>326</v>
      </c>
      <c r="DS127" s="33" t="s">
        <v>326</v>
      </c>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Z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c r="GA127" s="26"/>
      <c r="GB127" s="26"/>
      <c r="GC127" s="26"/>
      <c r="GD127" s="26"/>
      <c r="GG127" s="26"/>
      <c r="GJ127">
        <f>GJ123+1</f>
        <v>32</v>
      </c>
      <c r="GK127" t="str">
        <f>IF(Grps&gt;GJ123,GJ127,"")</f>
        <v/>
      </c>
    </row>
    <row r="128" spans="2:193" x14ac:dyDescent="0.3">
      <c r="B128" s="18" t="s">
        <v>538</v>
      </c>
      <c r="C128" s="13">
        <v>19</v>
      </c>
      <c r="D128" s="21" t="s">
        <v>539</v>
      </c>
      <c r="E128" s="24">
        <v>93</v>
      </c>
      <c r="G128" s="2">
        <f t="shared" si="33"/>
        <v>109</v>
      </c>
      <c r="H128" s="5">
        <v>3</v>
      </c>
      <c r="I128" s="13">
        <v>15</v>
      </c>
      <c r="L128" s="4"/>
      <c r="M128" s="7"/>
      <c r="O128" s="7"/>
      <c r="T128" s="7"/>
      <c r="AE128" s="7"/>
      <c r="BD128" s="26"/>
      <c r="BE128" s="26" t="str">
        <f t="shared" si="32"/>
        <v>BYE</v>
      </c>
      <c r="BF128">
        <v>71</v>
      </c>
      <c r="BG128">
        <v>108</v>
      </c>
      <c r="BH128" s="47">
        <v>42</v>
      </c>
      <c r="BI128" s="47">
        <v>42</v>
      </c>
      <c r="BJ128" s="47">
        <v>42</v>
      </c>
      <c r="BK128" s="47">
        <v>42</v>
      </c>
      <c r="BL128" s="47">
        <v>42</v>
      </c>
      <c r="BM128" s="47">
        <v>42</v>
      </c>
      <c r="BN128" s="47">
        <v>42</v>
      </c>
      <c r="BO128" s="47">
        <v>42</v>
      </c>
      <c r="BP128" s="47">
        <v>41</v>
      </c>
      <c r="BQ128" s="47">
        <v>41</v>
      </c>
      <c r="BR128" s="47">
        <v>41</v>
      </c>
      <c r="BS128" s="47">
        <v>42</v>
      </c>
      <c r="BT128" s="47">
        <v>42</v>
      </c>
      <c r="BU128" s="47">
        <v>42</v>
      </c>
      <c r="BV128" s="47">
        <v>41</v>
      </c>
      <c r="BW128" s="47">
        <v>41</v>
      </c>
      <c r="BX128" s="47">
        <v>41</v>
      </c>
      <c r="BY128" s="47">
        <v>42</v>
      </c>
      <c r="BZ128" s="47">
        <v>42</v>
      </c>
      <c r="CA128" s="47">
        <v>42</v>
      </c>
      <c r="CB128" s="47">
        <v>41</v>
      </c>
      <c r="CC128" s="47">
        <v>41</v>
      </c>
      <c r="CD128" s="47">
        <v>41</v>
      </c>
      <c r="CE128" s="47">
        <v>42</v>
      </c>
      <c r="CF128" s="47">
        <v>42</v>
      </c>
      <c r="CG128" s="47">
        <v>42</v>
      </c>
      <c r="CH128" s="47">
        <v>41</v>
      </c>
      <c r="CI128" s="47">
        <v>41</v>
      </c>
      <c r="CJ128" s="47">
        <v>41</v>
      </c>
      <c r="CK128" s="47">
        <v>42</v>
      </c>
      <c r="CL128" s="47">
        <v>42</v>
      </c>
      <c r="CM128" s="47">
        <v>42</v>
      </c>
      <c r="CN128" s="47">
        <v>41</v>
      </c>
      <c r="CO128" s="47">
        <v>41</v>
      </c>
      <c r="CP128" s="47">
        <v>41</v>
      </c>
      <c r="CQ128" s="47">
        <v>42</v>
      </c>
      <c r="CR128" s="47">
        <v>42</v>
      </c>
      <c r="CS128" s="47">
        <v>42</v>
      </c>
      <c r="CT128" s="47">
        <v>41</v>
      </c>
      <c r="CU128" s="47">
        <v>41</v>
      </c>
      <c r="CV128" s="47">
        <v>41</v>
      </c>
      <c r="CW128" s="47">
        <v>42</v>
      </c>
      <c r="CX128" s="47">
        <v>42</v>
      </c>
      <c r="CY128" s="47">
        <v>42</v>
      </c>
      <c r="CZ128" s="47">
        <v>41</v>
      </c>
      <c r="DA128" s="47">
        <v>41</v>
      </c>
      <c r="DB128" s="47">
        <v>41</v>
      </c>
      <c r="DC128" s="47">
        <v>42</v>
      </c>
      <c r="DD128" s="47">
        <v>42</v>
      </c>
      <c r="DE128" s="47">
        <v>42</v>
      </c>
      <c r="DF128" s="47">
        <v>41</v>
      </c>
      <c r="DG128" s="47">
        <v>71</v>
      </c>
      <c r="DH128" s="47">
        <v>41</v>
      </c>
      <c r="DI128" s="47">
        <v>42</v>
      </c>
      <c r="DJ128" s="47">
        <v>42</v>
      </c>
      <c r="DK128" s="47">
        <v>42</v>
      </c>
      <c r="DL128" s="47">
        <v>41</v>
      </c>
      <c r="DM128" s="47">
        <v>41</v>
      </c>
      <c r="DN128" s="47">
        <v>41</v>
      </c>
      <c r="DO128" s="33">
        <v>42</v>
      </c>
      <c r="DP128" s="33">
        <v>42</v>
      </c>
      <c r="DQ128" s="33">
        <v>42</v>
      </c>
      <c r="DR128" s="33">
        <v>41</v>
      </c>
      <c r="DS128" s="33">
        <v>41</v>
      </c>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Z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c r="GA128" s="26"/>
      <c r="GB128" s="26"/>
      <c r="GC128" s="26"/>
      <c r="GD128" s="26"/>
      <c r="GG128" s="26"/>
      <c r="GK128">
        <f>IF(ISNUMBER(EY1152),EY1152,999)</f>
        <v>999</v>
      </c>
    </row>
    <row r="129" spans="2:193" x14ac:dyDescent="0.3">
      <c r="B129" s="18" t="s">
        <v>540</v>
      </c>
      <c r="C129" s="13">
        <v>2</v>
      </c>
      <c r="D129" s="21" t="s">
        <v>541</v>
      </c>
      <c r="E129" s="24">
        <v>65</v>
      </c>
      <c r="G129" s="2">
        <f t="shared" si="33"/>
        <v>110</v>
      </c>
      <c r="H129" s="5">
        <v>3</v>
      </c>
      <c r="I129" s="13">
        <v>15</v>
      </c>
      <c r="L129" s="4"/>
      <c r="M129" s="7"/>
      <c r="O129" s="7"/>
      <c r="T129" s="7"/>
      <c r="AE129" s="7"/>
      <c r="BD129" s="26"/>
      <c r="BE129" s="26">
        <f t="shared" si="32"/>
        <v>26</v>
      </c>
      <c r="BF129">
        <v>26</v>
      </c>
      <c r="BG129">
        <v>109</v>
      </c>
      <c r="BH129" s="43">
        <v>55</v>
      </c>
      <c r="BI129" s="44">
        <v>55</v>
      </c>
      <c r="BJ129" s="44">
        <v>56</v>
      </c>
      <c r="BK129" s="44">
        <v>56</v>
      </c>
      <c r="BL129" s="44">
        <v>56</v>
      </c>
      <c r="BM129" s="44">
        <v>55</v>
      </c>
      <c r="BN129" s="44">
        <v>55</v>
      </c>
      <c r="BO129" s="44">
        <v>55</v>
      </c>
      <c r="BP129" s="44">
        <v>56</v>
      </c>
      <c r="BQ129" s="44">
        <v>56</v>
      </c>
      <c r="BR129" s="44">
        <v>56</v>
      </c>
      <c r="BS129" s="44">
        <v>55</v>
      </c>
      <c r="BT129" s="44">
        <v>55</v>
      </c>
      <c r="BU129" s="44">
        <v>55</v>
      </c>
      <c r="BV129" s="44">
        <v>56</v>
      </c>
      <c r="BW129" s="44">
        <v>56</v>
      </c>
      <c r="BX129" s="44">
        <v>56</v>
      </c>
      <c r="BY129" s="44">
        <v>55</v>
      </c>
      <c r="BZ129" s="44">
        <v>55</v>
      </c>
      <c r="CA129" s="44">
        <v>55</v>
      </c>
      <c r="CB129" s="44">
        <v>56</v>
      </c>
      <c r="CC129" s="44">
        <v>56</v>
      </c>
      <c r="CD129" s="44">
        <v>56</v>
      </c>
      <c r="CE129" s="44">
        <v>55</v>
      </c>
      <c r="CF129" s="44">
        <v>55</v>
      </c>
      <c r="CG129" s="44">
        <v>55</v>
      </c>
      <c r="CH129" s="44">
        <v>56</v>
      </c>
      <c r="CI129" s="44">
        <v>56</v>
      </c>
      <c r="CJ129" s="44">
        <v>56</v>
      </c>
      <c r="CK129" s="44">
        <v>55</v>
      </c>
      <c r="CL129" s="44">
        <v>55</v>
      </c>
      <c r="CM129" s="44">
        <v>55</v>
      </c>
      <c r="CN129" s="44">
        <v>56</v>
      </c>
      <c r="CO129" s="44">
        <v>56</v>
      </c>
      <c r="CP129" s="44">
        <v>56</v>
      </c>
      <c r="CQ129" s="44">
        <v>55</v>
      </c>
      <c r="CR129" s="44">
        <v>55</v>
      </c>
      <c r="CS129" s="44">
        <v>55</v>
      </c>
      <c r="CT129" s="44">
        <v>56</v>
      </c>
      <c r="CU129" s="44">
        <v>56</v>
      </c>
      <c r="CV129" s="44">
        <v>56</v>
      </c>
      <c r="CW129" s="44">
        <v>55</v>
      </c>
      <c r="CX129" s="44">
        <v>55</v>
      </c>
      <c r="CY129" s="44">
        <v>55</v>
      </c>
      <c r="CZ129" s="44">
        <v>56</v>
      </c>
      <c r="DA129" s="44">
        <v>56</v>
      </c>
      <c r="DB129" s="44">
        <v>56</v>
      </c>
      <c r="DC129" s="44">
        <v>55</v>
      </c>
      <c r="DD129" s="44">
        <v>56</v>
      </c>
      <c r="DE129" s="44">
        <v>55</v>
      </c>
      <c r="DF129" s="44">
        <v>55</v>
      </c>
      <c r="DG129" s="44">
        <v>26</v>
      </c>
      <c r="DH129" s="44">
        <v>56</v>
      </c>
      <c r="DI129" s="44">
        <v>55</v>
      </c>
      <c r="DJ129" s="44">
        <v>55</v>
      </c>
      <c r="DK129" s="44">
        <v>54</v>
      </c>
      <c r="DL129" s="44">
        <v>53</v>
      </c>
      <c r="DM129" s="44">
        <v>53</v>
      </c>
      <c r="DN129" s="44">
        <v>51</v>
      </c>
      <c r="DO129" s="48">
        <v>55</v>
      </c>
      <c r="DP129" s="48">
        <v>54</v>
      </c>
      <c r="DQ129" s="48">
        <v>55</v>
      </c>
      <c r="DR129" s="48">
        <v>55</v>
      </c>
      <c r="DS129" s="34">
        <v>57</v>
      </c>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Z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c r="GA129" s="26"/>
      <c r="GB129" s="26"/>
      <c r="GC129" s="26"/>
      <c r="GD129" s="26"/>
      <c r="GG129" s="26"/>
      <c r="GK129">
        <f>IF(ISNUMBER(EY1153),EY1153,999)</f>
        <v>999</v>
      </c>
    </row>
    <row r="130" spans="2:193" x14ac:dyDescent="0.3">
      <c r="B130" s="18" t="s">
        <v>542</v>
      </c>
      <c r="C130" s="13">
        <v>20</v>
      </c>
      <c r="D130" s="21" t="s">
        <v>543</v>
      </c>
      <c r="E130" s="24">
        <v>66</v>
      </c>
      <c r="G130" s="2">
        <f t="shared" si="33"/>
        <v>111</v>
      </c>
      <c r="H130" s="5">
        <v>3</v>
      </c>
      <c r="I130" s="13">
        <v>15</v>
      </c>
      <c r="L130" s="4"/>
      <c r="M130" s="7"/>
      <c r="O130" s="7"/>
      <c r="T130" s="7"/>
      <c r="AE130" s="7"/>
      <c r="BD130" s="26"/>
      <c r="BE130" s="26" t="str">
        <f t="shared" si="32"/>
        <v>BYE</v>
      </c>
      <c r="BF130">
        <v>103</v>
      </c>
      <c r="BG130">
        <v>110</v>
      </c>
      <c r="BH130" s="45">
        <v>74</v>
      </c>
      <c r="BI130" s="46">
        <v>74</v>
      </c>
      <c r="BJ130" s="46">
        <v>73</v>
      </c>
      <c r="BK130" s="46">
        <v>73</v>
      </c>
      <c r="BL130" s="46">
        <v>73</v>
      </c>
      <c r="BM130" s="46">
        <v>74</v>
      </c>
      <c r="BN130" s="46">
        <v>74</v>
      </c>
      <c r="BO130" s="46">
        <v>74</v>
      </c>
      <c r="BP130" s="46">
        <v>73</v>
      </c>
      <c r="BQ130" s="46">
        <v>73</v>
      </c>
      <c r="BR130" s="46">
        <v>73</v>
      </c>
      <c r="BS130" s="46">
        <v>74</v>
      </c>
      <c r="BT130" s="46">
        <v>74</v>
      </c>
      <c r="BU130" s="46">
        <v>74</v>
      </c>
      <c r="BV130" s="46">
        <v>73</v>
      </c>
      <c r="BW130" s="46">
        <v>73</v>
      </c>
      <c r="BX130" s="46">
        <v>73</v>
      </c>
      <c r="BY130" s="46">
        <v>74</v>
      </c>
      <c r="BZ130" s="46">
        <v>74</v>
      </c>
      <c r="CA130" s="46">
        <v>74</v>
      </c>
      <c r="CB130" s="46">
        <v>76</v>
      </c>
      <c r="CC130" s="46">
        <v>74</v>
      </c>
      <c r="CD130" s="46">
        <v>74</v>
      </c>
      <c r="CE130" s="46">
        <v>74</v>
      </c>
      <c r="CF130" s="46">
        <v>75</v>
      </c>
      <c r="CG130" s="46">
        <v>74</v>
      </c>
      <c r="CH130" s="46">
        <v>74</v>
      </c>
      <c r="CI130" s="46">
        <v>75</v>
      </c>
      <c r="CJ130" s="46">
        <v>74</v>
      </c>
      <c r="CK130" s="46">
        <v>74</v>
      </c>
      <c r="CL130" s="46">
        <v>70</v>
      </c>
      <c r="CM130" s="46">
        <v>75</v>
      </c>
      <c r="CN130" s="46">
        <v>75</v>
      </c>
      <c r="CO130" s="46">
        <v>74</v>
      </c>
      <c r="CP130" s="46">
        <v>74</v>
      </c>
      <c r="CQ130" s="46">
        <v>74</v>
      </c>
      <c r="CR130" s="46">
        <v>78</v>
      </c>
      <c r="CS130" s="46">
        <v>74</v>
      </c>
      <c r="CT130" s="46">
        <v>74</v>
      </c>
      <c r="CU130" s="46">
        <v>75</v>
      </c>
      <c r="CV130" s="46">
        <v>74</v>
      </c>
      <c r="CW130" s="46">
        <v>74</v>
      </c>
      <c r="CX130" s="46">
        <v>70</v>
      </c>
      <c r="CY130" s="46">
        <v>77</v>
      </c>
      <c r="CZ130" s="46">
        <v>84</v>
      </c>
      <c r="DA130" s="46">
        <v>74</v>
      </c>
      <c r="DB130" s="46">
        <v>74</v>
      </c>
      <c r="DC130" s="46">
        <v>74</v>
      </c>
      <c r="DD130" s="46">
        <v>75</v>
      </c>
      <c r="DE130" s="46">
        <v>74</v>
      </c>
      <c r="DF130" s="46">
        <v>74</v>
      </c>
      <c r="DG130" s="46" t="s">
        <v>327</v>
      </c>
      <c r="DH130" s="46">
        <v>74</v>
      </c>
      <c r="DI130" s="46">
        <v>74</v>
      </c>
      <c r="DJ130" s="46">
        <v>70</v>
      </c>
      <c r="DK130" s="46" t="s">
        <v>326</v>
      </c>
      <c r="DL130" s="46" t="s">
        <v>326</v>
      </c>
      <c r="DM130" s="46" t="s">
        <v>326</v>
      </c>
      <c r="DN130" s="46" t="s">
        <v>326</v>
      </c>
      <c r="DO130" s="49" t="s">
        <v>326</v>
      </c>
      <c r="DP130" s="49" t="s">
        <v>326</v>
      </c>
      <c r="DQ130" s="49" t="s">
        <v>326</v>
      </c>
      <c r="DR130" s="49" t="s">
        <v>326</v>
      </c>
      <c r="DS130" s="35" t="s">
        <v>326</v>
      </c>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Z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c r="GA130" s="26"/>
      <c r="GB130" s="26"/>
      <c r="GC130" s="26"/>
      <c r="GD130" s="26"/>
      <c r="GG130" s="26"/>
      <c r="GK130">
        <f>IF(ISNUMBER(EY1154),EY1154,999)</f>
        <v>999</v>
      </c>
    </row>
    <row r="131" spans="2:193" x14ac:dyDescent="0.3">
      <c r="B131" s="18" t="s">
        <v>544</v>
      </c>
      <c r="C131" s="13">
        <v>21</v>
      </c>
      <c r="D131" s="21" t="s">
        <v>545</v>
      </c>
      <c r="E131" s="24">
        <v>67</v>
      </c>
      <c r="G131" s="2">
        <f t="shared" si="33"/>
        <v>112</v>
      </c>
      <c r="H131" s="5">
        <v>3</v>
      </c>
      <c r="I131" s="13">
        <v>15</v>
      </c>
      <c r="L131" s="4"/>
      <c r="M131" s="7"/>
      <c r="O131" s="7"/>
      <c r="T131" s="7"/>
      <c r="AE131" s="7"/>
      <c r="BD131" s="26"/>
      <c r="BE131" s="26">
        <f t="shared" si="32"/>
        <v>33</v>
      </c>
      <c r="BF131">
        <v>33</v>
      </c>
      <c r="BG131">
        <v>111</v>
      </c>
      <c r="BH131" s="47">
        <v>118</v>
      </c>
      <c r="BI131" s="47">
        <v>119</v>
      </c>
      <c r="BJ131" s="47">
        <v>119</v>
      </c>
      <c r="BK131" s="47">
        <v>121</v>
      </c>
      <c r="BL131" s="47">
        <v>120</v>
      </c>
      <c r="BM131" s="47">
        <v>119</v>
      </c>
      <c r="BN131" s="47">
        <v>119</v>
      </c>
      <c r="BO131" s="47">
        <v>115</v>
      </c>
      <c r="BP131" s="47">
        <v>115</v>
      </c>
      <c r="BQ131" s="47">
        <v>115</v>
      </c>
      <c r="BR131" s="47">
        <v>115</v>
      </c>
      <c r="BS131" s="47" t="s">
        <v>326</v>
      </c>
      <c r="BT131" s="47" t="s">
        <v>326</v>
      </c>
      <c r="BU131" s="47" t="s">
        <v>326</v>
      </c>
      <c r="BV131" s="47" t="s">
        <v>326</v>
      </c>
      <c r="BW131" s="47" t="s">
        <v>326</v>
      </c>
      <c r="BX131" s="47" t="s">
        <v>326</v>
      </c>
      <c r="BY131" s="47" t="s">
        <v>326</v>
      </c>
      <c r="BZ131" s="47" t="s">
        <v>326</v>
      </c>
      <c r="CA131" s="47" t="s">
        <v>326</v>
      </c>
      <c r="CB131" s="47" t="s">
        <v>326</v>
      </c>
      <c r="CC131" s="47" t="s">
        <v>326</v>
      </c>
      <c r="CD131" s="47" t="s">
        <v>326</v>
      </c>
      <c r="CE131" s="47" t="s">
        <v>326</v>
      </c>
      <c r="CF131" s="47" t="s">
        <v>326</v>
      </c>
      <c r="CG131" s="47" t="s">
        <v>326</v>
      </c>
      <c r="CH131" s="47" t="s">
        <v>326</v>
      </c>
      <c r="CI131" s="47" t="s">
        <v>326</v>
      </c>
      <c r="CJ131" s="47" t="s">
        <v>326</v>
      </c>
      <c r="CK131" s="47" t="s">
        <v>326</v>
      </c>
      <c r="CL131" s="47" t="s">
        <v>326</v>
      </c>
      <c r="CM131" s="47" t="s">
        <v>326</v>
      </c>
      <c r="CN131" s="47" t="s">
        <v>326</v>
      </c>
      <c r="CO131" s="47" t="s">
        <v>326</v>
      </c>
      <c r="CP131" s="47" t="s">
        <v>326</v>
      </c>
      <c r="CQ131" s="47" t="s">
        <v>326</v>
      </c>
      <c r="CR131" s="47" t="s">
        <v>326</v>
      </c>
      <c r="CS131" s="47" t="s">
        <v>326</v>
      </c>
      <c r="CT131" s="47" t="s">
        <v>326</v>
      </c>
      <c r="CU131" s="47" t="s">
        <v>326</v>
      </c>
      <c r="CV131" s="47" t="s">
        <v>326</v>
      </c>
      <c r="CW131" s="47" t="s">
        <v>326</v>
      </c>
      <c r="CX131" s="47" t="s">
        <v>326</v>
      </c>
      <c r="CY131" s="47" t="s">
        <v>326</v>
      </c>
      <c r="CZ131" s="47" t="s">
        <v>326</v>
      </c>
      <c r="DA131" s="47" t="s">
        <v>326</v>
      </c>
      <c r="DB131" s="47" t="s">
        <v>326</v>
      </c>
      <c r="DC131" s="47" t="s">
        <v>326</v>
      </c>
      <c r="DD131" s="47" t="s">
        <v>326</v>
      </c>
      <c r="DE131" s="47" t="s">
        <v>326</v>
      </c>
      <c r="DF131" s="47" t="s">
        <v>326</v>
      </c>
      <c r="DG131" s="47" t="s">
        <v>327</v>
      </c>
      <c r="DH131" s="47" t="s">
        <v>326</v>
      </c>
      <c r="DI131" s="47" t="s">
        <v>326</v>
      </c>
      <c r="DJ131" s="47" t="s">
        <v>326</v>
      </c>
      <c r="DK131" s="47" t="s">
        <v>326</v>
      </c>
      <c r="DL131" s="47" t="s">
        <v>326</v>
      </c>
      <c r="DM131" s="47" t="s">
        <v>326</v>
      </c>
      <c r="DN131" s="47" t="s">
        <v>326</v>
      </c>
      <c r="DO131" s="33" t="s">
        <v>326</v>
      </c>
      <c r="DP131" s="33" t="s">
        <v>326</v>
      </c>
      <c r="DQ131" s="33" t="s">
        <v>326</v>
      </c>
      <c r="DR131" s="33" t="s">
        <v>326</v>
      </c>
      <c r="DS131" s="33" t="s">
        <v>326</v>
      </c>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Z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c r="GA131" s="26"/>
      <c r="GB131" s="26"/>
      <c r="GC131" s="26"/>
      <c r="GD131" s="26"/>
      <c r="GG131" s="26"/>
    </row>
    <row r="132" spans="2:193" x14ac:dyDescent="0.3">
      <c r="B132" s="18" t="s">
        <v>546</v>
      </c>
      <c r="C132" s="13">
        <v>22</v>
      </c>
      <c r="D132" s="21" t="s">
        <v>547</v>
      </c>
      <c r="E132" s="24">
        <v>94</v>
      </c>
      <c r="G132" s="2">
        <f t="shared" si="33"/>
        <v>113</v>
      </c>
      <c r="H132" s="5">
        <v>3</v>
      </c>
      <c r="I132" s="13">
        <v>15</v>
      </c>
      <c r="L132" s="4"/>
      <c r="M132" s="7"/>
      <c r="O132" s="7"/>
      <c r="T132" s="7"/>
      <c r="AE132" s="7"/>
      <c r="BD132" s="26"/>
      <c r="BE132" s="26" t="str">
        <f t="shared" si="32"/>
        <v>BYE</v>
      </c>
      <c r="BF132">
        <v>96</v>
      </c>
      <c r="BG132">
        <v>112</v>
      </c>
      <c r="BH132" s="47">
        <v>10</v>
      </c>
      <c r="BI132" s="47">
        <v>10</v>
      </c>
      <c r="BJ132" s="47">
        <v>10</v>
      </c>
      <c r="BK132" s="47">
        <v>10</v>
      </c>
      <c r="BL132" s="47">
        <v>10</v>
      </c>
      <c r="BM132" s="47">
        <v>10</v>
      </c>
      <c r="BN132" s="47">
        <v>10</v>
      </c>
      <c r="BO132" s="47">
        <v>10</v>
      </c>
      <c r="BP132" s="47">
        <v>10</v>
      </c>
      <c r="BQ132" s="47">
        <v>10</v>
      </c>
      <c r="BR132" s="47">
        <v>10</v>
      </c>
      <c r="BS132" s="47">
        <v>10</v>
      </c>
      <c r="BT132" s="47">
        <v>10</v>
      </c>
      <c r="BU132" s="47">
        <v>10</v>
      </c>
      <c r="BV132" s="47">
        <v>10</v>
      </c>
      <c r="BW132" s="47">
        <v>10</v>
      </c>
      <c r="BX132" s="47">
        <v>10</v>
      </c>
      <c r="BY132" s="47">
        <v>10</v>
      </c>
      <c r="BZ132" s="47">
        <v>10</v>
      </c>
      <c r="CA132" s="47">
        <v>10</v>
      </c>
      <c r="CB132" s="47">
        <v>10</v>
      </c>
      <c r="CC132" s="47">
        <v>10</v>
      </c>
      <c r="CD132" s="47">
        <v>10</v>
      </c>
      <c r="CE132" s="47">
        <v>10</v>
      </c>
      <c r="CF132" s="47">
        <v>10</v>
      </c>
      <c r="CG132" s="47">
        <v>10</v>
      </c>
      <c r="CH132" s="47">
        <v>10</v>
      </c>
      <c r="CI132" s="47">
        <v>10</v>
      </c>
      <c r="CJ132" s="47">
        <v>10</v>
      </c>
      <c r="CK132" s="47">
        <v>10</v>
      </c>
      <c r="CL132" s="47">
        <v>10</v>
      </c>
      <c r="CM132" s="47">
        <v>10</v>
      </c>
      <c r="CN132" s="47">
        <v>10</v>
      </c>
      <c r="CO132" s="47">
        <v>10</v>
      </c>
      <c r="CP132" s="47">
        <v>10</v>
      </c>
      <c r="CQ132" s="47">
        <v>10</v>
      </c>
      <c r="CR132" s="47">
        <v>10</v>
      </c>
      <c r="CS132" s="47">
        <v>10</v>
      </c>
      <c r="CT132" s="47">
        <v>10</v>
      </c>
      <c r="CU132" s="47">
        <v>10</v>
      </c>
      <c r="CV132" s="47">
        <v>10</v>
      </c>
      <c r="CW132" s="47">
        <v>10</v>
      </c>
      <c r="CX132" s="47">
        <v>10</v>
      </c>
      <c r="CY132" s="47">
        <v>10</v>
      </c>
      <c r="CZ132" s="47">
        <v>10</v>
      </c>
      <c r="DA132" s="47">
        <v>10</v>
      </c>
      <c r="DB132" s="47">
        <v>10</v>
      </c>
      <c r="DC132" s="47">
        <v>10</v>
      </c>
      <c r="DD132" s="47">
        <v>10</v>
      </c>
      <c r="DE132" s="47">
        <v>10</v>
      </c>
      <c r="DF132" s="47">
        <v>10</v>
      </c>
      <c r="DG132" s="47">
        <v>32</v>
      </c>
      <c r="DH132" s="47">
        <v>10</v>
      </c>
      <c r="DI132" s="47">
        <v>10</v>
      </c>
      <c r="DJ132" s="47">
        <v>10</v>
      </c>
      <c r="DK132" s="47">
        <v>10</v>
      </c>
      <c r="DL132" s="47">
        <v>10</v>
      </c>
      <c r="DM132" s="47">
        <v>10</v>
      </c>
      <c r="DN132" s="47">
        <v>10</v>
      </c>
      <c r="DO132" s="33">
        <v>10</v>
      </c>
      <c r="DP132" s="33">
        <v>10</v>
      </c>
      <c r="DQ132" s="33">
        <v>10</v>
      </c>
      <c r="DR132" s="33">
        <v>10</v>
      </c>
      <c r="DS132" s="33">
        <v>10</v>
      </c>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Z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c r="GA132" s="26"/>
      <c r="GB132" s="26"/>
      <c r="GC132" s="26"/>
      <c r="GD132" s="26"/>
      <c r="GG132" s="26"/>
    </row>
    <row r="133" spans="2:193" x14ac:dyDescent="0.3">
      <c r="B133" s="18" t="s">
        <v>548</v>
      </c>
      <c r="C133" s="13">
        <v>23</v>
      </c>
      <c r="D133" s="21" t="s">
        <v>549</v>
      </c>
      <c r="E133" s="24">
        <v>68</v>
      </c>
      <c r="G133" s="2">
        <f t="shared" si="33"/>
        <v>114</v>
      </c>
      <c r="H133" s="5">
        <v>3</v>
      </c>
      <c r="I133" s="13">
        <v>15</v>
      </c>
      <c r="L133" s="4"/>
      <c r="M133" s="7"/>
      <c r="O133" s="7"/>
      <c r="T133" s="7"/>
      <c r="AE133" s="7"/>
      <c r="BD133" s="26"/>
      <c r="BE133" s="26">
        <f t="shared" si="32"/>
        <v>15</v>
      </c>
      <c r="BF133">
        <v>15</v>
      </c>
      <c r="BG133">
        <v>113</v>
      </c>
      <c r="BH133" s="43">
        <v>15</v>
      </c>
      <c r="BI133" s="44">
        <v>15</v>
      </c>
      <c r="BJ133" s="44">
        <v>15</v>
      </c>
      <c r="BK133" s="44">
        <v>15</v>
      </c>
      <c r="BL133" s="44">
        <v>15</v>
      </c>
      <c r="BM133" s="44">
        <v>15</v>
      </c>
      <c r="BN133" s="44">
        <v>15</v>
      </c>
      <c r="BO133" s="44">
        <v>15</v>
      </c>
      <c r="BP133" s="44">
        <v>15</v>
      </c>
      <c r="BQ133" s="44">
        <v>15</v>
      </c>
      <c r="BR133" s="44">
        <v>15</v>
      </c>
      <c r="BS133" s="44">
        <v>15</v>
      </c>
      <c r="BT133" s="44">
        <v>15</v>
      </c>
      <c r="BU133" s="44">
        <v>15</v>
      </c>
      <c r="BV133" s="44">
        <v>15</v>
      </c>
      <c r="BW133" s="44">
        <v>15</v>
      </c>
      <c r="BX133" s="44">
        <v>15</v>
      </c>
      <c r="BY133" s="44">
        <v>15</v>
      </c>
      <c r="BZ133" s="44">
        <v>15</v>
      </c>
      <c r="CA133" s="44">
        <v>15</v>
      </c>
      <c r="CB133" s="44">
        <v>15</v>
      </c>
      <c r="CC133" s="44">
        <v>15</v>
      </c>
      <c r="CD133" s="44">
        <v>15</v>
      </c>
      <c r="CE133" s="44">
        <v>15</v>
      </c>
      <c r="CF133" s="44">
        <v>15</v>
      </c>
      <c r="CG133" s="44">
        <v>15</v>
      </c>
      <c r="CH133" s="44">
        <v>15</v>
      </c>
      <c r="CI133" s="44">
        <v>15</v>
      </c>
      <c r="CJ133" s="44">
        <v>15</v>
      </c>
      <c r="CK133" s="44">
        <v>15</v>
      </c>
      <c r="CL133" s="44">
        <v>15</v>
      </c>
      <c r="CM133" s="44">
        <v>15</v>
      </c>
      <c r="CN133" s="44">
        <v>15</v>
      </c>
      <c r="CO133" s="44">
        <v>15</v>
      </c>
      <c r="CP133" s="44">
        <v>15</v>
      </c>
      <c r="CQ133" s="44">
        <v>15</v>
      </c>
      <c r="CR133" s="44">
        <v>15</v>
      </c>
      <c r="CS133" s="44">
        <v>15</v>
      </c>
      <c r="CT133" s="44">
        <v>15</v>
      </c>
      <c r="CU133" s="44">
        <v>15</v>
      </c>
      <c r="CV133" s="44">
        <v>15</v>
      </c>
      <c r="CW133" s="44">
        <v>15</v>
      </c>
      <c r="CX133" s="44">
        <v>15</v>
      </c>
      <c r="CY133" s="44">
        <v>15</v>
      </c>
      <c r="CZ133" s="44">
        <v>15</v>
      </c>
      <c r="DA133" s="44">
        <v>15</v>
      </c>
      <c r="DB133" s="44">
        <v>15</v>
      </c>
      <c r="DC133" s="44">
        <v>15</v>
      </c>
      <c r="DD133" s="44">
        <v>15</v>
      </c>
      <c r="DE133" s="44">
        <v>15</v>
      </c>
      <c r="DF133" s="44">
        <v>15</v>
      </c>
      <c r="DG133" s="44">
        <v>15</v>
      </c>
      <c r="DH133" s="44">
        <v>15</v>
      </c>
      <c r="DI133" s="44">
        <v>15</v>
      </c>
      <c r="DJ133" s="44">
        <v>15</v>
      </c>
      <c r="DK133" s="44">
        <v>15</v>
      </c>
      <c r="DL133" s="44">
        <v>15</v>
      </c>
      <c r="DM133" s="44">
        <v>15</v>
      </c>
      <c r="DN133" s="44">
        <v>15</v>
      </c>
      <c r="DO133" s="48">
        <v>15</v>
      </c>
      <c r="DP133" s="48">
        <v>15</v>
      </c>
      <c r="DQ133" s="48">
        <v>15</v>
      </c>
      <c r="DR133" s="48">
        <v>15</v>
      </c>
      <c r="DS133" s="34">
        <v>15</v>
      </c>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Z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c r="GA133" s="26"/>
      <c r="GB133" s="26"/>
      <c r="GC133" s="26"/>
      <c r="GD133" s="26"/>
      <c r="GG133" s="26"/>
    </row>
    <row r="134" spans="2:193" x14ac:dyDescent="0.3">
      <c r="B134" s="18" t="s">
        <v>550</v>
      </c>
      <c r="C134" s="13">
        <v>24</v>
      </c>
      <c r="D134" s="21" t="s">
        <v>551</v>
      </c>
      <c r="E134" s="24">
        <v>69</v>
      </c>
      <c r="G134" s="2">
        <f t="shared" si="33"/>
        <v>115</v>
      </c>
      <c r="H134" s="5">
        <v>3</v>
      </c>
      <c r="I134" s="13">
        <v>15</v>
      </c>
      <c r="L134" s="4"/>
      <c r="M134" s="7"/>
      <c r="O134" s="7"/>
      <c r="T134" s="7"/>
      <c r="AE134" s="7"/>
      <c r="BD134" s="26"/>
      <c r="BE134" s="26" t="str">
        <f t="shared" si="32"/>
        <v>BYE</v>
      </c>
      <c r="BF134">
        <v>114</v>
      </c>
      <c r="BG134">
        <v>114</v>
      </c>
      <c r="BH134" s="45">
        <v>115</v>
      </c>
      <c r="BI134" s="46">
        <v>114</v>
      </c>
      <c r="BJ134" s="46">
        <v>114</v>
      </c>
      <c r="BK134" s="46">
        <v>115</v>
      </c>
      <c r="BL134" s="46">
        <v>114</v>
      </c>
      <c r="BM134" s="46">
        <v>114</v>
      </c>
      <c r="BN134" s="46">
        <v>110</v>
      </c>
      <c r="BO134" s="46">
        <v>117</v>
      </c>
      <c r="BP134" s="46">
        <v>117</v>
      </c>
      <c r="BQ134" s="46">
        <v>114</v>
      </c>
      <c r="BR134" s="46">
        <v>114</v>
      </c>
      <c r="BS134" s="46">
        <v>114</v>
      </c>
      <c r="BT134" s="46">
        <v>113</v>
      </c>
      <c r="BU134" s="46">
        <v>114</v>
      </c>
      <c r="BV134" s="46">
        <v>114</v>
      </c>
      <c r="BW134" s="46" t="s">
        <v>326</v>
      </c>
      <c r="BX134" s="46" t="s">
        <v>326</v>
      </c>
      <c r="BY134" s="46" t="s">
        <v>326</v>
      </c>
      <c r="BZ134" s="46" t="s">
        <v>326</v>
      </c>
      <c r="CA134" s="46" t="s">
        <v>326</v>
      </c>
      <c r="CB134" s="46" t="s">
        <v>326</v>
      </c>
      <c r="CC134" s="46" t="s">
        <v>326</v>
      </c>
      <c r="CD134" s="46" t="s">
        <v>326</v>
      </c>
      <c r="CE134" s="46" t="s">
        <v>326</v>
      </c>
      <c r="CF134" s="46" t="s">
        <v>326</v>
      </c>
      <c r="CG134" s="46" t="s">
        <v>326</v>
      </c>
      <c r="CH134" s="46" t="s">
        <v>326</v>
      </c>
      <c r="CI134" s="46" t="s">
        <v>326</v>
      </c>
      <c r="CJ134" s="46" t="s">
        <v>326</v>
      </c>
      <c r="CK134" s="46" t="s">
        <v>326</v>
      </c>
      <c r="CL134" s="46" t="s">
        <v>326</v>
      </c>
      <c r="CM134" s="46" t="s">
        <v>326</v>
      </c>
      <c r="CN134" s="46" t="s">
        <v>326</v>
      </c>
      <c r="CO134" s="46" t="s">
        <v>326</v>
      </c>
      <c r="CP134" s="46" t="s">
        <v>326</v>
      </c>
      <c r="CQ134" s="46" t="s">
        <v>326</v>
      </c>
      <c r="CR134" s="46" t="s">
        <v>326</v>
      </c>
      <c r="CS134" s="46" t="s">
        <v>326</v>
      </c>
      <c r="CT134" s="46" t="s">
        <v>326</v>
      </c>
      <c r="CU134" s="46" t="s">
        <v>326</v>
      </c>
      <c r="CV134" s="46" t="s">
        <v>326</v>
      </c>
      <c r="CW134" s="46" t="s">
        <v>326</v>
      </c>
      <c r="CX134" s="46" t="s">
        <v>326</v>
      </c>
      <c r="CY134" s="46" t="s">
        <v>326</v>
      </c>
      <c r="CZ134" s="46" t="s">
        <v>326</v>
      </c>
      <c r="DA134" s="46" t="s">
        <v>326</v>
      </c>
      <c r="DB134" s="46" t="s">
        <v>326</v>
      </c>
      <c r="DC134" s="46" t="s">
        <v>326</v>
      </c>
      <c r="DD134" s="46" t="s">
        <v>326</v>
      </c>
      <c r="DE134" s="46" t="s">
        <v>326</v>
      </c>
      <c r="DF134" s="46" t="s">
        <v>326</v>
      </c>
      <c r="DG134" s="46" t="s">
        <v>327</v>
      </c>
      <c r="DH134" s="46" t="s">
        <v>326</v>
      </c>
      <c r="DI134" s="46" t="s">
        <v>326</v>
      </c>
      <c r="DJ134" s="46" t="s">
        <v>326</v>
      </c>
      <c r="DK134" s="46" t="s">
        <v>326</v>
      </c>
      <c r="DL134" s="46" t="s">
        <v>326</v>
      </c>
      <c r="DM134" s="46" t="s">
        <v>326</v>
      </c>
      <c r="DN134" s="46" t="s">
        <v>326</v>
      </c>
      <c r="DO134" s="49" t="s">
        <v>326</v>
      </c>
      <c r="DP134" s="49" t="s">
        <v>326</v>
      </c>
      <c r="DQ134" s="49" t="s">
        <v>326</v>
      </c>
      <c r="DR134" s="49" t="s">
        <v>326</v>
      </c>
      <c r="DS134" s="35" t="s">
        <v>326</v>
      </c>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Z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c r="GA134" s="26"/>
      <c r="GB134" s="26"/>
      <c r="GC134" s="26"/>
      <c r="GD134" s="26"/>
      <c r="GG134" s="26"/>
    </row>
    <row r="135" spans="2:193" x14ac:dyDescent="0.3">
      <c r="B135" s="18" t="s">
        <v>552</v>
      </c>
      <c r="C135" s="13">
        <v>25</v>
      </c>
      <c r="D135" s="21" t="s">
        <v>553</v>
      </c>
      <c r="E135" s="24">
        <v>70</v>
      </c>
      <c r="G135" s="2">
        <f t="shared" si="33"/>
        <v>116</v>
      </c>
      <c r="H135" s="5">
        <v>3</v>
      </c>
      <c r="I135" s="13">
        <v>15</v>
      </c>
      <c r="L135" s="4"/>
      <c r="M135" s="7"/>
      <c r="O135" s="7"/>
      <c r="T135" s="7"/>
      <c r="AE135" s="7"/>
      <c r="BD135" s="26"/>
      <c r="BE135" s="26">
        <f t="shared" si="32"/>
        <v>48</v>
      </c>
      <c r="BF135">
        <v>48</v>
      </c>
      <c r="BG135">
        <v>115</v>
      </c>
      <c r="BH135" s="47">
        <v>79</v>
      </c>
      <c r="BI135" s="47">
        <v>79</v>
      </c>
      <c r="BJ135" s="47">
        <v>80</v>
      </c>
      <c r="BK135" s="47">
        <v>80</v>
      </c>
      <c r="BL135" s="47">
        <v>80</v>
      </c>
      <c r="BM135" s="47">
        <v>79</v>
      </c>
      <c r="BN135" s="47">
        <v>79</v>
      </c>
      <c r="BO135" s="47">
        <v>79</v>
      </c>
      <c r="BP135" s="47">
        <v>80</v>
      </c>
      <c r="BQ135" s="47">
        <v>80</v>
      </c>
      <c r="BR135" s="47">
        <v>80</v>
      </c>
      <c r="BS135" s="47">
        <v>79</v>
      </c>
      <c r="BT135" s="47">
        <v>83</v>
      </c>
      <c r="BU135" s="47">
        <v>79</v>
      </c>
      <c r="BV135" s="47">
        <v>79</v>
      </c>
      <c r="BW135" s="47">
        <v>81</v>
      </c>
      <c r="BX135" s="47">
        <v>80</v>
      </c>
      <c r="BY135" s="47">
        <v>79</v>
      </c>
      <c r="BZ135" s="47">
        <v>79</v>
      </c>
      <c r="CA135" s="47">
        <v>78</v>
      </c>
      <c r="CB135" s="47">
        <v>77</v>
      </c>
      <c r="CC135" s="47">
        <v>75</v>
      </c>
      <c r="CD135" s="47">
        <v>75</v>
      </c>
      <c r="CE135" s="47">
        <v>79</v>
      </c>
      <c r="CF135" s="47">
        <v>78</v>
      </c>
      <c r="CG135" s="47">
        <v>79</v>
      </c>
      <c r="CH135" s="47">
        <v>79</v>
      </c>
      <c r="CI135" s="47">
        <v>81</v>
      </c>
      <c r="CJ135" s="47">
        <v>80</v>
      </c>
      <c r="CK135" s="47">
        <v>79</v>
      </c>
      <c r="CL135" s="47">
        <v>79</v>
      </c>
      <c r="CM135" s="47">
        <v>78</v>
      </c>
      <c r="CN135" s="47">
        <v>77</v>
      </c>
      <c r="CO135" s="47">
        <v>76</v>
      </c>
      <c r="CP135" s="47">
        <v>75</v>
      </c>
      <c r="CQ135" s="47">
        <v>79</v>
      </c>
      <c r="CR135" s="47">
        <v>83</v>
      </c>
      <c r="CS135" s="47">
        <v>79</v>
      </c>
      <c r="CT135" s="47">
        <v>79</v>
      </c>
      <c r="CU135" s="47">
        <v>81</v>
      </c>
      <c r="CV135" s="47">
        <v>80</v>
      </c>
      <c r="CW135" s="47">
        <v>79</v>
      </c>
      <c r="CX135" s="47">
        <v>79</v>
      </c>
      <c r="CY135" s="47">
        <v>75</v>
      </c>
      <c r="CZ135" s="47">
        <v>76</v>
      </c>
      <c r="DA135" s="47">
        <v>76</v>
      </c>
      <c r="DB135" s="47">
        <v>75</v>
      </c>
      <c r="DC135" s="47">
        <v>79</v>
      </c>
      <c r="DD135" s="47">
        <v>78</v>
      </c>
      <c r="DE135" s="47">
        <v>79</v>
      </c>
      <c r="DF135" s="47" t="s">
        <v>326</v>
      </c>
      <c r="DG135" s="47">
        <v>52</v>
      </c>
      <c r="DH135" s="47" t="s">
        <v>326</v>
      </c>
      <c r="DI135" s="47" t="s">
        <v>326</v>
      </c>
      <c r="DJ135" s="47" t="s">
        <v>326</v>
      </c>
      <c r="DK135" s="47" t="s">
        <v>326</v>
      </c>
      <c r="DL135" s="47" t="s">
        <v>326</v>
      </c>
      <c r="DM135" s="47" t="s">
        <v>326</v>
      </c>
      <c r="DN135" s="47" t="s">
        <v>326</v>
      </c>
      <c r="DO135" s="33" t="s">
        <v>326</v>
      </c>
      <c r="DP135" s="33" t="s">
        <v>326</v>
      </c>
      <c r="DQ135" s="33" t="s">
        <v>326</v>
      </c>
      <c r="DR135" s="33" t="s">
        <v>326</v>
      </c>
      <c r="DS135" s="33" t="s">
        <v>326</v>
      </c>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Z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c r="GA135" s="26"/>
      <c r="GB135" s="26"/>
      <c r="GC135" s="26"/>
      <c r="GD135" s="26"/>
      <c r="GG135" s="26"/>
    </row>
    <row r="136" spans="2:193" x14ac:dyDescent="0.3">
      <c r="B136" s="18" t="s">
        <v>554</v>
      </c>
      <c r="C136" s="13">
        <v>26</v>
      </c>
      <c r="D136" s="21" t="s">
        <v>555</v>
      </c>
      <c r="E136" s="24">
        <v>71</v>
      </c>
      <c r="G136" s="2">
        <f t="shared" si="33"/>
        <v>117</v>
      </c>
      <c r="H136" s="5">
        <v>3</v>
      </c>
      <c r="I136" s="13">
        <v>15</v>
      </c>
      <c r="L136" s="4"/>
      <c r="M136" s="7"/>
      <c r="O136" s="7"/>
      <c r="T136" s="7"/>
      <c r="AE136" s="7"/>
      <c r="BD136" s="26"/>
      <c r="BE136" s="26" t="str">
        <f t="shared" si="32"/>
        <v>BYE</v>
      </c>
      <c r="BF136">
        <v>79</v>
      </c>
      <c r="BG136">
        <v>116</v>
      </c>
      <c r="BH136" s="47">
        <v>50</v>
      </c>
      <c r="BI136" s="47">
        <v>50</v>
      </c>
      <c r="BJ136" s="47">
        <v>49</v>
      </c>
      <c r="BK136" s="47">
        <v>49</v>
      </c>
      <c r="BL136" s="47">
        <v>49</v>
      </c>
      <c r="BM136" s="47">
        <v>50</v>
      </c>
      <c r="BN136" s="47">
        <v>50</v>
      </c>
      <c r="BO136" s="47">
        <v>50</v>
      </c>
      <c r="BP136" s="47">
        <v>49</v>
      </c>
      <c r="BQ136" s="47">
        <v>49</v>
      </c>
      <c r="BR136" s="47">
        <v>49</v>
      </c>
      <c r="BS136" s="47">
        <v>50</v>
      </c>
      <c r="BT136" s="47">
        <v>50</v>
      </c>
      <c r="BU136" s="47">
        <v>50</v>
      </c>
      <c r="BV136" s="47">
        <v>49</v>
      </c>
      <c r="BW136" s="47">
        <v>49</v>
      </c>
      <c r="BX136" s="47">
        <v>49</v>
      </c>
      <c r="BY136" s="47">
        <v>50</v>
      </c>
      <c r="BZ136" s="47">
        <v>50</v>
      </c>
      <c r="CA136" s="47">
        <v>50</v>
      </c>
      <c r="CB136" s="47">
        <v>49</v>
      </c>
      <c r="CC136" s="47">
        <v>49</v>
      </c>
      <c r="CD136" s="47">
        <v>49</v>
      </c>
      <c r="CE136" s="47">
        <v>50</v>
      </c>
      <c r="CF136" s="47">
        <v>50</v>
      </c>
      <c r="CG136" s="47">
        <v>50</v>
      </c>
      <c r="CH136" s="47">
        <v>49</v>
      </c>
      <c r="CI136" s="47">
        <v>49</v>
      </c>
      <c r="CJ136" s="47">
        <v>49</v>
      </c>
      <c r="CK136" s="47">
        <v>50</v>
      </c>
      <c r="CL136" s="47">
        <v>50</v>
      </c>
      <c r="CM136" s="47">
        <v>50</v>
      </c>
      <c r="CN136" s="47">
        <v>49</v>
      </c>
      <c r="CO136" s="47">
        <v>49</v>
      </c>
      <c r="CP136" s="47">
        <v>49</v>
      </c>
      <c r="CQ136" s="47">
        <v>50</v>
      </c>
      <c r="CR136" s="47">
        <v>50</v>
      </c>
      <c r="CS136" s="47">
        <v>50</v>
      </c>
      <c r="CT136" s="47">
        <v>49</v>
      </c>
      <c r="CU136" s="47">
        <v>49</v>
      </c>
      <c r="CV136" s="47">
        <v>49</v>
      </c>
      <c r="CW136" s="47">
        <v>50</v>
      </c>
      <c r="CX136" s="47">
        <v>50</v>
      </c>
      <c r="CY136" s="47">
        <v>50</v>
      </c>
      <c r="CZ136" s="47">
        <v>49</v>
      </c>
      <c r="DA136" s="47">
        <v>49</v>
      </c>
      <c r="DB136" s="47">
        <v>49</v>
      </c>
      <c r="DC136" s="47">
        <v>50</v>
      </c>
      <c r="DD136" s="47">
        <v>50</v>
      </c>
      <c r="DE136" s="47">
        <v>50</v>
      </c>
      <c r="DF136" s="47">
        <v>49</v>
      </c>
      <c r="DG136" s="47" t="s">
        <v>327</v>
      </c>
      <c r="DH136" s="47">
        <v>49</v>
      </c>
      <c r="DI136" s="47">
        <v>50</v>
      </c>
      <c r="DJ136" s="47">
        <v>50</v>
      </c>
      <c r="DK136" s="47">
        <v>50</v>
      </c>
      <c r="DL136" s="47">
        <v>52</v>
      </c>
      <c r="DM136" s="47">
        <v>50</v>
      </c>
      <c r="DN136" s="47">
        <v>50</v>
      </c>
      <c r="DO136" s="33">
        <v>50</v>
      </c>
      <c r="DP136" s="33">
        <v>51</v>
      </c>
      <c r="DQ136" s="33">
        <v>50</v>
      </c>
      <c r="DR136" s="33">
        <v>50</v>
      </c>
      <c r="DS136" s="33">
        <v>51</v>
      </c>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Z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c r="GA136" s="26"/>
      <c r="GB136" s="26"/>
      <c r="GC136" s="26"/>
      <c r="GD136" s="26"/>
      <c r="GG136" s="26"/>
    </row>
    <row r="137" spans="2:193" x14ac:dyDescent="0.3">
      <c r="B137" s="18" t="s">
        <v>556</v>
      </c>
      <c r="C137" s="13">
        <v>3</v>
      </c>
      <c r="D137" s="21" t="s">
        <v>557</v>
      </c>
      <c r="E137" s="24">
        <v>72</v>
      </c>
      <c r="G137" s="2">
        <f t="shared" si="33"/>
        <v>118</v>
      </c>
      <c r="H137" s="5">
        <v>3</v>
      </c>
      <c r="I137" s="13">
        <v>15</v>
      </c>
      <c r="L137" s="4"/>
      <c r="M137" s="7"/>
      <c r="O137" s="7"/>
      <c r="T137" s="7"/>
      <c r="AE137" s="7"/>
      <c r="BD137" s="26"/>
      <c r="BE137" s="26">
        <f t="shared" si="32"/>
        <v>18</v>
      </c>
      <c r="BF137">
        <v>18</v>
      </c>
      <c r="BG137">
        <v>117</v>
      </c>
      <c r="BH137" s="43">
        <v>47</v>
      </c>
      <c r="BI137" s="44">
        <v>47</v>
      </c>
      <c r="BJ137" s="44">
        <v>48</v>
      </c>
      <c r="BK137" s="44">
        <v>48</v>
      </c>
      <c r="BL137" s="44">
        <v>48</v>
      </c>
      <c r="BM137" s="44">
        <v>47</v>
      </c>
      <c r="BN137" s="44">
        <v>47</v>
      </c>
      <c r="BO137" s="44">
        <v>47</v>
      </c>
      <c r="BP137" s="44">
        <v>48</v>
      </c>
      <c r="BQ137" s="44">
        <v>48</v>
      </c>
      <c r="BR137" s="44">
        <v>48</v>
      </c>
      <c r="BS137" s="44">
        <v>47</v>
      </c>
      <c r="BT137" s="44">
        <v>47</v>
      </c>
      <c r="BU137" s="44">
        <v>47</v>
      </c>
      <c r="BV137" s="44">
        <v>48</v>
      </c>
      <c r="BW137" s="44">
        <v>48</v>
      </c>
      <c r="BX137" s="44">
        <v>48</v>
      </c>
      <c r="BY137" s="44">
        <v>47</v>
      </c>
      <c r="BZ137" s="44">
        <v>47</v>
      </c>
      <c r="CA137" s="44">
        <v>47</v>
      </c>
      <c r="CB137" s="44">
        <v>48</v>
      </c>
      <c r="CC137" s="44">
        <v>48</v>
      </c>
      <c r="CD137" s="44">
        <v>48</v>
      </c>
      <c r="CE137" s="44">
        <v>47</v>
      </c>
      <c r="CF137" s="44">
        <v>47</v>
      </c>
      <c r="CG137" s="44">
        <v>47</v>
      </c>
      <c r="CH137" s="44">
        <v>48</v>
      </c>
      <c r="CI137" s="44">
        <v>48</v>
      </c>
      <c r="CJ137" s="44">
        <v>48</v>
      </c>
      <c r="CK137" s="44">
        <v>47</v>
      </c>
      <c r="CL137" s="44">
        <v>47</v>
      </c>
      <c r="CM137" s="44">
        <v>47</v>
      </c>
      <c r="CN137" s="44">
        <v>48</v>
      </c>
      <c r="CO137" s="44">
        <v>48</v>
      </c>
      <c r="CP137" s="44">
        <v>48</v>
      </c>
      <c r="CQ137" s="44">
        <v>47</v>
      </c>
      <c r="CR137" s="44">
        <v>47</v>
      </c>
      <c r="CS137" s="44">
        <v>47</v>
      </c>
      <c r="CT137" s="44">
        <v>48</v>
      </c>
      <c r="CU137" s="44">
        <v>48</v>
      </c>
      <c r="CV137" s="44">
        <v>48</v>
      </c>
      <c r="CW137" s="44">
        <v>47</v>
      </c>
      <c r="CX137" s="44">
        <v>47</v>
      </c>
      <c r="CY137" s="44">
        <v>47</v>
      </c>
      <c r="CZ137" s="44">
        <v>48</v>
      </c>
      <c r="DA137" s="44">
        <v>48</v>
      </c>
      <c r="DB137" s="44">
        <v>48</v>
      </c>
      <c r="DC137" s="44">
        <v>47</v>
      </c>
      <c r="DD137" s="44">
        <v>47</v>
      </c>
      <c r="DE137" s="44">
        <v>47</v>
      </c>
      <c r="DF137" s="44">
        <v>48</v>
      </c>
      <c r="DG137" s="44">
        <v>18</v>
      </c>
      <c r="DH137" s="44">
        <v>48</v>
      </c>
      <c r="DI137" s="44">
        <v>47</v>
      </c>
      <c r="DJ137" s="44">
        <v>47</v>
      </c>
      <c r="DK137" s="44">
        <v>47</v>
      </c>
      <c r="DL137" s="44">
        <v>48</v>
      </c>
      <c r="DM137" s="44">
        <v>45</v>
      </c>
      <c r="DN137" s="44">
        <v>28</v>
      </c>
      <c r="DO137" s="48">
        <v>47</v>
      </c>
      <c r="DP137" s="48">
        <v>46</v>
      </c>
      <c r="DQ137" s="48">
        <v>47</v>
      </c>
      <c r="DR137" s="48">
        <v>47</v>
      </c>
      <c r="DS137" s="34">
        <v>49</v>
      </c>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Z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c r="GA137" s="26"/>
      <c r="GB137" s="26"/>
      <c r="GC137" s="26"/>
      <c r="GD137" s="26"/>
      <c r="GG137" s="26"/>
    </row>
    <row r="138" spans="2:193" x14ac:dyDescent="0.3">
      <c r="B138" s="18" t="s">
        <v>558</v>
      </c>
      <c r="C138" s="13">
        <v>4</v>
      </c>
      <c r="D138" s="21" t="s">
        <v>559</v>
      </c>
      <c r="E138" s="24">
        <v>73</v>
      </c>
      <c r="G138" s="2">
        <f t="shared" si="33"/>
        <v>119</v>
      </c>
      <c r="H138" s="5">
        <v>3</v>
      </c>
      <c r="I138" s="13">
        <v>15</v>
      </c>
      <c r="L138" s="4"/>
      <c r="M138" s="7"/>
      <c r="O138" s="7"/>
      <c r="T138" s="7"/>
      <c r="AE138" s="7"/>
      <c r="BD138" s="26"/>
      <c r="BE138" s="26" t="str">
        <f t="shared" si="32"/>
        <v>BYE</v>
      </c>
      <c r="BF138">
        <v>111</v>
      </c>
      <c r="BG138">
        <v>118</v>
      </c>
      <c r="BH138" s="45">
        <v>82</v>
      </c>
      <c r="BI138" s="46">
        <v>82</v>
      </c>
      <c r="BJ138" s="46">
        <v>81</v>
      </c>
      <c r="BK138" s="46">
        <v>81</v>
      </c>
      <c r="BL138" s="46">
        <v>81</v>
      </c>
      <c r="BM138" s="46">
        <v>82</v>
      </c>
      <c r="BN138" s="46">
        <v>82</v>
      </c>
      <c r="BO138" s="46">
        <v>82</v>
      </c>
      <c r="BP138" s="46">
        <v>84</v>
      </c>
      <c r="BQ138" s="46">
        <v>82</v>
      </c>
      <c r="BR138" s="46">
        <v>82</v>
      </c>
      <c r="BS138" s="46">
        <v>82</v>
      </c>
      <c r="BT138" s="46">
        <v>86</v>
      </c>
      <c r="BU138" s="46">
        <v>82</v>
      </c>
      <c r="BV138" s="46">
        <v>82</v>
      </c>
      <c r="BW138" s="46">
        <v>83</v>
      </c>
      <c r="BX138" s="46">
        <v>82</v>
      </c>
      <c r="BY138" s="46">
        <v>82</v>
      </c>
      <c r="BZ138" s="46">
        <v>78</v>
      </c>
      <c r="CA138" s="46">
        <v>83</v>
      </c>
      <c r="CB138" s="46">
        <v>84</v>
      </c>
      <c r="CC138" s="46">
        <v>82</v>
      </c>
      <c r="CD138" s="46">
        <v>82</v>
      </c>
      <c r="CE138" s="46">
        <v>82</v>
      </c>
      <c r="CF138" s="46">
        <v>83</v>
      </c>
      <c r="CG138" s="46">
        <v>82</v>
      </c>
      <c r="CH138" s="46">
        <v>82</v>
      </c>
      <c r="CI138" s="46">
        <v>83</v>
      </c>
      <c r="CJ138" s="46">
        <v>82</v>
      </c>
      <c r="CK138" s="46">
        <v>82</v>
      </c>
      <c r="CL138" s="46">
        <v>78</v>
      </c>
      <c r="CM138" s="46">
        <v>83</v>
      </c>
      <c r="CN138" s="46">
        <v>84</v>
      </c>
      <c r="CO138" s="46">
        <v>82</v>
      </c>
      <c r="CP138" s="46">
        <v>82</v>
      </c>
      <c r="CQ138" s="46">
        <v>82</v>
      </c>
      <c r="CR138" s="46">
        <v>86</v>
      </c>
      <c r="CS138" s="46">
        <v>82</v>
      </c>
      <c r="CT138" s="46">
        <v>82</v>
      </c>
      <c r="CU138" s="46">
        <v>83</v>
      </c>
      <c r="CV138" s="46">
        <v>82</v>
      </c>
      <c r="CW138" s="46">
        <v>82</v>
      </c>
      <c r="CX138" s="46">
        <v>86</v>
      </c>
      <c r="CY138" s="46">
        <v>85</v>
      </c>
      <c r="CZ138" s="46">
        <v>83</v>
      </c>
      <c r="DA138" s="46">
        <v>82</v>
      </c>
      <c r="DB138" s="46">
        <v>82</v>
      </c>
      <c r="DC138" s="46" t="s">
        <v>326</v>
      </c>
      <c r="DD138" s="46" t="s">
        <v>326</v>
      </c>
      <c r="DE138" s="46" t="s">
        <v>326</v>
      </c>
      <c r="DF138" s="46" t="s">
        <v>326</v>
      </c>
      <c r="DG138" s="46" t="s">
        <v>327</v>
      </c>
      <c r="DH138" s="46" t="s">
        <v>326</v>
      </c>
      <c r="DI138" s="46" t="s">
        <v>326</v>
      </c>
      <c r="DJ138" s="46" t="s">
        <v>326</v>
      </c>
      <c r="DK138" s="46" t="s">
        <v>326</v>
      </c>
      <c r="DL138" s="46" t="s">
        <v>326</v>
      </c>
      <c r="DM138" s="46" t="s">
        <v>326</v>
      </c>
      <c r="DN138" s="46" t="s">
        <v>326</v>
      </c>
      <c r="DO138" s="49" t="s">
        <v>326</v>
      </c>
      <c r="DP138" s="49" t="s">
        <v>326</v>
      </c>
      <c r="DQ138" s="49" t="s">
        <v>326</v>
      </c>
      <c r="DR138" s="49" t="s">
        <v>326</v>
      </c>
      <c r="DS138" s="35" t="s">
        <v>326</v>
      </c>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Z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c r="GA138" s="26"/>
      <c r="GB138" s="26"/>
      <c r="GC138" s="26"/>
      <c r="GD138" s="26"/>
      <c r="GG138" s="26"/>
    </row>
    <row r="139" spans="2:193" x14ac:dyDescent="0.3">
      <c r="B139" s="18" t="s">
        <v>560</v>
      </c>
      <c r="C139" s="13">
        <v>5</v>
      </c>
      <c r="D139" s="21" t="s">
        <v>561</v>
      </c>
      <c r="E139" s="24">
        <v>74</v>
      </c>
      <c r="G139" s="2">
        <f t="shared" si="33"/>
        <v>120</v>
      </c>
      <c r="H139" s="5">
        <v>3</v>
      </c>
      <c r="I139" s="13">
        <v>15</v>
      </c>
      <c r="L139" s="4"/>
      <c r="M139" s="7"/>
      <c r="O139" s="7"/>
      <c r="T139" s="7"/>
      <c r="AE139" s="7"/>
      <c r="BD139" s="26"/>
      <c r="BE139" s="26">
        <f t="shared" si="32"/>
        <v>47</v>
      </c>
      <c r="BF139">
        <v>47</v>
      </c>
      <c r="BG139">
        <v>119</v>
      </c>
      <c r="BH139" s="47">
        <v>110</v>
      </c>
      <c r="BI139" s="47">
        <v>111</v>
      </c>
      <c r="BJ139" s="47">
        <v>111</v>
      </c>
      <c r="BK139" s="47">
        <v>113</v>
      </c>
      <c r="BL139" s="47">
        <v>112</v>
      </c>
      <c r="BM139" s="47">
        <v>111</v>
      </c>
      <c r="BN139" s="47">
        <v>111</v>
      </c>
      <c r="BO139" s="47">
        <v>107</v>
      </c>
      <c r="BP139" s="47">
        <v>109</v>
      </c>
      <c r="BQ139" s="47">
        <v>107</v>
      </c>
      <c r="BR139" s="47">
        <v>107</v>
      </c>
      <c r="BS139" s="47">
        <v>111</v>
      </c>
      <c r="BT139" s="47">
        <v>115</v>
      </c>
      <c r="BU139" s="47">
        <v>111</v>
      </c>
      <c r="BV139" s="47">
        <v>111</v>
      </c>
      <c r="BW139" s="47">
        <v>113</v>
      </c>
      <c r="BX139" s="47">
        <v>112</v>
      </c>
      <c r="BY139" s="47">
        <v>111</v>
      </c>
      <c r="BZ139" s="47" t="s">
        <v>326</v>
      </c>
      <c r="CA139" s="47" t="s">
        <v>326</v>
      </c>
      <c r="CB139" s="47" t="s">
        <v>326</v>
      </c>
      <c r="CC139" s="47" t="s">
        <v>326</v>
      </c>
      <c r="CD139" s="47" t="s">
        <v>326</v>
      </c>
      <c r="CE139" s="47" t="s">
        <v>326</v>
      </c>
      <c r="CF139" s="47">
        <v>111</v>
      </c>
      <c r="CG139" s="47" t="s">
        <v>326</v>
      </c>
      <c r="CH139" s="47" t="s">
        <v>326</v>
      </c>
      <c r="CI139" s="47" t="s">
        <v>326</v>
      </c>
      <c r="CJ139" s="47" t="s">
        <v>326</v>
      </c>
      <c r="CK139" s="47" t="s">
        <v>326</v>
      </c>
      <c r="CL139" s="47" t="s">
        <v>326</v>
      </c>
      <c r="CM139" s="47" t="s">
        <v>326</v>
      </c>
      <c r="CN139" s="47" t="s">
        <v>326</v>
      </c>
      <c r="CO139" s="47" t="s">
        <v>326</v>
      </c>
      <c r="CP139" s="47" t="s">
        <v>326</v>
      </c>
      <c r="CQ139" s="47" t="s">
        <v>326</v>
      </c>
      <c r="CR139" s="47" t="s">
        <v>326</v>
      </c>
      <c r="CS139" s="47" t="s">
        <v>326</v>
      </c>
      <c r="CT139" s="47" t="s">
        <v>326</v>
      </c>
      <c r="CU139" s="47" t="s">
        <v>326</v>
      </c>
      <c r="CV139" s="47" t="s">
        <v>326</v>
      </c>
      <c r="CW139" s="47" t="s">
        <v>326</v>
      </c>
      <c r="CX139" s="47" t="s">
        <v>326</v>
      </c>
      <c r="CY139" s="47" t="s">
        <v>326</v>
      </c>
      <c r="CZ139" s="47" t="s">
        <v>326</v>
      </c>
      <c r="DA139" s="47" t="s">
        <v>326</v>
      </c>
      <c r="DB139" s="47" t="s">
        <v>326</v>
      </c>
      <c r="DC139" s="47" t="s">
        <v>326</v>
      </c>
      <c r="DD139" s="47" t="s">
        <v>326</v>
      </c>
      <c r="DE139" s="47" t="s">
        <v>326</v>
      </c>
      <c r="DF139" s="47" t="s">
        <v>326</v>
      </c>
      <c r="DG139" s="47" t="s">
        <v>327</v>
      </c>
      <c r="DH139" s="47" t="s">
        <v>326</v>
      </c>
      <c r="DI139" s="47" t="s">
        <v>326</v>
      </c>
      <c r="DJ139" s="47" t="s">
        <v>326</v>
      </c>
      <c r="DK139" s="47" t="s">
        <v>326</v>
      </c>
      <c r="DL139" s="47" t="s">
        <v>326</v>
      </c>
      <c r="DM139" s="47" t="s">
        <v>326</v>
      </c>
      <c r="DN139" s="47" t="s">
        <v>326</v>
      </c>
      <c r="DO139" s="33" t="s">
        <v>326</v>
      </c>
      <c r="DP139" s="33" t="s">
        <v>326</v>
      </c>
      <c r="DQ139" s="33" t="s">
        <v>326</v>
      </c>
      <c r="DR139" s="33" t="s">
        <v>326</v>
      </c>
      <c r="DS139" s="33" t="s">
        <v>326</v>
      </c>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Z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c r="GA139" s="26"/>
      <c r="GB139" s="26"/>
      <c r="GC139" s="26"/>
      <c r="GD139" s="26"/>
      <c r="GG139" s="26"/>
    </row>
    <row r="140" spans="2:193" x14ac:dyDescent="0.3">
      <c r="B140" s="18" t="s">
        <v>562</v>
      </c>
      <c r="C140" s="13">
        <v>6</v>
      </c>
      <c r="D140" s="21" t="s">
        <v>563</v>
      </c>
      <c r="E140" s="24">
        <v>75</v>
      </c>
      <c r="G140" s="2">
        <f t="shared" si="33"/>
        <v>121</v>
      </c>
      <c r="H140" s="5">
        <v>3</v>
      </c>
      <c r="I140" s="13">
        <v>15</v>
      </c>
      <c r="L140" s="4"/>
      <c r="M140" s="7"/>
      <c r="O140" s="7"/>
      <c r="T140" s="7"/>
      <c r="AE140" s="7"/>
      <c r="BD140" s="26"/>
      <c r="BE140" s="26" t="str">
        <f t="shared" si="32"/>
        <v>BYE</v>
      </c>
      <c r="BF140">
        <v>82</v>
      </c>
      <c r="BG140">
        <v>120</v>
      </c>
      <c r="BH140" s="47">
        <v>18</v>
      </c>
      <c r="BI140" s="47">
        <v>18</v>
      </c>
      <c r="BJ140" s="47">
        <v>18</v>
      </c>
      <c r="BK140" s="47">
        <v>18</v>
      </c>
      <c r="BL140" s="47">
        <v>18</v>
      </c>
      <c r="BM140" s="47">
        <v>18</v>
      </c>
      <c r="BN140" s="47">
        <v>18</v>
      </c>
      <c r="BO140" s="47">
        <v>18</v>
      </c>
      <c r="BP140" s="47">
        <v>18</v>
      </c>
      <c r="BQ140" s="47">
        <v>18</v>
      </c>
      <c r="BR140" s="47">
        <v>18</v>
      </c>
      <c r="BS140" s="47">
        <v>18</v>
      </c>
      <c r="BT140" s="47">
        <v>18</v>
      </c>
      <c r="BU140" s="47">
        <v>18</v>
      </c>
      <c r="BV140" s="47">
        <v>18</v>
      </c>
      <c r="BW140" s="47">
        <v>18</v>
      </c>
      <c r="BX140" s="47">
        <v>18</v>
      </c>
      <c r="BY140" s="47">
        <v>18</v>
      </c>
      <c r="BZ140" s="47">
        <v>18</v>
      </c>
      <c r="CA140" s="47">
        <v>18</v>
      </c>
      <c r="CB140" s="47">
        <v>18</v>
      </c>
      <c r="CC140" s="47">
        <v>18</v>
      </c>
      <c r="CD140" s="47">
        <v>18</v>
      </c>
      <c r="CE140" s="47">
        <v>18</v>
      </c>
      <c r="CF140" s="47">
        <v>18</v>
      </c>
      <c r="CG140" s="47">
        <v>18</v>
      </c>
      <c r="CH140" s="47">
        <v>18</v>
      </c>
      <c r="CI140" s="47">
        <v>18</v>
      </c>
      <c r="CJ140" s="47">
        <v>18</v>
      </c>
      <c r="CK140" s="47">
        <v>18</v>
      </c>
      <c r="CL140" s="47">
        <v>18</v>
      </c>
      <c r="CM140" s="47">
        <v>18</v>
      </c>
      <c r="CN140" s="47">
        <v>18</v>
      </c>
      <c r="CO140" s="47">
        <v>18</v>
      </c>
      <c r="CP140" s="47">
        <v>18</v>
      </c>
      <c r="CQ140" s="47">
        <v>18</v>
      </c>
      <c r="CR140" s="47">
        <v>18</v>
      </c>
      <c r="CS140" s="47">
        <v>18</v>
      </c>
      <c r="CT140" s="47">
        <v>18</v>
      </c>
      <c r="CU140" s="47">
        <v>18</v>
      </c>
      <c r="CV140" s="47">
        <v>18</v>
      </c>
      <c r="CW140" s="47">
        <v>18</v>
      </c>
      <c r="CX140" s="47">
        <v>18</v>
      </c>
      <c r="CY140" s="47">
        <v>18</v>
      </c>
      <c r="CZ140" s="47">
        <v>18</v>
      </c>
      <c r="DA140" s="47">
        <v>18</v>
      </c>
      <c r="DB140" s="47">
        <v>18</v>
      </c>
      <c r="DC140" s="47">
        <v>18</v>
      </c>
      <c r="DD140" s="47">
        <v>18</v>
      </c>
      <c r="DE140" s="47">
        <v>18</v>
      </c>
      <c r="DF140" s="47">
        <v>18</v>
      </c>
      <c r="DG140" s="47">
        <v>48</v>
      </c>
      <c r="DH140" s="47">
        <v>18</v>
      </c>
      <c r="DI140" s="47">
        <v>18</v>
      </c>
      <c r="DJ140" s="47">
        <v>18</v>
      </c>
      <c r="DK140" s="47">
        <v>18</v>
      </c>
      <c r="DL140" s="47">
        <v>18</v>
      </c>
      <c r="DM140" s="47">
        <v>18</v>
      </c>
      <c r="DN140" s="47">
        <v>18</v>
      </c>
      <c r="DO140" s="33">
        <v>18</v>
      </c>
      <c r="DP140" s="33">
        <v>18</v>
      </c>
      <c r="DQ140" s="33">
        <v>18</v>
      </c>
      <c r="DR140" s="33">
        <v>18</v>
      </c>
      <c r="DS140" s="33">
        <v>18</v>
      </c>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Z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c r="GA140" s="26"/>
      <c r="GB140" s="26"/>
      <c r="GC140" s="26"/>
      <c r="GD140" s="26"/>
      <c r="GG140" s="26"/>
    </row>
    <row r="141" spans="2:193" x14ac:dyDescent="0.3">
      <c r="B141" s="18" t="s">
        <v>564</v>
      </c>
      <c r="C141" s="13">
        <v>7</v>
      </c>
      <c r="D141" s="21" t="s">
        <v>565</v>
      </c>
      <c r="E141" s="24">
        <v>76</v>
      </c>
      <c r="G141" s="2">
        <f t="shared" si="33"/>
        <v>122</v>
      </c>
      <c r="H141" s="5">
        <v>3</v>
      </c>
      <c r="I141" s="13">
        <v>15</v>
      </c>
      <c r="L141" s="4"/>
      <c r="M141" s="7"/>
      <c r="O141" s="7"/>
      <c r="T141" s="7"/>
      <c r="AE141" s="7"/>
      <c r="BD141" s="26"/>
      <c r="BE141" s="26">
        <f t="shared" si="32"/>
        <v>37</v>
      </c>
      <c r="BF141">
        <v>37</v>
      </c>
      <c r="BG141">
        <v>121</v>
      </c>
      <c r="BH141" s="43">
        <v>31</v>
      </c>
      <c r="BI141" s="44">
        <v>31</v>
      </c>
      <c r="BJ141" s="44">
        <v>31</v>
      </c>
      <c r="BK141" s="44">
        <v>31</v>
      </c>
      <c r="BL141" s="44">
        <v>31</v>
      </c>
      <c r="BM141" s="44">
        <v>31</v>
      </c>
      <c r="BN141" s="44">
        <v>31</v>
      </c>
      <c r="BO141" s="44">
        <v>31</v>
      </c>
      <c r="BP141" s="44">
        <v>31</v>
      </c>
      <c r="BQ141" s="44">
        <v>31</v>
      </c>
      <c r="BR141" s="44">
        <v>31</v>
      </c>
      <c r="BS141" s="44">
        <v>31</v>
      </c>
      <c r="BT141" s="44">
        <v>31</v>
      </c>
      <c r="BU141" s="44">
        <v>31</v>
      </c>
      <c r="BV141" s="44">
        <v>31</v>
      </c>
      <c r="BW141" s="44">
        <v>31</v>
      </c>
      <c r="BX141" s="44">
        <v>31</v>
      </c>
      <c r="BY141" s="44">
        <v>31</v>
      </c>
      <c r="BZ141" s="44">
        <v>31</v>
      </c>
      <c r="CA141" s="44">
        <v>31</v>
      </c>
      <c r="CB141" s="44">
        <v>31</v>
      </c>
      <c r="CC141" s="44">
        <v>31</v>
      </c>
      <c r="CD141" s="44">
        <v>31</v>
      </c>
      <c r="CE141" s="44">
        <v>31</v>
      </c>
      <c r="CF141" s="44">
        <v>31</v>
      </c>
      <c r="CG141" s="44">
        <v>31</v>
      </c>
      <c r="CH141" s="44">
        <v>31</v>
      </c>
      <c r="CI141" s="44">
        <v>31</v>
      </c>
      <c r="CJ141" s="44">
        <v>31</v>
      </c>
      <c r="CK141" s="44">
        <v>31</v>
      </c>
      <c r="CL141" s="44">
        <v>31</v>
      </c>
      <c r="CM141" s="44">
        <v>31</v>
      </c>
      <c r="CN141" s="44">
        <v>31</v>
      </c>
      <c r="CO141" s="44">
        <v>31</v>
      </c>
      <c r="CP141" s="44">
        <v>31</v>
      </c>
      <c r="CQ141" s="44">
        <v>31</v>
      </c>
      <c r="CR141" s="44">
        <v>31</v>
      </c>
      <c r="CS141" s="44">
        <v>31</v>
      </c>
      <c r="CT141" s="44">
        <v>32</v>
      </c>
      <c r="CU141" s="44">
        <v>32</v>
      </c>
      <c r="CV141" s="44">
        <v>32</v>
      </c>
      <c r="CW141" s="44">
        <v>31</v>
      </c>
      <c r="CX141" s="44">
        <v>31</v>
      </c>
      <c r="CY141" s="44">
        <v>31</v>
      </c>
      <c r="CZ141" s="44">
        <v>32</v>
      </c>
      <c r="DA141" s="44">
        <v>32</v>
      </c>
      <c r="DB141" s="44">
        <v>32</v>
      </c>
      <c r="DC141" s="44">
        <v>31</v>
      </c>
      <c r="DD141" s="44">
        <v>31</v>
      </c>
      <c r="DE141" s="44">
        <v>31</v>
      </c>
      <c r="DF141" s="44">
        <v>32</v>
      </c>
      <c r="DG141" s="44">
        <v>36</v>
      </c>
      <c r="DH141" s="44">
        <v>32</v>
      </c>
      <c r="DI141" s="44">
        <v>31</v>
      </c>
      <c r="DJ141" s="44">
        <v>31</v>
      </c>
      <c r="DK141" s="44">
        <v>31</v>
      </c>
      <c r="DL141" s="44">
        <v>32</v>
      </c>
      <c r="DM141" s="44">
        <v>32</v>
      </c>
      <c r="DN141" s="44">
        <v>32</v>
      </c>
      <c r="DO141" s="48">
        <v>31</v>
      </c>
      <c r="DP141" s="48">
        <v>31</v>
      </c>
      <c r="DQ141" s="48">
        <v>31</v>
      </c>
      <c r="DR141" s="48">
        <v>32</v>
      </c>
      <c r="DS141" s="34">
        <v>32</v>
      </c>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Z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c r="GA141" s="26"/>
      <c r="GB141" s="26"/>
      <c r="GC141" s="26"/>
      <c r="GD141" s="26"/>
      <c r="GG141" s="26"/>
    </row>
    <row r="142" spans="2:193" x14ac:dyDescent="0.3">
      <c r="B142" s="18" t="s">
        <v>566</v>
      </c>
      <c r="C142" s="13">
        <v>8</v>
      </c>
      <c r="D142" s="21" t="s">
        <v>567</v>
      </c>
      <c r="E142" s="24">
        <v>77</v>
      </c>
      <c r="G142" s="2">
        <f t="shared" si="33"/>
        <v>123</v>
      </c>
      <c r="H142" s="5">
        <v>3</v>
      </c>
      <c r="I142" s="13">
        <v>15</v>
      </c>
      <c r="L142" s="4"/>
      <c r="M142" s="7"/>
      <c r="O142" s="7"/>
      <c r="T142" s="7"/>
      <c r="AE142" s="7"/>
      <c r="BD142" s="26"/>
      <c r="BE142" s="26" t="str">
        <f t="shared" si="32"/>
        <v>BYE</v>
      </c>
      <c r="BF142">
        <v>92</v>
      </c>
      <c r="BG142">
        <v>122</v>
      </c>
      <c r="BH142" s="45">
        <v>99</v>
      </c>
      <c r="BI142" s="46">
        <v>98</v>
      </c>
      <c r="BJ142" s="46">
        <v>98</v>
      </c>
      <c r="BK142" s="46">
        <v>99</v>
      </c>
      <c r="BL142" s="46">
        <v>98</v>
      </c>
      <c r="BM142" s="46">
        <v>98</v>
      </c>
      <c r="BN142" s="46">
        <v>94</v>
      </c>
      <c r="BO142" s="46">
        <v>94</v>
      </c>
      <c r="BP142" s="46">
        <v>101</v>
      </c>
      <c r="BQ142" s="46">
        <v>98</v>
      </c>
      <c r="BR142" s="46">
        <v>98</v>
      </c>
      <c r="BS142" s="46">
        <v>98</v>
      </c>
      <c r="BT142" s="46">
        <v>102</v>
      </c>
      <c r="BU142" s="46">
        <v>98</v>
      </c>
      <c r="BV142" s="46">
        <v>98</v>
      </c>
      <c r="BW142" s="46">
        <v>99</v>
      </c>
      <c r="BX142" s="46">
        <v>98</v>
      </c>
      <c r="BY142" s="46">
        <v>98</v>
      </c>
      <c r="BZ142" s="46">
        <v>94</v>
      </c>
      <c r="CA142" s="46">
        <v>99</v>
      </c>
      <c r="CB142" s="46">
        <v>100</v>
      </c>
      <c r="CC142" s="46">
        <v>98</v>
      </c>
      <c r="CD142" s="46">
        <v>98</v>
      </c>
      <c r="CE142" s="46">
        <v>98</v>
      </c>
      <c r="CF142" s="46">
        <v>99</v>
      </c>
      <c r="CG142" s="46">
        <v>98</v>
      </c>
      <c r="CH142" s="46">
        <v>98</v>
      </c>
      <c r="CI142" s="46">
        <v>99</v>
      </c>
      <c r="CJ142" s="46">
        <v>98</v>
      </c>
      <c r="CK142" s="46">
        <v>98</v>
      </c>
      <c r="CL142" s="46">
        <v>97</v>
      </c>
      <c r="CM142" s="46" t="s">
        <v>326</v>
      </c>
      <c r="CN142" s="46" t="s">
        <v>326</v>
      </c>
      <c r="CO142" s="46" t="s">
        <v>326</v>
      </c>
      <c r="CP142" s="46" t="s">
        <v>326</v>
      </c>
      <c r="CQ142" s="46" t="s">
        <v>326</v>
      </c>
      <c r="CR142" s="46" t="s">
        <v>326</v>
      </c>
      <c r="CS142" s="46" t="s">
        <v>326</v>
      </c>
      <c r="CT142" s="46" t="s">
        <v>326</v>
      </c>
      <c r="CU142" s="46" t="s">
        <v>326</v>
      </c>
      <c r="CV142" s="46" t="s">
        <v>326</v>
      </c>
      <c r="CW142" s="46" t="s">
        <v>326</v>
      </c>
      <c r="CX142" s="46" t="s">
        <v>326</v>
      </c>
      <c r="CY142" s="46" t="s">
        <v>326</v>
      </c>
      <c r="CZ142" s="46" t="s">
        <v>326</v>
      </c>
      <c r="DA142" s="46" t="s">
        <v>326</v>
      </c>
      <c r="DB142" s="46" t="s">
        <v>326</v>
      </c>
      <c r="DC142" s="46" t="s">
        <v>326</v>
      </c>
      <c r="DD142" s="46" t="s">
        <v>326</v>
      </c>
      <c r="DE142" s="46" t="s">
        <v>326</v>
      </c>
      <c r="DF142" s="46" t="s">
        <v>326</v>
      </c>
      <c r="DG142" s="46" t="s">
        <v>327</v>
      </c>
      <c r="DH142" s="46" t="s">
        <v>326</v>
      </c>
      <c r="DI142" s="46" t="s">
        <v>326</v>
      </c>
      <c r="DJ142" s="46" t="s">
        <v>326</v>
      </c>
      <c r="DK142" s="46" t="s">
        <v>326</v>
      </c>
      <c r="DL142" s="46" t="s">
        <v>326</v>
      </c>
      <c r="DM142" s="46" t="s">
        <v>326</v>
      </c>
      <c r="DN142" s="46" t="s">
        <v>326</v>
      </c>
      <c r="DO142" s="49" t="s">
        <v>326</v>
      </c>
      <c r="DP142" s="49" t="s">
        <v>326</v>
      </c>
      <c r="DQ142" s="49" t="s">
        <v>326</v>
      </c>
      <c r="DR142" s="49" t="s">
        <v>326</v>
      </c>
      <c r="DS142" s="35" t="s">
        <v>326</v>
      </c>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Z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c r="GA142" s="26"/>
      <c r="GB142" s="26"/>
      <c r="GC142" s="26"/>
      <c r="GD142" s="26"/>
      <c r="GG142" s="26"/>
    </row>
    <row r="143" spans="2:193" x14ac:dyDescent="0.3">
      <c r="B143" s="18" t="s">
        <v>568</v>
      </c>
      <c r="C143" s="13">
        <v>9</v>
      </c>
      <c r="D143" s="21" t="s">
        <v>569</v>
      </c>
      <c r="E143" s="24">
        <v>95</v>
      </c>
      <c r="G143" s="2">
        <f t="shared" si="33"/>
        <v>124</v>
      </c>
      <c r="H143" s="5">
        <v>3</v>
      </c>
      <c r="I143" s="13">
        <v>15</v>
      </c>
      <c r="L143" s="4"/>
      <c r="M143" s="7"/>
      <c r="O143" s="7"/>
      <c r="T143" s="7"/>
      <c r="AE143" s="7"/>
      <c r="BD143" s="26"/>
      <c r="BE143" s="26">
        <f t="shared" si="32"/>
        <v>34</v>
      </c>
      <c r="BF143">
        <v>34</v>
      </c>
      <c r="BG143">
        <v>123</v>
      </c>
      <c r="BH143" s="47">
        <v>94</v>
      </c>
      <c r="BI143" s="47">
        <v>95</v>
      </c>
      <c r="BJ143" s="47">
        <v>95</v>
      </c>
      <c r="BK143" s="47">
        <v>97</v>
      </c>
      <c r="BL143" s="47">
        <v>96</v>
      </c>
      <c r="BM143" s="47">
        <v>95</v>
      </c>
      <c r="BN143" s="47">
        <v>95</v>
      </c>
      <c r="BO143" s="47">
        <v>96</v>
      </c>
      <c r="BP143" s="47">
        <v>99</v>
      </c>
      <c r="BQ143" s="47">
        <v>91</v>
      </c>
      <c r="BR143" s="47">
        <v>91</v>
      </c>
      <c r="BS143" s="47">
        <v>95</v>
      </c>
      <c r="BT143" s="47">
        <v>99</v>
      </c>
      <c r="BU143" s="47">
        <v>95</v>
      </c>
      <c r="BV143" s="47">
        <v>95</v>
      </c>
      <c r="BW143" s="47">
        <v>97</v>
      </c>
      <c r="BX143" s="47">
        <v>96</v>
      </c>
      <c r="BY143" s="47">
        <v>95</v>
      </c>
      <c r="BZ143" s="47">
        <v>95</v>
      </c>
      <c r="CA143" s="47">
        <v>94</v>
      </c>
      <c r="CB143" s="47">
        <v>93</v>
      </c>
      <c r="CC143" s="47">
        <v>91</v>
      </c>
      <c r="CD143" s="47">
        <v>91</v>
      </c>
      <c r="CE143" s="47">
        <v>95</v>
      </c>
      <c r="CF143" s="47">
        <v>94</v>
      </c>
      <c r="CG143" s="47">
        <v>95</v>
      </c>
      <c r="CH143" s="47">
        <v>95</v>
      </c>
      <c r="CI143" s="47">
        <v>97</v>
      </c>
      <c r="CJ143" s="47">
        <v>96</v>
      </c>
      <c r="CK143" s="47">
        <v>95</v>
      </c>
      <c r="CL143" s="47">
        <v>95</v>
      </c>
      <c r="CM143" s="47">
        <v>94</v>
      </c>
      <c r="CN143" s="47">
        <v>93</v>
      </c>
      <c r="CO143" s="47">
        <v>92</v>
      </c>
      <c r="CP143" s="47" t="s">
        <v>326</v>
      </c>
      <c r="CQ143" s="47" t="s">
        <v>326</v>
      </c>
      <c r="CR143" s="47" t="s">
        <v>326</v>
      </c>
      <c r="CS143" s="47" t="s">
        <v>326</v>
      </c>
      <c r="CT143" s="47" t="s">
        <v>326</v>
      </c>
      <c r="CU143" s="47" t="s">
        <v>326</v>
      </c>
      <c r="CV143" s="47" t="s">
        <v>326</v>
      </c>
      <c r="CW143" s="47" t="s">
        <v>326</v>
      </c>
      <c r="CX143" s="47" t="s">
        <v>326</v>
      </c>
      <c r="CY143" s="47" t="s">
        <v>326</v>
      </c>
      <c r="CZ143" s="47" t="s">
        <v>326</v>
      </c>
      <c r="DA143" s="47" t="s">
        <v>326</v>
      </c>
      <c r="DB143" s="47" t="s">
        <v>326</v>
      </c>
      <c r="DC143" s="47" t="s">
        <v>326</v>
      </c>
      <c r="DD143" s="47" t="s">
        <v>326</v>
      </c>
      <c r="DE143" s="47" t="s">
        <v>326</v>
      </c>
      <c r="DF143" s="47" t="s">
        <v>326</v>
      </c>
      <c r="DG143" s="47">
        <v>33</v>
      </c>
      <c r="DH143" s="47" t="s">
        <v>326</v>
      </c>
      <c r="DI143" s="47" t="s">
        <v>326</v>
      </c>
      <c r="DJ143" s="47" t="s">
        <v>326</v>
      </c>
      <c r="DK143" s="47" t="s">
        <v>326</v>
      </c>
      <c r="DL143" s="47" t="s">
        <v>326</v>
      </c>
      <c r="DM143" s="47" t="s">
        <v>326</v>
      </c>
      <c r="DN143" s="47" t="s">
        <v>326</v>
      </c>
      <c r="DO143" s="33" t="s">
        <v>326</v>
      </c>
      <c r="DP143" s="33" t="s">
        <v>326</v>
      </c>
      <c r="DQ143" s="33" t="s">
        <v>326</v>
      </c>
      <c r="DR143" s="33" t="s">
        <v>326</v>
      </c>
      <c r="DS143" s="33" t="s">
        <v>326</v>
      </c>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Z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c r="GA143" s="26"/>
      <c r="GB143" s="26"/>
      <c r="GC143" s="26"/>
      <c r="GD143" s="26"/>
      <c r="GG143" s="26"/>
    </row>
    <row r="144" spans="2:193" x14ac:dyDescent="0.3">
      <c r="B144" s="18" t="s">
        <v>570</v>
      </c>
      <c r="C144" s="13">
        <v>52</v>
      </c>
      <c r="D144" s="21" t="s">
        <v>571</v>
      </c>
      <c r="E144" s="24">
        <v>78</v>
      </c>
      <c r="G144" s="2">
        <f t="shared" si="33"/>
        <v>125</v>
      </c>
      <c r="H144" s="5">
        <v>3</v>
      </c>
      <c r="I144" s="13">
        <v>15</v>
      </c>
      <c r="L144" s="4"/>
      <c r="M144" s="7"/>
      <c r="O144" s="7"/>
      <c r="T144" s="7"/>
      <c r="AE144" s="7"/>
      <c r="BC144" t="s">
        <v>572</v>
      </c>
      <c r="BE144" s="26" t="str">
        <f t="shared" si="32"/>
        <v>BYE</v>
      </c>
      <c r="BF144">
        <v>95</v>
      </c>
      <c r="BG144">
        <v>124</v>
      </c>
      <c r="BH144" s="47">
        <v>34</v>
      </c>
      <c r="BI144" s="47">
        <v>34</v>
      </c>
      <c r="BJ144" s="47">
        <v>34</v>
      </c>
      <c r="BK144" s="47">
        <v>34</v>
      </c>
      <c r="BL144" s="47">
        <v>34</v>
      </c>
      <c r="BM144" s="47">
        <v>34</v>
      </c>
      <c r="BN144" s="47">
        <v>34</v>
      </c>
      <c r="BO144" s="47">
        <v>34</v>
      </c>
      <c r="BP144" s="47">
        <v>34</v>
      </c>
      <c r="BQ144" s="47">
        <v>34</v>
      </c>
      <c r="BR144" s="47">
        <v>34</v>
      </c>
      <c r="BS144" s="47">
        <v>34</v>
      </c>
      <c r="BT144" s="47">
        <v>34</v>
      </c>
      <c r="BU144" s="47">
        <v>34</v>
      </c>
      <c r="BV144" s="47">
        <v>34</v>
      </c>
      <c r="BW144" s="47">
        <v>34</v>
      </c>
      <c r="BX144" s="47">
        <v>34</v>
      </c>
      <c r="BY144" s="47">
        <v>34</v>
      </c>
      <c r="BZ144" s="47">
        <v>34</v>
      </c>
      <c r="CA144" s="47">
        <v>34</v>
      </c>
      <c r="CB144" s="47">
        <v>34</v>
      </c>
      <c r="CC144" s="47">
        <v>34</v>
      </c>
      <c r="CD144" s="47">
        <v>34</v>
      </c>
      <c r="CE144" s="47">
        <v>34</v>
      </c>
      <c r="CF144" s="47">
        <v>34</v>
      </c>
      <c r="CG144" s="47">
        <v>34</v>
      </c>
      <c r="CH144" s="47">
        <v>34</v>
      </c>
      <c r="CI144" s="47">
        <v>34</v>
      </c>
      <c r="CJ144" s="47">
        <v>34</v>
      </c>
      <c r="CK144" s="47">
        <v>34</v>
      </c>
      <c r="CL144" s="47">
        <v>34</v>
      </c>
      <c r="CM144" s="47">
        <v>34</v>
      </c>
      <c r="CN144" s="47">
        <v>33</v>
      </c>
      <c r="CO144" s="47">
        <v>33</v>
      </c>
      <c r="CP144" s="47">
        <v>33</v>
      </c>
      <c r="CQ144" s="47">
        <v>34</v>
      </c>
      <c r="CR144" s="47">
        <v>34</v>
      </c>
      <c r="CS144" s="47">
        <v>34</v>
      </c>
      <c r="CT144" s="47">
        <v>33</v>
      </c>
      <c r="CU144" s="47">
        <v>33</v>
      </c>
      <c r="CV144" s="47">
        <v>33</v>
      </c>
      <c r="CW144" s="47">
        <v>34</v>
      </c>
      <c r="CX144" s="47">
        <v>34</v>
      </c>
      <c r="CY144" s="47">
        <v>34</v>
      </c>
      <c r="CZ144" s="47">
        <v>33</v>
      </c>
      <c r="DA144" s="47">
        <v>33</v>
      </c>
      <c r="DB144" s="47">
        <v>33</v>
      </c>
      <c r="DC144" s="47">
        <v>34</v>
      </c>
      <c r="DD144" s="47">
        <v>34</v>
      </c>
      <c r="DE144" s="47">
        <v>34</v>
      </c>
      <c r="DF144" s="47">
        <v>33</v>
      </c>
      <c r="DG144" s="47" t="s">
        <v>327</v>
      </c>
      <c r="DH144" s="47">
        <v>33</v>
      </c>
      <c r="DI144" s="47">
        <v>34</v>
      </c>
      <c r="DJ144" s="47">
        <v>34</v>
      </c>
      <c r="DK144" s="47">
        <v>34</v>
      </c>
      <c r="DL144" s="47">
        <v>33</v>
      </c>
      <c r="DM144" s="47">
        <v>33</v>
      </c>
      <c r="DN144" s="47">
        <v>33</v>
      </c>
      <c r="DO144" s="33">
        <v>34</v>
      </c>
      <c r="DP144" s="33">
        <v>34</v>
      </c>
      <c r="DQ144" s="33">
        <v>34</v>
      </c>
      <c r="DR144" s="33">
        <v>33</v>
      </c>
      <c r="DS144" s="33">
        <v>33</v>
      </c>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Z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c r="GA144" s="26"/>
      <c r="GB144" s="26"/>
      <c r="GC144" s="26"/>
      <c r="GD144" s="26"/>
      <c r="GG144" s="26"/>
    </row>
    <row r="145" spans="2:190" x14ac:dyDescent="0.3">
      <c r="B145" s="18" t="s">
        <v>573</v>
      </c>
      <c r="C145" s="13">
        <v>43</v>
      </c>
      <c r="D145" s="21" t="s">
        <v>574</v>
      </c>
      <c r="E145" s="24">
        <v>79</v>
      </c>
      <c r="G145" s="2">
        <f t="shared" si="33"/>
        <v>126</v>
      </c>
      <c r="H145" s="5">
        <v>3</v>
      </c>
      <c r="I145" s="13">
        <v>15</v>
      </c>
      <c r="L145" s="4"/>
      <c r="M145" s="7"/>
      <c r="O145" s="7"/>
      <c r="T145" s="7"/>
      <c r="AE145" s="7"/>
      <c r="BC145" t="s">
        <v>575</v>
      </c>
      <c r="BE145" s="26">
        <f t="shared" si="32"/>
        <v>63</v>
      </c>
      <c r="BF145">
        <v>63</v>
      </c>
      <c r="BG145">
        <v>125</v>
      </c>
      <c r="BH145" s="43">
        <v>63</v>
      </c>
      <c r="BI145" s="44">
        <v>63</v>
      </c>
      <c r="BJ145" s="44">
        <v>64</v>
      </c>
      <c r="BK145" s="44">
        <v>64</v>
      </c>
      <c r="BL145" s="44">
        <v>64</v>
      </c>
      <c r="BM145" s="44">
        <v>63</v>
      </c>
      <c r="BN145" s="44">
        <v>63</v>
      </c>
      <c r="BO145" s="44">
        <v>63</v>
      </c>
      <c r="BP145" s="44">
        <v>64</v>
      </c>
      <c r="BQ145" s="44">
        <v>64</v>
      </c>
      <c r="BR145" s="44">
        <v>64</v>
      </c>
      <c r="BS145" s="44">
        <v>63</v>
      </c>
      <c r="BT145" s="44">
        <v>63</v>
      </c>
      <c r="BU145" s="44">
        <v>63</v>
      </c>
      <c r="BV145" s="44">
        <v>64</v>
      </c>
      <c r="BW145" s="44">
        <v>64</v>
      </c>
      <c r="BX145" s="44">
        <v>64</v>
      </c>
      <c r="BY145" s="44">
        <v>63</v>
      </c>
      <c r="BZ145" s="44">
        <v>63</v>
      </c>
      <c r="CA145" s="44">
        <v>63</v>
      </c>
      <c r="CB145" s="44">
        <v>64</v>
      </c>
      <c r="CC145" s="44">
        <v>64</v>
      </c>
      <c r="CD145" s="44">
        <v>64</v>
      </c>
      <c r="CE145" s="44">
        <v>63</v>
      </c>
      <c r="CF145" s="44">
        <v>63</v>
      </c>
      <c r="CG145" s="44">
        <v>63</v>
      </c>
      <c r="CH145" s="44">
        <v>64</v>
      </c>
      <c r="CI145" s="44">
        <v>64</v>
      </c>
      <c r="CJ145" s="44">
        <v>64</v>
      </c>
      <c r="CK145" s="44">
        <v>63</v>
      </c>
      <c r="CL145" s="44">
        <v>63</v>
      </c>
      <c r="CM145" s="44">
        <v>63</v>
      </c>
      <c r="CN145" s="44">
        <v>64</v>
      </c>
      <c r="CO145" s="44">
        <v>64</v>
      </c>
      <c r="CP145" s="44">
        <v>64</v>
      </c>
      <c r="CQ145" s="44">
        <v>63</v>
      </c>
      <c r="CR145" s="44">
        <v>67</v>
      </c>
      <c r="CS145" s="44">
        <v>63</v>
      </c>
      <c r="CT145" s="44">
        <v>63</v>
      </c>
      <c r="CU145" s="44">
        <v>65</v>
      </c>
      <c r="CV145" s="44">
        <v>64</v>
      </c>
      <c r="CW145" s="44">
        <v>63</v>
      </c>
      <c r="CX145" s="44">
        <v>63</v>
      </c>
      <c r="CY145" s="44">
        <v>67</v>
      </c>
      <c r="CZ145" s="44">
        <v>61</v>
      </c>
      <c r="DA145" s="44">
        <v>60</v>
      </c>
      <c r="DB145" s="44">
        <v>59</v>
      </c>
      <c r="DC145" s="44">
        <v>63</v>
      </c>
      <c r="DD145" s="44">
        <v>62</v>
      </c>
      <c r="DE145" s="44">
        <v>63</v>
      </c>
      <c r="DF145" s="44">
        <v>63</v>
      </c>
      <c r="DG145" s="44">
        <v>63</v>
      </c>
      <c r="DH145" s="44">
        <v>64</v>
      </c>
      <c r="DI145" s="44">
        <v>63</v>
      </c>
      <c r="DJ145" s="44">
        <v>63</v>
      </c>
      <c r="DK145" s="44">
        <v>62</v>
      </c>
      <c r="DL145" s="44">
        <v>61</v>
      </c>
      <c r="DM145" s="44">
        <v>61</v>
      </c>
      <c r="DN145" s="44">
        <v>59</v>
      </c>
      <c r="DO145" s="48">
        <v>63</v>
      </c>
      <c r="DP145" s="48">
        <v>62</v>
      </c>
      <c r="DQ145" s="48">
        <v>63</v>
      </c>
      <c r="DR145" s="48">
        <v>63</v>
      </c>
      <c r="DS145" s="34">
        <v>65</v>
      </c>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Z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c r="GA145" s="26"/>
      <c r="GB145" s="26"/>
      <c r="GC145" s="26"/>
      <c r="GD145" s="26"/>
      <c r="GG145" s="26"/>
    </row>
    <row r="146" spans="2:190" ht="15.6" x14ac:dyDescent="0.3">
      <c r="B146" s="18" t="s">
        <v>576</v>
      </c>
      <c r="C146" s="13">
        <v>42</v>
      </c>
      <c r="D146" s="21" t="s">
        <v>577</v>
      </c>
      <c r="E146" s="24">
        <v>80</v>
      </c>
      <c r="G146" s="2">
        <f t="shared" si="33"/>
        <v>127</v>
      </c>
      <c r="H146" s="5">
        <v>3</v>
      </c>
      <c r="I146" s="13">
        <v>15</v>
      </c>
      <c r="L146" s="4"/>
      <c r="M146" s="7"/>
      <c r="O146" s="7"/>
      <c r="T146" s="7"/>
      <c r="AC146" s="6"/>
      <c r="BC146" t="s">
        <v>578</v>
      </c>
      <c r="BE146" s="26">
        <f t="shared" si="32"/>
        <v>66</v>
      </c>
      <c r="BF146">
        <v>66</v>
      </c>
      <c r="BG146">
        <v>126</v>
      </c>
      <c r="BH146" s="45">
        <v>66</v>
      </c>
      <c r="BI146" s="46">
        <v>66</v>
      </c>
      <c r="BJ146" s="46">
        <v>65</v>
      </c>
      <c r="BK146" s="46">
        <v>65</v>
      </c>
      <c r="BL146" s="46">
        <v>65</v>
      </c>
      <c r="BM146" s="46">
        <v>66</v>
      </c>
      <c r="BN146" s="46">
        <v>66</v>
      </c>
      <c r="BO146" s="46">
        <v>66</v>
      </c>
      <c r="BP146" s="46">
        <v>65</v>
      </c>
      <c r="BQ146" s="46">
        <v>65</v>
      </c>
      <c r="BR146" s="46">
        <v>65</v>
      </c>
      <c r="BS146" s="46">
        <v>66</v>
      </c>
      <c r="BT146" s="46">
        <v>66</v>
      </c>
      <c r="BU146" s="46">
        <v>66</v>
      </c>
      <c r="BV146" s="46">
        <v>65</v>
      </c>
      <c r="BW146" s="46">
        <v>65</v>
      </c>
      <c r="BX146" s="46">
        <v>65</v>
      </c>
      <c r="BY146" s="46">
        <v>66</v>
      </c>
      <c r="BZ146" s="46">
        <v>66</v>
      </c>
      <c r="CA146" s="46">
        <v>66</v>
      </c>
      <c r="CB146" s="46">
        <v>65</v>
      </c>
      <c r="CC146" s="46">
        <v>65</v>
      </c>
      <c r="CD146" s="46">
        <v>65</v>
      </c>
      <c r="CE146" s="46">
        <v>66</v>
      </c>
      <c r="CF146" s="46">
        <v>66</v>
      </c>
      <c r="CG146" s="46">
        <v>66</v>
      </c>
      <c r="CH146" s="46">
        <v>65</v>
      </c>
      <c r="CI146" s="46">
        <v>65</v>
      </c>
      <c r="CJ146" s="46">
        <v>65</v>
      </c>
      <c r="CK146" s="46">
        <v>66</v>
      </c>
      <c r="CL146" s="46">
        <v>66</v>
      </c>
      <c r="CM146" s="46">
        <v>66</v>
      </c>
      <c r="CN146" s="46">
        <v>68</v>
      </c>
      <c r="CO146" s="46">
        <v>66</v>
      </c>
      <c r="CP146" s="46">
        <v>66</v>
      </c>
      <c r="CQ146" s="46">
        <v>66</v>
      </c>
      <c r="CR146" s="46">
        <v>70</v>
      </c>
      <c r="CS146" s="46">
        <v>66</v>
      </c>
      <c r="CT146" s="46">
        <v>66</v>
      </c>
      <c r="CU146" s="46">
        <v>67</v>
      </c>
      <c r="CV146" s="46">
        <v>66</v>
      </c>
      <c r="CW146" s="46">
        <v>66</v>
      </c>
      <c r="CX146" s="46">
        <v>62</v>
      </c>
      <c r="CY146" s="46">
        <v>69</v>
      </c>
      <c r="CZ146" s="46">
        <v>68</v>
      </c>
      <c r="DA146" s="46">
        <v>66</v>
      </c>
      <c r="DB146" s="46">
        <v>66</v>
      </c>
      <c r="DC146" s="46">
        <v>66</v>
      </c>
      <c r="DD146" s="46">
        <v>67</v>
      </c>
      <c r="DE146" s="46">
        <v>66</v>
      </c>
      <c r="DF146" s="46">
        <v>66</v>
      </c>
      <c r="DG146" s="46">
        <v>66</v>
      </c>
      <c r="DH146" s="46">
        <v>66</v>
      </c>
      <c r="DI146" s="46">
        <v>66</v>
      </c>
      <c r="DJ146" s="46">
        <v>62</v>
      </c>
      <c r="DK146" s="46">
        <v>67</v>
      </c>
      <c r="DL146" s="46">
        <v>68</v>
      </c>
      <c r="DM146" s="46">
        <v>66</v>
      </c>
      <c r="DN146" s="46">
        <v>66</v>
      </c>
      <c r="DO146" s="49">
        <v>66</v>
      </c>
      <c r="DP146" s="49">
        <v>67</v>
      </c>
      <c r="DQ146" s="49">
        <v>66</v>
      </c>
      <c r="DR146" s="49">
        <v>66</v>
      </c>
      <c r="DS146" s="35" t="s">
        <v>326</v>
      </c>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Z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c r="GA146" s="26"/>
      <c r="GB146" s="26"/>
      <c r="GC146" s="26"/>
      <c r="GD146" s="26"/>
      <c r="GG146" s="26"/>
    </row>
    <row r="147" spans="2:190" x14ac:dyDescent="0.3">
      <c r="B147" s="18" t="s">
        <v>579</v>
      </c>
      <c r="C147" s="13">
        <v>41</v>
      </c>
      <c r="D147" s="21" t="s">
        <v>580</v>
      </c>
      <c r="E147" s="24">
        <v>81</v>
      </c>
      <c r="G147" s="2">
        <f t="shared" si="33"/>
        <v>128</v>
      </c>
      <c r="H147" s="5">
        <v>3</v>
      </c>
      <c r="I147" s="13">
        <v>15</v>
      </c>
      <c r="L147" s="4"/>
      <c r="M147" s="7"/>
      <c r="O147" s="7"/>
      <c r="T147" s="7"/>
      <c r="BC147" t="s">
        <v>581</v>
      </c>
      <c r="BE147" s="26" t="str">
        <f t="shared" si="32"/>
        <v>BYE</v>
      </c>
      <c r="BF147">
        <v>127</v>
      </c>
      <c r="BG147">
        <v>127</v>
      </c>
      <c r="BH147" s="47">
        <v>126</v>
      </c>
      <c r="BI147" s="47">
        <v>127</v>
      </c>
      <c r="BJ147" s="47" t="s">
        <v>326</v>
      </c>
      <c r="BK147" s="47">
        <v>127</v>
      </c>
      <c r="BL147" s="47" t="s">
        <v>326</v>
      </c>
      <c r="BM147" s="47" t="s">
        <v>326</v>
      </c>
      <c r="BN147" s="47" t="s">
        <v>326</v>
      </c>
      <c r="BO147" s="47" t="s">
        <v>326</v>
      </c>
      <c r="BP147" s="47" t="s">
        <v>326</v>
      </c>
      <c r="BQ147" s="47" t="s">
        <v>326</v>
      </c>
      <c r="BR147" s="47" t="s">
        <v>326</v>
      </c>
      <c r="BS147" s="47" t="s">
        <v>326</v>
      </c>
      <c r="BT147" s="47" t="s">
        <v>326</v>
      </c>
      <c r="BU147" s="47" t="s">
        <v>326</v>
      </c>
      <c r="BV147" s="47" t="s">
        <v>326</v>
      </c>
      <c r="BW147" s="47" t="s">
        <v>326</v>
      </c>
      <c r="BX147" s="47" t="s">
        <v>326</v>
      </c>
      <c r="BY147" s="47" t="s">
        <v>326</v>
      </c>
      <c r="BZ147" s="47" t="s">
        <v>326</v>
      </c>
      <c r="CA147" s="47" t="s">
        <v>326</v>
      </c>
      <c r="CB147" s="47" t="s">
        <v>326</v>
      </c>
      <c r="CC147" s="47" t="s">
        <v>326</v>
      </c>
      <c r="CD147" s="47" t="s">
        <v>326</v>
      </c>
      <c r="CE147" s="47" t="s">
        <v>326</v>
      </c>
      <c r="CF147" s="47" t="s">
        <v>326</v>
      </c>
      <c r="CG147" s="47" t="s">
        <v>326</v>
      </c>
      <c r="CH147" s="47" t="s">
        <v>326</v>
      </c>
      <c r="CI147" s="47" t="s">
        <v>326</v>
      </c>
      <c r="CJ147" s="47" t="s">
        <v>326</v>
      </c>
      <c r="CK147" s="47" t="s">
        <v>326</v>
      </c>
      <c r="CL147" s="47" t="s">
        <v>326</v>
      </c>
      <c r="CM147" s="47" t="s">
        <v>326</v>
      </c>
      <c r="CN147" s="47" t="s">
        <v>326</v>
      </c>
      <c r="CO147" s="47" t="s">
        <v>326</v>
      </c>
      <c r="CP147" s="47" t="s">
        <v>326</v>
      </c>
      <c r="CQ147" s="47" t="s">
        <v>326</v>
      </c>
      <c r="CR147" s="47" t="s">
        <v>326</v>
      </c>
      <c r="CS147" s="47" t="s">
        <v>326</v>
      </c>
      <c r="CT147" s="47" t="s">
        <v>326</v>
      </c>
      <c r="CU147" s="47" t="s">
        <v>326</v>
      </c>
      <c r="CV147" s="47" t="s">
        <v>326</v>
      </c>
      <c r="CW147" s="47" t="s">
        <v>326</v>
      </c>
      <c r="CX147" s="47" t="s">
        <v>326</v>
      </c>
      <c r="CY147" s="47" t="s">
        <v>326</v>
      </c>
      <c r="CZ147" s="47" t="s">
        <v>326</v>
      </c>
      <c r="DA147" s="47" t="s">
        <v>326</v>
      </c>
      <c r="DB147" s="47" t="s">
        <v>326</v>
      </c>
      <c r="DC147" s="47" t="s">
        <v>326</v>
      </c>
      <c r="DD147" s="47" t="s">
        <v>326</v>
      </c>
      <c r="DE147" s="47" t="s">
        <v>326</v>
      </c>
      <c r="DF147" s="47" t="s">
        <v>326</v>
      </c>
      <c r="DG147" s="47" t="s">
        <v>327</v>
      </c>
      <c r="DH147" s="47" t="s">
        <v>326</v>
      </c>
      <c r="DI147" s="47" t="s">
        <v>326</v>
      </c>
      <c r="DJ147" s="47" t="s">
        <v>326</v>
      </c>
      <c r="DK147" s="47" t="s">
        <v>326</v>
      </c>
      <c r="DL147" s="47" t="s">
        <v>326</v>
      </c>
      <c r="DM147" s="47" t="s">
        <v>326</v>
      </c>
      <c r="DN147" s="47" t="s">
        <v>326</v>
      </c>
      <c r="DO147" s="33" t="s">
        <v>326</v>
      </c>
      <c r="DP147" s="33" t="s">
        <v>326</v>
      </c>
      <c r="DQ147" s="33" t="s">
        <v>326</v>
      </c>
      <c r="DR147" s="33" t="s">
        <v>326</v>
      </c>
      <c r="DS147" s="33" t="s">
        <v>326</v>
      </c>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Z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c r="GA147" s="26"/>
      <c r="GB147" s="26"/>
      <c r="GC147" s="26"/>
      <c r="GD147" s="26"/>
      <c r="GG147" s="26"/>
    </row>
    <row r="148" spans="2:190" x14ac:dyDescent="0.3">
      <c r="B148" s="18" t="s">
        <v>582</v>
      </c>
      <c r="C148" s="13">
        <v>40</v>
      </c>
      <c r="D148" s="21" t="s">
        <v>583</v>
      </c>
      <c r="E148" s="24">
        <v>82</v>
      </c>
      <c r="G148" s="2">
        <f t="shared" si="33"/>
        <v>129</v>
      </c>
      <c r="H148" s="5">
        <v>3</v>
      </c>
      <c r="I148" s="13">
        <v>15</v>
      </c>
      <c r="L148" s="4"/>
      <c r="M148" s="7"/>
      <c r="O148" s="7"/>
      <c r="T148" s="7"/>
      <c r="BC148" t="s">
        <v>584</v>
      </c>
      <c r="BE148" s="26">
        <f t="shared" si="32"/>
        <v>2</v>
      </c>
      <c r="BF148">
        <v>2</v>
      </c>
      <c r="BG148">
        <v>128</v>
      </c>
      <c r="BH148" s="47">
        <v>2</v>
      </c>
      <c r="BI148" s="47">
        <v>2</v>
      </c>
      <c r="BJ148" s="47">
        <v>2</v>
      </c>
      <c r="BK148" s="47">
        <v>2</v>
      </c>
      <c r="BL148" s="47">
        <v>2</v>
      </c>
      <c r="BM148" s="47">
        <v>2</v>
      </c>
      <c r="BN148" s="47">
        <v>2</v>
      </c>
      <c r="BO148" s="47">
        <v>2</v>
      </c>
      <c r="BP148" s="47">
        <v>2</v>
      </c>
      <c r="BQ148" s="47">
        <v>2</v>
      </c>
      <c r="BR148" s="47">
        <v>2</v>
      </c>
      <c r="BS148" s="47">
        <v>2</v>
      </c>
      <c r="BT148" s="47">
        <v>2</v>
      </c>
      <c r="BU148" s="47">
        <v>2</v>
      </c>
      <c r="BV148" s="47">
        <v>2</v>
      </c>
      <c r="BW148" s="47">
        <v>2</v>
      </c>
      <c r="BX148" s="47">
        <v>2</v>
      </c>
      <c r="BY148" s="47">
        <v>2</v>
      </c>
      <c r="BZ148" s="47">
        <v>2</v>
      </c>
      <c r="CA148" s="47">
        <v>2</v>
      </c>
      <c r="CB148" s="47">
        <v>2</v>
      </c>
      <c r="CC148" s="47">
        <v>2</v>
      </c>
      <c r="CD148" s="47">
        <v>2</v>
      </c>
      <c r="CE148" s="47">
        <v>2</v>
      </c>
      <c r="CF148" s="47">
        <v>2</v>
      </c>
      <c r="CG148" s="47">
        <v>2</v>
      </c>
      <c r="CH148" s="47">
        <v>2</v>
      </c>
      <c r="CI148" s="47">
        <v>2</v>
      </c>
      <c r="CJ148" s="47">
        <v>2</v>
      </c>
      <c r="CK148" s="47">
        <v>2</v>
      </c>
      <c r="CL148" s="47">
        <v>2</v>
      </c>
      <c r="CM148" s="47">
        <v>2</v>
      </c>
      <c r="CN148" s="47">
        <v>2</v>
      </c>
      <c r="CO148" s="47">
        <v>2</v>
      </c>
      <c r="CP148" s="47">
        <v>2</v>
      </c>
      <c r="CQ148" s="47">
        <v>2</v>
      </c>
      <c r="CR148" s="47">
        <v>2</v>
      </c>
      <c r="CS148" s="47">
        <v>2</v>
      </c>
      <c r="CT148" s="47">
        <v>2</v>
      </c>
      <c r="CU148" s="47">
        <v>2</v>
      </c>
      <c r="CV148" s="47">
        <v>2</v>
      </c>
      <c r="CW148" s="47">
        <v>2</v>
      </c>
      <c r="CX148" s="47">
        <v>2</v>
      </c>
      <c r="CY148" s="47">
        <v>2</v>
      </c>
      <c r="CZ148" s="47">
        <v>2</v>
      </c>
      <c r="DA148" s="47">
        <v>2</v>
      </c>
      <c r="DB148" s="47">
        <v>2</v>
      </c>
      <c r="DC148" s="47">
        <v>2</v>
      </c>
      <c r="DD148" s="47">
        <v>2</v>
      </c>
      <c r="DE148" s="47">
        <v>2</v>
      </c>
      <c r="DF148" s="47">
        <v>2</v>
      </c>
      <c r="DG148" s="47">
        <v>2</v>
      </c>
      <c r="DH148" s="47">
        <v>2</v>
      </c>
      <c r="DI148" s="47">
        <v>2</v>
      </c>
      <c r="DJ148" s="47">
        <v>2</v>
      </c>
      <c r="DK148" s="47">
        <v>2</v>
      </c>
      <c r="DL148" s="47">
        <v>2</v>
      </c>
      <c r="DM148" s="47">
        <v>2</v>
      </c>
      <c r="DN148" s="47">
        <v>2</v>
      </c>
      <c r="DO148" s="33">
        <v>2</v>
      </c>
      <c r="DP148" s="33">
        <v>2</v>
      </c>
      <c r="DQ148" s="33">
        <v>2</v>
      </c>
      <c r="DR148" s="33">
        <v>2</v>
      </c>
      <c r="DS148" s="33">
        <v>2</v>
      </c>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Z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c r="GA148" s="26"/>
      <c r="GB148" s="26"/>
      <c r="GC148" s="26"/>
      <c r="GD148" s="26"/>
      <c r="GG148" s="26"/>
      <c r="GH148">
        <v>2</v>
      </c>
    </row>
    <row r="149" spans="2:190" ht="15" thickBot="1" x14ac:dyDescent="0.35">
      <c r="B149" s="18" t="s">
        <v>585</v>
      </c>
      <c r="C149" s="13">
        <v>39</v>
      </c>
      <c r="D149" s="21" t="s">
        <v>586</v>
      </c>
      <c r="E149" s="24">
        <v>83</v>
      </c>
      <c r="G149" s="2">
        <f t="shared" si="33"/>
        <v>130</v>
      </c>
      <c r="H149" s="5">
        <v>3</v>
      </c>
      <c r="I149" s="13">
        <v>15</v>
      </c>
      <c r="L149" s="4"/>
      <c r="M149" s="7"/>
      <c r="O149" s="7"/>
      <c r="T149" s="7"/>
      <c r="BH149" s="26">
        <f>SUM(BH21:BH148)</f>
        <v>8256</v>
      </c>
      <c r="BI149" s="26">
        <f>SUM(BI21:BI148)</f>
        <v>8128</v>
      </c>
      <c r="BJ149" s="26">
        <f>SUM(BJ21:BJ148)</f>
        <v>8001</v>
      </c>
      <c r="BK149" s="26">
        <f t="shared" ref="BK149:DV149" si="34">SUM(BK21:BK148)</f>
        <v>8256</v>
      </c>
      <c r="BL149" s="26">
        <f t="shared" si="34"/>
        <v>7750</v>
      </c>
      <c r="BM149" s="26">
        <f t="shared" si="34"/>
        <v>7626</v>
      </c>
      <c r="BN149" s="26">
        <f t="shared" si="34"/>
        <v>7503</v>
      </c>
      <c r="BO149" s="26">
        <f t="shared" si="34"/>
        <v>7381</v>
      </c>
      <c r="BP149" s="26">
        <f t="shared" si="34"/>
        <v>7260</v>
      </c>
      <c r="BQ149" s="26">
        <f t="shared" si="34"/>
        <v>7140</v>
      </c>
      <c r="BR149" s="26">
        <f t="shared" si="34"/>
        <v>7021</v>
      </c>
      <c r="BS149" s="26">
        <f t="shared" si="34"/>
        <v>6903</v>
      </c>
      <c r="BT149" s="26">
        <f t="shared" si="34"/>
        <v>6786</v>
      </c>
      <c r="BU149" s="26">
        <f t="shared" si="34"/>
        <v>6670</v>
      </c>
      <c r="BV149" s="26">
        <f t="shared" si="34"/>
        <v>6555</v>
      </c>
      <c r="BW149" s="26">
        <f t="shared" si="34"/>
        <v>6441</v>
      </c>
      <c r="BX149" s="26">
        <f t="shared" si="34"/>
        <v>6328</v>
      </c>
      <c r="BY149" s="26">
        <f t="shared" si="34"/>
        <v>6216</v>
      </c>
      <c r="BZ149" s="26">
        <f t="shared" si="34"/>
        <v>6105</v>
      </c>
      <c r="CA149" s="26">
        <f t="shared" si="34"/>
        <v>5995</v>
      </c>
      <c r="CB149" s="26">
        <f t="shared" si="34"/>
        <v>5886</v>
      </c>
      <c r="CC149" s="26">
        <f t="shared" si="34"/>
        <v>5778</v>
      </c>
      <c r="CD149" s="26">
        <f t="shared" si="34"/>
        <v>5671</v>
      </c>
      <c r="CE149" s="26">
        <f t="shared" si="34"/>
        <v>5565</v>
      </c>
      <c r="CF149" s="26">
        <f t="shared" si="34"/>
        <v>5468</v>
      </c>
      <c r="CG149" s="26">
        <f t="shared" si="34"/>
        <v>5356</v>
      </c>
      <c r="CH149" s="26">
        <f t="shared" si="34"/>
        <v>5253</v>
      </c>
      <c r="CI149" s="26">
        <f t="shared" si="34"/>
        <v>5151</v>
      </c>
      <c r="CJ149" s="26">
        <f t="shared" si="34"/>
        <v>5050</v>
      </c>
      <c r="CK149" s="26">
        <f t="shared" si="34"/>
        <v>4950</v>
      </c>
      <c r="CL149" s="26">
        <f t="shared" si="34"/>
        <v>4851</v>
      </c>
      <c r="CM149" s="26">
        <f t="shared" si="34"/>
        <v>4753</v>
      </c>
      <c r="CN149" s="26">
        <f t="shared" si="34"/>
        <v>4656</v>
      </c>
      <c r="CO149" s="26">
        <f t="shared" si="34"/>
        <v>4560</v>
      </c>
      <c r="CP149" s="26">
        <f t="shared" si="34"/>
        <v>4465</v>
      </c>
      <c r="CQ149" s="26">
        <f t="shared" si="34"/>
        <v>4371</v>
      </c>
      <c r="CR149" s="26">
        <f t="shared" si="34"/>
        <v>4278</v>
      </c>
      <c r="CS149" s="26">
        <f t="shared" si="34"/>
        <v>4186</v>
      </c>
      <c r="CT149" s="26">
        <f t="shared" si="34"/>
        <v>4095</v>
      </c>
      <c r="CU149" s="26">
        <f t="shared" si="34"/>
        <v>4005</v>
      </c>
      <c r="CV149" s="26">
        <f t="shared" si="34"/>
        <v>3916</v>
      </c>
      <c r="CW149" s="26">
        <f t="shared" si="34"/>
        <v>3828</v>
      </c>
      <c r="CX149" s="26">
        <f t="shared" si="34"/>
        <v>3741</v>
      </c>
      <c r="CY149" s="26">
        <f t="shared" si="34"/>
        <v>3655</v>
      </c>
      <c r="CZ149" s="26">
        <f t="shared" si="34"/>
        <v>3570</v>
      </c>
      <c r="DA149" s="26">
        <f t="shared" si="34"/>
        <v>3486</v>
      </c>
      <c r="DB149" s="26">
        <f t="shared" si="34"/>
        <v>3403</v>
      </c>
      <c r="DC149" s="26">
        <f t="shared" si="34"/>
        <v>3321</v>
      </c>
      <c r="DD149" s="26">
        <f t="shared" si="34"/>
        <v>3240</v>
      </c>
      <c r="DE149" s="26">
        <f t="shared" si="34"/>
        <v>3160</v>
      </c>
      <c r="DF149" s="26">
        <f t="shared" si="34"/>
        <v>3081</v>
      </c>
      <c r="DG149" s="26">
        <f t="shared" si="34"/>
        <v>3003</v>
      </c>
      <c r="DH149" s="26">
        <f t="shared" si="34"/>
        <v>2926</v>
      </c>
      <c r="DI149" s="26">
        <f t="shared" si="34"/>
        <v>2850</v>
      </c>
      <c r="DJ149" s="26">
        <f t="shared" si="34"/>
        <v>2775</v>
      </c>
      <c r="DK149" s="26">
        <f t="shared" si="34"/>
        <v>2701</v>
      </c>
      <c r="DL149" s="26">
        <f t="shared" si="34"/>
        <v>2628</v>
      </c>
      <c r="DM149" s="26">
        <f t="shared" si="34"/>
        <v>2556</v>
      </c>
      <c r="DN149" s="26">
        <f t="shared" si="34"/>
        <v>2485</v>
      </c>
      <c r="DO149" s="26">
        <f t="shared" si="34"/>
        <v>2415</v>
      </c>
      <c r="DP149" s="26">
        <f t="shared" si="34"/>
        <v>2346</v>
      </c>
      <c r="DQ149" s="26">
        <f t="shared" si="34"/>
        <v>2278</v>
      </c>
      <c r="DR149" s="26">
        <f t="shared" si="34"/>
        <v>2211</v>
      </c>
      <c r="DS149" s="26">
        <f t="shared" si="34"/>
        <v>2145</v>
      </c>
      <c r="DT149" s="26">
        <f t="shared" si="34"/>
        <v>2080</v>
      </c>
      <c r="DU149" s="26">
        <f t="shared" si="34"/>
        <v>2016</v>
      </c>
      <c r="DV149" s="26">
        <f t="shared" si="34"/>
        <v>1953</v>
      </c>
      <c r="DW149" s="26">
        <f t="shared" ref="DW149:GD149" si="35">SUM(DW21:DW148)</f>
        <v>1891</v>
      </c>
      <c r="DX149" s="26">
        <f t="shared" si="35"/>
        <v>1830</v>
      </c>
      <c r="DY149" s="26">
        <f t="shared" si="35"/>
        <v>1770</v>
      </c>
      <c r="DZ149" s="26">
        <f t="shared" si="35"/>
        <v>1711</v>
      </c>
      <c r="EA149" s="26">
        <f t="shared" si="35"/>
        <v>1653</v>
      </c>
      <c r="EB149" s="26">
        <f t="shared" si="35"/>
        <v>1596</v>
      </c>
      <c r="EC149" s="26">
        <f t="shared" si="35"/>
        <v>1540</v>
      </c>
      <c r="ED149" s="26">
        <f t="shared" si="35"/>
        <v>1485</v>
      </c>
      <c r="EE149" s="26">
        <f t="shared" si="35"/>
        <v>1431</v>
      </c>
      <c r="EF149" s="26">
        <f t="shared" si="35"/>
        <v>1378</v>
      </c>
      <c r="EG149" s="26">
        <f t="shared" si="35"/>
        <v>1326</v>
      </c>
      <c r="EH149" s="26">
        <f t="shared" si="35"/>
        <v>1275</v>
      </c>
      <c r="EI149" s="26">
        <f t="shared" si="35"/>
        <v>1225</v>
      </c>
      <c r="EJ149" s="26">
        <f t="shared" si="35"/>
        <v>1176</v>
      </c>
      <c r="EK149" s="26">
        <f t="shared" si="35"/>
        <v>1128</v>
      </c>
      <c r="EL149" s="26">
        <f t="shared" si="35"/>
        <v>1081</v>
      </c>
      <c r="EM149" s="26">
        <f t="shared" si="35"/>
        <v>1035</v>
      </c>
      <c r="EN149" s="26">
        <f t="shared" si="35"/>
        <v>990</v>
      </c>
      <c r="EO149" s="26">
        <f t="shared" si="35"/>
        <v>946</v>
      </c>
      <c r="EP149" s="26">
        <f t="shared" si="35"/>
        <v>903</v>
      </c>
      <c r="EQ149" s="26">
        <f t="shared" si="35"/>
        <v>861</v>
      </c>
      <c r="ER149" s="26">
        <f t="shared" si="35"/>
        <v>820</v>
      </c>
      <c r="ES149" s="26">
        <f t="shared" si="35"/>
        <v>780</v>
      </c>
      <c r="ET149" s="26">
        <f t="shared" si="35"/>
        <v>741</v>
      </c>
      <c r="EU149" s="26">
        <f t="shared" si="35"/>
        <v>703</v>
      </c>
      <c r="EV149" s="26">
        <f t="shared" si="35"/>
        <v>666</v>
      </c>
      <c r="EW149" s="26">
        <f t="shared" si="35"/>
        <v>630</v>
      </c>
      <c r="EX149" s="26">
        <f t="shared" si="35"/>
        <v>595</v>
      </c>
      <c r="EY149" s="26">
        <f t="shared" si="35"/>
        <v>561</v>
      </c>
      <c r="EZ149" s="26">
        <f t="shared" si="35"/>
        <v>528</v>
      </c>
      <c r="FA149" s="26">
        <f t="shared" si="35"/>
        <v>496</v>
      </c>
      <c r="FB149" s="26">
        <f t="shared" si="35"/>
        <v>465</v>
      </c>
      <c r="FC149" s="26">
        <f t="shared" si="35"/>
        <v>435</v>
      </c>
      <c r="FD149" s="26">
        <f t="shared" si="35"/>
        <v>406</v>
      </c>
      <c r="FE149" s="26">
        <f t="shared" si="35"/>
        <v>378</v>
      </c>
      <c r="FF149" s="26">
        <f t="shared" si="35"/>
        <v>351</v>
      </c>
      <c r="FG149" s="26">
        <f t="shared" si="35"/>
        <v>325</v>
      </c>
      <c r="FH149" s="26">
        <f t="shared" si="35"/>
        <v>300</v>
      </c>
      <c r="FI149" s="26">
        <f t="shared" si="35"/>
        <v>276</v>
      </c>
      <c r="FJ149" s="26">
        <f t="shared" si="35"/>
        <v>253</v>
      </c>
      <c r="FK149" s="26">
        <f t="shared" si="35"/>
        <v>231</v>
      </c>
      <c r="FL149" s="26">
        <f t="shared" si="35"/>
        <v>210</v>
      </c>
      <c r="FM149" s="26">
        <f t="shared" si="35"/>
        <v>190</v>
      </c>
      <c r="FN149" s="26">
        <f t="shared" si="35"/>
        <v>171</v>
      </c>
      <c r="FO149" s="26">
        <f t="shared" si="35"/>
        <v>153</v>
      </c>
      <c r="FP149" s="26">
        <f t="shared" si="35"/>
        <v>136</v>
      </c>
      <c r="FQ149" s="26">
        <f t="shared" si="35"/>
        <v>120</v>
      </c>
      <c r="FR149" s="26">
        <f t="shared" si="35"/>
        <v>105</v>
      </c>
      <c r="FS149" s="26">
        <f t="shared" si="35"/>
        <v>91</v>
      </c>
      <c r="FT149" s="26">
        <f t="shared" si="35"/>
        <v>78</v>
      </c>
      <c r="FU149" s="26">
        <f t="shared" si="35"/>
        <v>66</v>
      </c>
      <c r="FV149" s="26">
        <f t="shared" si="35"/>
        <v>55</v>
      </c>
      <c r="FW149" s="26">
        <f t="shared" si="35"/>
        <v>45</v>
      </c>
      <c r="FX149" s="26">
        <f t="shared" si="35"/>
        <v>36</v>
      </c>
      <c r="FY149" s="26">
        <f t="shared" si="35"/>
        <v>28</v>
      </c>
      <c r="FZ149" s="26">
        <f t="shared" si="35"/>
        <v>21</v>
      </c>
      <c r="GA149" s="26">
        <f t="shared" si="35"/>
        <v>15</v>
      </c>
      <c r="GB149" s="26">
        <f t="shared" si="35"/>
        <v>10</v>
      </c>
      <c r="GC149" s="26">
        <f t="shared" si="35"/>
        <v>6</v>
      </c>
      <c r="GD149" s="26">
        <f t="shared" si="35"/>
        <v>3</v>
      </c>
    </row>
    <row r="150" spans="2:190" ht="29.4" thickTop="1" x14ac:dyDescent="0.3">
      <c r="B150" s="18" t="s">
        <v>587</v>
      </c>
      <c r="C150" s="13">
        <v>38</v>
      </c>
      <c r="D150" s="21" t="s">
        <v>588</v>
      </c>
      <c r="E150" s="24">
        <v>84</v>
      </c>
      <c r="G150" s="2">
        <f t="shared" si="33"/>
        <v>131</v>
      </c>
      <c r="H150" s="5">
        <v>3</v>
      </c>
      <c r="I150" s="13">
        <v>15</v>
      </c>
      <c r="L150" s="4"/>
      <c r="M150" s="7"/>
      <c r="O150" s="7"/>
      <c r="T150" s="7"/>
      <c r="BB150" s="444">
        <v>2</v>
      </c>
      <c r="BC150" s="444">
        <v>4</v>
      </c>
      <c r="BD150" s="31"/>
      <c r="BI150" s="26">
        <f>BH149-BI149</f>
        <v>128</v>
      </c>
      <c r="BJ150" s="26">
        <f>BI149-BJ149</f>
        <v>127</v>
      </c>
      <c r="BK150" s="26">
        <f>BJ149-BK149</f>
        <v>-255</v>
      </c>
      <c r="BL150" s="26">
        <f t="shared" ref="BL150:BQ150" si="36">BK149-BL149</f>
        <v>506</v>
      </c>
      <c r="BM150" s="26">
        <f t="shared" si="36"/>
        <v>124</v>
      </c>
      <c r="BN150" s="26">
        <f t="shared" si="36"/>
        <v>123</v>
      </c>
      <c r="BO150" s="26">
        <f t="shared" si="36"/>
        <v>122</v>
      </c>
      <c r="BP150" s="26">
        <f t="shared" si="36"/>
        <v>121</v>
      </c>
      <c r="BQ150" s="26">
        <f t="shared" si="36"/>
        <v>120</v>
      </c>
      <c r="BR150" s="26">
        <f t="shared" ref="BR150:CW150" si="37">BQ149-BR149</f>
        <v>119</v>
      </c>
      <c r="BS150" s="26">
        <f t="shared" si="37"/>
        <v>118</v>
      </c>
      <c r="BT150" s="26">
        <f t="shared" si="37"/>
        <v>117</v>
      </c>
      <c r="BU150" s="26">
        <f t="shared" si="37"/>
        <v>116</v>
      </c>
      <c r="BV150" s="26">
        <f t="shared" si="37"/>
        <v>115</v>
      </c>
      <c r="BW150" s="26">
        <f t="shared" si="37"/>
        <v>114</v>
      </c>
      <c r="BX150" s="26">
        <f t="shared" si="37"/>
        <v>113</v>
      </c>
      <c r="BY150" s="26">
        <f t="shared" si="37"/>
        <v>112</v>
      </c>
      <c r="BZ150" s="26">
        <f t="shared" si="37"/>
        <v>111</v>
      </c>
      <c r="CA150" s="26">
        <f t="shared" si="37"/>
        <v>110</v>
      </c>
      <c r="CB150" s="26">
        <f t="shared" si="37"/>
        <v>109</v>
      </c>
      <c r="CC150" s="26">
        <f t="shared" si="37"/>
        <v>108</v>
      </c>
      <c r="CD150" s="26">
        <f t="shared" si="37"/>
        <v>107</v>
      </c>
      <c r="CE150" s="26">
        <f t="shared" si="37"/>
        <v>106</v>
      </c>
      <c r="CF150" s="26">
        <f t="shared" si="37"/>
        <v>97</v>
      </c>
      <c r="CG150" s="26">
        <f t="shared" si="37"/>
        <v>112</v>
      </c>
      <c r="CH150" s="26">
        <f t="shared" si="37"/>
        <v>103</v>
      </c>
      <c r="CI150" s="26">
        <f t="shared" si="37"/>
        <v>102</v>
      </c>
      <c r="CJ150" s="26">
        <f t="shared" si="37"/>
        <v>101</v>
      </c>
      <c r="CK150" s="26">
        <f t="shared" si="37"/>
        <v>100</v>
      </c>
      <c r="CL150" s="26">
        <f t="shared" si="37"/>
        <v>99</v>
      </c>
      <c r="CM150" s="26">
        <f t="shared" si="37"/>
        <v>98</v>
      </c>
      <c r="CN150" s="26">
        <f t="shared" si="37"/>
        <v>97</v>
      </c>
      <c r="CO150" s="26">
        <f t="shared" si="37"/>
        <v>96</v>
      </c>
      <c r="CP150" s="26">
        <f t="shared" si="37"/>
        <v>95</v>
      </c>
      <c r="CQ150" s="26">
        <f t="shared" si="37"/>
        <v>94</v>
      </c>
      <c r="CR150" s="26">
        <f t="shared" si="37"/>
        <v>93</v>
      </c>
      <c r="CS150" s="26">
        <f t="shared" si="37"/>
        <v>92</v>
      </c>
      <c r="CT150" s="26">
        <f t="shared" si="37"/>
        <v>91</v>
      </c>
      <c r="CU150" s="26">
        <f t="shared" si="37"/>
        <v>90</v>
      </c>
      <c r="CV150" s="26">
        <f t="shared" si="37"/>
        <v>89</v>
      </c>
      <c r="CW150" s="26">
        <f t="shared" si="37"/>
        <v>88</v>
      </c>
      <c r="CX150" s="26">
        <f t="shared" ref="CX150:EC150" si="38">CW149-CX149</f>
        <v>87</v>
      </c>
      <c r="CY150" s="26">
        <f t="shared" si="38"/>
        <v>86</v>
      </c>
      <c r="CZ150" s="26">
        <f t="shared" si="38"/>
        <v>85</v>
      </c>
      <c r="DA150" s="26">
        <f t="shared" si="38"/>
        <v>84</v>
      </c>
      <c r="DB150" s="26">
        <f t="shared" si="38"/>
        <v>83</v>
      </c>
      <c r="DC150" s="26">
        <f t="shared" si="38"/>
        <v>82</v>
      </c>
      <c r="DD150" s="26">
        <f t="shared" si="38"/>
        <v>81</v>
      </c>
      <c r="DE150" s="26">
        <f t="shared" si="38"/>
        <v>80</v>
      </c>
      <c r="DF150" s="26">
        <f t="shared" si="38"/>
        <v>79</v>
      </c>
      <c r="DG150" s="26">
        <f t="shared" si="38"/>
        <v>78</v>
      </c>
      <c r="DH150" s="26">
        <f t="shared" si="38"/>
        <v>77</v>
      </c>
      <c r="DI150" s="26">
        <f t="shared" si="38"/>
        <v>76</v>
      </c>
      <c r="DJ150" s="26">
        <f t="shared" si="38"/>
        <v>75</v>
      </c>
      <c r="DK150" s="26">
        <f t="shared" si="38"/>
        <v>74</v>
      </c>
      <c r="DL150" s="26">
        <f t="shared" si="38"/>
        <v>73</v>
      </c>
      <c r="DM150" s="26">
        <f t="shared" si="38"/>
        <v>72</v>
      </c>
      <c r="DN150" s="26">
        <f t="shared" si="38"/>
        <v>71</v>
      </c>
      <c r="DO150" s="26">
        <f t="shared" si="38"/>
        <v>70</v>
      </c>
      <c r="DP150" s="26">
        <f t="shared" si="38"/>
        <v>69</v>
      </c>
      <c r="DQ150" s="26">
        <f t="shared" si="38"/>
        <v>68</v>
      </c>
      <c r="DR150" s="26">
        <f t="shared" si="38"/>
        <v>67</v>
      </c>
      <c r="DS150" s="26">
        <f t="shared" si="38"/>
        <v>66</v>
      </c>
      <c r="DT150" s="26">
        <f t="shared" si="38"/>
        <v>65</v>
      </c>
      <c r="DU150" s="26">
        <f t="shared" si="38"/>
        <v>64</v>
      </c>
      <c r="DV150" s="26">
        <f t="shared" si="38"/>
        <v>63</v>
      </c>
      <c r="DW150" s="26">
        <f t="shared" si="38"/>
        <v>62</v>
      </c>
      <c r="DX150" s="26">
        <f t="shared" si="38"/>
        <v>61</v>
      </c>
      <c r="DY150" s="26">
        <f t="shared" si="38"/>
        <v>60</v>
      </c>
      <c r="DZ150" s="26">
        <f t="shared" si="38"/>
        <v>59</v>
      </c>
      <c r="EA150" s="26">
        <f t="shared" si="38"/>
        <v>58</v>
      </c>
      <c r="EB150" s="26">
        <f t="shared" si="38"/>
        <v>57</v>
      </c>
      <c r="EC150" s="26">
        <f t="shared" si="38"/>
        <v>56</v>
      </c>
      <c r="ED150" s="26">
        <f t="shared" ref="ED150:FI150" si="39">EC149-ED149</f>
        <v>55</v>
      </c>
      <c r="EE150" s="26">
        <f t="shared" si="39"/>
        <v>54</v>
      </c>
      <c r="EF150" s="26">
        <f t="shared" si="39"/>
        <v>53</v>
      </c>
      <c r="EG150" s="26">
        <f t="shared" si="39"/>
        <v>52</v>
      </c>
      <c r="EH150" s="26">
        <f t="shared" si="39"/>
        <v>51</v>
      </c>
      <c r="EI150" s="26">
        <f t="shared" si="39"/>
        <v>50</v>
      </c>
      <c r="EJ150" s="26">
        <f t="shared" si="39"/>
        <v>49</v>
      </c>
      <c r="EK150" s="26">
        <f t="shared" si="39"/>
        <v>48</v>
      </c>
      <c r="EL150" s="26">
        <f t="shared" si="39"/>
        <v>47</v>
      </c>
      <c r="EM150" s="26">
        <f t="shared" si="39"/>
        <v>46</v>
      </c>
      <c r="EN150" s="26">
        <f t="shared" si="39"/>
        <v>45</v>
      </c>
      <c r="EO150" s="26">
        <f t="shared" si="39"/>
        <v>44</v>
      </c>
      <c r="EP150" s="26">
        <f t="shared" si="39"/>
        <v>43</v>
      </c>
      <c r="EQ150" s="26">
        <f t="shared" si="39"/>
        <v>42</v>
      </c>
      <c r="ER150" s="26">
        <f t="shared" si="39"/>
        <v>41</v>
      </c>
      <c r="ES150" s="26">
        <f t="shared" si="39"/>
        <v>40</v>
      </c>
      <c r="ET150" s="26">
        <f t="shared" si="39"/>
        <v>39</v>
      </c>
      <c r="EU150" s="26">
        <f t="shared" si="39"/>
        <v>38</v>
      </c>
      <c r="EV150" s="26">
        <f t="shared" si="39"/>
        <v>37</v>
      </c>
      <c r="EW150" s="26">
        <f t="shared" si="39"/>
        <v>36</v>
      </c>
      <c r="EX150" s="26">
        <f t="shared" si="39"/>
        <v>35</v>
      </c>
      <c r="EY150" s="26">
        <f t="shared" si="39"/>
        <v>34</v>
      </c>
      <c r="EZ150" s="26">
        <f t="shared" si="39"/>
        <v>33</v>
      </c>
      <c r="FA150" s="26">
        <f t="shared" si="39"/>
        <v>32</v>
      </c>
      <c r="FB150" s="26">
        <f t="shared" si="39"/>
        <v>31</v>
      </c>
      <c r="FC150" s="26">
        <f t="shared" si="39"/>
        <v>30</v>
      </c>
      <c r="FD150" s="26">
        <f t="shared" si="39"/>
        <v>29</v>
      </c>
      <c r="FE150" s="26">
        <f t="shared" si="39"/>
        <v>28</v>
      </c>
      <c r="FF150" s="26">
        <f t="shared" si="39"/>
        <v>27</v>
      </c>
      <c r="FG150" s="26">
        <f t="shared" si="39"/>
        <v>26</v>
      </c>
      <c r="FH150" s="26">
        <f t="shared" si="39"/>
        <v>25</v>
      </c>
      <c r="FI150" s="26">
        <f t="shared" si="39"/>
        <v>24</v>
      </c>
      <c r="FJ150" s="26">
        <f t="shared" ref="FJ150:GD150" si="40">FI149-FJ149</f>
        <v>23</v>
      </c>
      <c r="FK150" s="26">
        <f t="shared" si="40"/>
        <v>22</v>
      </c>
      <c r="FL150" s="26">
        <f t="shared" si="40"/>
        <v>21</v>
      </c>
      <c r="FM150" s="26">
        <f t="shared" si="40"/>
        <v>20</v>
      </c>
      <c r="FN150" s="26">
        <f t="shared" si="40"/>
        <v>19</v>
      </c>
      <c r="FO150" s="26">
        <f t="shared" si="40"/>
        <v>18</v>
      </c>
      <c r="FP150" s="26">
        <f t="shared" si="40"/>
        <v>17</v>
      </c>
      <c r="FQ150" s="26">
        <f t="shared" si="40"/>
        <v>16</v>
      </c>
      <c r="FR150" s="26">
        <f t="shared" si="40"/>
        <v>15</v>
      </c>
      <c r="FS150" s="26">
        <f t="shared" si="40"/>
        <v>14</v>
      </c>
      <c r="FT150" s="26">
        <f t="shared" si="40"/>
        <v>13</v>
      </c>
      <c r="FU150" s="26">
        <f t="shared" si="40"/>
        <v>12</v>
      </c>
      <c r="FV150" s="26">
        <f t="shared" si="40"/>
        <v>11</v>
      </c>
      <c r="FW150" s="26">
        <f t="shared" si="40"/>
        <v>10</v>
      </c>
      <c r="FX150" s="26">
        <f t="shared" si="40"/>
        <v>9</v>
      </c>
      <c r="FY150" s="26">
        <f t="shared" si="40"/>
        <v>8</v>
      </c>
      <c r="FZ150" s="26">
        <f t="shared" si="40"/>
        <v>7</v>
      </c>
      <c r="GA150" s="26">
        <f t="shared" si="40"/>
        <v>6</v>
      </c>
      <c r="GB150" s="26">
        <f t="shared" si="40"/>
        <v>5</v>
      </c>
      <c r="GC150" s="26">
        <f t="shared" si="40"/>
        <v>4</v>
      </c>
      <c r="GD150" s="26">
        <f t="shared" si="40"/>
        <v>3</v>
      </c>
    </row>
    <row r="151" spans="2:190" ht="29.4" thickBot="1" x14ac:dyDescent="0.35">
      <c r="B151" s="18" t="s">
        <v>589</v>
      </c>
      <c r="C151" s="13">
        <v>37</v>
      </c>
      <c r="D151" s="21" t="s">
        <v>590</v>
      </c>
      <c r="E151" s="24">
        <v>85</v>
      </c>
      <c r="G151" s="2">
        <f t="shared" si="33"/>
        <v>132</v>
      </c>
      <c r="H151" s="5">
        <v>3</v>
      </c>
      <c r="I151" s="13">
        <v>15</v>
      </c>
      <c r="L151" s="4"/>
      <c r="M151" s="7"/>
      <c r="O151" s="7"/>
      <c r="T151" s="7"/>
      <c r="BB151" s="445"/>
      <c r="BC151" s="445"/>
      <c r="BD151" s="31"/>
      <c r="DV151" s="26"/>
      <c r="DW151" s="26"/>
      <c r="EZ151" s="26"/>
    </row>
    <row r="152" spans="2:190" ht="15.6" thickTop="1" thickBot="1" x14ac:dyDescent="0.35">
      <c r="B152" s="18" t="s">
        <v>591</v>
      </c>
      <c r="C152" s="13">
        <v>36</v>
      </c>
      <c r="D152" s="21" t="s">
        <v>592</v>
      </c>
      <c r="E152" s="24">
        <v>86</v>
      </c>
      <c r="G152" s="2">
        <f t="shared" si="33"/>
        <v>133</v>
      </c>
      <c r="H152" s="5">
        <v>3</v>
      </c>
      <c r="I152" s="13">
        <v>15</v>
      </c>
      <c r="L152" s="4"/>
      <c r="M152" s="7"/>
      <c r="O152" s="7"/>
      <c r="T152" s="7"/>
      <c r="BB152" t="s">
        <v>593</v>
      </c>
      <c r="BC152" t="s">
        <v>594</v>
      </c>
      <c r="BE152">
        <f>IF(BE151&lt;Sorteo!I11,Tablas!BE150+1,1)</f>
        <v>1</v>
      </c>
      <c r="BK152" t="s">
        <v>595</v>
      </c>
      <c r="DV152" s="26"/>
      <c r="DW152" s="26"/>
      <c r="EZ152" s="26"/>
    </row>
    <row r="153" spans="2:190" ht="15" thickTop="1" x14ac:dyDescent="0.3">
      <c r="B153" s="18" t="s">
        <v>596</v>
      </c>
      <c r="C153" s="13">
        <v>35</v>
      </c>
      <c r="D153" s="21" t="s">
        <v>597</v>
      </c>
      <c r="E153" s="24">
        <v>87</v>
      </c>
      <c r="G153" s="2">
        <f t="shared" si="33"/>
        <v>134</v>
      </c>
      <c r="H153" s="5">
        <v>3</v>
      </c>
      <c r="I153" s="13">
        <v>15</v>
      </c>
      <c r="L153" s="4"/>
      <c r="M153" s="7"/>
      <c r="O153" s="7"/>
      <c r="T153" s="7"/>
      <c r="BB153" t="s">
        <v>598</v>
      </c>
      <c r="BC153" t="s">
        <v>599</v>
      </c>
      <c r="BD153" t="s">
        <v>600</v>
      </c>
      <c r="BE153" t="s">
        <v>108</v>
      </c>
      <c r="BF153" t="s">
        <v>93</v>
      </c>
      <c r="BI153" s="444">
        <v>3</v>
      </c>
      <c r="BK153">
        <v>1</v>
      </c>
      <c r="BL153">
        <f>BK153+1</f>
        <v>2</v>
      </c>
      <c r="BM153">
        <f t="shared" ref="BM153:CZ153" si="41">BL153+1</f>
        <v>3</v>
      </c>
      <c r="BN153">
        <f t="shared" si="41"/>
        <v>4</v>
      </c>
      <c r="BO153">
        <f t="shared" si="41"/>
        <v>5</v>
      </c>
      <c r="BP153">
        <f t="shared" si="41"/>
        <v>6</v>
      </c>
      <c r="BQ153">
        <f t="shared" si="41"/>
        <v>7</v>
      </c>
      <c r="BR153">
        <f t="shared" si="41"/>
        <v>8</v>
      </c>
      <c r="BS153">
        <f t="shared" si="41"/>
        <v>9</v>
      </c>
      <c r="BT153">
        <f t="shared" si="41"/>
        <v>10</v>
      </c>
      <c r="BU153">
        <f t="shared" si="41"/>
        <v>11</v>
      </c>
      <c r="BV153">
        <f t="shared" si="41"/>
        <v>12</v>
      </c>
      <c r="BW153">
        <f t="shared" si="41"/>
        <v>13</v>
      </c>
      <c r="BX153">
        <f t="shared" si="41"/>
        <v>14</v>
      </c>
      <c r="BY153">
        <f t="shared" si="41"/>
        <v>15</v>
      </c>
      <c r="BZ153">
        <f t="shared" si="41"/>
        <v>16</v>
      </c>
      <c r="CA153">
        <f t="shared" si="41"/>
        <v>17</v>
      </c>
      <c r="CB153">
        <f t="shared" si="41"/>
        <v>18</v>
      </c>
      <c r="CC153">
        <f t="shared" si="41"/>
        <v>19</v>
      </c>
      <c r="CD153">
        <f t="shared" si="41"/>
        <v>20</v>
      </c>
      <c r="CE153">
        <f t="shared" si="41"/>
        <v>21</v>
      </c>
      <c r="CF153">
        <f t="shared" si="41"/>
        <v>22</v>
      </c>
      <c r="CG153">
        <f t="shared" si="41"/>
        <v>23</v>
      </c>
      <c r="CH153">
        <f t="shared" si="41"/>
        <v>24</v>
      </c>
      <c r="CI153">
        <f t="shared" si="41"/>
        <v>25</v>
      </c>
      <c r="CJ153">
        <f t="shared" si="41"/>
        <v>26</v>
      </c>
      <c r="CK153">
        <f t="shared" si="41"/>
        <v>27</v>
      </c>
      <c r="CL153">
        <f t="shared" si="41"/>
        <v>28</v>
      </c>
      <c r="CM153">
        <f t="shared" si="41"/>
        <v>29</v>
      </c>
      <c r="CN153">
        <f t="shared" si="41"/>
        <v>30</v>
      </c>
      <c r="CO153">
        <f t="shared" si="41"/>
        <v>31</v>
      </c>
      <c r="CP153">
        <f t="shared" si="41"/>
        <v>32</v>
      </c>
      <c r="CQ153">
        <f t="shared" si="41"/>
        <v>33</v>
      </c>
      <c r="CR153">
        <f t="shared" si="41"/>
        <v>34</v>
      </c>
      <c r="CS153">
        <f t="shared" si="41"/>
        <v>35</v>
      </c>
      <c r="CT153">
        <f t="shared" si="41"/>
        <v>36</v>
      </c>
      <c r="CU153">
        <f t="shared" si="41"/>
        <v>37</v>
      </c>
      <c r="CV153">
        <f t="shared" si="41"/>
        <v>38</v>
      </c>
      <c r="CW153">
        <f t="shared" si="41"/>
        <v>39</v>
      </c>
      <c r="CX153">
        <f t="shared" si="41"/>
        <v>40</v>
      </c>
      <c r="CY153">
        <f t="shared" si="41"/>
        <v>41</v>
      </c>
      <c r="CZ153">
        <f t="shared" si="41"/>
        <v>42</v>
      </c>
      <c r="DA153">
        <v>43</v>
      </c>
      <c r="EZ153" s="26"/>
    </row>
    <row r="154" spans="2:190" ht="15" thickBot="1" x14ac:dyDescent="0.35">
      <c r="B154" s="18" t="s">
        <v>601</v>
      </c>
      <c r="C154" s="13">
        <v>34</v>
      </c>
      <c r="D154" s="21" t="s">
        <v>602</v>
      </c>
      <c r="E154" s="24">
        <v>41</v>
      </c>
      <c r="G154" s="2">
        <f t="shared" si="33"/>
        <v>135</v>
      </c>
      <c r="H154" s="5">
        <v>3</v>
      </c>
      <c r="I154" s="13">
        <v>15</v>
      </c>
      <c r="L154" s="4"/>
      <c r="M154" s="7"/>
      <c r="O154" s="7"/>
      <c r="T154" s="7"/>
      <c r="BB154">
        <v>1</v>
      </c>
      <c r="BC154" t="e">
        <f t="shared" ref="BC154:BC185" si="42">HLOOKUP(Tot_Jug,Knockout,BB154+1,FALSE)</f>
        <v>#N/A</v>
      </c>
      <c r="BD154" t="e">
        <f t="shared" ref="BD154:BD170" si="43">IF(BC154="Bye","Bye",IF(ISNUMBER(BC154),LOOKUP(BC154,$BF$154:$BF$163,$BH$154:$BH$163),999999))</f>
        <v>#N/A</v>
      </c>
      <c r="BE154">
        <f>IF(Grps="","",1)</f>
        <v>1</v>
      </c>
      <c r="BF154">
        <f>Sorteo!H11-(Sorteo!H11-1)</f>
        <v>1</v>
      </c>
      <c r="BH154" t="e">
        <f t="shared" ref="BH154:BH185" si="44">HLOOKUP(CONCATENATE("G",BE154),Group_Results,BG154+1,FALSE)</f>
        <v>#N/A</v>
      </c>
      <c r="BI154" s="445"/>
      <c r="BJ154">
        <v>1</v>
      </c>
      <c r="BK154" t="e">
        <f>VLOOKUP($BJ154,G_1,3,FALSE)</f>
        <v>#N/A</v>
      </c>
      <c r="BL154" t="e">
        <f>VLOOKUP($BJ154,G_2,3,FALSE)</f>
        <v>#N/A</v>
      </c>
      <c r="BM154" t="e">
        <f>VLOOKUP($BJ154,G_3,3,FALSE)</f>
        <v>#N/A</v>
      </c>
      <c r="BN154" t="e">
        <f>VLOOKUP($BJ154,G_4,3,FALSE)</f>
        <v>#N/A</v>
      </c>
      <c r="BO154" t="e">
        <f>VLOOKUP($BJ154,G_5,3,FALSE)</f>
        <v>#N/A</v>
      </c>
      <c r="BP154" t="e">
        <f>VLOOKUP($BJ154,G_6,3,FALSE)</f>
        <v>#N/A</v>
      </c>
      <c r="BQ154" t="e">
        <f>VLOOKUP($BJ154,G_7,3,FALSE)</f>
        <v>#N/A</v>
      </c>
      <c r="BR154" t="e">
        <f>VLOOKUP($BJ154,G_8,3,FALSE)</f>
        <v>#N/A</v>
      </c>
      <c r="BS154" t="e">
        <f>VLOOKUP($BJ154,G_9,3,FALSE)</f>
        <v>#N/A</v>
      </c>
      <c r="BT154" t="e">
        <f>VLOOKUP($BJ154,G_10,3,FALSE)</f>
        <v>#N/A</v>
      </c>
      <c r="BU154" t="e">
        <f>VLOOKUP($BJ154,G_11,3,FALSE)</f>
        <v>#N/A</v>
      </c>
      <c r="BV154" t="e">
        <f>VLOOKUP($BJ154,G_12,3,FALSE)</f>
        <v>#N/A</v>
      </c>
      <c r="BW154" t="e">
        <f>VLOOKUP($BJ154,G_13,3,FALSE)</f>
        <v>#N/A</v>
      </c>
      <c r="BX154" t="e">
        <f>VLOOKUP($BJ154,G_14,3,FALSE)</f>
        <v>#N/A</v>
      </c>
      <c r="BY154" t="e">
        <f>VLOOKUP($BJ154,G_15,3,FALSE)</f>
        <v>#N/A</v>
      </c>
      <c r="BZ154" t="e">
        <f>VLOOKUP($BJ154,G_16,3,FALSE)</f>
        <v>#N/A</v>
      </c>
      <c r="CA154" t="e">
        <f>VLOOKUP($BJ154,G_17,3,FALSE)</f>
        <v>#N/A</v>
      </c>
      <c r="CB154" t="e">
        <f>VLOOKUP($BJ154,G_18,3,FALSE)</f>
        <v>#N/A</v>
      </c>
      <c r="CC154" t="e">
        <f>VLOOKUP($BJ154,G_19,3,FALSE)</f>
        <v>#N/A</v>
      </c>
      <c r="CD154" t="e">
        <f>VLOOKUP($BJ154,G_20,3,FALSE)</f>
        <v>#N/A</v>
      </c>
      <c r="CE154" t="e">
        <f>VLOOKUP($BJ154,G_21,3,FALSE)</f>
        <v>#N/A</v>
      </c>
      <c r="CF154" t="e">
        <f>VLOOKUP($BJ154,G_22,3,FALSE)</f>
        <v>#N/A</v>
      </c>
      <c r="CG154" t="e">
        <f>VLOOKUP($BJ154,G_23,3,FALSE)</f>
        <v>#N/A</v>
      </c>
      <c r="CH154" t="e">
        <f>VLOOKUP($BJ154,G_24,3,FALSE)</f>
        <v>#N/A</v>
      </c>
      <c r="CI154" t="e">
        <f>VLOOKUP($BJ154,G_25,3,FALSE)</f>
        <v>#N/A</v>
      </c>
      <c r="CJ154" t="e">
        <f>VLOOKUP($BJ154,G_26,3,FALSE)</f>
        <v>#N/A</v>
      </c>
      <c r="CK154" t="e">
        <f>VLOOKUP($BJ154,G_27,3,FALSE)</f>
        <v>#N/A</v>
      </c>
      <c r="CL154" t="e">
        <f>VLOOKUP($BJ154,G_28,3,FALSE)</f>
        <v>#N/A</v>
      </c>
      <c r="CM154" t="e">
        <f>VLOOKUP($BJ154,G_29,3,FALSE)</f>
        <v>#N/A</v>
      </c>
      <c r="CN154" t="e">
        <f>VLOOKUP($BJ154,G_30,3,FALSE)</f>
        <v>#N/A</v>
      </c>
      <c r="CO154" t="e">
        <f>VLOOKUP($BJ154,G_31,3,FALSE)</f>
        <v>#N/A</v>
      </c>
      <c r="CP154" t="e">
        <f>VLOOKUP($BJ154,G_32,3,FALSE)</f>
        <v>#N/A</v>
      </c>
      <c r="CQ154" t="e">
        <f>VLOOKUP($BJ154,G_33,3,FALSE)</f>
        <v>#N/A</v>
      </c>
      <c r="CR154" t="e">
        <f>VLOOKUP($BJ154,G_34,3,FALSE)</f>
        <v>#N/A</v>
      </c>
      <c r="CS154" t="e">
        <f>VLOOKUP($BJ154,G_35,3,FALSE)</f>
        <v>#N/A</v>
      </c>
      <c r="CT154" t="e">
        <f>VLOOKUP($BJ154,G_36,3,FALSE)</f>
        <v>#N/A</v>
      </c>
      <c r="CU154" t="e">
        <f>VLOOKUP($BJ154,G_37,3,FALSE)</f>
        <v>#N/A</v>
      </c>
      <c r="CV154" t="e">
        <f>VLOOKUP($BJ154,G_38,3,FALSE)</f>
        <v>#N/A</v>
      </c>
      <c r="CW154" t="e">
        <f>VLOOKUP($BJ154,G_39,3,FALSE)</f>
        <v>#N/A</v>
      </c>
      <c r="CX154" t="e">
        <f>VLOOKUP($BJ154,G_40,3,FALSE)</f>
        <v>#N/A</v>
      </c>
      <c r="CY154" t="e">
        <f>VLOOKUP($BJ154,G_41,3,FALSE)</f>
        <v>#N/A</v>
      </c>
      <c r="CZ154" t="e">
        <f>VLOOKUP($BJ154,G_42,3,FALSE)</f>
        <v>#N/A</v>
      </c>
      <c r="DA154" t="e">
        <f>VLOOKUP($BJ154,G_43,3,FALSE)</f>
        <v>#N/A</v>
      </c>
      <c r="EZ154" s="26"/>
    </row>
    <row r="155" spans="2:190" ht="15" thickTop="1" x14ac:dyDescent="0.3">
      <c r="B155" s="18" t="s">
        <v>603</v>
      </c>
      <c r="C155" s="13">
        <v>51</v>
      </c>
      <c r="D155" s="21" t="s">
        <v>604</v>
      </c>
      <c r="E155" s="24">
        <v>40</v>
      </c>
      <c r="G155" s="2">
        <f t="shared" si="33"/>
        <v>136</v>
      </c>
      <c r="H155" s="5">
        <v>3</v>
      </c>
      <c r="I155" s="13">
        <v>15</v>
      </c>
      <c r="L155" s="4"/>
      <c r="M155" s="7"/>
      <c r="O155" s="7"/>
      <c r="T155" s="7"/>
      <c r="BB155">
        <f>BB154+1</f>
        <v>2</v>
      </c>
      <c r="BC155" t="e">
        <f t="shared" si="42"/>
        <v>#N/A</v>
      </c>
      <c r="BD155" t="e">
        <f t="shared" si="43"/>
        <v>#N/A</v>
      </c>
      <c r="BE155" t="str">
        <f t="shared" ref="BE155:BE186" si="45">IF(BF155&gt;Tot_Jug,"",IF(BF155&lt;=Grps,BF154+1,IF(BF155=Grps+1,1,IF(AND(BF155&gt;Grps,BF155&lt;=Grps*2),BE154+1,IF(BF155=(Grps*2)+1,Grps,IF(BF155&gt;(Grps*2)+1,BE154-1,IF(BF155&gt;Tot_Jug,"",9999999)))))))</f>
        <v/>
      </c>
      <c r="BF155">
        <f t="shared" ref="BF155:BF186" si="46">IF(BF154="","",IF(BF154=Tot_Jug,"",BF154+1))</f>
        <v>2</v>
      </c>
      <c r="BH155" t="e">
        <f t="shared" si="44"/>
        <v>#N/A</v>
      </c>
      <c r="BJ155">
        <v>2</v>
      </c>
      <c r="BK155" t="e">
        <f>VLOOKUP($BJ155,G_1,3,FALSE)</f>
        <v>#N/A</v>
      </c>
      <c r="BL155" t="e">
        <f>VLOOKUP($BJ155,G_2,3,FALSE)</f>
        <v>#N/A</v>
      </c>
      <c r="BM155" t="e">
        <f>VLOOKUP($BJ155,G_3,3,FALSE)</f>
        <v>#N/A</v>
      </c>
      <c r="BN155" t="e">
        <f>VLOOKUP($BJ155,G_4,3,FALSE)</f>
        <v>#N/A</v>
      </c>
      <c r="BO155" t="e">
        <f>VLOOKUP($BJ155,G_5,3,FALSE)</f>
        <v>#N/A</v>
      </c>
      <c r="BP155" t="e">
        <f>VLOOKUP($BJ155,G_6,3,FALSE)</f>
        <v>#N/A</v>
      </c>
      <c r="BQ155" t="e">
        <f>VLOOKUP($BJ155,G_7,3,FALSE)</f>
        <v>#N/A</v>
      </c>
      <c r="BR155" t="e">
        <f>VLOOKUP($BJ155,G_8,3,FALSE)</f>
        <v>#N/A</v>
      </c>
      <c r="BS155" t="e">
        <f>VLOOKUP($BJ155,G_9,3,FALSE)</f>
        <v>#N/A</v>
      </c>
      <c r="BT155" t="e">
        <f>VLOOKUP($BJ155,G_10,3,FALSE)</f>
        <v>#N/A</v>
      </c>
      <c r="BU155" t="e">
        <f>VLOOKUP($BJ155,G_11,3,FALSE)</f>
        <v>#N/A</v>
      </c>
      <c r="BV155" t="e">
        <f>VLOOKUP($BJ155,G_12,3,FALSE)</f>
        <v>#N/A</v>
      </c>
      <c r="BW155" t="e">
        <f>VLOOKUP($BJ155,G_13,3,FALSE)</f>
        <v>#N/A</v>
      </c>
      <c r="BX155" t="e">
        <f>VLOOKUP($BJ155,G_14,3,FALSE)</f>
        <v>#N/A</v>
      </c>
      <c r="BY155" t="e">
        <f>VLOOKUP($BJ155,G_15,3,FALSE)</f>
        <v>#N/A</v>
      </c>
      <c r="BZ155" t="e">
        <f>VLOOKUP($BJ155,G_16,3,FALSE)</f>
        <v>#N/A</v>
      </c>
      <c r="CA155" t="e">
        <f>VLOOKUP($BJ155,G_17,3,FALSE)</f>
        <v>#N/A</v>
      </c>
      <c r="CB155" t="e">
        <f>VLOOKUP($BJ155,G_18,3,FALSE)</f>
        <v>#N/A</v>
      </c>
      <c r="CC155" t="e">
        <f>VLOOKUP($BJ155,G_19,3,FALSE)</f>
        <v>#N/A</v>
      </c>
      <c r="CD155" t="e">
        <f>VLOOKUP($BJ155,G_20,3,FALSE)</f>
        <v>#N/A</v>
      </c>
      <c r="CE155" t="e">
        <f>VLOOKUP($BJ155,G_21,3,FALSE)</f>
        <v>#N/A</v>
      </c>
      <c r="CF155" t="e">
        <f>VLOOKUP($BJ155,G_22,3,FALSE)</f>
        <v>#N/A</v>
      </c>
      <c r="CG155" t="e">
        <f>VLOOKUP($BJ155,G_23,3,FALSE)</f>
        <v>#N/A</v>
      </c>
      <c r="CH155" t="e">
        <f>VLOOKUP($BJ155,G_24,3,FALSE)</f>
        <v>#N/A</v>
      </c>
      <c r="CI155" t="e">
        <f>VLOOKUP($BJ155,G_25,3,FALSE)</f>
        <v>#N/A</v>
      </c>
      <c r="CJ155" t="e">
        <f>VLOOKUP($BJ155,G_26,3,FALSE)</f>
        <v>#N/A</v>
      </c>
      <c r="CK155" t="e">
        <f>VLOOKUP($BJ155,G_27,3,FALSE)</f>
        <v>#N/A</v>
      </c>
      <c r="CL155" t="e">
        <f>VLOOKUP($BJ155,G_28,3,FALSE)</f>
        <v>#N/A</v>
      </c>
      <c r="CM155" t="e">
        <f>VLOOKUP($BJ155,G_29,3,FALSE)</f>
        <v>#N/A</v>
      </c>
      <c r="CN155" t="e">
        <f>VLOOKUP($BJ155,G_30,3,FALSE)</f>
        <v>#N/A</v>
      </c>
      <c r="CO155" t="e">
        <f>VLOOKUP($BJ155,G_31,3,FALSE)</f>
        <v>#N/A</v>
      </c>
      <c r="CP155" t="e">
        <f>VLOOKUP($BJ155,G_32,3,FALSE)</f>
        <v>#N/A</v>
      </c>
      <c r="CQ155" t="e">
        <f>VLOOKUP($BJ155,G_33,3,FALSE)</f>
        <v>#N/A</v>
      </c>
      <c r="CR155" t="e">
        <f>VLOOKUP($BJ155,G_34,3,FALSE)</f>
        <v>#N/A</v>
      </c>
      <c r="CS155" t="e">
        <f>VLOOKUP($BJ155,G_35,3,FALSE)</f>
        <v>#N/A</v>
      </c>
      <c r="CT155" t="e">
        <f>VLOOKUP($BJ155,G_36,3,FALSE)</f>
        <v>#N/A</v>
      </c>
      <c r="CU155" t="e">
        <f>VLOOKUP($BJ155,G_37,3,FALSE)</f>
        <v>#N/A</v>
      </c>
      <c r="CV155" t="e">
        <f>VLOOKUP($BJ155,G_38,3,FALSE)</f>
        <v>#N/A</v>
      </c>
      <c r="CW155" t="e">
        <f>VLOOKUP($BJ155,G_39,3,FALSE)</f>
        <v>#N/A</v>
      </c>
      <c r="CX155" t="e">
        <f>VLOOKUP($BJ155,G_40,3,FALSE)</f>
        <v>#N/A</v>
      </c>
      <c r="CY155" t="e">
        <f>VLOOKUP($BJ155,G_41,3,FALSE)</f>
        <v>#N/A</v>
      </c>
      <c r="CZ155" t="e">
        <f>VLOOKUP($BJ155,G_42,3,FALSE)</f>
        <v>#N/A</v>
      </c>
      <c r="DA155" t="e">
        <f>VLOOKUP($BJ155,G_43,3,FALSE)</f>
        <v>#N/A</v>
      </c>
      <c r="EZ155" s="26"/>
    </row>
    <row r="156" spans="2:190" x14ac:dyDescent="0.3">
      <c r="B156" s="18" t="s">
        <v>605</v>
      </c>
      <c r="C156" s="13">
        <v>33</v>
      </c>
      <c r="D156" s="21" t="s">
        <v>606</v>
      </c>
      <c r="E156" s="24">
        <v>39</v>
      </c>
      <c r="G156" s="2">
        <f t="shared" si="33"/>
        <v>137</v>
      </c>
      <c r="H156" s="5">
        <v>3</v>
      </c>
      <c r="I156" s="13">
        <v>15</v>
      </c>
      <c r="L156" s="4"/>
      <c r="M156" s="7"/>
      <c r="O156" s="7"/>
      <c r="T156" s="7"/>
      <c r="BB156">
        <f t="shared" ref="BB156:BB219" si="47">BB155+1</f>
        <v>3</v>
      </c>
      <c r="BC156" t="e">
        <f t="shared" si="42"/>
        <v>#N/A</v>
      </c>
      <c r="BD156" t="e">
        <f t="shared" si="43"/>
        <v>#N/A</v>
      </c>
      <c r="BE156" t="str">
        <f t="shared" si="45"/>
        <v/>
      </c>
      <c r="BF156">
        <f t="shared" si="46"/>
        <v>3</v>
      </c>
      <c r="BH156" t="e">
        <f t="shared" si="44"/>
        <v>#N/A</v>
      </c>
      <c r="BJ156">
        <v>3</v>
      </c>
      <c r="BK156" t="e">
        <f>VLOOKUP($BJ156,G_1,3,FALSE)</f>
        <v>#N/A</v>
      </c>
      <c r="BL156" t="e">
        <f>VLOOKUP($BJ156,G_2,3,FALSE)</f>
        <v>#N/A</v>
      </c>
      <c r="BM156" t="e">
        <f>VLOOKUP($BJ156,G_3,3,FALSE)</f>
        <v>#N/A</v>
      </c>
      <c r="BN156" t="e">
        <f>VLOOKUP($BJ156,G_4,3,FALSE)</f>
        <v>#N/A</v>
      </c>
      <c r="BO156" t="e">
        <f>VLOOKUP($BJ156,G_5,3,FALSE)</f>
        <v>#N/A</v>
      </c>
      <c r="BP156" t="e">
        <f>VLOOKUP($BJ156,G_6,3,FALSE)</f>
        <v>#N/A</v>
      </c>
      <c r="BQ156" t="e">
        <f>VLOOKUP($BJ156,G_7,3,FALSE)</f>
        <v>#N/A</v>
      </c>
      <c r="BR156" t="e">
        <f>VLOOKUP($BJ156,G_8,3,FALSE)</f>
        <v>#N/A</v>
      </c>
      <c r="BS156" t="e">
        <f>VLOOKUP($BJ156,G_9,3,FALSE)</f>
        <v>#N/A</v>
      </c>
      <c r="BT156" t="e">
        <f>VLOOKUP($BJ156,G_10,3,FALSE)</f>
        <v>#N/A</v>
      </c>
      <c r="BU156" t="e">
        <f>VLOOKUP($BJ156,G_11,3,FALSE)</f>
        <v>#N/A</v>
      </c>
      <c r="BV156" t="e">
        <f>VLOOKUP($BJ156,G_12,3,FALSE)</f>
        <v>#N/A</v>
      </c>
      <c r="BW156" t="e">
        <f>VLOOKUP($BJ156,G_13,3,FALSE)</f>
        <v>#N/A</v>
      </c>
      <c r="BX156" t="e">
        <f>VLOOKUP($BJ156,G_14,3,FALSE)</f>
        <v>#N/A</v>
      </c>
      <c r="BY156" t="e">
        <f>VLOOKUP($BJ156,G_15,3,FALSE)</f>
        <v>#N/A</v>
      </c>
      <c r="BZ156" t="e">
        <f>VLOOKUP($BJ156,G_16,3,FALSE)</f>
        <v>#N/A</v>
      </c>
      <c r="CA156" t="e">
        <f>VLOOKUP($BJ156,G_17,3,FALSE)</f>
        <v>#N/A</v>
      </c>
      <c r="CB156" t="e">
        <f>VLOOKUP($BJ156,G_18,3,FALSE)</f>
        <v>#N/A</v>
      </c>
      <c r="CC156" t="e">
        <f>VLOOKUP($BJ156,G_19,3,FALSE)</f>
        <v>#N/A</v>
      </c>
      <c r="CD156" t="e">
        <f>VLOOKUP($BJ156,G_20,3,FALSE)</f>
        <v>#N/A</v>
      </c>
      <c r="CE156" t="e">
        <f>VLOOKUP($BJ156,G_21,3,FALSE)</f>
        <v>#N/A</v>
      </c>
      <c r="CF156" t="e">
        <f>VLOOKUP($BJ156,G_22,3,FALSE)</f>
        <v>#N/A</v>
      </c>
      <c r="CG156" t="e">
        <f>VLOOKUP($BJ156,G_23,3,FALSE)</f>
        <v>#N/A</v>
      </c>
      <c r="CH156" t="e">
        <f>VLOOKUP($BJ156,G_24,3,FALSE)</f>
        <v>#N/A</v>
      </c>
      <c r="CI156" t="e">
        <f>VLOOKUP($BJ156,G_25,3,FALSE)</f>
        <v>#N/A</v>
      </c>
      <c r="CJ156" t="e">
        <f>VLOOKUP($BJ156,G_26,3,FALSE)</f>
        <v>#N/A</v>
      </c>
      <c r="CK156" t="e">
        <f>VLOOKUP($BJ156,G_27,3,FALSE)</f>
        <v>#N/A</v>
      </c>
      <c r="CL156" t="e">
        <f>VLOOKUP($BJ156,G_28,3,FALSE)</f>
        <v>#N/A</v>
      </c>
      <c r="CM156" t="e">
        <f>VLOOKUP($BJ156,G_29,3,FALSE)</f>
        <v>#N/A</v>
      </c>
      <c r="CN156" t="e">
        <f>VLOOKUP($BJ156,G_30,3,FALSE)</f>
        <v>#N/A</v>
      </c>
      <c r="CO156" t="e">
        <f>VLOOKUP($BJ156,G_31,3,FALSE)</f>
        <v>#N/A</v>
      </c>
      <c r="CP156" t="e">
        <f>VLOOKUP($BJ156,G_32,3,FALSE)</f>
        <v>#N/A</v>
      </c>
      <c r="CQ156" t="e">
        <f>VLOOKUP($BJ156,G_33,3,FALSE)</f>
        <v>#N/A</v>
      </c>
      <c r="CR156" t="e">
        <f>VLOOKUP($BJ156,G_34,3,FALSE)</f>
        <v>#N/A</v>
      </c>
      <c r="CS156" t="e">
        <f>VLOOKUP($BJ156,G_35,3,FALSE)</f>
        <v>#N/A</v>
      </c>
      <c r="CT156" t="e">
        <f>VLOOKUP($BJ156,G_36,3,FALSE)</f>
        <v>#N/A</v>
      </c>
      <c r="CU156" t="e">
        <f>VLOOKUP($BJ156,G_37,3,FALSE)</f>
        <v>#N/A</v>
      </c>
      <c r="CV156" t="e">
        <f>VLOOKUP($BJ156,G_38,3,FALSE)</f>
        <v>#N/A</v>
      </c>
      <c r="CW156" t="e">
        <f>VLOOKUP($BJ156,G_39,3,FALSE)</f>
        <v>#N/A</v>
      </c>
      <c r="CX156" t="e">
        <f>VLOOKUP($BJ156,G_40,3,FALSE)</f>
        <v>#N/A</v>
      </c>
      <c r="CY156" t="e">
        <f>VLOOKUP($BJ156,G_41,3,FALSE)</f>
        <v>#N/A</v>
      </c>
      <c r="CZ156" t="e">
        <f>VLOOKUP($BJ156,G_42,3,FALSE)</f>
        <v>#N/A</v>
      </c>
      <c r="DA156" t="e">
        <f>VLOOKUP($BJ156,G_43,3,FALSE)</f>
        <v>#N/A</v>
      </c>
      <c r="EZ156" s="26"/>
    </row>
    <row r="157" spans="2:190" x14ac:dyDescent="0.3">
      <c r="B157" s="18" t="s">
        <v>607</v>
      </c>
      <c r="C157" s="13">
        <v>32</v>
      </c>
      <c r="D157" s="21" t="s">
        <v>608</v>
      </c>
      <c r="E157" s="24">
        <v>38</v>
      </c>
      <c r="G157" s="2">
        <f t="shared" ref="G157:G220" si="48">G156+1</f>
        <v>138</v>
      </c>
      <c r="H157" s="5">
        <v>3</v>
      </c>
      <c r="I157" s="13">
        <v>15</v>
      </c>
      <c r="L157" s="4"/>
      <c r="M157" s="7"/>
      <c r="O157" s="7"/>
      <c r="T157" s="7"/>
      <c r="BB157">
        <f t="shared" si="47"/>
        <v>4</v>
      </c>
      <c r="BC157" t="e">
        <f t="shared" si="42"/>
        <v>#N/A</v>
      </c>
      <c r="BD157" t="e">
        <f t="shared" si="43"/>
        <v>#N/A</v>
      </c>
      <c r="BE157" t="str">
        <f t="shared" si="45"/>
        <v/>
      </c>
      <c r="BF157">
        <f t="shared" si="46"/>
        <v>4</v>
      </c>
      <c r="BH157" t="e">
        <f t="shared" si="44"/>
        <v>#N/A</v>
      </c>
      <c r="BJ157">
        <v>4</v>
      </c>
      <c r="BK157" t="e">
        <f>VLOOKUP($BJ157,G_1,3,FALSE)</f>
        <v>#N/A</v>
      </c>
      <c r="BL157" t="e">
        <f>VLOOKUP($BJ157,G_2,3,FALSE)</f>
        <v>#N/A</v>
      </c>
      <c r="BM157" t="e">
        <f>VLOOKUP($BJ157,G_3,3,FALSE)</f>
        <v>#N/A</v>
      </c>
      <c r="BN157" t="e">
        <f>VLOOKUP($BJ157,G_4,3,FALSE)</f>
        <v>#N/A</v>
      </c>
      <c r="BO157" t="e">
        <f>VLOOKUP($BJ157,G_5,3,FALSE)</f>
        <v>#N/A</v>
      </c>
      <c r="BP157" t="e">
        <f>VLOOKUP($BJ157,G_6,3,FALSE)</f>
        <v>#N/A</v>
      </c>
      <c r="BQ157" t="e">
        <f>VLOOKUP($BJ157,G_7,3,FALSE)</f>
        <v>#N/A</v>
      </c>
      <c r="BR157" t="e">
        <f>VLOOKUP($BJ157,G_8,3,FALSE)</f>
        <v>#N/A</v>
      </c>
      <c r="BS157" t="e">
        <f>VLOOKUP($BJ157,G_9,3,FALSE)</f>
        <v>#N/A</v>
      </c>
      <c r="BT157" t="e">
        <f>VLOOKUP($BJ157,G_10,3,FALSE)</f>
        <v>#N/A</v>
      </c>
      <c r="BU157" t="e">
        <f>VLOOKUP($BJ157,G_11,3,FALSE)</f>
        <v>#N/A</v>
      </c>
      <c r="BV157" t="e">
        <f>VLOOKUP($BJ157,G_12,3,FALSE)</f>
        <v>#N/A</v>
      </c>
      <c r="BW157" t="e">
        <f>VLOOKUP($BJ157,G_13,3,FALSE)</f>
        <v>#N/A</v>
      </c>
      <c r="BX157" t="e">
        <f>VLOOKUP($BJ157,G_14,3,FALSE)</f>
        <v>#N/A</v>
      </c>
      <c r="BY157" t="e">
        <f>VLOOKUP($BJ157,G_15,3,FALSE)</f>
        <v>#N/A</v>
      </c>
      <c r="BZ157" t="e">
        <f>VLOOKUP($BJ157,G_16,3,FALSE)</f>
        <v>#N/A</v>
      </c>
      <c r="CA157" t="e">
        <f>VLOOKUP($BJ157,G_17,3,FALSE)</f>
        <v>#N/A</v>
      </c>
      <c r="CB157" t="e">
        <f>VLOOKUP($BJ157,G_18,3,FALSE)</f>
        <v>#N/A</v>
      </c>
      <c r="CC157" t="e">
        <f>VLOOKUP($BJ157,G_19,3,FALSE)</f>
        <v>#N/A</v>
      </c>
      <c r="CD157" t="e">
        <f>VLOOKUP($BJ157,G_20,3,FALSE)</f>
        <v>#N/A</v>
      </c>
      <c r="CE157" t="e">
        <f>VLOOKUP($BJ157,G_21,3,FALSE)</f>
        <v>#N/A</v>
      </c>
      <c r="CF157" t="e">
        <f>VLOOKUP($BJ157,G_22,3,FALSE)</f>
        <v>#N/A</v>
      </c>
      <c r="CG157" t="e">
        <f>VLOOKUP($BJ157,G_23,3,FALSE)</f>
        <v>#N/A</v>
      </c>
      <c r="CH157" t="e">
        <f>VLOOKUP($BJ157,G_24,3,FALSE)</f>
        <v>#N/A</v>
      </c>
      <c r="CI157" t="e">
        <f>VLOOKUP($BJ157,G_25,3,FALSE)</f>
        <v>#N/A</v>
      </c>
      <c r="CJ157" t="e">
        <f>VLOOKUP($BJ157,G_26,3,FALSE)</f>
        <v>#N/A</v>
      </c>
      <c r="CK157" t="e">
        <f>VLOOKUP($BJ157,G_27,3,FALSE)</f>
        <v>#N/A</v>
      </c>
      <c r="CL157" t="e">
        <f>VLOOKUP($BJ157,G_28,3,FALSE)</f>
        <v>#N/A</v>
      </c>
      <c r="CM157" t="e">
        <f>VLOOKUP($BJ157,G_29,3,FALSE)</f>
        <v>#N/A</v>
      </c>
      <c r="CN157" t="e">
        <f>VLOOKUP($BJ157,G_30,3,FALSE)</f>
        <v>#N/A</v>
      </c>
      <c r="CO157" t="e">
        <f>VLOOKUP($BJ157,G_31,3,FALSE)</f>
        <v>#N/A</v>
      </c>
      <c r="CP157" t="e">
        <f>VLOOKUP($BJ157,G_32,3,FALSE)</f>
        <v>#N/A</v>
      </c>
      <c r="CQ157" t="e">
        <f>VLOOKUP($BJ157,G_33,3,FALSE)</f>
        <v>#N/A</v>
      </c>
      <c r="CR157" t="e">
        <f>VLOOKUP($BJ157,G_34,3,FALSE)</f>
        <v>#N/A</v>
      </c>
      <c r="CS157" t="e">
        <f>VLOOKUP($BJ157,G_35,3,FALSE)</f>
        <v>#N/A</v>
      </c>
      <c r="CT157" t="e">
        <f>VLOOKUP($BJ157,G_36,3,FALSE)</f>
        <v>#N/A</v>
      </c>
      <c r="CU157" t="e">
        <f>VLOOKUP($BJ157,G_37,3,FALSE)</f>
        <v>#N/A</v>
      </c>
      <c r="CV157" t="e">
        <f>VLOOKUP($BJ157,G_38,3,FALSE)</f>
        <v>#N/A</v>
      </c>
      <c r="CW157" t="e">
        <f>VLOOKUP($BJ157,G_39,3,FALSE)</f>
        <v>#N/A</v>
      </c>
      <c r="CX157" t="e">
        <f>VLOOKUP($BJ157,G_40,3,FALSE)</f>
        <v>#N/A</v>
      </c>
      <c r="CY157" t="e">
        <f>VLOOKUP($BJ157,G_41,3,FALSE)</f>
        <v>#N/A</v>
      </c>
      <c r="CZ157" t="e">
        <f>VLOOKUP($BJ157,G_42,3,FALSE)</f>
        <v>#N/A</v>
      </c>
      <c r="DA157" t="e">
        <f>VLOOKUP($BJ157,G_43,3,FALSE)</f>
        <v>#N/A</v>
      </c>
      <c r="EZ157" s="26"/>
    </row>
    <row r="158" spans="2:190" x14ac:dyDescent="0.3">
      <c r="B158" s="18" t="s">
        <v>609</v>
      </c>
      <c r="C158" s="13">
        <v>31</v>
      </c>
      <c r="D158" s="21" t="s">
        <v>610</v>
      </c>
      <c r="E158" s="24">
        <v>37</v>
      </c>
      <c r="G158" s="2">
        <f t="shared" si="48"/>
        <v>139</v>
      </c>
      <c r="H158" s="5">
        <v>3</v>
      </c>
      <c r="I158" s="13">
        <v>15</v>
      </c>
      <c r="L158" s="4"/>
      <c r="M158" s="7"/>
      <c r="O158" s="7"/>
      <c r="T158" s="7"/>
      <c r="BB158">
        <f t="shared" si="47"/>
        <v>5</v>
      </c>
      <c r="BC158" t="e">
        <f t="shared" si="42"/>
        <v>#N/A</v>
      </c>
      <c r="BD158" t="e">
        <f t="shared" si="43"/>
        <v>#N/A</v>
      </c>
      <c r="BE158" t="str">
        <f t="shared" si="45"/>
        <v/>
      </c>
      <c r="BF158">
        <f t="shared" si="46"/>
        <v>5</v>
      </c>
      <c r="BH158" t="e">
        <f t="shared" si="44"/>
        <v>#N/A</v>
      </c>
      <c r="EZ158" s="26"/>
    </row>
    <row r="159" spans="2:190" x14ac:dyDescent="0.3">
      <c r="B159" s="18" t="s">
        <v>611</v>
      </c>
      <c r="C159" s="13">
        <v>30</v>
      </c>
      <c r="D159" s="21" t="s">
        <v>612</v>
      </c>
      <c r="E159" s="24">
        <v>36</v>
      </c>
      <c r="G159" s="2">
        <f t="shared" si="48"/>
        <v>140</v>
      </c>
      <c r="H159" s="5">
        <v>3</v>
      </c>
      <c r="I159" s="13">
        <v>15</v>
      </c>
      <c r="L159" s="4"/>
      <c r="M159" s="7"/>
      <c r="O159" s="7"/>
      <c r="BB159">
        <f t="shared" si="47"/>
        <v>6</v>
      </c>
      <c r="BC159" t="e">
        <f t="shared" si="42"/>
        <v>#N/A</v>
      </c>
      <c r="BD159" t="e">
        <f t="shared" si="43"/>
        <v>#N/A</v>
      </c>
      <c r="BE159" t="str">
        <f t="shared" si="45"/>
        <v/>
      </c>
      <c r="BF159">
        <f t="shared" si="46"/>
        <v>6</v>
      </c>
      <c r="BH159" t="e">
        <f t="shared" si="44"/>
        <v>#N/A</v>
      </c>
      <c r="EZ159" s="26"/>
    </row>
    <row r="160" spans="2:190" x14ac:dyDescent="0.3">
      <c r="B160" s="18" t="s">
        <v>613</v>
      </c>
      <c r="C160" s="13">
        <v>29</v>
      </c>
      <c r="D160" s="21" t="s">
        <v>614</v>
      </c>
      <c r="E160" s="24">
        <v>64</v>
      </c>
      <c r="G160" s="2">
        <f t="shared" si="48"/>
        <v>141</v>
      </c>
      <c r="H160" s="5">
        <v>3</v>
      </c>
      <c r="I160" s="13">
        <v>15</v>
      </c>
      <c r="L160" s="4"/>
      <c r="M160" s="7"/>
      <c r="O160" s="7"/>
      <c r="T160" s="7"/>
      <c r="BB160">
        <f t="shared" si="47"/>
        <v>7</v>
      </c>
      <c r="BC160" t="e">
        <f t="shared" si="42"/>
        <v>#N/A</v>
      </c>
      <c r="BD160" t="e">
        <f t="shared" si="43"/>
        <v>#N/A</v>
      </c>
      <c r="BE160" t="str">
        <f t="shared" si="45"/>
        <v/>
      </c>
      <c r="BF160">
        <f t="shared" si="46"/>
        <v>7</v>
      </c>
      <c r="BH160" t="e">
        <f t="shared" si="44"/>
        <v>#N/A</v>
      </c>
      <c r="EZ160" s="26"/>
    </row>
    <row r="161" spans="2:156" x14ac:dyDescent="0.3">
      <c r="B161" s="18" t="s">
        <v>615</v>
      </c>
      <c r="C161" s="13">
        <v>28</v>
      </c>
      <c r="D161" s="21" t="s">
        <v>616</v>
      </c>
      <c r="E161" s="24">
        <v>63</v>
      </c>
      <c r="G161" s="2">
        <f t="shared" si="48"/>
        <v>142</v>
      </c>
      <c r="H161" s="5">
        <v>3</v>
      </c>
      <c r="I161" s="13">
        <v>15</v>
      </c>
      <c r="L161" s="4"/>
      <c r="M161" s="7"/>
      <c r="O161" s="7"/>
      <c r="T161" s="7"/>
      <c r="BB161">
        <f t="shared" si="47"/>
        <v>8</v>
      </c>
      <c r="BC161" t="e">
        <f t="shared" si="42"/>
        <v>#N/A</v>
      </c>
      <c r="BD161" t="e">
        <f t="shared" si="43"/>
        <v>#N/A</v>
      </c>
      <c r="BE161" t="str">
        <f t="shared" si="45"/>
        <v/>
      </c>
      <c r="BF161">
        <f t="shared" si="46"/>
        <v>8</v>
      </c>
      <c r="BH161" t="e">
        <f t="shared" si="44"/>
        <v>#N/A</v>
      </c>
      <c r="BK161" s="26"/>
      <c r="BL161" s="26"/>
      <c r="BM161" s="26"/>
      <c r="BN161" s="26"/>
      <c r="BO161" s="26"/>
      <c r="BP161" s="26"/>
      <c r="EZ161" s="26"/>
    </row>
    <row r="162" spans="2:156" x14ac:dyDescent="0.3">
      <c r="B162" s="18" t="s">
        <v>617</v>
      </c>
      <c r="C162" s="13">
        <v>27</v>
      </c>
      <c r="D162" s="21" t="s">
        <v>618</v>
      </c>
      <c r="E162" s="24">
        <v>62</v>
      </c>
      <c r="G162" s="2">
        <f t="shared" si="48"/>
        <v>143</v>
      </c>
      <c r="H162" s="5">
        <v>3</v>
      </c>
      <c r="I162" s="13">
        <v>15</v>
      </c>
      <c r="L162" s="4"/>
      <c r="M162" s="7"/>
      <c r="O162" s="7"/>
      <c r="T162" s="7"/>
      <c r="BB162">
        <f t="shared" si="47"/>
        <v>9</v>
      </c>
      <c r="BC162" t="e">
        <f t="shared" si="42"/>
        <v>#N/A</v>
      </c>
      <c r="BD162" t="e">
        <f t="shared" si="43"/>
        <v>#N/A</v>
      </c>
      <c r="BE162" t="str">
        <f t="shared" si="45"/>
        <v/>
      </c>
      <c r="BF162">
        <f t="shared" si="46"/>
        <v>9</v>
      </c>
      <c r="BH162" t="e">
        <f t="shared" si="44"/>
        <v>#N/A</v>
      </c>
      <c r="BK162" s="26"/>
      <c r="BL162" s="26"/>
      <c r="BM162" s="26"/>
      <c r="BN162" s="26"/>
      <c r="BO162" s="26"/>
      <c r="BP162" s="32"/>
      <c r="EZ162" s="26"/>
    </row>
    <row r="163" spans="2:156" x14ac:dyDescent="0.3">
      <c r="B163" s="18" t="s">
        <v>619</v>
      </c>
      <c r="C163" s="13">
        <v>50</v>
      </c>
      <c r="D163" s="21" t="s">
        <v>620</v>
      </c>
      <c r="E163" s="24">
        <v>35</v>
      </c>
      <c r="G163" s="2">
        <f t="shared" si="48"/>
        <v>144</v>
      </c>
      <c r="H163" s="5">
        <v>3</v>
      </c>
      <c r="I163" s="13">
        <v>15</v>
      </c>
      <c r="L163" s="4"/>
      <c r="M163" s="7"/>
      <c r="O163" s="7"/>
      <c r="BB163">
        <f t="shared" si="47"/>
        <v>10</v>
      </c>
      <c r="BC163" t="e">
        <f t="shared" si="42"/>
        <v>#N/A</v>
      </c>
      <c r="BD163" t="e">
        <f t="shared" si="43"/>
        <v>#N/A</v>
      </c>
      <c r="BE163" t="str">
        <f t="shared" si="45"/>
        <v/>
      </c>
      <c r="BF163">
        <f t="shared" si="46"/>
        <v>10</v>
      </c>
      <c r="BH163" t="e">
        <f t="shared" si="44"/>
        <v>#N/A</v>
      </c>
      <c r="BK163" s="26"/>
      <c r="BL163" s="26"/>
      <c r="BM163" s="26"/>
      <c r="BN163" s="26"/>
      <c r="BO163" s="26"/>
      <c r="BP163" s="32"/>
      <c r="EZ163" s="26"/>
    </row>
    <row r="164" spans="2:156" x14ac:dyDescent="0.3">
      <c r="B164" s="18" t="s">
        <v>621</v>
      </c>
      <c r="C164" s="13">
        <v>49</v>
      </c>
      <c r="D164" s="21" t="s">
        <v>622</v>
      </c>
      <c r="E164" s="24">
        <v>61</v>
      </c>
      <c r="G164" s="2">
        <f t="shared" si="48"/>
        <v>145</v>
      </c>
      <c r="H164" s="5">
        <v>3</v>
      </c>
      <c r="I164" s="13">
        <v>15</v>
      </c>
      <c r="L164" s="4"/>
      <c r="M164" s="7"/>
      <c r="O164" s="7"/>
      <c r="T164" s="7"/>
      <c r="BB164">
        <f t="shared" si="47"/>
        <v>11</v>
      </c>
      <c r="BC164" t="e">
        <f t="shared" si="42"/>
        <v>#N/A</v>
      </c>
      <c r="BD164" t="e">
        <f t="shared" si="43"/>
        <v>#N/A</v>
      </c>
      <c r="BE164" t="str">
        <f t="shared" si="45"/>
        <v/>
      </c>
      <c r="BF164">
        <f t="shared" si="46"/>
        <v>11</v>
      </c>
      <c r="BH164" t="e">
        <f t="shared" si="44"/>
        <v>#N/A</v>
      </c>
      <c r="BK164" s="26"/>
      <c r="BL164" s="26"/>
      <c r="BM164" s="26"/>
      <c r="BN164" s="26"/>
      <c r="BO164" s="26"/>
      <c r="BP164" s="32"/>
      <c r="EZ164" s="26"/>
    </row>
    <row r="165" spans="2:156" x14ac:dyDescent="0.3">
      <c r="B165" s="18" t="s">
        <v>623</v>
      </c>
      <c r="C165" s="13">
        <v>48</v>
      </c>
      <c r="D165" s="21" t="s">
        <v>624</v>
      </c>
      <c r="E165" s="24">
        <v>60</v>
      </c>
      <c r="G165" s="2">
        <f t="shared" si="48"/>
        <v>146</v>
      </c>
      <c r="H165" s="5">
        <v>3</v>
      </c>
      <c r="I165" s="13">
        <v>15</v>
      </c>
      <c r="L165" s="4"/>
      <c r="M165" s="7"/>
      <c r="O165" s="7"/>
      <c r="T165" s="7"/>
      <c r="BB165">
        <f t="shared" si="47"/>
        <v>12</v>
      </c>
      <c r="BC165" t="e">
        <f t="shared" si="42"/>
        <v>#N/A</v>
      </c>
      <c r="BD165" t="e">
        <f t="shared" si="43"/>
        <v>#N/A</v>
      </c>
      <c r="BE165" t="str">
        <f t="shared" si="45"/>
        <v/>
      </c>
      <c r="BF165">
        <f t="shared" si="46"/>
        <v>12</v>
      </c>
      <c r="BH165" t="e">
        <f t="shared" si="44"/>
        <v>#N/A</v>
      </c>
      <c r="BK165" s="26"/>
      <c r="BL165" s="26"/>
      <c r="BM165" s="26"/>
      <c r="BN165" s="26"/>
      <c r="BO165" s="26"/>
      <c r="BP165" s="32"/>
      <c r="EZ165" s="26"/>
    </row>
    <row r="166" spans="2:156" x14ac:dyDescent="0.3">
      <c r="B166" s="18" t="s">
        <v>625</v>
      </c>
      <c r="C166" s="13">
        <v>47</v>
      </c>
      <c r="D166" s="21" t="s">
        <v>626</v>
      </c>
      <c r="E166" s="24">
        <v>59</v>
      </c>
      <c r="G166" s="2">
        <f t="shared" si="48"/>
        <v>147</v>
      </c>
      <c r="H166" s="5">
        <v>3</v>
      </c>
      <c r="I166" s="13">
        <v>15</v>
      </c>
      <c r="L166" s="4"/>
      <c r="M166" s="7"/>
      <c r="O166" s="7"/>
      <c r="T166" s="7"/>
      <c r="BB166">
        <f t="shared" si="47"/>
        <v>13</v>
      </c>
      <c r="BC166" t="e">
        <f t="shared" si="42"/>
        <v>#N/A</v>
      </c>
      <c r="BD166" t="e">
        <f t="shared" si="43"/>
        <v>#N/A</v>
      </c>
      <c r="BE166" t="str">
        <f t="shared" si="45"/>
        <v/>
      </c>
      <c r="BF166">
        <f t="shared" si="46"/>
        <v>13</v>
      </c>
      <c r="BH166" t="e">
        <f t="shared" si="44"/>
        <v>#N/A</v>
      </c>
      <c r="BK166" t="s">
        <v>627</v>
      </c>
      <c r="EZ166" s="26"/>
    </row>
    <row r="167" spans="2:156" x14ac:dyDescent="0.3">
      <c r="B167" s="18" t="s">
        <v>628</v>
      </c>
      <c r="C167" s="13">
        <v>46</v>
      </c>
      <c r="D167" s="21" t="s">
        <v>629</v>
      </c>
      <c r="E167" s="24">
        <v>58</v>
      </c>
      <c r="G167" s="2">
        <f t="shared" si="48"/>
        <v>148</v>
      </c>
      <c r="H167" s="5">
        <v>3</v>
      </c>
      <c r="I167" s="13">
        <v>15</v>
      </c>
      <c r="L167" s="4"/>
      <c r="M167" s="7"/>
      <c r="O167" s="7"/>
      <c r="T167" s="7"/>
      <c r="BB167">
        <f t="shared" si="47"/>
        <v>14</v>
      </c>
      <c r="BC167" t="e">
        <f t="shared" si="42"/>
        <v>#N/A</v>
      </c>
      <c r="BD167" t="e">
        <f t="shared" si="43"/>
        <v>#N/A</v>
      </c>
      <c r="BE167" t="str">
        <f t="shared" si="45"/>
        <v/>
      </c>
      <c r="BF167">
        <f t="shared" si="46"/>
        <v>14</v>
      </c>
      <c r="BH167" t="e">
        <f t="shared" si="44"/>
        <v>#N/A</v>
      </c>
      <c r="BK167">
        <v>1</v>
      </c>
      <c r="BL167">
        <f>BK167+1</f>
        <v>2</v>
      </c>
      <c r="BM167">
        <f t="shared" ref="BM167:CZ167" si="49">BL167+1</f>
        <v>3</v>
      </c>
      <c r="BN167">
        <f t="shared" si="49"/>
        <v>4</v>
      </c>
      <c r="BO167">
        <f t="shared" si="49"/>
        <v>5</v>
      </c>
      <c r="BP167">
        <f t="shared" si="49"/>
        <v>6</v>
      </c>
      <c r="BQ167">
        <f t="shared" si="49"/>
        <v>7</v>
      </c>
      <c r="BR167">
        <f t="shared" si="49"/>
        <v>8</v>
      </c>
      <c r="BS167">
        <f t="shared" si="49"/>
        <v>9</v>
      </c>
      <c r="BT167">
        <f t="shared" si="49"/>
        <v>10</v>
      </c>
      <c r="BU167">
        <f t="shared" si="49"/>
        <v>11</v>
      </c>
      <c r="BV167">
        <f t="shared" si="49"/>
        <v>12</v>
      </c>
      <c r="BW167">
        <f t="shared" si="49"/>
        <v>13</v>
      </c>
      <c r="BX167">
        <f t="shared" si="49"/>
        <v>14</v>
      </c>
      <c r="BY167">
        <f t="shared" si="49"/>
        <v>15</v>
      </c>
      <c r="BZ167">
        <f t="shared" si="49"/>
        <v>16</v>
      </c>
      <c r="CA167">
        <f t="shared" si="49"/>
        <v>17</v>
      </c>
      <c r="CB167">
        <f t="shared" si="49"/>
        <v>18</v>
      </c>
      <c r="CC167">
        <f t="shared" si="49"/>
        <v>19</v>
      </c>
      <c r="CD167">
        <f t="shared" si="49"/>
        <v>20</v>
      </c>
      <c r="CE167">
        <f t="shared" si="49"/>
        <v>21</v>
      </c>
      <c r="CF167">
        <f t="shared" si="49"/>
        <v>22</v>
      </c>
      <c r="CG167">
        <f t="shared" si="49"/>
        <v>23</v>
      </c>
      <c r="CH167">
        <f t="shared" si="49"/>
        <v>24</v>
      </c>
      <c r="CI167">
        <f t="shared" si="49"/>
        <v>25</v>
      </c>
      <c r="CJ167">
        <f t="shared" si="49"/>
        <v>26</v>
      </c>
      <c r="CK167">
        <f t="shared" si="49"/>
        <v>27</v>
      </c>
      <c r="CL167">
        <f t="shared" si="49"/>
        <v>28</v>
      </c>
      <c r="CM167">
        <f t="shared" si="49"/>
        <v>29</v>
      </c>
      <c r="CN167">
        <f t="shared" si="49"/>
        <v>30</v>
      </c>
      <c r="CO167">
        <f t="shared" si="49"/>
        <v>31</v>
      </c>
      <c r="CP167">
        <f t="shared" si="49"/>
        <v>32</v>
      </c>
      <c r="CQ167">
        <f t="shared" si="49"/>
        <v>33</v>
      </c>
      <c r="CR167">
        <f t="shared" si="49"/>
        <v>34</v>
      </c>
      <c r="CS167">
        <f t="shared" si="49"/>
        <v>35</v>
      </c>
      <c r="CT167">
        <f t="shared" si="49"/>
        <v>36</v>
      </c>
      <c r="CU167">
        <f t="shared" si="49"/>
        <v>37</v>
      </c>
      <c r="CV167">
        <f t="shared" si="49"/>
        <v>38</v>
      </c>
      <c r="CW167">
        <f t="shared" si="49"/>
        <v>39</v>
      </c>
      <c r="CX167">
        <f t="shared" si="49"/>
        <v>40</v>
      </c>
      <c r="CY167">
        <f t="shared" si="49"/>
        <v>41</v>
      </c>
      <c r="CZ167">
        <f t="shared" si="49"/>
        <v>42</v>
      </c>
      <c r="DA167">
        <v>43</v>
      </c>
    </row>
    <row r="168" spans="2:156" x14ac:dyDescent="0.3">
      <c r="B168" s="18" t="s">
        <v>630</v>
      </c>
      <c r="C168" s="13">
        <v>45</v>
      </c>
      <c r="D168" s="21" t="s">
        <v>631</v>
      </c>
      <c r="E168" s="24">
        <v>57</v>
      </c>
      <c r="G168" s="2">
        <f t="shared" si="48"/>
        <v>149</v>
      </c>
      <c r="H168" s="5">
        <v>3</v>
      </c>
      <c r="I168" s="13">
        <v>15</v>
      </c>
      <c r="L168" s="4"/>
      <c r="M168" s="7"/>
      <c r="O168" s="7"/>
      <c r="T168" s="7"/>
      <c r="BB168">
        <f t="shared" si="47"/>
        <v>15</v>
      </c>
      <c r="BC168" t="e">
        <f t="shared" si="42"/>
        <v>#N/A</v>
      </c>
      <c r="BD168" t="e">
        <f t="shared" si="43"/>
        <v>#N/A</v>
      </c>
      <c r="BE168" t="str">
        <f t="shared" si="45"/>
        <v/>
      </c>
      <c r="BF168">
        <f t="shared" si="46"/>
        <v>15</v>
      </c>
      <c r="BH168" t="e">
        <f t="shared" si="44"/>
        <v>#N/A</v>
      </c>
      <c r="BJ168">
        <v>1</v>
      </c>
      <c r="BK168" t="e">
        <f>VLOOKUP($BJ168,G_1,12,FALSE)</f>
        <v>#N/A</v>
      </c>
      <c r="BL168" t="e">
        <f>VLOOKUP($BJ168,G_2,12,FALSE)</f>
        <v>#N/A</v>
      </c>
      <c r="BM168" t="e">
        <f>VLOOKUP($BJ168,G_3,12,FALSE)</f>
        <v>#N/A</v>
      </c>
      <c r="BN168" t="e">
        <f>VLOOKUP($BJ168,G_4,12,FALSE)</f>
        <v>#N/A</v>
      </c>
      <c r="BO168" t="e">
        <f>VLOOKUP($BJ168,G_5,12,FALSE)</f>
        <v>#N/A</v>
      </c>
      <c r="BP168" t="e">
        <f>VLOOKUP($BJ168,G_6,12,FALSE)</f>
        <v>#N/A</v>
      </c>
      <c r="BQ168" t="e">
        <f>VLOOKUP($BJ168,G_7,12,FALSE)</f>
        <v>#N/A</v>
      </c>
      <c r="BR168" t="e">
        <f>VLOOKUP($BJ168,G_8,12,FALSE)</f>
        <v>#N/A</v>
      </c>
      <c r="BS168" t="e">
        <f>VLOOKUP($BJ168,G_9,12,FALSE)</f>
        <v>#N/A</v>
      </c>
      <c r="BT168" t="e">
        <f>VLOOKUP($BJ168,G_10,12,FALSE)</f>
        <v>#N/A</v>
      </c>
      <c r="BU168" t="e">
        <f>VLOOKUP($BJ168,G_11,12,FALSE)</f>
        <v>#N/A</v>
      </c>
      <c r="BV168" t="e">
        <f>VLOOKUP($BJ168,G_12,12,FALSE)</f>
        <v>#N/A</v>
      </c>
      <c r="BW168" t="e">
        <f>VLOOKUP($BJ168,G_13,12,FALSE)</f>
        <v>#N/A</v>
      </c>
      <c r="BX168" t="e">
        <f>VLOOKUP($BJ168,G_14,12,FALSE)</f>
        <v>#N/A</v>
      </c>
      <c r="BY168" t="e">
        <f>VLOOKUP($BJ168,G_15,12,FALSE)</f>
        <v>#N/A</v>
      </c>
      <c r="BZ168" t="e">
        <f>VLOOKUP($BJ168,G_16,12,FALSE)</f>
        <v>#N/A</v>
      </c>
      <c r="CA168" t="e">
        <f>VLOOKUP($BJ168,G_17,12,FALSE)</f>
        <v>#N/A</v>
      </c>
      <c r="CB168" t="e">
        <f>VLOOKUP($BJ168,G_18,12,FALSE)</f>
        <v>#N/A</v>
      </c>
      <c r="CC168" t="e">
        <f>VLOOKUP($BJ168,G_19,12,FALSE)</f>
        <v>#N/A</v>
      </c>
      <c r="CD168" t="e">
        <f>VLOOKUP($BJ168,G_20,12,FALSE)</f>
        <v>#N/A</v>
      </c>
      <c r="CE168" t="e">
        <f>VLOOKUP($BJ168,G_21,12,FALSE)</f>
        <v>#N/A</v>
      </c>
      <c r="CF168" t="e">
        <f>VLOOKUP($BJ168,G_22,12,FALSE)</f>
        <v>#N/A</v>
      </c>
      <c r="CG168" t="e">
        <f>VLOOKUP($BJ168,G_23,12,FALSE)</f>
        <v>#N/A</v>
      </c>
      <c r="CH168" t="e">
        <f>VLOOKUP($BJ168,G_24,12,FALSE)</f>
        <v>#N/A</v>
      </c>
      <c r="CI168" t="e">
        <f>VLOOKUP($BJ168,G_25,12,FALSE)</f>
        <v>#N/A</v>
      </c>
      <c r="CJ168" t="e">
        <f>VLOOKUP($BJ168,G_26,12,FALSE)</f>
        <v>#N/A</v>
      </c>
      <c r="CK168" t="e">
        <f>VLOOKUP($BJ168,G_27,12,FALSE)</f>
        <v>#N/A</v>
      </c>
      <c r="CL168" t="e">
        <f>VLOOKUP($BJ168,G_28,12,FALSE)</f>
        <v>#N/A</v>
      </c>
      <c r="CM168" t="e">
        <f>VLOOKUP($BJ168,G_29,12,FALSE)</f>
        <v>#N/A</v>
      </c>
      <c r="CN168" t="e">
        <f>VLOOKUP($BJ168,G_30,12,FALSE)</f>
        <v>#N/A</v>
      </c>
      <c r="CO168" t="e">
        <f>VLOOKUP($BJ168,G_31,12,FALSE)</f>
        <v>#N/A</v>
      </c>
      <c r="CP168" t="e">
        <f>VLOOKUP($BJ168,G_32,12,FALSE)</f>
        <v>#N/A</v>
      </c>
      <c r="CQ168" t="e">
        <f>VLOOKUP($BJ168,G_33,12,FALSE)</f>
        <v>#N/A</v>
      </c>
      <c r="CR168" t="e">
        <f>VLOOKUP($BJ168,G_34,12,FALSE)</f>
        <v>#N/A</v>
      </c>
      <c r="CS168" t="e">
        <f>VLOOKUP($BJ168,G_35,12,FALSE)</f>
        <v>#N/A</v>
      </c>
      <c r="CT168" t="e">
        <f>VLOOKUP($BJ168,G_36,12,FALSE)</f>
        <v>#N/A</v>
      </c>
      <c r="CU168" t="e">
        <f>VLOOKUP($BJ168,G_37,12,FALSE)</f>
        <v>#N/A</v>
      </c>
      <c r="CV168" t="e">
        <f>VLOOKUP($BJ168,G_38,12,FALSE)</f>
        <v>#N/A</v>
      </c>
      <c r="CW168" t="e">
        <f>VLOOKUP($BJ168,G_39,12,FALSE)</f>
        <v>#N/A</v>
      </c>
      <c r="CX168" t="e">
        <f>VLOOKUP($BJ168,G_40,12,FALSE)</f>
        <v>#N/A</v>
      </c>
      <c r="CY168" t="e">
        <f>VLOOKUP($BJ168,G_41,12,FALSE)</f>
        <v>#N/A</v>
      </c>
      <c r="CZ168" t="e">
        <f>VLOOKUP($BJ168,G_42,12,FALSE)</f>
        <v>#N/A</v>
      </c>
      <c r="DA168" t="e">
        <f>VLOOKUP($BJ168,G_43,12,FALSE)</f>
        <v>#N/A</v>
      </c>
    </row>
    <row r="169" spans="2:156" x14ac:dyDescent="0.3">
      <c r="B169" s="18" t="s">
        <v>632</v>
      </c>
      <c r="C169" s="13">
        <v>44</v>
      </c>
      <c r="D169" s="21" t="s">
        <v>633</v>
      </c>
      <c r="E169" s="24">
        <v>56</v>
      </c>
      <c r="G169" s="2">
        <f t="shared" si="48"/>
        <v>150</v>
      </c>
      <c r="H169" s="5">
        <v>2</v>
      </c>
      <c r="I169" s="13">
        <v>20</v>
      </c>
      <c r="L169" s="4"/>
      <c r="M169" s="7"/>
      <c r="O169" s="7"/>
      <c r="T169" s="7"/>
      <c r="BB169">
        <f t="shared" si="47"/>
        <v>16</v>
      </c>
      <c r="BC169" t="e">
        <f t="shared" si="42"/>
        <v>#N/A</v>
      </c>
      <c r="BD169" t="e">
        <f t="shared" si="43"/>
        <v>#N/A</v>
      </c>
      <c r="BE169" t="str">
        <f t="shared" si="45"/>
        <v/>
      </c>
      <c r="BF169">
        <f t="shared" si="46"/>
        <v>16</v>
      </c>
      <c r="BH169" t="e">
        <f t="shared" si="44"/>
        <v>#N/A</v>
      </c>
      <c r="BJ169">
        <v>2</v>
      </c>
      <c r="BK169" t="e">
        <f>VLOOKUP($BJ169,G_1,12,FALSE)</f>
        <v>#N/A</v>
      </c>
      <c r="BL169" t="e">
        <f>VLOOKUP($BJ169,G_2,12,FALSE)</f>
        <v>#N/A</v>
      </c>
      <c r="BM169" t="e">
        <f>VLOOKUP($BJ169,G_3,12,FALSE)</f>
        <v>#N/A</v>
      </c>
      <c r="BN169" t="e">
        <f>VLOOKUP($BJ169,G_4,12,FALSE)</f>
        <v>#N/A</v>
      </c>
      <c r="BO169" t="e">
        <f>VLOOKUP($BJ169,G_5,12,FALSE)</f>
        <v>#N/A</v>
      </c>
      <c r="BP169" t="e">
        <f>VLOOKUP($BJ169,G_6,12,FALSE)</f>
        <v>#N/A</v>
      </c>
      <c r="BQ169" t="e">
        <f>VLOOKUP($BJ169,G_7,12,FALSE)</f>
        <v>#N/A</v>
      </c>
      <c r="BR169" t="e">
        <f>VLOOKUP($BJ169,G_8,12,FALSE)</f>
        <v>#N/A</v>
      </c>
      <c r="BS169" t="e">
        <f>VLOOKUP($BJ169,G_9,12,FALSE)</f>
        <v>#N/A</v>
      </c>
      <c r="BT169" t="e">
        <f>VLOOKUP($BJ169,G_10,12,FALSE)</f>
        <v>#N/A</v>
      </c>
      <c r="BU169" t="e">
        <f>VLOOKUP($BJ169,G_11,12,FALSE)</f>
        <v>#N/A</v>
      </c>
      <c r="BV169" t="e">
        <f>VLOOKUP($BJ169,G_12,12,FALSE)</f>
        <v>#N/A</v>
      </c>
      <c r="BW169" t="e">
        <f>VLOOKUP($BJ169,G_13,12,FALSE)</f>
        <v>#N/A</v>
      </c>
      <c r="BX169" t="e">
        <f>VLOOKUP($BJ169,G_14,12,FALSE)</f>
        <v>#N/A</v>
      </c>
      <c r="BY169" t="e">
        <f>VLOOKUP($BJ169,G_15,12,FALSE)</f>
        <v>#N/A</v>
      </c>
      <c r="BZ169" t="e">
        <f>VLOOKUP($BJ169,G_16,12,FALSE)</f>
        <v>#N/A</v>
      </c>
      <c r="CA169" t="e">
        <f>VLOOKUP($BJ169,G_17,12,FALSE)</f>
        <v>#N/A</v>
      </c>
      <c r="CB169" t="e">
        <f>VLOOKUP($BJ169,G_18,12,FALSE)</f>
        <v>#N/A</v>
      </c>
      <c r="CC169" t="e">
        <f>VLOOKUP($BJ169,G_19,12,FALSE)</f>
        <v>#N/A</v>
      </c>
      <c r="CD169" t="e">
        <f>VLOOKUP($BJ169,G_20,12,FALSE)</f>
        <v>#N/A</v>
      </c>
      <c r="CE169" t="e">
        <f>VLOOKUP($BJ169,G_21,12,FALSE)</f>
        <v>#N/A</v>
      </c>
      <c r="CF169" t="e">
        <f>VLOOKUP($BJ169,G_22,12,FALSE)</f>
        <v>#N/A</v>
      </c>
      <c r="CG169" t="e">
        <f>VLOOKUP($BJ169,G_23,12,FALSE)</f>
        <v>#N/A</v>
      </c>
      <c r="CH169" t="e">
        <f>VLOOKUP($BJ169,G_24,12,FALSE)</f>
        <v>#N/A</v>
      </c>
      <c r="CI169" t="e">
        <f>VLOOKUP($BJ169,G_25,12,FALSE)</f>
        <v>#N/A</v>
      </c>
      <c r="CJ169" t="e">
        <f>VLOOKUP($BJ169,G_26,12,FALSE)</f>
        <v>#N/A</v>
      </c>
      <c r="CK169" t="e">
        <f>VLOOKUP($BJ169,G_27,12,FALSE)</f>
        <v>#N/A</v>
      </c>
      <c r="CL169" t="e">
        <f>VLOOKUP($BJ169,G_28,12,FALSE)</f>
        <v>#N/A</v>
      </c>
      <c r="CM169" t="e">
        <f>VLOOKUP($BJ169,G_29,12,FALSE)</f>
        <v>#N/A</v>
      </c>
      <c r="CN169" t="e">
        <f>VLOOKUP($BJ169,G_30,12,FALSE)</f>
        <v>#N/A</v>
      </c>
      <c r="CO169" t="e">
        <f>VLOOKUP($BJ169,G_31,12,FALSE)</f>
        <v>#N/A</v>
      </c>
      <c r="CP169" t="e">
        <f>VLOOKUP($BJ169,G_32,12,FALSE)</f>
        <v>#N/A</v>
      </c>
      <c r="CQ169" t="e">
        <f>VLOOKUP($BJ169,G_33,12,FALSE)</f>
        <v>#N/A</v>
      </c>
      <c r="CR169" t="e">
        <f>VLOOKUP($BJ169,G_34,12,FALSE)</f>
        <v>#N/A</v>
      </c>
      <c r="CS169" t="e">
        <f>VLOOKUP($BJ169,G_35,12,FALSE)</f>
        <v>#N/A</v>
      </c>
      <c r="CT169" t="e">
        <f>VLOOKUP($BJ169,G_36,12,FALSE)</f>
        <v>#N/A</v>
      </c>
      <c r="CU169" t="e">
        <f>VLOOKUP($BJ169,G_37,12,FALSE)</f>
        <v>#N/A</v>
      </c>
      <c r="CV169" t="e">
        <f>VLOOKUP($BJ169,G_38,12,FALSE)</f>
        <v>#N/A</v>
      </c>
      <c r="CW169" t="e">
        <f>VLOOKUP($BJ169,G_39,12,FALSE)</f>
        <v>#N/A</v>
      </c>
      <c r="CX169" t="e">
        <f>VLOOKUP($BJ169,G_40,12,FALSE)</f>
        <v>#N/A</v>
      </c>
      <c r="CY169" t="e">
        <f>VLOOKUP($BJ169,G_41,12,FALSE)</f>
        <v>#N/A</v>
      </c>
      <c r="CZ169" t="e">
        <f>VLOOKUP($BJ169,G_41,12,FALSE)</f>
        <v>#N/A</v>
      </c>
      <c r="DA169" t="e">
        <f>VLOOKUP($BJ169,G_43,12,FALSE)</f>
        <v>#N/A</v>
      </c>
    </row>
    <row r="170" spans="2:156" x14ac:dyDescent="0.3">
      <c r="B170" s="18" t="s">
        <v>634</v>
      </c>
      <c r="C170" s="13">
        <v>53</v>
      </c>
      <c r="D170" s="21" t="s">
        <v>635</v>
      </c>
      <c r="E170" s="24">
        <v>55</v>
      </c>
      <c r="G170" s="2">
        <f t="shared" si="48"/>
        <v>151</v>
      </c>
      <c r="H170" s="5">
        <v>2</v>
      </c>
      <c r="I170" s="13">
        <v>20</v>
      </c>
      <c r="L170" s="4"/>
      <c r="M170" s="7"/>
      <c r="O170" s="7"/>
      <c r="T170" s="7"/>
      <c r="BB170">
        <f t="shared" si="47"/>
        <v>17</v>
      </c>
      <c r="BC170" t="e">
        <f t="shared" si="42"/>
        <v>#N/A</v>
      </c>
      <c r="BD170" t="e">
        <f t="shared" si="43"/>
        <v>#N/A</v>
      </c>
      <c r="BE170" t="str">
        <f t="shared" si="45"/>
        <v/>
      </c>
      <c r="BF170">
        <f t="shared" si="46"/>
        <v>17</v>
      </c>
      <c r="BH170" t="e">
        <f t="shared" si="44"/>
        <v>#N/A</v>
      </c>
      <c r="BJ170">
        <v>3</v>
      </c>
      <c r="BK170" t="e">
        <f>VLOOKUP($BJ170,G_1,12,FALSE)</f>
        <v>#N/A</v>
      </c>
      <c r="BL170" t="e">
        <f>VLOOKUP($BJ170,G_2,12,FALSE)</f>
        <v>#N/A</v>
      </c>
      <c r="BM170" t="e">
        <f>VLOOKUP($BJ170,G_3,12,FALSE)</f>
        <v>#N/A</v>
      </c>
      <c r="BN170" t="e">
        <f>VLOOKUP($BJ170,G_4,12,FALSE)</f>
        <v>#N/A</v>
      </c>
      <c r="BO170" t="e">
        <f>VLOOKUP($BJ170,G_5,12,FALSE)</f>
        <v>#N/A</v>
      </c>
      <c r="BP170" t="e">
        <f>VLOOKUP($BJ170,G_6,12,FALSE)</f>
        <v>#N/A</v>
      </c>
      <c r="BQ170" t="e">
        <f>VLOOKUP($BJ170,G_7,12,FALSE)</f>
        <v>#N/A</v>
      </c>
      <c r="BR170" t="e">
        <f>VLOOKUP($BJ170,G_8,12,FALSE)</f>
        <v>#N/A</v>
      </c>
      <c r="BS170" t="e">
        <f>VLOOKUP($BJ170,G_9,12,FALSE)</f>
        <v>#N/A</v>
      </c>
      <c r="BT170" t="e">
        <f>VLOOKUP($BJ170,G_10,12,FALSE)</f>
        <v>#N/A</v>
      </c>
      <c r="BU170" t="e">
        <f>VLOOKUP($BJ170,G_11,12,FALSE)</f>
        <v>#N/A</v>
      </c>
      <c r="BV170" t="e">
        <f>VLOOKUP($BJ170,G_12,12,FALSE)</f>
        <v>#N/A</v>
      </c>
      <c r="BW170" t="e">
        <f>VLOOKUP($BJ170,G_13,12,FALSE)</f>
        <v>#N/A</v>
      </c>
      <c r="BX170" t="e">
        <f>VLOOKUP($BJ170,G_14,12,FALSE)</f>
        <v>#N/A</v>
      </c>
      <c r="BY170" t="e">
        <f>VLOOKUP($BJ170,G_15,12,FALSE)</f>
        <v>#N/A</v>
      </c>
      <c r="BZ170" t="e">
        <f>VLOOKUP($BJ170,G_16,12,FALSE)</f>
        <v>#N/A</v>
      </c>
      <c r="CA170" t="e">
        <f>VLOOKUP($BJ170,G_17,12,FALSE)</f>
        <v>#N/A</v>
      </c>
      <c r="CB170" t="e">
        <f>VLOOKUP($BJ170,G_18,12,FALSE)</f>
        <v>#N/A</v>
      </c>
      <c r="CC170" t="e">
        <f>VLOOKUP($BJ170,G_19,12,FALSE)</f>
        <v>#N/A</v>
      </c>
      <c r="CD170" t="e">
        <f>VLOOKUP($BJ170,G_20,12,FALSE)</f>
        <v>#N/A</v>
      </c>
      <c r="CE170" t="e">
        <f>VLOOKUP($BJ170,G_21,12,FALSE)</f>
        <v>#N/A</v>
      </c>
      <c r="CF170" t="e">
        <f>VLOOKUP($BJ170,G_22,12,FALSE)</f>
        <v>#N/A</v>
      </c>
      <c r="CG170" t="e">
        <f>VLOOKUP($BJ170,G_23,12,FALSE)</f>
        <v>#N/A</v>
      </c>
      <c r="CH170" t="e">
        <f>VLOOKUP($BJ170,G_24,12,FALSE)</f>
        <v>#N/A</v>
      </c>
      <c r="CI170" t="e">
        <f>VLOOKUP($BJ170,G_25,12,FALSE)</f>
        <v>#N/A</v>
      </c>
      <c r="CJ170" t="e">
        <f>VLOOKUP($BJ170,G_26,12,FALSE)</f>
        <v>#N/A</v>
      </c>
      <c r="CK170" t="e">
        <f>VLOOKUP($BJ170,G_27,12,FALSE)</f>
        <v>#N/A</v>
      </c>
      <c r="CL170" t="e">
        <f>VLOOKUP($BJ170,G_28,12,FALSE)</f>
        <v>#N/A</v>
      </c>
      <c r="CM170" t="e">
        <f>VLOOKUP($BJ170,G_29,12,FALSE)</f>
        <v>#N/A</v>
      </c>
      <c r="CN170" t="e">
        <f>VLOOKUP($BJ170,G_30,12,FALSE)</f>
        <v>#N/A</v>
      </c>
      <c r="CO170" t="e">
        <f>VLOOKUP($BJ170,G_31,12,FALSE)</f>
        <v>#N/A</v>
      </c>
      <c r="CP170" t="e">
        <f>VLOOKUP($BJ170,G_32,12,FALSE)</f>
        <v>#N/A</v>
      </c>
      <c r="CQ170" t="e">
        <f>VLOOKUP($BJ170,G_33,12,FALSE)</f>
        <v>#N/A</v>
      </c>
      <c r="CR170" t="e">
        <f>VLOOKUP($BJ170,G_34,12,FALSE)</f>
        <v>#N/A</v>
      </c>
      <c r="CS170" t="e">
        <f>VLOOKUP($BJ170,G_35,12,FALSE)</f>
        <v>#N/A</v>
      </c>
      <c r="CT170" t="e">
        <f>VLOOKUP($BJ170,G_36,12,FALSE)</f>
        <v>#N/A</v>
      </c>
      <c r="CU170" t="e">
        <f>VLOOKUP($BJ170,G_37,12,FALSE)</f>
        <v>#N/A</v>
      </c>
      <c r="CV170" t="e">
        <f>VLOOKUP($BJ170,G_38,12,FALSE)</f>
        <v>#N/A</v>
      </c>
      <c r="CW170" t="e">
        <f>VLOOKUP($BJ170,G_39,12,FALSE)</f>
        <v>#N/A</v>
      </c>
      <c r="CX170" t="e">
        <f>VLOOKUP($BJ170,G_40,12,FALSE)</f>
        <v>#N/A</v>
      </c>
      <c r="CY170" t="e">
        <f>VLOOKUP($BJ170,G_41,12,FALSE)</f>
        <v>#N/A</v>
      </c>
      <c r="CZ170" t="e">
        <f>VLOOKUP($BJ170,G_41,12,FALSE)</f>
        <v>#N/A</v>
      </c>
      <c r="DA170" t="e">
        <f>VLOOKUP($BJ170,G_43,12,FALSE)</f>
        <v>#N/A</v>
      </c>
    </row>
    <row r="171" spans="2:156" x14ac:dyDescent="0.3">
      <c r="B171" s="18" t="s">
        <v>636</v>
      </c>
      <c r="C171" s="13">
        <v>62</v>
      </c>
      <c r="D171" s="21" t="s">
        <v>637</v>
      </c>
      <c r="E171" s="24">
        <v>54</v>
      </c>
      <c r="G171" s="2">
        <f t="shared" si="48"/>
        <v>152</v>
      </c>
      <c r="H171" s="5">
        <v>2</v>
      </c>
      <c r="I171" s="13">
        <v>20</v>
      </c>
      <c r="L171" s="4"/>
      <c r="M171" s="7"/>
      <c r="O171" s="7"/>
      <c r="T171" s="7"/>
      <c r="BB171">
        <f t="shared" si="47"/>
        <v>18</v>
      </c>
      <c r="BC171" t="e">
        <f t="shared" si="42"/>
        <v>#N/A</v>
      </c>
      <c r="BD171" t="e">
        <f t="shared" ref="BD171:BD234" si="50">IF(BC171="Bye","Bye",IF(ISNUMBER(BC171),LOOKUP(BC171,$BF$154:$BF$163,$BH$154:$BH$163),999999))</f>
        <v>#N/A</v>
      </c>
      <c r="BE171" t="str">
        <f t="shared" si="45"/>
        <v/>
      </c>
      <c r="BF171">
        <f t="shared" si="46"/>
        <v>18</v>
      </c>
      <c r="BH171" t="e">
        <f t="shared" si="44"/>
        <v>#N/A</v>
      </c>
      <c r="BJ171">
        <v>4</v>
      </c>
      <c r="BK171" t="e">
        <f>VLOOKUP($BJ171,G_1,12,FALSE)</f>
        <v>#N/A</v>
      </c>
      <c r="BL171" t="e">
        <f>VLOOKUP($BJ171,G_2,12,FALSE)</f>
        <v>#N/A</v>
      </c>
      <c r="BM171" t="e">
        <f>VLOOKUP($BJ171,G_3,12,FALSE)</f>
        <v>#N/A</v>
      </c>
      <c r="BN171" t="e">
        <f>VLOOKUP($BJ171,G_4,12,FALSE)</f>
        <v>#N/A</v>
      </c>
      <c r="BO171" t="e">
        <f>VLOOKUP($BJ171,G_5,12,FALSE)</f>
        <v>#N/A</v>
      </c>
      <c r="BP171" t="e">
        <f>VLOOKUP($BJ171,G_6,12,FALSE)</f>
        <v>#N/A</v>
      </c>
      <c r="BQ171" t="e">
        <f>VLOOKUP($BJ171,G_7,12,FALSE)</f>
        <v>#N/A</v>
      </c>
      <c r="BR171" t="e">
        <f>VLOOKUP($BJ171,G_8,12,FALSE)</f>
        <v>#N/A</v>
      </c>
      <c r="BS171" t="e">
        <f>VLOOKUP($BJ171,G_9,12,FALSE)</f>
        <v>#N/A</v>
      </c>
      <c r="BT171" t="e">
        <f>VLOOKUP($BJ171,G_10,12,FALSE)</f>
        <v>#N/A</v>
      </c>
      <c r="BU171" t="e">
        <f>VLOOKUP($BJ171,G_11,12,FALSE)</f>
        <v>#N/A</v>
      </c>
      <c r="BV171" t="e">
        <f>VLOOKUP($BJ171,G_12,12,FALSE)</f>
        <v>#N/A</v>
      </c>
      <c r="BW171" t="e">
        <f>VLOOKUP($BJ171,G_13,12,FALSE)</f>
        <v>#N/A</v>
      </c>
      <c r="BX171" t="e">
        <f>VLOOKUP($BJ171,G_14,12,FALSE)</f>
        <v>#N/A</v>
      </c>
      <c r="BY171" t="e">
        <f>VLOOKUP($BJ171,G_15,12,FALSE)</f>
        <v>#N/A</v>
      </c>
      <c r="BZ171" t="e">
        <f>VLOOKUP($BJ171,G_16,12,FALSE)</f>
        <v>#N/A</v>
      </c>
      <c r="CA171" t="e">
        <f>VLOOKUP($BJ171,G_17,12,FALSE)</f>
        <v>#N/A</v>
      </c>
      <c r="CB171" t="e">
        <f>VLOOKUP($BJ171,G_18,12,FALSE)</f>
        <v>#N/A</v>
      </c>
      <c r="CC171" t="e">
        <f>VLOOKUP($BJ171,G_19,12,FALSE)</f>
        <v>#N/A</v>
      </c>
      <c r="CD171" t="e">
        <f>VLOOKUP($BJ171,G_20,12,FALSE)</f>
        <v>#N/A</v>
      </c>
      <c r="CE171" t="e">
        <f>VLOOKUP($BJ171,G_21,12,FALSE)</f>
        <v>#N/A</v>
      </c>
      <c r="CF171" t="e">
        <f>VLOOKUP($BJ171,G_22,12,FALSE)</f>
        <v>#N/A</v>
      </c>
      <c r="CG171" t="e">
        <f>VLOOKUP($BJ171,G_23,12,FALSE)</f>
        <v>#N/A</v>
      </c>
      <c r="CH171" t="e">
        <f>VLOOKUP($BJ171,G_24,12,FALSE)</f>
        <v>#N/A</v>
      </c>
      <c r="CI171" t="e">
        <f>VLOOKUP($BJ171,G_25,12,FALSE)</f>
        <v>#N/A</v>
      </c>
      <c r="CJ171" t="e">
        <f>VLOOKUP($BJ171,G_26,12,FALSE)</f>
        <v>#N/A</v>
      </c>
      <c r="CK171" t="e">
        <f>VLOOKUP($BJ171,G_27,12,FALSE)</f>
        <v>#N/A</v>
      </c>
      <c r="CL171" t="e">
        <f>VLOOKUP($BJ171,G_28,12,FALSE)</f>
        <v>#N/A</v>
      </c>
      <c r="CM171" t="e">
        <f>VLOOKUP($BJ171,G_29,12,FALSE)</f>
        <v>#N/A</v>
      </c>
      <c r="CN171" t="e">
        <f>VLOOKUP($BJ171,G_30,12,FALSE)</f>
        <v>#N/A</v>
      </c>
      <c r="CO171" t="e">
        <f>VLOOKUP($BJ171,G_31,12,FALSE)</f>
        <v>#N/A</v>
      </c>
      <c r="CP171" t="e">
        <f>VLOOKUP($BJ171,G_32,12,FALSE)</f>
        <v>#N/A</v>
      </c>
      <c r="CQ171" t="e">
        <f>VLOOKUP($BJ171,G_33,12,FALSE)</f>
        <v>#N/A</v>
      </c>
      <c r="CR171" t="e">
        <f>VLOOKUP($BJ171,G_34,12,FALSE)</f>
        <v>#N/A</v>
      </c>
      <c r="CS171" t="e">
        <f>VLOOKUP($BJ171,G_35,12,FALSE)</f>
        <v>#N/A</v>
      </c>
      <c r="CT171" t="e">
        <f>VLOOKUP($BJ171,G_36,12,FALSE)</f>
        <v>#N/A</v>
      </c>
      <c r="CU171" t="e">
        <f>VLOOKUP($BJ171,G_37,12,FALSE)</f>
        <v>#N/A</v>
      </c>
      <c r="CV171" t="e">
        <f>VLOOKUP($BJ171,G_38,12,FALSE)</f>
        <v>#N/A</v>
      </c>
      <c r="CW171" t="e">
        <f>VLOOKUP($BJ171,G_39,12,FALSE)</f>
        <v>#N/A</v>
      </c>
      <c r="CX171" t="e">
        <f>VLOOKUP($BJ171,G_40,12,FALSE)</f>
        <v>#N/A</v>
      </c>
      <c r="CY171" t="e">
        <f>VLOOKUP($BJ171,G_41,12,FALSE)</f>
        <v>#N/A</v>
      </c>
      <c r="CZ171" t="e">
        <f>VLOOKUP($BJ171,G_41,12,FALSE)</f>
        <v>#N/A</v>
      </c>
      <c r="DA171" t="e">
        <f>VLOOKUP($BJ171,G_43,12,FALSE)</f>
        <v>#N/A</v>
      </c>
    </row>
    <row r="172" spans="2:156" x14ac:dyDescent="0.3">
      <c r="B172" s="18" t="s">
        <v>638</v>
      </c>
      <c r="C172" s="13">
        <v>63</v>
      </c>
      <c r="D172" s="21" t="s">
        <v>639</v>
      </c>
      <c r="E172" s="24">
        <v>53</v>
      </c>
      <c r="G172" s="2">
        <f t="shared" si="48"/>
        <v>153</v>
      </c>
      <c r="H172" s="5">
        <v>2</v>
      </c>
      <c r="I172" s="13">
        <v>20</v>
      </c>
      <c r="L172" s="4"/>
      <c r="M172" s="7"/>
      <c r="O172" s="7"/>
      <c r="T172" s="7"/>
      <c r="BB172">
        <f t="shared" si="47"/>
        <v>19</v>
      </c>
      <c r="BC172" t="e">
        <f t="shared" si="42"/>
        <v>#N/A</v>
      </c>
      <c r="BD172" t="e">
        <f t="shared" si="50"/>
        <v>#N/A</v>
      </c>
      <c r="BE172" t="str">
        <f t="shared" si="45"/>
        <v/>
      </c>
      <c r="BF172">
        <f t="shared" si="46"/>
        <v>19</v>
      </c>
      <c r="BH172" t="e">
        <f t="shared" si="44"/>
        <v>#N/A</v>
      </c>
      <c r="BK172" s="26"/>
      <c r="BL172" s="26"/>
      <c r="BM172" s="26"/>
      <c r="BN172" s="26"/>
      <c r="BO172" s="26"/>
      <c r="BP172" s="32"/>
    </row>
    <row r="173" spans="2:156" x14ac:dyDescent="0.3">
      <c r="B173" s="18" t="s">
        <v>640</v>
      </c>
      <c r="C173" s="13">
        <v>64</v>
      </c>
      <c r="D173" s="21" t="s">
        <v>641</v>
      </c>
      <c r="E173" s="24">
        <v>52</v>
      </c>
      <c r="G173" s="2">
        <f t="shared" si="48"/>
        <v>154</v>
      </c>
      <c r="H173" s="5">
        <v>2</v>
      </c>
      <c r="I173" s="13">
        <v>20</v>
      </c>
      <c r="L173" s="4"/>
      <c r="M173" s="7"/>
      <c r="O173" s="7"/>
      <c r="T173" s="7"/>
      <c r="BB173">
        <f t="shared" si="47"/>
        <v>20</v>
      </c>
      <c r="BC173" t="e">
        <f t="shared" si="42"/>
        <v>#N/A</v>
      </c>
      <c r="BD173" t="e">
        <f t="shared" si="50"/>
        <v>#N/A</v>
      </c>
      <c r="BE173" t="str">
        <f t="shared" si="45"/>
        <v/>
      </c>
      <c r="BF173">
        <f t="shared" si="46"/>
        <v>20</v>
      </c>
      <c r="BH173" t="e">
        <f t="shared" si="44"/>
        <v>#N/A</v>
      </c>
      <c r="BK173" s="26"/>
      <c r="BL173" s="26"/>
      <c r="BM173" s="26"/>
      <c r="BN173" s="26"/>
      <c r="BO173" s="26"/>
      <c r="BP173" s="32"/>
    </row>
    <row r="174" spans="2:156" x14ac:dyDescent="0.3">
      <c r="B174" s="18" t="s">
        <v>642</v>
      </c>
      <c r="C174" s="13">
        <v>65</v>
      </c>
      <c r="D174" s="21" t="s">
        <v>643</v>
      </c>
      <c r="E174" s="24">
        <v>34</v>
      </c>
      <c r="G174" s="2">
        <f t="shared" si="48"/>
        <v>155</v>
      </c>
      <c r="H174" s="5">
        <v>2</v>
      </c>
      <c r="I174" s="13">
        <v>20</v>
      </c>
      <c r="L174" s="4"/>
      <c r="M174" s="7"/>
      <c r="O174" s="7"/>
      <c r="T174" s="7"/>
      <c r="BB174">
        <f t="shared" si="47"/>
        <v>21</v>
      </c>
      <c r="BC174" t="e">
        <f t="shared" si="42"/>
        <v>#N/A</v>
      </c>
      <c r="BD174" t="e">
        <f t="shared" si="50"/>
        <v>#N/A</v>
      </c>
      <c r="BE174" t="str">
        <f t="shared" si="45"/>
        <v/>
      </c>
      <c r="BF174">
        <f t="shared" si="46"/>
        <v>21</v>
      </c>
      <c r="BH174" t="e">
        <f t="shared" si="44"/>
        <v>#N/A</v>
      </c>
      <c r="BK174" s="26"/>
      <c r="BL174" s="26"/>
      <c r="BM174" s="26"/>
      <c r="BN174" s="26"/>
      <c r="BO174" s="26"/>
      <c r="BP174" s="32"/>
    </row>
    <row r="175" spans="2:156" x14ac:dyDescent="0.3">
      <c r="B175" s="18" t="s">
        <v>644</v>
      </c>
      <c r="C175" s="13">
        <v>66</v>
      </c>
      <c r="D175" s="21" t="s">
        <v>645</v>
      </c>
      <c r="E175" s="24">
        <v>51</v>
      </c>
      <c r="G175" s="2">
        <f t="shared" si="48"/>
        <v>156</v>
      </c>
      <c r="H175" s="5">
        <v>2</v>
      </c>
      <c r="I175" s="13">
        <v>20</v>
      </c>
      <c r="L175" s="4"/>
      <c r="M175" s="7"/>
      <c r="O175" s="7"/>
      <c r="T175" s="7"/>
      <c r="BB175">
        <f t="shared" si="47"/>
        <v>22</v>
      </c>
      <c r="BC175" t="e">
        <f t="shared" si="42"/>
        <v>#N/A</v>
      </c>
      <c r="BD175" t="e">
        <f t="shared" si="50"/>
        <v>#N/A</v>
      </c>
      <c r="BE175" t="str">
        <f t="shared" si="45"/>
        <v/>
      </c>
      <c r="BF175">
        <f t="shared" si="46"/>
        <v>22</v>
      </c>
      <c r="BH175" t="e">
        <f t="shared" si="44"/>
        <v>#N/A</v>
      </c>
      <c r="BK175" s="26"/>
      <c r="BL175" s="26"/>
      <c r="BM175" s="26"/>
      <c r="BN175" s="26"/>
      <c r="BO175" s="26"/>
      <c r="BP175" s="32"/>
    </row>
    <row r="176" spans="2:156" x14ac:dyDescent="0.3">
      <c r="B176" s="18" t="s">
        <v>646</v>
      </c>
      <c r="C176" s="13">
        <v>67</v>
      </c>
      <c r="D176" s="21" t="s">
        <v>647</v>
      </c>
      <c r="E176" s="24">
        <v>50</v>
      </c>
      <c r="G176" s="2">
        <f t="shared" si="48"/>
        <v>157</v>
      </c>
      <c r="H176" s="5">
        <v>2</v>
      </c>
      <c r="I176" s="13">
        <v>20</v>
      </c>
      <c r="L176" s="4"/>
      <c r="M176" s="7"/>
      <c r="O176" s="7"/>
      <c r="T176" s="7"/>
      <c r="BB176">
        <f t="shared" si="47"/>
        <v>23</v>
      </c>
      <c r="BC176" t="e">
        <f t="shared" si="42"/>
        <v>#N/A</v>
      </c>
      <c r="BD176" t="e">
        <f t="shared" si="50"/>
        <v>#N/A</v>
      </c>
      <c r="BE176" t="str">
        <f t="shared" si="45"/>
        <v/>
      </c>
      <c r="BF176">
        <f t="shared" si="46"/>
        <v>23</v>
      </c>
      <c r="BH176" t="e">
        <f t="shared" si="44"/>
        <v>#N/A</v>
      </c>
      <c r="BK176" s="26"/>
      <c r="BL176" s="26"/>
      <c r="BM176" s="26"/>
      <c r="BN176" s="26"/>
      <c r="BO176" s="26"/>
      <c r="BP176" s="32"/>
    </row>
    <row r="177" spans="2:68" x14ac:dyDescent="0.3">
      <c r="B177" s="18" t="s">
        <v>648</v>
      </c>
      <c r="C177" s="13">
        <v>68</v>
      </c>
      <c r="D177" s="21" t="s">
        <v>649</v>
      </c>
      <c r="E177" s="24">
        <v>49</v>
      </c>
      <c r="G177" s="2">
        <f t="shared" si="48"/>
        <v>158</v>
      </c>
      <c r="H177" s="5">
        <v>2</v>
      </c>
      <c r="I177" s="13">
        <v>20</v>
      </c>
      <c r="L177" s="4"/>
      <c r="M177" s="7"/>
      <c r="O177" s="7"/>
      <c r="T177" s="7"/>
      <c r="BB177">
        <f t="shared" si="47"/>
        <v>24</v>
      </c>
      <c r="BC177" t="e">
        <f t="shared" si="42"/>
        <v>#N/A</v>
      </c>
      <c r="BD177" t="e">
        <f t="shared" si="50"/>
        <v>#N/A</v>
      </c>
      <c r="BE177" t="str">
        <f t="shared" si="45"/>
        <v/>
      </c>
      <c r="BF177">
        <f t="shared" si="46"/>
        <v>24</v>
      </c>
      <c r="BH177" t="e">
        <f t="shared" si="44"/>
        <v>#N/A</v>
      </c>
      <c r="BK177" s="26"/>
      <c r="BL177" s="26"/>
      <c r="BM177" s="26"/>
      <c r="BN177" s="26"/>
      <c r="BO177" s="26"/>
      <c r="BP177" s="32"/>
    </row>
    <row r="178" spans="2:68" x14ac:dyDescent="0.3">
      <c r="B178" s="18" t="s">
        <v>650</v>
      </c>
      <c r="C178" s="13">
        <v>69</v>
      </c>
      <c r="D178" s="21" t="s">
        <v>651</v>
      </c>
      <c r="E178" s="24">
        <v>48</v>
      </c>
      <c r="G178" s="2">
        <f t="shared" si="48"/>
        <v>159</v>
      </c>
      <c r="H178" s="5">
        <v>2</v>
      </c>
      <c r="I178" s="13">
        <v>20</v>
      </c>
      <c r="L178" s="4"/>
      <c r="M178" s="7"/>
      <c r="O178" s="7"/>
      <c r="T178" s="7"/>
      <c r="BB178">
        <f t="shared" si="47"/>
        <v>25</v>
      </c>
      <c r="BC178" t="e">
        <f t="shared" si="42"/>
        <v>#N/A</v>
      </c>
      <c r="BD178" t="e">
        <f t="shared" si="50"/>
        <v>#N/A</v>
      </c>
      <c r="BE178" t="str">
        <f t="shared" si="45"/>
        <v/>
      </c>
      <c r="BF178">
        <f t="shared" si="46"/>
        <v>25</v>
      </c>
      <c r="BH178" t="e">
        <f t="shared" si="44"/>
        <v>#N/A</v>
      </c>
      <c r="BK178" s="26"/>
      <c r="BL178" s="26"/>
      <c r="BM178" s="26"/>
      <c r="BN178" s="26"/>
      <c r="BO178" s="26"/>
      <c r="BP178" s="32"/>
    </row>
    <row r="179" spans="2:68" x14ac:dyDescent="0.3">
      <c r="B179" s="18" t="s">
        <v>652</v>
      </c>
      <c r="C179" s="13">
        <v>70</v>
      </c>
      <c r="D179" s="21" t="s">
        <v>653</v>
      </c>
      <c r="E179" s="24">
        <v>47</v>
      </c>
      <c r="G179" s="2">
        <f t="shared" si="48"/>
        <v>160</v>
      </c>
      <c r="H179" s="5">
        <v>2</v>
      </c>
      <c r="I179" s="13">
        <v>20</v>
      </c>
      <c r="L179" s="4"/>
      <c r="M179" s="7"/>
      <c r="O179" s="7"/>
      <c r="T179" s="7"/>
      <c r="BB179">
        <f t="shared" si="47"/>
        <v>26</v>
      </c>
      <c r="BC179" t="e">
        <f t="shared" si="42"/>
        <v>#N/A</v>
      </c>
      <c r="BD179" t="e">
        <f t="shared" si="50"/>
        <v>#N/A</v>
      </c>
      <c r="BE179" t="str">
        <f t="shared" si="45"/>
        <v/>
      </c>
      <c r="BF179">
        <f t="shared" si="46"/>
        <v>26</v>
      </c>
      <c r="BH179" t="e">
        <f t="shared" si="44"/>
        <v>#N/A</v>
      </c>
      <c r="BK179" s="26"/>
      <c r="BL179" s="26"/>
      <c r="BM179" s="26"/>
      <c r="BN179" s="26"/>
      <c r="BO179" s="26"/>
      <c r="BP179" s="32"/>
    </row>
    <row r="180" spans="2:68" x14ac:dyDescent="0.3">
      <c r="B180" s="18" t="s">
        <v>654</v>
      </c>
      <c r="C180" s="13">
        <v>71</v>
      </c>
      <c r="D180" s="21" t="s">
        <v>655</v>
      </c>
      <c r="E180" s="24">
        <v>46</v>
      </c>
      <c r="G180" s="2">
        <f t="shared" si="48"/>
        <v>161</v>
      </c>
      <c r="H180" s="5">
        <v>2</v>
      </c>
      <c r="I180" s="13">
        <v>20</v>
      </c>
      <c r="L180" s="4"/>
      <c r="M180" s="7"/>
      <c r="O180" s="7"/>
      <c r="T180" s="7"/>
      <c r="BB180">
        <f t="shared" si="47"/>
        <v>27</v>
      </c>
      <c r="BC180" t="e">
        <f t="shared" si="42"/>
        <v>#N/A</v>
      </c>
      <c r="BD180" t="e">
        <f t="shared" si="50"/>
        <v>#N/A</v>
      </c>
      <c r="BE180" t="str">
        <f t="shared" si="45"/>
        <v/>
      </c>
      <c r="BF180">
        <f t="shared" si="46"/>
        <v>27</v>
      </c>
      <c r="BH180" t="e">
        <f t="shared" si="44"/>
        <v>#N/A</v>
      </c>
      <c r="BK180" s="26"/>
      <c r="BL180" s="26"/>
      <c r="BM180" s="26"/>
      <c r="BN180" s="26"/>
      <c r="BO180" s="26"/>
      <c r="BP180" s="32"/>
    </row>
    <row r="181" spans="2:68" x14ac:dyDescent="0.3">
      <c r="B181" s="18" t="s">
        <v>656</v>
      </c>
      <c r="C181" s="13">
        <v>54</v>
      </c>
      <c r="D181" s="21" t="s">
        <v>657</v>
      </c>
      <c r="E181" s="24">
        <v>45</v>
      </c>
      <c r="G181" s="2">
        <f t="shared" si="48"/>
        <v>162</v>
      </c>
      <c r="H181" s="5">
        <v>2</v>
      </c>
      <c r="I181" s="13">
        <v>20</v>
      </c>
      <c r="L181" s="4"/>
      <c r="M181" s="7"/>
      <c r="O181" s="7"/>
      <c r="T181" s="7"/>
      <c r="BB181">
        <f t="shared" si="47"/>
        <v>28</v>
      </c>
      <c r="BC181" t="e">
        <f t="shared" si="42"/>
        <v>#N/A</v>
      </c>
      <c r="BD181" t="e">
        <f t="shared" si="50"/>
        <v>#N/A</v>
      </c>
      <c r="BE181" t="str">
        <f t="shared" si="45"/>
        <v/>
      </c>
      <c r="BF181">
        <f t="shared" si="46"/>
        <v>28</v>
      </c>
      <c r="BH181" t="e">
        <f t="shared" si="44"/>
        <v>#N/A</v>
      </c>
      <c r="BK181" s="26"/>
      <c r="BL181" s="26"/>
      <c r="BM181" s="26"/>
      <c r="BN181" s="26"/>
      <c r="BO181" s="26"/>
      <c r="BP181" s="32"/>
    </row>
    <row r="182" spans="2:68" x14ac:dyDescent="0.3">
      <c r="B182" s="18" t="s">
        <v>658</v>
      </c>
      <c r="C182" s="13">
        <v>72</v>
      </c>
      <c r="D182" s="21" t="s">
        <v>659</v>
      </c>
      <c r="E182" s="24">
        <v>44</v>
      </c>
      <c r="G182" s="2">
        <f t="shared" si="48"/>
        <v>163</v>
      </c>
      <c r="H182" s="5">
        <v>2</v>
      </c>
      <c r="I182" s="13">
        <v>20</v>
      </c>
      <c r="L182" s="4"/>
      <c r="M182" s="7"/>
      <c r="O182" s="7"/>
      <c r="T182" s="7"/>
      <c r="BB182">
        <f t="shared" si="47"/>
        <v>29</v>
      </c>
      <c r="BC182" t="e">
        <f t="shared" si="42"/>
        <v>#N/A</v>
      </c>
      <c r="BD182" t="e">
        <f t="shared" si="50"/>
        <v>#N/A</v>
      </c>
      <c r="BE182" t="str">
        <f t="shared" si="45"/>
        <v/>
      </c>
      <c r="BF182">
        <f t="shared" si="46"/>
        <v>29</v>
      </c>
      <c r="BH182" t="e">
        <f t="shared" si="44"/>
        <v>#N/A</v>
      </c>
      <c r="BK182" s="26"/>
      <c r="BL182" s="26"/>
      <c r="BM182" s="26"/>
      <c r="BN182" s="26"/>
      <c r="BO182" s="26"/>
      <c r="BP182" s="32"/>
    </row>
    <row r="183" spans="2:68" x14ac:dyDescent="0.3">
      <c r="B183" s="18" t="s">
        <v>660</v>
      </c>
      <c r="C183" s="13">
        <v>73</v>
      </c>
      <c r="D183" s="21" t="s">
        <v>661</v>
      </c>
      <c r="E183" s="24">
        <v>43</v>
      </c>
      <c r="G183" s="2">
        <f t="shared" si="48"/>
        <v>164</v>
      </c>
      <c r="H183" s="5">
        <v>2</v>
      </c>
      <c r="I183" s="13">
        <v>20</v>
      </c>
      <c r="L183" s="4"/>
      <c r="M183" s="7"/>
      <c r="O183" s="7"/>
      <c r="T183" s="7"/>
      <c r="BB183">
        <f t="shared" si="47"/>
        <v>30</v>
      </c>
      <c r="BC183" t="e">
        <f t="shared" si="42"/>
        <v>#N/A</v>
      </c>
      <c r="BD183" t="e">
        <f t="shared" si="50"/>
        <v>#N/A</v>
      </c>
      <c r="BE183" t="str">
        <f t="shared" si="45"/>
        <v/>
      </c>
      <c r="BF183">
        <f t="shared" si="46"/>
        <v>30</v>
      </c>
      <c r="BH183" t="e">
        <f t="shared" si="44"/>
        <v>#N/A</v>
      </c>
      <c r="BK183" s="26"/>
      <c r="BL183" s="26"/>
      <c r="BM183" s="26"/>
      <c r="BN183" s="26"/>
      <c r="BO183" s="26"/>
      <c r="BP183" s="32"/>
    </row>
    <row r="184" spans="2:68" x14ac:dyDescent="0.3">
      <c r="B184" s="18" t="s">
        <v>662</v>
      </c>
      <c r="C184" s="13">
        <v>74</v>
      </c>
      <c r="D184" s="21" t="s">
        <v>663</v>
      </c>
      <c r="E184" s="24">
        <v>42</v>
      </c>
      <c r="G184" s="2">
        <f t="shared" si="48"/>
        <v>165</v>
      </c>
      <c r="H184" s="5">
        <v>2</v>
      </c>
      <c r="I184" s="13">
        <v>20</v>
      </c>
      <c r="L184" s="4"/>
      <c r="M184" s="7"/>
      <c r="O184" s="7"/>
      <c r="T184" s="7"/>
      <c r="BB184">
        <f t="shared" si="47"/>
        <v>31</v>
      </c>
      <c r="BC184" t="e">
        <f t="shared" si="42"/>
        <v>#N/A</v>
      </c>
      <c r="BD184" t="e">
        <f t="shared" si="50"/>
        <v>#N/A</v>
      </c>
      <c r="BE184" t="str">
        <f t="shared" si="45"/>
        <v/>
      </c>
      <c r="BF184">
        <f t="shared" si="46"/>
        <v>31</v>
      </c>
      <c r="BH184" t="e">
        <f t="shared" si="44"/>
        <v>#N/A</v>
      </c>
      <c r="BK184" s="26"/>
      <c r="BL184" s="26"/>
      <c r="BM184" s="26"/>
      <c r="BN184" s="26"/>
      <c r="BO184" s="26"/>
      <c r="BP184" s="32"/>
    </row>
    <row r="185" spans="2:68" x14ac:dyDescent="0.3">
      <c r="B185" s="18" t="s">
        <v>664</v>
      </c>
      <c r="C185" s="13">
        <v>75</v>
      </c>
      <c r="D185" s="21" t="s">
        <v>665</v>
      </c>
      <c r="E185" s="24">
        <v>33</v>
      </c>
      <c r="G185" s="2">
        <f t="shared" si="48"/>
        <v>166</v>
      </c>
      <c r="H185" s="5">
        <v>2</v>
      </c>
      <c r="I185" s="13">
        <v>20</v>
      </c>
      <c r="L185" s="4"/>
      <c r="M185" s="7"/>
      <c r="O185" s="7"/>
      <c r="T185" s="7"/>
      <c r="BB185">
        <f t="shared" si="47"/>
        <v>32</v>
      </c>
      <c r="BC185" t="e">
        <f t="shared" si="42"/>
        <v>#N/A</v>
      </c>
      <c r="BD185" t="e">
        <f t="shared" si="50"/>
        <v>#N/A</v>
      </c>
      <c r="BE185" t="str">
        <f t="shared" si="45"/>
        <v/>
      </c>
      <c r="BF185">
        <f t="shared" si="46"/>
        <v>32</v>
      </c>
      <c r="BH185" t="e">
        <f t="shared" si="44"/>
        <v>#N/A</v>
      </c>
      <c r="BK185" s="26"/>
      <c r="BL185" s="26"/>
      <c r="BM185" s="26"/>
      <c r="BN185" s="26"/>
      <c r="BO185" s="26"/>
      <c r="BP185" s="32"/>
    </row>
    <row r="186" spans="2:68" x14ac:dyDescent="0.3">
      <c r="B186" s="18" t="s">
        <v>666</v>
      </c>
      <c r="C186" s="13">
        <v>76</v>
      </c>
      <c r="D186" s="21" t="s">
        <v>667</v>
      </c>
      <c r="E186" s="24">
        <v>9</v>
      </c>
      <c r="G186" s="2">
        <f t="shared" si="48"/>
        <v>167</v>
      </c>
      <c r="H186" s="5">
        <v>2</v>
      </c>
      <c r="I186" s="13">
        <v>20</v>
      </c>
      <c r="L186" s="4"/>
      <c r="M186" s="7"/>
      <c r="O186" s="7"/>
      <c r="T186" s="7"/>
      <c r="BB186">
        <f t="shared" si="47"/>
        <v>33</v>
      </c>
      <c r="BC186" t="e">
        <f t="shared" ref="BC186:BC217" si="51">HLOOKUP(Tot_Jug,Knockout,BB186+1,FALSE)</f>
        <v>#N/A</v>
      </c>
      <c r="BD186" t="e">
        <f t="shared" si="50"/>
        <v>#N/A</v>
      </c>
      <c r="BE186" t="str">
        <f t="shared" si="45"/>
        <v/>
      </c>
      <c r="BF186">
        <f t="shared" si="46"/>
        <v>33</v>
      </c>
      <c r="BH186" t="e">
        <f t="shared" ref="BH186:BH217" si="52">HLOOKUP(CONCATENATE("G",BE186),Group_Results,BG186+1,FALSE)</f>
        <v>#N/A</v>
      </c>
      <c r="BK186" s="26"/>
      <c r="BL186" s="26"/>
      <c r="BM186" s="26"/>
      <c r="BN186" s="26"/>
      <c r="BO186" s="26"/>
      <c r="BP186" s="32"/>
    </row>
    <row r="187" spans="2:68" x14ac:dyDescent="0.3">
      <c r="B187" s="18" t="s">
        <v>668</v>
      </c>
      <c r="C187" s="13">
        <v>77</v>
      </c>
      <c r="D187" s="21" t="s">
        <v>669</v>
      </c>
      <c r="E187" s="24">
        <v>8</v>
      </c>
      <c r="G187" s="2">
        <f t="shared" si="48"/>
        <v>168</v>
      </c>
      <c r="H187" s="5">
        <v>2</v>
      </c>
      <c r="I187" s="13">
        <v>20</v>
      </c>
      <c r="L187" s="4"/>
      <c r="M187" s="7"/>
      <c r="O187" s="7"/>
      <c r="T187" s="7"/>
      <c r="BB187">
        <f t="shared" si="47"/>
        <v>34</v>
      </c>
      <c r="BC187" t="e">
        <f t="shared" si="51"/>
        <v>#N/A</v>
      </c>
      <c r="BD187" t="e">
        <f t="shared" si="50"/>
        <v>#N/A</v>
      </c>
      <c r="BE187" t="str">
        <f t="shared" ref="BE187:BE218" si="53">IF(BF187&gt;Tot_Jug,"",IF(BF187&lt;=Grps,BF186+1,IF(BF187=Grps+1,1,IF(AND(BF187&gt;Grps,BF187&lt;=Grps*2),BE186+1,IF(BF187=(Grps*2)+1,Grps,IF(BF187&gt;(Grps*2)+1,BE186-1,IF(BF187&gt;Tot_Jug,"",9999999)))))))</f>
        <v/>
      </c>
      <c r="BF187">
        <f t="shared" ref="BF187:BF218" si="54">IF(BF186="","",IF(BF186=Tot_Jug,"",BF186+1))</f>
        <v>34</v>
      </c>
      <c r="BH187" t="e">
        <f t="shared" si="52"/>
        <v>#N/A</v>
      </c>
      <c r="BK187" s="26"/>
      <c r="BL187" s="26"/>
      <c r="BM187" s="26"/>
      <c r="BN187" s="26"/>
      <c r="BO187" s="26"/>
      <c r="BP187" s="32"/>
    </row>
    <row r="188" spans="2:68" x14ac:dyDescent="0.3">
      <c r="B188" s="18" t="s">
        <v>670</v>
      </c>
      <c r="C188" s="13">
        <v>78</v>
      </c>
      <c r="D188" s="21" t="s">
        <v>671</v>
      </c>
      <c r="E188" s="24">
        <v>7</v>
      </c>
      <c r="G188" s="2">
        <f t="shared" si="48"/>
        <v>169</v>
      </c>
      <c r="H188" s="5">
        <v>2</v>
      </c>
      <c r="I188" s="13">
        <v>20</v>
      </c>
      <c r="L188" s="4"/>
      <c r="M188" s="7"/>
      <c r="O188" s="7"/>
      <c r="T188" s="7"/>
      <c r="BB188">
        <f t="shared" si="47"/>
        <v>35</v>
      </c>
      <c r="BC188" t="e">
        <f t="shared" si="51"/>
        <v>#N/A</v>
      </c>
      <c r="BD188" t="e">
        <f t="shared" si="50"/>
        <v>#N/A</v>
      </c>
      <c r="BE188" t="str">
        <f t="shared" si="53"/>
        <v/>
      </c>
      <c r="BF188">
        <f t="shared" si="54"/>
        <v>35</v>
      </c>
      <c r="BH188" t="e">
        <f t="shared" si="52"/>
        <v>#N/A</v>
      </c>
      <c r="BK188" s="26"/>
      <c r="BL188" s="26"/>
      <c r="BM188" s="26"/>
      <c r="BN188" s="26"/>
      <c r="BO188" s="26"/>
      <c r="BP188" s="32"/>
    </row>
    <row r="189" spans="2:68" x14ac:dyDescent="0.3">
      <c r="B189" s="18" t="s">
        <v>672</v>
      </c>
      <c r="C189" s="13">
        <v>55</v>
      </c>
      <c r="D189" s="21" t="s">
        <v>673</v>
      </c>
      <c r="E189" s="24">
        <v>6</v>
      </c>
      <c r="G189" s="2">
        <f t="shared" si="48"/>
        <v>170</v>
      </c>
      <c r="H189" s="5">
        <v>2</v>
      </c>
      <c r="I189" s="13">
        <v>20</v>
      </c>
      <c r="L189" s="4"/>
      <c r="M189" s="7"/>
      <c r="O189" s="7"/>
      <c r="T189" s="7"/>
      <c r="BB189">
        <f t="shared" si="47"/>
        <v>36</v>
      </c>
      <c r="BC189" t="e">
        <f t="shared" si="51"/>
        <v>#N/A</v>
      </c>
      <c r="BD189" t="e">
        <f t="shared" si="50"/>
        <v>#N/A</v>
      </c>
      <c r="BE189" t="str">
        <f t="shared" si="53"/>
        <v/>
      </c>
      <c r="BF189">
        <f t="shared" si="54"/>
        <v>36</v>
      </c>
      <c r="BH189" t="e">
        <f t="shared" si="52"/>
        <v>#N/A</v>
      </c>
      <c r="BK189" s="26"/>
      <c r="BL189" s="26"/>
      <c r="BM189" s="26"/>
      <c r="BN189" s="26"/>
      <c r="BO189" s="26"/>
      <c r="BP189" s="32"/>
    </row>
    <row r="190" spans="2:68" x14ac:dyDescent="0.3">
      <c r="B190" s="18" t="s">
        <v>674</v>
      </c>
      <c r="C190" s="13">
        <v>56</v>
      </c>
      <c r="D190" s="21" t="s">
        <v>675</v>
      </c>
      <c r="E190" s="24">
        <v>5</v>
      </c>
      <c r="G190" s="2">
        <f t="shared" si="48"/>
        <v>171</v>
      </c>
      <c r="H190" s="5">
        <v>2</v>
      </c>
      <c r="I190" s="13">
        <v>20</v>
      </c>
      <c r="L190" s="4"/>
      <c r="M190" s="7"/>
      <c r="O190" s="7"/>
      <c r="T190" s="7"/>
      <c r="BB190">
        <f t="shared" si="47"/>
        <v>37</v>
      </c>
      <c r="BC190" t="e">
        <f t="shared" si="51"/>
        <v>#N/A</v>
      </c>
      <c r="BD190" t="e">
        <f t="shared" si="50"/>
        <v>#N/A</v>
      </c>
      <c r="BE190" t="str">
        <f t="shared" si="53"/>
        <v/>
      </c>
      <c r="BF190">
        <f t="shared" si="54"/>
        <v>37</v>
      </c>
      <c r="BH190" t="e">
        <f t="shared" si="52"/>
        <v>#N/A</v>
      </c>
      <c r="BK190" s="26"/>
      <c r="BL190" s="26"/>
      <c r="BM190" s="26"/>
      <c r="BN190" s="26"/>
      <c r="BO190" s="26"/>
      <c r="BP190" s="32"/>
    </row>
    <row r="191" spans="2:68" x14ac:dyDescent="0.3">
      <c r="B191" s="18" t="s">
        <v>676</v>
      </c>
      <c r="C191" s="13">
        <v>57</v>
      </c>
      <c r="D191" s="21" t="s">
        <v>677</v>
      </c>
      <c r="E191" s="24">
        <v>4</v>
      </c>
      <c r="G191" s="2">
        <f t="shared" si="48"/>
        <v>172</v>
      </c>
      <c r="H191" s="5">
        <v>2</v>
      </c>
      <c r="I191" s="13">
        <v>20</v>
      </c>
      <c r="L191" s="4"/>
      <c r="M191" s="7"/>
      <c r="O191" s="7"/>
      <c r="T191" s="7"/>
      <c r="BB191">
        <f t="shared" si="47"/>
        <v>38</v>
      </c>
      <c r="BC191" t="e">
        <f t="shared" si="51"/>
        <v>#N/A</v>
      </c>
      <c r="BD191" t="e">
        <f t="shared" si="50"/>
        <v>#N/A</v>
      </c>
      <c r="BE191" t="str">
        <f t="shared" si="53"/>
        <v/>
      </c>
      <c r="BF191">
        <f t="shared" si="54"/>
        <v>38</v>
      </c>
      <c r="BH191" t="e">
        <f t="shared" si="52"/>
        <v>#N/A</v>
      </c>
      <c r="BK191" s="26"/>
      <c r="BL191" s="26"/>
      <c r="BM191" s="26"/>
      <c r="BN191" s="26"/>
      <c r="BO191" s="26"/>
      <c r="BP191" s="32"/>
    </row>
    <row r="192" spans="2:68" x14ac:dyDescent="0.3">
      <c r="B192" s="18" t="s">
        <v>678</v>
      </c>
      <c r="C192" s="13">
        <v>58</v>
      </c>
      <c r="D192" s="21" t="s">
        <v>679</v>
      </c>
      <c r="E192" s="24">
        <v>32</v>
      </c>
      <c r="G192" s="2">
        <f t="shared" si="48"/>
        <v>173</v>
      </c>
      <c r="H192" s="5">
        <v>2</v>
      </c>
      <c r="I192" s="13">
        <v>20</v>
      </c>
      <c r="L192" s="4"/>
      <c r="M192" s="7"/>
      <c r="O192" s="7"/>
      <c r="T192" s="7"/>
      <c r="BB192">
        <f t="shared" si="47"/>
        <v>39</v>
      </c>
      <c r="BC192" t="e">
        <f t="shared" si="51"/>
        <v>#N/A</v>
      </c>
      <c r="BD192" t="e">
        <f t="shared" si="50"/>
        <v>#N/A</v>
      </c>
      <c r="BE192" t="str">
        <f t="shared" si="53"/>
        <v/>
      </c>
      <c r="BF192">
        <f t="shared" si="54"/>
        <v>39</v>
      </c>
      <c r="BH192" t="e">
        <f t="shared" si="52"/>
        <v>#N/A</v>
      </c>
      <c r="BK192" s="26"/>
      <c r="BL192" s="26"/>
      <c r="BM192" s="26"/>
      <c r="BN192" s="26"/>
      <c r="BO192" s="26"/>
      <c r="BP192" s="32"/>
    </row>
    <row r="193" spans="2:68" x14ac:dyDescent="0.3">
      <c r="B193" s="18" t="s">
        <v>680</v>
      </c>
      <c r="C193" s="13">
        <v>59</v>
      </c>
      <c r="D193" s="21" t="s">
        <v>681</v>
      </c>
      <c r="E193" s="24">
        <v>31</v>
      </c>
      <c r="G193" s="2">
        <f t="shared" si="48"/>
        <v>174</v>
      </c>
      <c r="H193" s="5">
        <v>2</v>
      </c>
      <c r="I193" s="13">
        <v>20</v>
      </c>
      <c r="L193" s="4"/>
      <c r="M193" s="7"/>
      <c r="O193" s="7"/>
      <c r="T193" s="7"/>
      <c r="BB193">
        <f t="shared" si="47"/>
        <v>40</v>
      </c>
      <c r="BC193" t="e">
        <f t="shared" si="51"/>
        <v>#N/A</v>
      </c>
      <c r="BD193" t="e">
        <f t="shared" si="50"/>
        <v>#N/A</v>
      </c>
      <c r="BE193" t="str">
        <f t="shared" si="53"/>
        <v/>
      </c>
      <c r="BF193">
        <f t="shared" si="54"/>
        <v>40</v>
      </c>
      <c r="BH193" t="e">
        <f t="shared" si="52"/>
        <v>#N/A</v>
      </c>
      <c r="BK193" s="26"/>
      <c r="BL193" s="26"/>
      <c r="BM193" s="26"/>
      <c r="BN193" s="26"/>
      <c r="BO193" s="26"/>
      <c r="BP193" s="32"/>
    </row>
    <row r="194" spans="2:68" x14ac:dyDescent="0.3">
      <c r="B194" s="18" t="s">
        <v>682</v>
      </c>
      <c r="C194" s="13">
        <v>60</v>
      </c>
      <c r="D194" s="21" t="s">
        <v>683</v>
      </c>
      <c r="E194" s="24">
        <v>30</v>
      </c>
      <c r="G194" s="2">
        <f t="shared" si="48"/>
        <v>175</v>
      </c>
      <c r="H194" s="5">
        <v>2</v>
      </c>
      <c r="I194" s="13">
        <v>20</v>
      </c>
      <c r="L194" s="4"/>
      <c r="M194" s="7"/>
      <c r="O194" s="7"/>
      <c r="T194" s="7"/>
      <c r="BB194">
        <f t="shared" si="47"/>
        <v>41</v>
      </c>
      <c r="BC194" t="e">
        <f t="shared" si="51"/>
        <v>#N/A</v>
      </c>
      <c r="BD194" t="e">
        <f t="shared" si="50"/>
        <v>#N/A</v>
      </c>
      <c r="BE194" t="str">
        <f t="shared" si="53"/>
        <v/>
      </c>
      <c r="BF194">
        <f t="shared" si="54"/>
        <v>41</v>
      </c>
      <c r="BH194" t="e">
        <f t="shared" si="52"/>
        <v>#N/A</v>
      </c>
      <c r="BK194" s="26"/>
      <c r="BL194" s="26"/>
      <c r="BM194" s="26"/>
      <c r="BN194" s="26"/>
      <c r="BO194" s="26"/>
      <c r="BP194" s="32"/>
    </row>
    <row r="195" spans="2:68" x14ac:dyDescent="0.3">
      <c r="B195" s="18" t="s">
        <v>684</v>
      </c>
      <c r="C195" s="13">
        <v>61</v>
      </c>
      <c r="D195" s="21" t="s">
        <v>685</v>
      </c>
      <c r="E195" s="24">
        <v>3</v>
      </c>
      <c r="G195" s="2">
        <f t="shared" si="48"/>
        <v>176</v>
      </c>
      <c r="H195" s="5">
        <v>2</v>
      </c>
      <c r="I195" s="13">
        <v>20</v>
      </c>
      <c r="L195" s="4"/>
      <c r="M195" s="7"/>
      <c r="O195" s="7"/>
      <c r="T195" s="7"/>
      <c r="BB195">
        <f t="shared" si="47"/>
        <v>42</v>
      </c>
      <c r="BC195" t="e">
        <f t="shared" si="51"/>
        <v>#N/A</v>
      </c>
      <c r="BD195" t="e">
        <f t="shared" si="50"/>
        <v>#N/A</v>
      </c>
      <c r="BE195" t="str">
        <f t="shared" si="53"/>
        <v/>
      </c>
      <c r="BF195">
        <f t="shared" si="54"/>
        <v>42</v>
      </c>
      <c r="BH195" t="e">
        <f t="shared" si="52"/>
        <v>#N/A</v>
      </c>
      <c r="BK195" s="26"/>
      <c r="BL195" s="26"/>
      <c r="BM195" s="26"/>
      <c r="BN195" s="26"/>
      <c r="BO195" s="26"/>
      <c r="BP195" s="32"/>
    </row>
    <row r="196" spans="2:68" x14ac:dyDescent="0.3">
      <c r="B196" s="18" t="s">
        <v>686</v>
      </c>
      <c r="C196" s="13">
        <v>95</v>
      </c>
      <c r="D196" s="21" t="s">
        <v>687</v>
      </c>
      <c r="E196" s="24">
        <v>29</v>
      </c>
      <c r="G196" s="2">
        <f t="shared" si="48"/>
        <v>177</v>
      </c>
      <c r="H196" s="5">
        <v>2</v>
      </c>
      <c r="I196" s="13">
        <v>20</v>
      </c>
      <c r="L196" s="4"/>
      <c r="M196" s="7"/>
      <c r="O196" s="7"/>
      <c r="BB196">
        <f t="shared" si="47"/>
        <v>43</v>
      </c>
      <c r="BC196" t="e">
        <f t="shared" si="51"/>
        <v>#N/A</v>
      </c>
      <c r="BD196" t="e">
        <f t="shared" si="50"/>
        <v>#N/A</v>
      </c>
      <c r="BE196" t="str">
        <f t="shared" si="53"/>
        <v/>
      </c>
      <c r="BF196">
        <f t="shared" si="54"/>
        <v>43</v>
      </c>
      <c r="BH196" t="e">
        <f t="shared" si="52"/>
        <v>#N/A</v>
      </c>
      <c r="BK196" s="26"/>
      <c r="BL196" s="26"/>
      <c r="BM196" s="26"/>
      <c r="BN196" s="26"/>
      <c r="BO196" s="26"/>
      <c r="BP196" s="32"/>
    </row>
    <row r="197" spans="2:68" x14ac:dyDescent="0.3">
      <c r="B197" s="18" t="s">
        <v>688</v>
      </c>
      <c r="C197" s="13">
        <v>94</v>
      </c>
      <c r="D197" s="21" t="s">
        <v>689</v>
      </c>
      <c r="E197" s="24">
        <v>28</v>
      </c>
      <c r="G197" s="2">
        <f t="shared" si="48"/>
        <v>178</v>
      </c>
      <c r="H197" s="5">
        <v>2</v>
      </c>
      <c r="I197" s="13">
        <v>20</v>
      </c>
      <c r="L197" s="4"/>
      <c r="M197" s="7"/>
      <c r="O197" s="7"/>
      <c r="T197" s="7"/>
      <c r="BB197">
        <f t="shared" si="47"/>
        <v>44</v>
      </c>
      <c r="BC197" t="e">
        <f t="shared" si="51"/>
        <v>#N/A</v>
      </c>
      <c r="BD197" t="e">
        <f t="shared" si="50"/>
        <v>#N/A</v>
      </c>
      <c r="BE197" t="str">
        <f t="shared" si="53"/>
        <v/>
      </c>
      <c r="BF197">
        <f t="shared" si="54"/>
        <v>44</v>
      </c>
      <c r="BH197" t="e">
        <f t="shared" si="52"/>
        <v>#N/A</v>
      </c>
      <c r="BK197" s="26"/>
      <c r="BL197" s="26"/>
      <c r="BM197" s="26"/>
      <c r="BN197" s="26"/>
      <c r="BO197" s="26"/>
      <c r="BP197" s="32"/>
    </row>
    <row r="198" spans="2:68" x14ac:dyDescent="0.3">
      <c r="B198" s="18" t="s">
        <v>690</v>
      </c>
      <c r="C198" s="13">
        <v>93</v>
      </c>
      <c r="D198" s="21" t="s">
        <v>691</v>
      </c>
      <c r="E198" s="24">
        <v>27</v>
      </c>
      <c r="G198" s="2">
        <f t="shared" si="48"/>
        <v>179</v>
      </c>
      <c r="H198" s="5">
        <v>2</v>
      </c>
      <c r="I198" s="13">
        <v>20</v>
      </c>
      <c r="L198" s="4"/>
      <c r="M198" s="7"/>
      <c r="O198" s="7"/>
      <c r="T198" s="7"/>
      <c r="BB198">
        <f t="shared" si="47"/>
        <v>45</v>
      </c>
      <c r="BC198" t="e">
        <f t="shared" si="51"/>
        <v>#N/A</v>
      </c>
      <c r="BD198" t="e">
        <f t="shared" si="50"/>
        <v>#N/A</v>
      </c>
      <c r="BE198" t="str">
        <f t="shared" si="53"/>
        <v/>
      </c>
      <c r="BF198">
        <f t="shared" si="54"/>
        <v>45</v>
      </c>
      <c r="BH198" t="e">
        <f t="shared" si="52"/>
        <v>#N/A</v>
      </c>
      <c r="BK198" s="26"/>
      <c r="BL198" s="26"/>
      <c r="BM198" s="26"/>
      <c r="BN198" s="26"/>
      <c r="BO198" s="26"/>
      <c r="BP198" s="32"/>
    </row>
    <row r="199" spans="2:68" x14ac:dyDescent="0.3">
      <c r="B199" s="18" t="s">
        <v>692</v>
      </c>
      <c r="C199" s="13">
        <v>92</v>
      </c>
      <c r="D199" s="21" t="s">
        <v>693</v>
      </c>
      <c r="E199" s="24">
        <v>26</v>
      </c>
      <c r="G199" s="2">
        <f t="shared" si="48"/>
        <v>180</v>
      </c>
      <c r="H199" s="5">
        <v>2</v>
      </c>
      <c r="I199" s="13">
        <v>20</v>
      </c>
      <c r="L199" s="4"/>
      <c r="M199" s="7"/>
      <c r="O199" s="7"/>
      <c r="T199" s="7"/>
      <c r="BB199">
        <f t="shared" si="47"/>
        <v>46</v>
      </c>
      <c r="BC199" t="e">
        <f t="shared" si="51"/>
        <v>#N/A</v>
      </c>
      <c r="BD199" t="e">
        <f t="shared" si="50"/>
        <v>#N/A</v>
      </c>
      <c r="BE199" t="str">
        <f t="shared" si="53"/>
        <v/>
      </c>
      <c r="BF199">
        <f t="shared" si="54"/>
        <v>46</v>
      </c>
      <c r="BH199" t="e">
        <f t="shared" si="52"/>
        <v>#N/A</v>
      </c>
      <c r="BK199" s="26"/>
      <c r="BL199" s="26"/>
      <c r="BM199" s="26"/>
      <c r="BN199" s="26"/>
      <c r="BO199" s="26"/>
      <c r="BP199" s="32"/>
    </row>
    <row r="200" spans="2:68" x14ac:dyDescent="0.3">
      <c r="B200" s="18" t="s">
        <v>694</v>
      </c>
      <c r="C200" s="13">
        <v>91</v>
      </c>
      <c r="D200" s="21" t="s">
        <v>695</v>
      </c>
      <c r="E200" s="24">
        <v>25</v>
      </c>
      <c r="G200" s="2">
        <f t="shared" si="48"/>
        <v>181</v>
      </c>
      <c r="H200" s="5">
        <v>2</v>
      </c>
      <c r="I200" s="13">
        <v>20</v>
      </c>
      <c r="L200" s="4"/>
      <c r="M200" s="7"/>
      <c r="O200" s="7"/>
      <c r="T200" s="7"/>
      <c r="BB200">
        <f t="shared" si="47"/>
        <v>47</v>
      </c>
      <c r="BC200" t="e">
        <f t="shared" si="51"/>
        <v>#N/A</v>
      </c>
      <c r="BD200" t="e">
        <f t="shared" si="50"/>
        <v>#N/A</v>
      </c>
      <c r="BE200" t="str">
        <f t="shared" si="53"/>
        <v/>
      </c>
      <c r="BF200">
        <f t="shared" si="54"/>
        <v>47</v>
      </c>
      <c r="BH200" t="e">
        <f t="shared" si="52"/>
        <v>#N/A</v>
      </c>
      <c r="BK200" s="26"/>
      <c r="BL200" s="26"/>
      <c r="BM200" s="26"/>
      <c r="BN200" s="26"/>
      <c r="BO200" s="26"/>
      <c r="BP200" s="32"/>
    </row>
    <row r="201" spans="2:68" x14ac:dyDescent="0.3">
      <c r="B201" s="18" t="s">
        <v>696</v>
      </c>
      <c r="C201" s="13">
        <v>90</v>
      </c>
      <c r="D201" s="21" t="s">
        <v>697</v>
      </c>
      <c r="E201" s="24">
        <v>24</v>
      </c>
      <c r="G201" s="2">
        <f t="shared" si="48"/>
        <v>182</v>
      </c>
      <c r="H201" s="5">
        <v>2</v>
      </c>
      <c r="I201" s="13">
        <v>20</v>
      </c>
      <c r="L201" s="4"/>
      <c r="M201" s="7"/>
      <c r="O201" s="7"/>
      <c r="T201" s="7"/>
      <c r="BB201">
        <f t="shared" si="47"/>
        <v>48</v>
      </c>
      <c r="BC201" t="e">
        <f t="shared" si="51"/>
        <v>#N/A</v>
      </c>
      <c r="BD201" t="e">
        <f t="shared" si="50"/>
        <v>#N/A</v>
      </c>
      <c r="BE201" t="str">
        <f t="shared" si="53"/>
        <v/>
      </c>
      <c r="BF201">
        <f t="shared" si="54"/>
        <v>48</v>
      </c>
      <c r="BH201" t="e">
        <f t="shared" si="52"/>
        <v>#N/A</v>
      </c>
      <c r="BK201" s="26"/>
      <c r="BL201" s="26"/>
      <c r="BM201" s="26"/>
      <c r="BN201" s="26"/>
      <c r="BO201" s="26"/>
      <c r="BP201" s="32"/>
    </row>
    <row r="202" spans="2:68" x14ac:dyDescent="0.3">
      <c r="B202" s="18" t="s">
        <v>698</v>
      </c>
      <c r="C202" s="13">
        <v>89</v>
      </c>
      <c r="D202" s="21" t="s">
        <v>699</v>
      </c>
      <c r="E202" s="24">
        <v>23</v>
      </c>
      <c r="G202" s="2">
        <f t="shared" si="48"/>
        <v>183</v>
      </c>
      <c r="H202" s="5">
        <v>2</v>
      </c>
      <c r="I202" s="13">
        <v>20</v>
      </c>
      <c r="L202" s="4"/>
      <c r="M202" s="7"/>
      <c r="O202" s="7"/>
      <c r="T202" s="7"/>
      <c r="BB202">
        <f t="shared" si="47"/>
        <v>49</v>
      </c>
      <c r="BC202" t="e">
        <f t="shared" si="51"/>
        <v>#N/A</v>
      </c>
      <c r="BD202" t="e">
        <f t="shared" si="50"/>
        <v>#N/A</v>
      </c>
      <c r="BE202" t="str">
        <f t="shared" si="53"/>
        <v/>
      </c>
      <c r="BF202">
        <f t="shared" si="54"/>
        <v>49</v>
      </c>
      <c r="BH202" t="e">
        <f t="shared" si="52"/>
        <v>#N/A</v>
      </c>
      <c r="BK202" s="26"/>
      <c r="BL202" s="26"/>
      <c r="BM202" s="26"/>
      <c r="BN202" s="26"/>
      <c r="BO202" s="30"/>
      <c r="BP202" s="32"/>
    </row>
    <row r="203" spans="2:68" x14ac:dyDescent="0.3">
      <c r="B203" s="18" t="s">
        <v>700</v>
      </c>
      <c r="C203" s="13">
        <v>88</v>
      </c>
      <c r="D203" s="21" t="s">
        <v>701</v>
      </c>
      <c r="E203" s="24">
        <v>22</v>
      </c>
      <c r="G203" s="2">
        <f t="shared" si="48"/>
        <v>184</v>
      </c>
      <c r="H203" s="5">
        <v>2</v>
      </c>
      <c r="I203" s="13">
        <v>20</v>
      </c>
      <c r="L203" s="4"/>
      <c r="M203" s="7"/>
      <c r="O203" s="7"/>
      <c r="T203" s="7"/>
      <c r="BB203">
        <f t="shared" si="47"/>
        <v>50</v>
      </c>
      <c r="BC203" t="e">
        <f t="shared" si="51"/>
        <v>#N/A</v>
      </c>
      <c r="BD203" t="e">
        <f t="shared" si="50"/>
        <v>#N/A</v>
      </c>
      <c r="BE203" t="str">
        <f t="shared" si="53"/>
        <v/>
      </c>
      <c r="BF203">
        <f t="shared" si="54"/>
        <v>50</v>
      </c>
      <c r="BH203" t="e">
        <f t="shared" si="52"/>
        <v>#N/A</v>
      </c>
      <c r="BK203" s="26"/>
      <c r="BL203" s="26"/>
      <c r="BM203" s="26"/>
      <c r="BN203" s="26"/>
      <c r="BO203" s="26"/>
      <c r="BP203" s="32"/>
    </row>
    <row r="204" spans="2:68" x14ac:dyDescent="0.3">
      <c r="B204" s="18" t="s">
        <v>702</v>
      </c>
      <c r="C204" s="13">
        <v>87</v>
      </c>
      <c r="D204" s="21" t="s">
        <v>703</v>
      </c>
      <c r="E204" s="24">
        <v>21</v>
      </c>
      <c r="G204" s="2">
        <f t="shared" si="48"/>
        <v>185</v>
      </c>
      <c r="H204" s="5">
        <v>2</v>
      </c>
      <c r="I204" s="13">
        <v>20</v>
      </c>
      <c r="L204" s="4"/>
      <c r="M204" s="7"/>
      <c r="O204" s="7"/>
      <c r="T204" s="7"/>
      <c r="BB204">
        <f t="shared" si="47"/>
        <v>51</v>
      </c>
      <c r="BC204" t="e">
        <f t="shared" si="51"/>
        <v>#N/A</v>
      </c>
      <c r="BD204" t="e">
        <f t="shared" si="50"/>
        <v>#N/A</v>
      </c>
      <c r="BE204" t="str">
        <f t="shared" si="53"/>
        <v/>
      </c>
      <c r="BF204">
        <f t="shared" si="54"/>
        <v>51</v>
      </c>
      <c r="BH204" t="e">
        <f t="shared" si="52"/>
        <v>#N/A</v>
      </c>
      <c r="BK204" s="26"/>
      <c r="BL204" s="26"/>
      <c r="BM204" s="26"/>
      <c r="BN204" s="26"/>
      <c r="BO204" s="26"/>
      <c r="BP204" s="32"/>
    </row>
    <row r="205" spans="2:68" x14ac:dyDescent="0.3">
      <c r="B205" s="18" t="s">
        <v>704</v>
      </c>
      <c r="C205" s="13">
        <v>86</v>
      </c>
      <c r="D205" s="21" t="s">
        <v>705</v>
      </c>
      <c r="E205" s="24">
        <v>20</v>
      </c>
      <c r="G205" s="2">
        <f t="shared" si="48"/>
        <v>186</v>
      </c>
      <c r="H205" s="5">
        <v>2</v>
      </c>
      <c r="I205" s="13">
        <v>20</v>
      </c>
      <c r="L205" s="4"/>
      <c r="M205" s="7"/>
      <c r="O205" s="7"/>
      <c r="T205" s="7"/>
      <c r="BB205">
        <f t="shared" si="47"/>
        <v>52</v>
      </c>
      <c r="BC205" t="e">
        <f t="shared" si="51"/>
        <v>#N/A</v>
      </c>
      <c r="BD205" t="e">
        <f t="shared" si="50"/>
        <v>#N/A</v>
      </c>
      <c r="BE205" t="str">
        <f t="shared" si="53"/>
        <v/>
      </c>
      <c r="BF205">
        <f t="shared" si="54"/>
        <v>52</v>
      </c>
      <c r="BH205" t="e">
        <f t="shared" si="52"/>
        <v>#N/A</v>
      </c>
      <c r="BK205" s="26"/>
      <c r="BL205" s="26"/>
      <c r="BM205" s="26"/>
      <c r="BN205" s="26"/>
      <c r="BO205" s="26"/>
      <c r="BP205" s="32"/>
    </row>
    <row r="206" spans="2:68" x14ac:dyDescent="0.3">
      <c r="B206" s="18" t="s">
        <v>706</v>
      </c>
      <c r="C206" s="13">
        <v>85</v>
      </c>
      <c r="D206" s="21" t="s">
        <v>707</v>
      </c>
      <c r="E206" s="24">
        <v>2</v>
      </c>
      <c r="G206" s="2">
        <f t="shared" si="48"/>
        <v>187</v>
      </c>
      <c r="H206" s="5">
        <v>2</v>
      </c>
      <c r="I206" s="13">
        <v>20</v>
      </c>
      <c r="L206" s="4"/>
      <c r="M206" s="7"/>
      <c r="O206" s="7"/>
      <c r="T206" s="7"/>
      <c r="BB206">
        <f t="shared" si="47"/>
        <v>53</v>
      </c>
      <c r="BC206" t="e">
        <f t="shared" si="51"/>
        <v>#N/A</v>
      </c>
      <c r="BD206" t="e">
        <f t="shared" si="50"/>
        <v>#N/A</v>
      </c>
      <c r="BE206" t="str">
        <f t="shared" si="53"/>
        <v/>
      </c>
      <c r="BF206">
        <f t="shared" si="54"/>
        <v>53</v>
      </c>
      <c r="BH206" t="e">
        <f t="shared" si="52"/>
        <v>#N/A</v>
      </c>
      <c r="BK206" s="26"/>
      <c r="BL206" s="26"/>
      <c r="BM206" s="26"/>
      <c r="BN206" s="26"/>
      <c r="BO206" s="26"/>
      <c r="BP206" s="32"/>
    </row>
    <row r="207" spans="2:68" x14ac:dyDescent="0.3">
      <c r="B207" s="18" t="s">
        <v>708</v>
      </c>
      <c r="C207" s="13">
        <v>84</v>
      </c>
      <c r="D207" s="21" t="s">
        <v>709</v>
      </c>
      <c r="E207" s="24">
        <v>19</v>
      </c>
      <c r="G207" s="2">
        <f t="shared" si="48"/>
        <v>188</v>
      </c>
      <c r="H207" s="5">
        <v>2</v>
      </c>
      <c r="I207" s="13">
        <v>20</v>
      </c>
      <c r="L207" s="4"/>
      <c r="M207" s="7"/>
      <c r="O207" s="7"/>
      <c r="T207" s="7"/>
      <c r="BB207">
        <f t="shared" si="47"/>
        <v>54</v>
      </c>
      <c r="BC207" t="e">
        <f t="shared" si="51"/>
        <v>#N/A</v>
      </c>
      <c r="BD207" t="e">
        <f t="shared" si="50"/>
        <v>#N/A</v>
      </c>
      <c r="BE207" t="str">
        <f t="shared" si="53"/>
        <v/>
      </c>
      <c r="BF207">
        <f t="shared" si="54"/>
        <v>54</v>
      </c>
      <c r="BH207" t="e">
        <f t="shared" si="52"/>
        <v>#N/A</v>
      </c>
      <c r="BK207" s="26"/>
      <c r="BL207" s="26"/>
      <c r="BM207" s="26"/>
      <c r="BN207" s="26"/>
      <c r="BO207" s="26"/>
      <c r="BP207" s="32"/>
    </row>
    <row r="208" spans="2:68" x14ac:dyDescent="0.3">
      <c r="B208" s="18" t="s">
        <v>710</v>
      </c>
      <c r="C208" s="13">
        <v>83</v>
      </c>
      <c r="D208" s="21" t="s">
        <v>711</v>
      </c>
      <c r="E208" s="24">
        <v>18</v>
      </c>
      <c r="G208" s="2">
        <f t="shared" si="48"/>
        <v>189</v>
      </c>
      <c r="H208" s="5">
        <v>2</v>
      </c>
      <c r="I208" s="13">
        <v>20</v>
      </c>
      <c r="L208" s="4"/>
      <c r="M208" s="7"/>
      <c r="O208" s="7"/>
      <c r="T208" s="7"/>
      <c r="BB208">
        <f t="shared" si="47"/>
        <v>55</v>
      </c>
      <c r="BC208" t="e">
        <f t="shared" si="51"/>
        <v>#N/A</v>
      </c>
      <c r="BD208" t="e">
        <f t="shared" si="50"/>
        <v>#N/A</v>
      </c>
      <c r="BE208" t="str">
        <f t="shared" si="53"/>
        <v/>
      </c>
      <c r="BF208">
        <f t="shared" si="54"/>
        <v>55</v>
      </c>
      <c r="BH208" t="e">
        <f t="shared" si="52"/>
        <v>#N/A</v>
      </c>
      <c r="BK208" s="26"/>
      <c r="BL208" s="26"/>
      <c r="BM208" s="26"/>
      <c r="BN208" s="26"/>
      <c r="BO208" s="26"/>
      <c r="BP208" s="32"/>
    </row>
    <row r="209" spans="2:68" x14ac:dyDescent="0.3">
      <c r="B209" s="18" t="s">
        <v>712</v>
      </c>
      <c r="C209" s="13">
        <v>82</v>
      </c>
      <c r="D209" s="21" t="s">
        <v>713</v>
      </c>
      <c r="E209" s="24">
        <v>17</v>
      </c>
      <c r="G209" s="2">
        <f t="shared" si="48"/>
        <v>190</v>
      </c>
      <c r="H209" s="5">
        <v>2</v>
      </c>
      <c r="I209" s="13">
        <v>20</v>
      </c>
      <c r="L209" s="4"/>
      <c r="M209" s="7"/>
      <c r="O209" s="7"/>
      <c r="T209" s="7"/>
      <c r="BB209">
        <f t="shared" si="47"/>
        <v>56</v>
      </c>
      <c r="BC209" t="e">
        <f t="shared" si="51"/>
        <v>#N/A</v>
      </c>
      <c r="BD209" t="e">
        <f t="shared" si="50"/>
        <v>#N/A</v>
      </c>
      <c r="BE209" t="str">
        <f t="shared" si="53"/>
        <v/>
      </c>
      <c r="BF209">
        <f t="shared" si="54"/>
        <v>56</v>
      </c>
      <c r="BH209" t="e">
        <f t="shared" si="52"/>
        <v>#N/A</v>
      </c>
      <c r="BK209" s="26"/>
      <c r="BL209" s="26"/>
      <c r="BM209" s="26"/>
      <c r="BN209" s="26"/>
      <c r="BO209" s="26"/>
      <c r="BP209" s="32"/>
    </row>
    <row r="210" spans="2:68" x14ac:dyDescent="0.3">
      <c r="B210" s="18" t="s">
        <v>714</v>
      </c>
      <c r="C210" s="13">
        <v>81</v>
      </c>
      <c r="D210" s="21" t="s">
        <v>715</v>
      </c>
      <c r="E210" s="24">
        <v>16</v>
      </c>
      <c r="G210" s="2">
        <f t="shared" si="48"/>
        <v>191</v>
      </c>
      <c r="H210" s="5">
        <v>2</v>
      </c>
      <c r="I210" s="13">
        <v>20</v>
      </c>
      <c r="L210" s="4"/>
      <c r="M210" s="7"/>
      <c r="O210" s="7"/>
      <c r="T210" s="7"/>
      <c r="BB210">
        <f t="shared" si="47"/>
        <v>57</v>
      </c>
      <c r="BC210" t="e">
        <f t="shared" si="51"/>
        <v>#N/A</v>
      </c>
      <c r="BD210" t="e">
        <f t="shared" si="50"/>
        <v>#N/A</v>
      </c>
      <c r="BE210" t="str">
        <f t="shared" si="53"/>
        <v/>
      </c>
      <c r="BF210">
        <f t="shared" si="54"/>
        <v>57</v>
      </c>
      <c r="BH210" t="e">
        <f t="shared" si="52"/>
        <v>#N/A</v>
      </c>
      <c r="BK210" s="26"/>
      <c r="BL210" s="26"/>
      <c r="BM210" s="26"/>
      <c r="BN210" s="26"/>
      <c r="BO210" s="26"/>
      <c r="BP210" s="32"/>
    </row>
    <row r="211" spans="2:68" x14ac:dyDescent="0.3">
      <c r="B211" s="18" t="s">
        <v>716</v>
      </c>
      <c r="C211" s="13">
        <v>80</v>
      </c>
      <c r="D211" s="21" t="s">
        <v>717</v>
      </c>
      <c r="E211" s="24">
        <v>15</v>
      </c>
      <c r="G211" s="2">
        <f t="shared" si="48"/>
        <v>192</v>
      </c>
      <c r="H211" s="5">
        <v>2</v>
      </c>
      <c r="I211" s="13">
        <v>20</v>
      </c>
      <c r="L211" s="4"/>
      <c r="M211" s="7"/>
      <c r="O211" s="7"/>
      <c r="T211" s="7"/>
      <c r="BB211">
        <f t="shared" si="47"/>
        <v>58</v>
      </c>
      <c r="BC211" t="e">
        <f t="shared" si="51"/>
        <v>#N/A</v>
      </c>
      <c r="BD211" t="e">
        <f t="shared" si="50"/>
        <v>#N/A</v>
      </c>
      <c r="BE211" t="str">
        <f t="shared" si="53"/>
        <v/>
      </c>
      <c r="BF211">
        <f t="shared" si="54"/>
        <v>58</v>
      </c>
      <c r="BH211" t="e">
        <f t="shared" si="52"/>
        <v>#N/A</v>
      </c>
      <c r="BK211" s="26"/>
      <c r="BL211" s="26"/>
      <c r="BM211" s="26"/>
      <c r="BN211" s="26"/>
      <c r="BO211" s="26"/>
      <c r="BP211" s="32"/>
    </row>
    <row r="212" spans="2:68" x14ac:dyDescent="0.3">
      <c r="B212" s="18" t="s">
        <v>718</v>
      </c>
      <c r="C212" s="13">
        <v>79</v>
      </c>
      <c r="D212" s="21" t="s">
        <v>719</v>
      </c>
      <c r="E212" s="24">
        <v>14</v>
      </c>
      <c r="G212" s="2">
        <f t="shared" si="48"/>
        <v>193</v>
      </c>
      <c r="H212" s="5">
        <v>2</v>
      </c>
      <c r="I212" s="13">
        <v>20</v>
      </c>
      <c r="L212" s="4"/>
      <c r="M212" s="7"/>
      <c r="O212" s="7"/>
      <c r="T212" s="7"/>
      <c r="BB212">
        <f t="shared" si="47"/>
        <v>59</v>
      </c>
      <c r="BC212" t="e">
        <f t="shared" si="51"/>
        <v>#N/A</v>
      </c>
      <c r="BD212" t="e">
        <f t="shared" si="50"/>
        <v>#N/A</v>
      </c>
      <c r="BE212" t="str">
        <f t="shared" si="53"/>
        <v/>
      </c>
      <c r="BF212">
        <f t="shared" si="54"/>
        <v>59</v>
      </c>
      <c r="BH212" t="e">
        <f t="shared" si="52"/>
        <v>#N/A</v>
      </c>
      <c r="BK212" s="26"/>
      <c r="BL212" s="26"/>
      <c r="BM212" s="26"/>
      <c r="BN212" s="26"/>
      <c r="BO212" s="26"/>
      <c r="BP212" s="32"/>
    </row>
    <row r="213" spans="2:68" x14ac:dyDescent="0.3">
      <c r="B213" s="18" t="s">
        <v>720</v>
      </c>
      <c r="C213" s="13">
        <v>101</v>
      </c>
      <c r="D213" s="21" t="s">
        <v>721</v>
      </c>
      <c r="E213" s="24">
        <v>13</v>
      </c>
      <c r="G213" s="2">
        <f t="shared" si="48"/>
        <v>194</v>
      </c>
      <c r="H213" s="5">
        <v>2</v>
      </c>
      <c r="I213" s="13">
        <v>20</v>
      </c>
      <c r="L213" s="4"/>
      <c r="M213" s="7"/>
      <c r="O213" s="7"/>
      <c r="T213" s="7"/>
      <c r="BB213">
        <f t="shared" si="47"/>
        <v>60</v>
      </c>
      <c r="BC213" t="e">
        <f t="shared" si="51"/>
        <v>#N/A</v>
      </c>
      <c r="BD213" t="e">
        <f t="shared" si="50"/>
        <v>#N/A</v>
      </c>
      <c r="BE213" t="str">
        <f t="shared" si="53"/>
        <v/>
      </c>
      <c r="BF213">
        <f t="shared" si="54"/>
        <v>60</v>
      </c>
      <c r="BH213" t="e">
        <f t="shared" si="52"/>
        <v>#N/A</v>
      </c>
      <c r="BK213" s="26"/>
      <c r="BL213" s="26"/>
      <c r="BM213" s="26"/>
      <c r="BN213" s="26"/>
      <c r="BO213" s="26"/>
      <c r="BP213" s="32"/>
    </row>
    <row r="214" spans="2:68" x14ac:dyDescent="0.3">
      <c r="B214" s="18" t="s">
        <v>722</v>
      </c>
      <c r="C214" s="13">
        <v>100</v>
      </c>
      <c r="D214" s="21" t="s">
        <v>723</v>
      </c>
      <c r="E214" s="24">
        <v>12</v>
      </c>
      <c r="G214" s="2">
        <f t="shared" si="48"/>
        <v>195</v>
      </c>
      <c r="H214" s="5">
        <v>2</v>
      </c>
      <c r="I214" s="13">
        <v>20</v>
      </c>
      <c r="L214" s="4"/>
      <c r="M214" s="7"/>
      <c r="O214" s="7"/>
      <c r="T214" s="7"/>
      <c r="BB214">
        <f t="shared" si="47"/>
        <v>61</v>
      </c>
      <c r="BC214" t="e">
        <f t="shared" si="51"/>
        <v>#N/A</v>
      </c>
      <c r="BD214" t="e">
        <f t="shared" si="50"/>
        <v>#N/A</v>
      </c>
      <c r="BE214" t="str">
        <f t="shared" si="53"/>
        <v/>
      </c>
      <c r="BF214">
        <f t="shared" si="54"/>
        <v>61</v>
      </c>
      <c r="BH214" t="e">
        <f t="shared" si="52"/>
        <v>#N/A</v>
      </c>
      <c r="BK214" s="26"/>
      <c r="BL214" s="26"/>
      <c r="BM214" s="26"/>
      <c r="BN214" s="26"/>
      <c r="BO214" s="26"/>
      <c r="BP214" s="32"/>
    </row>
    <row r="215" spans="2:68" x14ac:dyDescent="0.3">
      <c r="B215" s="18" t="s">
        <v>724</v>
      </c>
      <c r="C215" s="13">
        <v>99</v>
      </c>
      <c r="D215" s="21" t="s">
        <v>725</v>
      </c>
      <c r="E215" s="24">
        <v>11</v>
      </c>
      <c r="G215" s="2">
        <f t="shared" si="48"/>
        <v>196</v>
      </c>
      <c r="H215" s="5">
        <v>2</v>
      </c>
      <c r="I215" s="13">
        <v>20</v>
      </c>
      <c r="L215" s="4"/>
      <c r="M215" s="7"/>
      <c r="O215" s="7"/>
      <c r="T215" s="7"/>
      <c r="BB215">
        <f t="shared" si="47"/>
        <v>62</v>
      </c>
      <c r="BC215" t="e">
        <f t="shared" si="51"/>
        <v>#N/A</v>
      </c>
      <c r="BD215" t="e">
        <f t="shared" si="50"/>
        <v>#N/A</v>
      </c>
      <c r="BE215" t="str">
        <f t="shared" si="53"/>
        <v/>
      </c>
      <c r="BF215">
        <f t="shared" si="54"/>
        <v>62</v>
      </c>
      <c r="BH215" t="e">
        <f t="shared" si="52"/>
        <v>#N/A</v>
      </c>
      <c r="BK215" s="26"/>
      <c r="BL215" s="26"/>
      <c r="BM215" s="26"/>
      <c r="BN215" s="26"/>
      <c r="BO215" s="26"/>
      <c r="BP215" s="32"/>
    </row>
    <row r="216" spans="2:68" x14ac:dyDescent="0.3">
      <c r="B216" s="18" t="s">
        <v>726</v>
      </c>
      <c r="C216" s="13">
        <v>98</v>
      </c>
      <c r="D216" s="21" t="s">
        <v>727</v>
      </c>
      <c r="E216" s="24">
        <v>10</v>
      </c>
      <c r="G216" s="2">
        <f t="shared" si="48"/>
        <v>197</v>
      </c>
      <c r="H216" s="5">
        <v>2</v>
      </c>
      <c r="I216" s="13">
        <v>20</v>
      </c>
      <c r="L216" s="4"/>
      <c r="M216" s="7"/>
      <c r="O216" s="7"/>
      <c r="T216" s="7"/>
      <c r="BB216">
        <f t="shared" si="47"/>
        <v>63</v>
      </c>
      <c r="BC216" t="e">
        <f t="shared" si="51"/>
        <v>#N/A</v>
      </c>
      <c r="BD216" t="e">
        <f t="shared" si="50"/>
        <v>#N/A</v>
      </c>
      <c r="BE216" t="str">
        <f t="shared" si="53"/>
        <v/>
      </c>
      <c r="BF216">
        <f t="shared" si="54"/>
        <v>63</v>
      </c>
      <c r="BH216" t="e">
        <f t="shared" si="52"/>
        <v>#N/A</v>
      </c>
      <c r="BK216" s="26"/>
      <c r="BL216" s="26"/>
      <c r="BM216" s="26"/>
      <c r="BN216" s="26"/>
      <c r="BO216" s="26"/>
      <c r="BP216" s="32"/>
    </row>
    <row r="217" spans="2:68" x14ac:dyDescent="0.3">
      <c r="B217" s="18" t="s">
        <v>728</v>
      </c>
      <c r="C217" s="13">
        <v>97</v>
      </c>
      <c r="D217" s="21" t="s">
        <v>729</v>
      </c>
      <c r="E217" s="24">
        <v>1</v>
      </c>
      <c r="G217" s="2">
        <f t="shared" si="48"/>
        <v>198</v>
      </c>
      <c r="H217" s="5">
        <v>2</v>
      </c>
      <c r="I217" s="13">
        <v>20</v>
      </c>
      <c r="L217" s="4"/>
      <c r="M217" s="7"/>
      <c r="O217" s="7"/>
      <c r="T217" s="7"/>
      <c r="BB217">
        <f t="shared" si="47"/>
        <v>64</v>
      </c>
      <c r="BC217" t="e">
        <f t="shared" si="51"/>
        <v>#N/A</v>
      </c>
      <c r="BD217" t="e">
        <f t="shared" si="50"/>
        <v>#N/A</v>
      </c>
      <c r="BE217" t="str">
        <f t="shared" si="53"/>
        <v/>
      </c>
      <c r="BF217">
        <f t="shared" si="54"/>
        <v>64</v>
      </c>
      <c r="BH217" t="e">
        <f t="shared" si="52"/>
        <v>#N/A</v>
      </c>
      <c r="BK217" s="26"/>
      <c r="BL217" s="26"/>
      <c r="BM217" s="26"/>
      <c r="BN217" s="26"/>
      <c r="BO217" s="26"/>
      <c r="BP217" s="32"/>
    </row>
    <row r="218" spans="2:68" x14ac:dyDescent="0.3">
      <c r="B218" s="18" t="s">
        <v>730</v>
      </c>
      <c r="C218" s="13">
        <v>96</v>
      </c>
      <c r="D218" s="21" t="s">
        <v>731</v>
      </c>
      <c r="E218" s="24">
        <v>88</v>
      </c>
      <c r="G218" s="2">
        <f t="shared" si="48"/>
        <v>199</v>
      </c>
      <c r="H218" s="5">
        <v>2</v>
      </c>
      <c r="I218" s="13">
        <v>20</v>
      </c>
      <c r="L218" s="4"/>
      <c r="M218" s="7"/>
      <c r="O218" s="7"/>
      <c r="T218" s="7"/>
      <c r="BB218">
        <f t="shared" si="47"/>
        <v>65</v>
      </c>
      <c r="BC218" t="e">
        <f t="shared" ref="BC218:BC249" si="55">HLOOKUP(Tot_Jug,Knockout,BB218+1,FALSE)</f>
        <v>#N/A</v>
      </c>
      <c r="BD218" t="e">
        <f t="shared" si="50"/>
        <v>#N/A</v>
      </c>
      <c r="BE218" t="str">
        <f t="shared" si="53"/>
        <v/>
      </c>
      <c r="BF218">
        <f t="shared" si="54"/>
        <v>65</v>
      </c>
      <c r="BH218" t="e">
        <f t="shared" ref="BH218:BH249" si="56">HLOOKUP(CONCATENATE("G",BE218),Group_Results,BG218+1,FALSE)</f>
        <v>#N/A</v>
      </c>
      <c r="BK218" s="26"/>
      <c r="BL218" s="26"/>
      <c r="BM218" s="26"/>
      <c r="BN218" s="26"/>
      <c r="BO218" s="26"/>
      <c r="BP218" s="32"/>
    </row>
    <row r="219" spans="2:68" x14ac:dyDescent="0.3">
      <c r="B219" s="18" t="s">
        <v>732</v>
      </c>
      <c r="C219" s="13">
        <v>1</v>
      </c>
      <c r="D219" s="21" t="s">
        <v>733</v>
      </c>
      <c r="E219" s="24">
        <v>89</v>
      </c>
      <c r="G219" s="2">
        <f t="shared" si="48"/>
        <v>200</v>
      </c>
      <c r="H219" s="5">
        <v>1</v>
      </c>
      <c r="I219" s="13">
        <v>26</v>
      </c>
      <c r="L219" s="4"/>
      <c r="M219" s="7"/>
      <c r="O219" s="7"/>
      <c r="T219" s="7"/>
      <c r="BB219">
        <f t="shared" si="47"/>
        <v>66</v>
      </c>
      <c r="BC219" t="e">
        <f t="shared" si="55"/>
        <v>#N/A</v>
      </c>
      <c r="BD219" t="e">
        <f t="shared" si="50"/>
        <v>#N/A</v>
      </c>
      <c r="BE219" t="str">
        <f t="shared" ref="BE219:BE250" si="57">IF(BF219&gt;Tot_Jug,"",IF(BF219&lt;=Grps,BF218+1,IF(BF219=Grps+1,1,IF(AND(BF219&gt;Grps,BF219&lt;=Grps*2),BE218+1,IF(BF219=(Grps*2)+1,Grps,IF(BF219&gt;(Grps*2)+1,BE218-1,IF(BF219&gt;Tot_Jug,"",9999999)))))))</f>
        <v/>
      </c>
      <c r="BF219">
        <f t="shared" ref="BF219:BF250" si="58">IF(BF218="","",IF(BF218=Tot_Jug,"",BF218+1))</f>
        <v>66</v>
      </c>
      <c r="BH219" t="e">
        <f t="shared" si="56"/>
        <v>#N/A</v>
      </c>
      <c r="BK219" s="26"/>
      <c r="BL219" s="26"/>
      <c r="BM219" s="26"/>
      <c r="BN219" s="26"/>
      <c r="BO219" s="26"/>
      <c r="BP219" s="32"/>
    </row>
    <row r="220" spans="2:68" x14ac:dyDescent="0.3">
      <c r="B220" s="18" t="s">
        <v>734</v>
      </c>
      <c r="C220" s="13">
        <v>10</v>
      </c>
      <c r="D220" s="21" t="s">
        <v>735</v>
      </c>
      <c r="E220" s="24">
        <v>90</v>
      </c>
      <c r="G220" s="2">
        <f t="shared" si="48"/>
        <v>201</v>
      </c>
      <c r="H220" s="5">
        <v>1</v>
      </c>
      <c r="I220" s="13">
        <v>26</v>
      </c>
      <c r="L220" s="4"/>
      <c r="M220" s="7"/>
      <c r="O220" s="7"/>
      <c r="T220" s="7"/>
      <c r="BB220">
        <f t="shared" ref="BB220:BB281" si="59">BB219+1</f>
        <v>67</v>
      </c>
      <c r="BC220" t="e">
        <f t="shared" si="55"/>
        <v>#N/A</v>
      </c>
      <c r="BD220" t="e">
        <f t="shared" si="50"/>
        <v>#N/A</v>
      </c>
      <c r="BE220" t="str">
        <f t="shared" si="57"/>
        <v/>
      </c>
      <c r="BF220">
        <f t="shared" si="58"/>
        <v>67</v>
      </c>
      <c r="BH220" t="e">
        <f t="shared" si="56"/>
        <v>#N/A</v>
      </c>
      <c r="BK220" s="26"/>
      <c r="BL220" s="26"/>
      <c r="BM220" s="26"/>
      <c r="BN220" s="26"/>
      <c r="BO220" s="26"/>
      <c r="BP220" s="32"/>
    </row>
    <row r="221" spans="2:68" x14ac:dyDescent="0.3">
      <c r="B221" s="18" t="s">
        <v>736</v>
      </c>
      <c r="C221" s="13">
        <v>11</v>
      </c>
      <c r="D221" s="21" t="s">
        <v>737</v>
      </c>
      <c r="E221" s="24">
        <v>91</v>
      </c>
      <c r="G221" s="2">
        <f t="shared" ref="G221:G284" si="60">G220+1</f>
        <v>202</v>
      </c>
      <c r="H221" s="5">
        <v>1</v>
      </c>
      <c r="I221" s="13">
        <v>26</v>
      </c>
      <c r="L221" s="4"/>
      <c r="M221" s="7"/>
      <c r="O221" s="7"/>
      <c r="T221" s="7"/>
      <c r="BB221">
        <f t="shared" si="59"/>
        <v>68</v>
      </c>
      <c r="BC221" t="e">
        <f t="shared" si="55"/>
        <v>#N/A</v>
      </c>
      <c r="BD221" t="e">
        <f t="shared" si="50"/>
        <v>#N/A</v>
      </c>
      <c r="BE221" t="str">
        <f t="shared" si="57"/>
        <v/>
      </c>
      <c r="BF221">
        <f t="shared" si="58"/>
        <v>68</v>
      </c>
      <c r="BH221" t="e">
        <f t="shared" si="56"/>
        <v>#N/A</v>
      </c>
      <c r="BK221" s="26"/>
      <c r="BL221" s="26"/>
      <c r="BM221" s="26"/>
      <c r="BN221" s="26"/>
      <c r="BO221" s="26"/>
      <c r="BP221" s="32"/>
    </row>
    <row r="222" spans="2:68" x14ac:dyDescent="0.3">
      <c r="B222" s="18" t="s">
        <v>738</v>
      </c>
      <c r="C222" s="13">
        <v>12</v>
      </c>
      <c r="D222" s="21" t="s">
        <v>739</v>
      </c>
      <c r="E222" s="24">
        <v>92</v>
      </c>
      <c r="G222" s="2">
        <f t="shared" si="60"/>
        <v>203</v>
      </c>
      <c r="H222" s="5">
        <v>1</v>
      </c>
      <c r="I222" s="13">
        <v>26</v>
      </c>
      <c r="L222" s="4"/>
      <c r="M222" s="7"/>
      <c r="O222" s="7"/>
      <c r="T222" s="7"/>
      <c r="BB222">
        <f t="shared" si="59"/>
        <v>69</v>
      </c>
      <c r="BC222" t="e">
        <f t="shared" si="55"/>
        <v>#N/A</v>
      </c>
      <c r="BD222" t="e">
        <f t="shared" si="50"/>
        <v>#N/A</v>
      </c>
      <c r="BE222" t="str">
        <f t="shared" si="57"/>
        <v/>
      </c>
      <c r="BF222">
        <f t="shared" si="58"/>
        <v>69</v>
      </c>
      <c r="BH222" t="e">
        <f t="shared" si="56"/>
        <v>#N/A</v>
      </c>
      <c r="BK222" s="26"/>
      <c r="BL222" s="26"/>
      <c r="BM222" s="26"/>
      <c r="BN222" s="26"/>
      <c r="BO222" s="26"/>
      <c r="BP222" s="32"/>
    </row>
    <row r="223" spans="2:68" x14ac:dyDescent="0.3">
      <c r="B223" s="18" t="s">
        <v>740</v>
      </c>
      <c r="C223" s="13">
        <v>13</v>
      </c>
      <c r="D223" s="21" t="s">
        <v>741</v>
      </c>
      <c r="E223" s="24">
        <v>93</v>
      </c>
      <c r="G223" s="2">
        <f t="shared" si="60"/>
        <v>204</v>
      </c>
      <c r="H223" s="5">
        <v>1</v>
      </c>
      <c r="I223" s="13">
        <v>26</v>
      </c>
      <c r="L223" s="4"/>
      <c r="M223" s="7"/>
      <c r="O223" s="7"/>
      <c r="T223" s="7"/>
      <c r="BB223">
        <f t="shared" si="59"/>
        <v>70</v>
      </c>
      <c r="BC223" t="e">
        <f t="shared" si="55"/>
        <v>#N/A</v>
      </c>
      <c r="BD223" t="e">
        <f t="shared" si="50"/>
        <v>#N/A</v>
      </c>
      <c r="BE223" t="str">
        <f t="shared" si="57"/>
        <v/>
      </c>
      <c r="BF223">
        <f t="shared" si="58"/>
        <v>70</v>
      </c>
      <c r="BH223" t="e">
        <f t="shared" si="56"/>
        <v>#N/A</v>
      </c>
      <c r="BK223" s="26"/>
      <c r="BL223" s="26"/>
      <c r="BM223" s="26"/>
      <c r="BN223" s="26"/>
      <c r="BO223" s="26"/>
      <c r="BP223" s="32"/>
    </row>
    <row r="224" spans="2:68" x14ac:dyDescent="0.3">
      <c r="B224" s="18" t="s">
        <v>742</v>
      </c>
      <c r="C224" s="13">
        <v>14</v>
      </c>
      <c r="D224" s="21" t="s">
        <v>743</v>
      </c>
      <c r="E224" s="24">
        <v>65</v>
      </c>
      <c r="G224" s="2">
        <f t="shared" si="60"/>
        <v>205</v>
      </c>
      <c r="H224" s="5">
        <v>1</v>
      </c>
      <c r="I224" s="13">
        <v>26</v>
      </c>
      <c r="L224" s="4"/>
      <c r="M224" s="7"/>
      <c r="O224" s="7"/>
      <c r="T224" s="7"/>
      <c r="BB224">
        <f t="shared" si="59"/>
        <v>71</v>
      </c>
      <c r="BC224" t="e">
        <f t="shared" si="55"/>
        <v>#N/A</v>
      </c>
      <c r="BD224" t="e">
        <f t="shared" si="50"/>
        <v>#N/A</v>
      </c>
      <c r="BE224" t="str">
        <f t="shared" si="57"/>
        <v/>
      </c>
      <c r="BF224">
        <f t="shared" si="58"/>
        <v>71</v>
      </c>
      <c r="BH224" t="e">
        <f t="shared" si="56"/>
        <v>#N/A</v>
      </c>
      <c r="BK224" s="26"/>
      <c r="BL224" s="26"/>
      <c r="BM224" s="26"/>
      <c r="BN224" s="26"/>
      <c r="BO224" s="26"/>
      <c r="BP224" s="32"/>
    </row>
    <row r="225" spans="2:68" x14ac:dyDescent="0.3">
      <c r="B225" s="18" t="s">
        <v>744</v>
      </c>
      <c r="C225" s="13">
        <v>15</v>
      </c>
      <c r="D225" s="21" t="s">
        <v>745</v>
      </c>
      <c r="E225" s="24">
        <v>66</v>
      </c>
      <c r="G225" s="2">
        <f t="shared" si="60"/>
        <v>206</v>
      </c>
      <c r="H225" s="5">
        <v>1</v>
      </c>
      <c r="I225" s="13">
        <v>26</v>
      </c>
      <c r="L225" s="4"/>
      <c r="M225" s="7"/>
      <c r="O225" s="7"/>
      <c r="T225" s="7"/>
      <c r="BB225">
        <f t="shared" si="59"/>
        <v>72</v>
      </c>
      <c r="BC225" t="e">
        <f t="shared" si="55"/>
        <v>#N/A</v>
      </c>
      <c r="BD225" t="e">
        <f t="shared" si="50"/>
        <v>#N/A</v>
      </c>
      <c r="BE225" t="str">
        <f t="shared" si="57"/>
        <v/>
      </c>
      <c r="BF225">
        <f t="shared" si="58"/>
        <v>72</v>
      </c>
      <c r="BH225" t="e">
        <f t="shared" si="56"/>
        <v>#N/A</v>
      </c>
      <c r="BK225" s="26"/>
      <c r="BL225" s="26"/>
      <c r="BM225" s="26"/>
      <c r="BN225" s="26"/>
      <c r="BO225" s="26"/>
      <c r="BP225" s="32"/>
    </row>
    <row r="226" spans="2:68" x14ac:dyDescent="0.3">
      <c r="B226" s="18" t="s">
        <v>746</v>
      </c>
      <c r="C226" s="13">
        <v>16</v>
      </c>
      <c r="D226" s="21" t="s">
        <v>747</v>
      </c>
      <c r="E226" s="24">
        <v>67</v>
      </c>
      <c r="G226" s="2">
        <f t="shared" si="60"/>
        <v>207</v>
      </c>
      <c r="H226" s="5">
        <v>1</v>
      </c>
      <c r="I226" s="13">
        <v>26</v>
      </c>
      <c r="L226" s="4"/>
      <c r="M226" s="7"/>
      <c r="O226" s="7"/>
      <c r="T226" s="7"/>
      <c r="BB226">
        <f t="shared" si="59"/>
        <v>73</v>
      </c>
      <c r="BC226" t="e">
        <f t="shared" si="55"/>
        <v>#N/A</v>
      </c>
      <c r="BD226" t="e">
        <f t="shared" si="50"/>
        <v>#N/A</v>
      </c>
      <c r="BE226" t="str">
        <f t="shared" si="57"/>
        <v/>
      </c>
      <c r="BF226">
        <f t="shared" si="58"/>
        <v>73</v>
      </c>
      <c r="BH226" t="e">
        <f t="shared" si="56"/>
        <v>#N/A</v>
      </c>
      <c r="BK226" s="26"/>
    </row>
    <row r="227" spans="2:68" x14ac:dyDescent="0.3">
      <c r="B227" s="18" t="s">
        <v>748</v>
      </c>
      <c r="C227" s="13">
        <v>17</v>
      </c>
      <c r="D227" s="21" t="s">
        <v>749</v>
      </c>
      <c r="E227" s="24">
        <v>94</v>
      </c>
      <c r="G227" s="2">
        <f t="shared" si="60"/>
        <v>208</v>
      </c>
      <c r="H227" s="5">
        <v>1</v>
      </c>
      <c r="I227" s="13">
        <v>26</v>
      </c>
      <c r="L227" s="4"/>
      <c r="M227" s="7"/>
      <c r="O227" s="7"/>
      <c r="T227" s="7"/>
      <c r="BB227">
        <f t="shared" si="59"/>
        <v>74</v>
      </c>
      <c r="BC227" t="e">
        <f t="shared" si="55"/>
        <v>#N/A</v>
      </c>
      <c r="BD227" t="e">
        <f t="shared" si="50"/>
        <v>#N/A</v>
      </c>
      <c r="BE227" t="str">
        <f t="shared" si="57"/>
        <v/>
      </c>
      <c r="BF227">
        <f t="shared" si="58"/>
        <v>74</v>
      </c>
      <c r="BH227" t="e">
        <f t="shared" si="56"/>
        <v>#N/A</v>
      </c>
      <c r="BK227" s="26"/>
    </row>
    <row r="228" spans="2:68" x14ac:dyDescent="0.3">
      <c r="B228" s="18" t="s">
        <v>750</v>
      </c>
      <c r="C228" s="13">
        <v>18</v>
      </c>
      <c r="D228" s="21" t="s">
        <v>751</v>
      </c>
      <c r="E228" s="24">
        <v>68</v>
      </c>
      <c r="G228" s="2">
        <f t="shared" si="60"/>
        <v>209</v>
      </c>
      <c r="H228" s="5">
        <v>1</v>
      </c>
      <c r="I228" s="13">
        <v>26</v>
      </c>
      <c r="L228" s="4"/>
      <c r="M228" s="7"/>
      <c r="O228" s="7"/>
      <c r="T228" s="7"/>
      <c r="BB228">
        <f t="shared" si="59"/>
        <v>75</v>
      </c>
      <c r="BC228" t="e">
        <f t="shared" si="55"/>
        <v>#N/A</v>
      </c>
      <c r="BD228" t="e">
        <f t="shared" si="50"/>
        <v>#N/A</v>
      </c>
      <c r="BE228" t="str">
        <f t="shared" si="57"/>
        <v/>
      </c>
      <c r="BF228">
        <f t="shared" si="58"/>
        <v>75</v>
      </c>
      <c r="BH228" t="e">
        <f t="shared" si="56"/>
        <v>#N/A</v>
      </c>
      <c r="BK228" s="26"/>
    </row>
    <row r="229" spans="2:68" x14ac:dyDescent="0.3">
      <c r="B229" s="18" t="s">
        <v>752</v>
      </c>
      <c r="C229" s="13">
        <v>19</v>
      </c>
      <c r="D229" s="21" t="s">
        <v>753</v>
      </c>
      <c r="E229" s="24">
        <v>69</v>
      </c>
      <c r="G229" s="2">
        <f t="shared" si="60"/>
        <v>210</v>
      </c>
      <c r="H229" s="5">
        <v>1</v>
      </c>
      <c r="I229" s="13">
        <v>26</v>
      </c>
      <c r="L229" s="4"/>
      <c r="M229" s="7"/>
      <c r="O229" s="7"/>
      <c r="BB229">
        <f t="shared" si="59"/>
        <v>76</v>
      </c>
      <c r="BC229" t="e">
        <f t="shared" si="55"/>
        <v>#N/A</v>
      </c>
      <c r="BD229" t="e">
        <f t="shared" si="50"/>
        <v>#N/A</v>
      </c>
      <c r="BE229" t="str">
        <f t="shared" si="57"/>
        <v/>
      </c>
      <c r="BF229">
        <f t="shared" si="58"/>
        <v>76</v>
      </c>
      <c r="BH229" t="e">
        <f t="shared" si="56"/>
        <v>#N/A</v>
      </c>
      <c r="BK229" s="26"/>
    </row>
    <row r="230" spans="2:68" x14ac:dyDescent="0.3">
      <c r="B230" s="18" t="s">
        <v>754</v>
      </c>
      <c r="C230" s="13">
        <v>2</v>
      </c>
      <c r="D230" s="21" t="s">
        <v>755</v>
      </c>
      <c r="E230" s="24">
        <v>70</v>
      </c>
      <c r="G230" s="2">
        <f t="shared" si="60"/>
        <v>211</v>
      </c>
      <c r="H230" s="5">
        <v>1</v>
      </c>
      <c r="I230" s="13">
        <v>26</v>
      </c>
      <c r="L230" s="4"/>
      <c r="M230" s="7"/>
      <c r="O230" s="7"/>
      <c r="T230" s="7"/>
      <c r="BB230">
        <f t="shared" si="59"/>
        <v>77</v>
      </c>
      <c r="BC230" t="e">
        <f t="shared" si="55"/>
        <v>#N/A</v>
      </c>
      <c r="BD230" t="e">
        <f t="shared" si="50"/>
        <v>#N/A</v>
      </c>
      <c r="BE230" t="str">
        <f t="shared" si="57"/>
        <v/>
      </c>
      <c r="BF230">
        <f t="shared" si="58"/>
        <v>77</v>
      </c>
      <c r="BH230" t="e">
        <f t="shared" si="56"/>
        <v>#N/A</v>
      </c>
      <c r="BK230" s="26"/>
    </row>
    <row r="231" spans="2:68" x14ac:dyDescent="0.3">
      <c r="B231" s="18" t="s">
        <v>756</v>
      </c>
      <c r="C231" s="13">
        <v>20</v>
      </c>
      <c r="D231" s="21" t="s">
        <v>757</v>
      </c>
      <c r="E231" s="24">
        <v>71</v>
      </c>
      <c r="G231" s="2">
        <f t="shared" si="60"/>
        <v>212</v>
      </c>
      <c r="H231" s="5">
        <v>1</v>
      </c>
      <c r="I231" s="13">
        <v>26</v>
      </c>
      <c r="L231" s="4"/>
      <c r="M231" s="7"/>
      <c r="O231" s="7"/>
      <c r="T231" s="7"/>
      <c r="BB231">
        <f t="shared" si="59"/>
        <v>78</v>
      </c>
      <c r="BC231" t="e">
        <f t="shared" si="55"/>
        <v>#N/A</v>
      </c>
      <c r="BD231" t="e">
        <f t="shared" si="50"/>
        <v>#N/A</v>
      </c>
      <c r="BE231" t="str">
        <f t="shared" si="57"/>
        <v/>
      </c>
      <c r="BF231">
        <f t="shared" si="58"/>
        <v>78</v>
      </c>
      <c r="BH231" t="e">
        <f t="shared" si="56"/>
        <v>#N/A</v>
      </c>
      <c r="BK231" s="26"/>
    </row>
    <row r="232" spans="2:68" x14ac:dyDescent="0.3">
      <c r="B232" s="18" t="s">
        <v>758</v>
      </c>
      <c r="C232" s="13">
        <v>21</v>
      </c>
      <c r="D232" s="21" t="s">
        <v>759</v>
      </c>
      <c r="E232" s="24">
        <v>72</v>
      </c>
      <c r="G232" s="2">
        <f t="shared" si="60"/>
        <v>213</v>
      </c>
      <c r="H232" s="5">
        <v>1</v>
      </c>
      <c r="I232" s="13">
        <v>26</v>
      </c>
      <c r="L232" s="4"/>
      <c r="M232" s="7"/>
      <c r="O232" s="7"/>
      <c r="T232" s="7"/>
      <c r="BB232">
        <f t="shared" si="59"/>
        <v>79</v>
      </c>
      <c r="BC232" t="e">
        <f t="shared" si="55"/>
        <v>#N/A</v>
      </c>
      <c r="BD232" t="e">
        <f t="shared" si="50"/>
        <v>#N/A</v>
      </c>
      <c r="BE232" t="str">
        <f t="shared" si="57"/>
        <v/>
      </c>
      <c r="BF232">
        <f t="shared" si="58"/>
        <v>79</v>
      </c>
      <c r="BH232" t="e">
        <f t="shared" si="56"/>
        <v>#N/A</v>
      </c>
      <c r="BK232" s="26"/>
    </row>
    <row r="233" spans="2:68" x14ac:dyDescent="0.3">
      <c r="B233" s="18" t="s">
        <v>760</v>
      </c>
      <c r="C233" s="13">
        <v>22</v>
      </c>
      <c r="D233" s="21" t="s">
        <v>761</v>
      </c>
      <c r="E233" s="24">
        <v>73</v>
      </c>
      <c r="G233" s="2">
        <f t="shared" si="60"/>
        <v>214</v>
      </c>
      <c r="H233" s="5">
        <v>1</v>
      </c>
      <c r="I233" s="13">
        <v>26</v>
      </c>
      <c r="L233" s="4"/>
      <c r="M233" s="7"/>
      <c r="O233" s="7"/>
      <c r="T233" s="7"/>
      <c r="BB233">
        <f t="shared" si="59"/>
        <v>80</v>
      </c>
      <c r="BC233" t="e">
        <f t="shared" si="55"/>
        <v>#N/A</v>
      </c>
      <c r="BD233" t="e">
        <f t="shared" si="50"/>
        <v>#N/A</v>
      </c>
      <c r="BE233" t="str">
        <f t="shared" si="57"/>
        <v/>
      </c>
      <c r="BF233">
        <f t="shared" si="58"/>
        <v>80</v>
      </c>
      <c r="BH233" t="e">
        <f t="shared" si="56"/>
        <v>#N/A</v>
      </c>
      <c r="BK233" s="26"/>
    </row>
    <row r="234" spans="2:68" x14ac:dyDescent="0.3">
      <c r="B234" s="18" t="s">
        <v>762</v>
      </c>
      <c r="C234" s="13">
        <v>23</v>
      </c>
      <c r="D234" s="21" t="s">
        <v>763</v>
      </c>
      <c r="E234" s="24">
        <v>74</v>
      </c>
      <c r="G234" s="2">
        <f t="shared" si="60"/>
        <v>215</v>
      </c>
      <c r="H234" s="5">
        <v>1</v>
      </c>
      <c r="I234" s="13">
        <v>26</v>
      </c>
      <c r="L234" s="4"/>
      <c r="M234" s="7"/>
      <c r="O234" s="7"/>
      <c r="T234" s="7"/>
      <c r="BB234">
        <f t="shared" si="59"/>
        <v>81</v>
      </c>
      <c r="BC234" t="e">
        <f t="shared" si="55"/>
        <v>#N/A</v>
      </c>
      <c r="BD234" t="e">
        <f t="shared" si="50"/>
        <v>#N/A</v>
      </c>
      <c r="BE234" t="str">
        <f t="shared" si="57"/>
        <v/>
      </c>
      <c r="BF234">
        <f t="shared" si="58"/>
        <v>81</v>
      </c>
      <c r="BH234" t="e">
        <f t="shared" si="56"/>
        <v>#N/A</v>
      </c>
      <c r="BK234" s="26"/>
    </row>
    <row r="235" spans="2:68" x14ac:dyDescent="0.3">
      <c r="B235" s="18" t="s">
        <v>764</v>
      </c>
      <c r="C235" s="13">
        <v>24</v>
      </c>
      <c r="D235" s="21" t="s">
        <v>765</v>
      </c>
      <c r="E235" s="24">
        <v>75</v>
      </c>
      <c r="G235" s="2">
        <f t="shared" si="60"/>
        <v>216</v>
      </c>
      <c r="H235" s="5">
        <v>1</v>
      </c>
      <c r="I235" s="13">
        <v>26</v>
      </c>
      <c r="L235" s="4"/>
      <c r="M235" s="7"/>
      <c r="O235" s="7"/>
      <c r="T235" s="7"/>
      <c r="BB235">
        <f t="shared" si="59"/>
        <v>82</v>
      </c>
      <c r="BC235" t="e">
        <f t="shared" si="55"/>
        <v>#N/A</v>
      </c>
      <c r="BD235" t="e">
        <f t="shared" ref="BD235:BD281" si="61">IF(BC235="Bye","Bye",IF(ISNUMBER(BC235),LOOKUP(BC235,$BF$154:$BF$163,$BH$154:$BH$163),999999))</f>
        <v>#N/A</v>
      </c>
      <c r="BE235" t="str">
        <f t="shared" si="57"/>
        <v/>
      </c>
      <c r="BF235">
        <f t="shared" si="58"/>
        <v>82</v>
      </c>
      <c r="BH235" t="e">
        <f t="shared" si="56"/>
        <v>#N/A</v>
      </c>
      <c r="BK235" s="26"/>
    </row>
    <row r="236" spans="2:68" x14ac:dyDescent="0.3">
      <c r="B236" s="18" t="s">
        <v>766</v>
      </c>
      <c r="C236" s="13">
        <v>25</v>
      </c>
      <c r="D236" s="21" t="s">
        <v>767</v>
      </c>
      <c r="E236" s="24">
        <v>76</v>
      </c>
      <c r="G236" s="2">
        <f t="shared" si="60"/>
        <v>217</v>
      </c>
      <c r="H236" s="5">
        <v>1</v>
      </c>
      <c r="I236" s="13">
        <v>26</v>
      </c>
      <c r="L236" s="4"/>
      <c r="M236" s="7"/>
      <c r="O236" s="7"/>
      <c r="T236" s="7"/>
      <c r="BB236">
        <f t="shared" si="59"/>
        <v>83</v>
      </c>
      <c r="BC236" t="e">
        <f t="shared" si="55"/>
        <v>#N/A</v>
      </c>
      <c r="BD236" t="e">
        <f t="shared" si="61"/>
        <v>#N/A</v>
      </c>
      <c r="BE236" t="str">
        <f t="shared" si="57"/>
        <v/>
      </c>
      <c r="BF236">
        <f t="shared" si="58"/>
        <v>83</v>
      </c>
      <c r="BH236" t="e">
        <f t="shared" si="56"/>
        <v>#N/A</v>
      </c>
      <c r="BK236" s="26"/>
    </row>
    <row r="237" spans="2:68" x14ac:dyDescent="0.3">
      <c r="B237" s="18" t="s">
        <v>768</v>
      </c>
      <c r="C237" s="13">
        <v>26</v>
      </c>
      <c r="D237" s="21" t="s">
        <v>769</v>
      </c>
      <c r="E237" s="24">
        <v>77</v>
      </c>
      <c r="G237" s="2">
        <f t="shared" si="60"/>
        <v>218</v>
      </c>
      <c r="H237" s="5">
        <v>1</v>
      </c>
      <c r="I237" s="13">
        <v>26</v>
      </c>
      <c r="L237" s="4"/>
      <c r="M237" s="7"/>
      <c r="O237" s="7"/>
      <c r="T237" s="7"/>
      <c r="BB237">
        <f t="shared" si="59"/>
        <v>84</v>
      </c>
      <c r="BC237" t="e">
        <f t="shared" si="55"/>
        <v>#N/A</v>
      </c>
      <c r="BD237" t="e">
        <f t="shared" si="61"/>
        <v>#N/A</v>
      </c>
      <c r="BE237" t="str">
        <f t="shared" si="57"/>
        <v/>
      </c>
      <c r="BF237">
        <f t="shared" si="58"/>
        <v>84</v>
      </c>
      <c r="BH237" t="e">
        <f t="shared" si="56"/>
        <v>#N/A</v>
      </c>
      <c r="BK237" s="26"/>
    </row>
    <row r="238" spans="2:68" x14ac:dyDescent="0.3">
      <c r="B238" s="18" t="s">
        <v>770</v>
      </c>
      <c r="C238" s="13">
        <v>3</v>
      </c>
      <c r="D238" s="21" t="s">
        <v>771</v>
      </c>
      <c r="E238" s="24">
        <v>78</v>
      </c>
      <c r="G238" s="2">
        <f t="shared" si="60"/>
        <v>219</v>
      </c>
      <c r="H238" s="5">
        <v>1</v>
      </c>
      <c r="I238" s="13">
        <v>26</v>
      </c>
      <c r="L238" s="4"/>
      <c r="M238" s="7"/>
      <c r="O238" s="7"/>
      <c r="T238" s="7"/>
      <c r="BB238">
        <f t="shared" si="59"/>
        <v>85</v>
      </c>
      <c r="BC238" t="e">
        <f t="shared" si="55"/>
        <v>#N/A</v>
      </c>
      <c r="BD238" t="e">
        <f t="shared" si="61"/>
        <v>#N/A</v>
      </c>
      <c r="BE238" t="str">
        <f t="shared" si="57"/>
        <v/>
      </c>
      <c r="BF238">
        <f t="shared" si="58"/>
        <v>85</v>
      </c>
      <c r="BH238" t="e">
        <f t="shared" si="56"/>
        <v>#N/A</v>
      </c>
      <c r="BK238" s="26"/>
    </row>
    <row r="239" spans="2:68" x14ac:dyDescent="0.3">
      <c r="B239" s="18" t="s">
        <v>772</v>
      </c>
      <c r="C239" s="13">
        <v>4</v>
      </c>
      <c r="D239" s="21" t="s">
        <v>773</v>
      </c>
      <c r="E239" s="24">
        <v>79</v>
      </c>
      <c r="G239" s="2">
        <f t="shared" si="60"/>
        <v>220</v>
      </c>
      <c r="H239" s="5">
        <v>1</v>
      </c>
      <c r="I239" s="13">
        <v>26</v>
      </c>
      <c r="L239" s="4"/>
      <c r="M239" s="7"/>
      <c r="O239" s="7"/>
      <c r="T239" s="7"/>
      <c r="BB239">
        <f t="shared" si="59"/>
        <v>86</v>
      </c>
      <c r="BC239" t="e">
        <f t="shared" si="55"/>
        <v>#N/A</v>
      </c>
      <c r="BD239" t="e">
        <f t="shared" si="61"/>
        <v>#N/A</v>
      </c>
      <c r="BE239" t="str">
        <f t="shared" si="57"/>
        <v/>
      </c>
      <c r="BF239">
        <f t="shared" si="58"/>
        <v>86</v>
      </c>
      <c r="BH239" t="e">
        <f t="shared" si="56"/>
        <v>#N/A</v>
      </c>
      <c r="BK239" s="26"/>
    </row>
    <row r="240" spans="2:68" x14ac:dyDescent="0.3">
      <c r="B240" s="18" t="s">
        <v>774</v>
      </c>
      <c r="C240" s="13">
        <v>5</v>
      </c>
      <c r="D240" s="21" t="s">
        <v>775</v>
      </c>
      <c r="E240" s="24">
        <v>80</v>
      </c>
      <c r="G240" s="2">
        <f t="shared" si="60"/>
        <v>221</v>
      </c>
      <c r="H240" s="5">
        <v>1</v>
      </c>
      <c r="I240" s="13">
        <v>26</v>
      </c>
      <c r="L240" s="4"/>
      <c r="M240" s="7"/>
      <c r="O240" s="7"/>
      <c r="T240" s="7"/>
      <c r="BB240">
        <f t="shared" si="59"/>
        <v>87</v>
      </c>
      <c r="BC240" t="e">
        <f t="shared" si="55"/>
        <v>#N/A</v>
      </c>
      <c r="BD240" t="e">
        <f t="shared" si="61"/>
        <v>#N/A</v>
      </c>
      <c r="BE240" t="str">
        <f t="shared" si="57"/>
        <v/>
      </c>
      <c r="BF240">
        <f t="shared" si="58"/>
        <v>87</v>
      </c>
      <c r="BH240" t="e">
        <f t="shared" si="56"/>
        <v>#N/A</v>
      </c>
      <c r="BK240" s="26"/>
    </row>
    <row r="241" spans="2:63" x14ac:dyDescent="0.3">
      <c r="B241" s="18" t="s">
        <v>776</v>
      </c>
      <c r="C241" s="13">
        <v>6</v>
      </c>
      <c r="D241" s="21" t="s">
        <v>777</v>
      </c>
      <c r="E241" s="24">
        <v>81</v>
      </c>
      <c r="G241" s="2">
        <f t="shared" si="60"/>
        <v>222</v>
      </c>
      <c r="H241" s="5">
        <v>1</v>
      </c>
      <c r="I241" s="13">
        <v>26</v>
      </c>
      <c r="L241" s="4"/>
      <c r="M241" s="7"/>
      <c r="O241" s="7"/>
      <c r="T241" s="7"/>
      <c r="BB241">
        <f t="shared" si="59"/>
        <v>88</v>
      </c>
      <c r="BC241" t="e">
        <f t="shared" si="55"/>
        <v>#N/A</v>
      </c>
      <c r="BD241" t="e">
        <f t="shared" si="61"/>
        <v>#N/A</v>
      </c>
      <c r="BE241" t="str">
        <f t="shared" si="57"/>
        <v/>
      </c>
      <c r="BF241">
        <f t="shared" si="58"/>
        <v>88</v>
      </c>
      <c r="BH241" t="e">
        <f t="shared" si="56"/>
        <v>#N/A</v>
      </c>
      <c r="BK241" s="26"/>
    </row>
    <row r="242" spans="2:63" x14ac:dyDescent="0.3">
      <c r="B242" s="18" t="s">
        <v>778</v>
      </c>
      <c r="C242" s="13">
        <v>7</v>
      </c>
      <c r="D242" s="21" t="s">
        <v>779</v>
      </c>
      <c r="E242" s="24">
        <v>82</v>
      </c>
      <c r="G242" s="2">
        <f t="shared" si="60"/>
        <v>223</v>
      </c>
      <c r="H242" s="5">
        <v>1</v>
      </c>
      <c r="I242" s="13">
        <v>26</v>
      </c>
      <c r="L242" s="4"/>
      <c r="M242" s="7"/>
      <c r="O242" s="7"/>
      <c r="T242" s="7"/>
      <c r="BB242">
        <f t="shared" si="59"/>
        <v>89</v>
      </c>
      <c r="BC242" t="e">
        <f t="shared" si="55"/>
        <v>#N/A</v>
      </c>
      <c r="BD242" t="e">
        <f t="shared" si="61"/>
        <v>#N/A</v>
      </c>
      <c r="BE242" t="str">
        <f t="shared" si="57"/>
        <v/>
      </c>
      <c r="BF242">
        <f t="shared" si="58"/>
        <v>89</v>
      </c>
      <c r="BH242" t="e">
        <f t="shared" si="56"/>
        <v>#N/A</v>
      </c>
      <c r="BK242" s="26"/>
    </row>
    <row r="243" spans="2:63" x14ac:dyDescent="0.3">
      <c r="B243" s="18" t="s">
        <v>780</v>
      </c>
      <c r="C243" s="13">
        <v>8</v>
      </c>
      <c r="D243" s="21" t="s">
        <v>781</v>
      </c>
      <c r="E243" s="24">
        <v>83</v>
      </c>
      <c r="G243" s="2">
        <f t="shared" si="60"/>
        <v>224</v>
      </c>
      <c r="H243" s="5">
        <v>1</v>
      </c>
      <c r="I243" s="13">
        <v>26</v>
      </c>
      <c r="L243" s="4"/>
      <c r="M243" s="7"/>
      <c r="O243" s="7"/>
      <c r="T243" s="7"/>
      <c r="BB243">
        <f t="shared" si="59"/>
        <v>90</v>
      </c>
      <c r="BC243" t="e">
        <f t="shared" si="55"/>
        <v>#N/A</v>
      </c>
      <c r="BD243" t="e">
        <f t="shared" si="61"/>
        <v>#N/A</v>
      </c>
      <c r="BE243" t="str">
        <f t="shared" si="57"/>
        <v/>
      </c>
      <c r="BF243">
        <f t="shared" si="58"/>
        <v>90</v>
      </c>
      <c r="BH243" t="e">
        <f t="shared" si="56"/>
        <v>#N/A</v>
      </c>
      <c r="BK243" s="26"/>
    </row>
    <row r="244" spans="2:63" x14ac:dyDescent="0.3">
      <c r="B244" s="18" t="s">
        <v>782</v>
      </c>
      <c r="C244" s="13">
        <v>9</v>
      </c>
      <c r="D244" s="21" t="s">
        <v>783</v>
      </c>
      <c r="E244" s="24">
        <v>84</v>
      </c>
      <c r="G244" s="2">
        <f t="shared" si="60"/>
        <v>225</v>
      </c>
      <c r="H244" s="5">
        <v>1</v>
      </c>
      <c r="I244" s="13">
        <v>26</v>
      </c>
      <c r="L244" s="4"/>
      <c r="M244" s="7"/>
      <c r="O244" s="7"/>
      <c r="T244" s="7"/>
      <c r="BB244">
        <f t="shared" si="59"/>
        <v>91</v>
      </c>
      <c r="BC244" t="e">
        <f t="shared" si="55"/>
        <v>#N/A</v>
      </c>
      <c r="BD244" t="e">
        <f t="shared" si="61"/>
        <v>#N/A</v>
      </c>
      <c r="BE244" t="str">
        <f t="shared" si="57"/>
        <v/>
      </c>
      <c r="BF244">
        <f t="shared" si="58"/>
        <v>91</v>
      </c>
      <c r="BH244" t="e">
        <f t="shared" si="56"/>
        <v>#N/A</v>
      </c>
      <c r="BK244" s="26"/>
    </row>
    <row r="245" spans="2:63" x14ac:dyDescent="0.3">
      <c r="B245" s="18" t="s">
        <v>784</v>
      </c>
      <c r="C245" s="13">
        <v>52</v>
      </c>
      <c r="D245" s="21" t="s">
        <v>785</v>
      </c>
      <c r="E245" s="24">
        <v>85</v>
      </c>
      <c r="G245" s="2">
        <f t="shared" si="60"/>
        <v>226</v>
      </c>
      <c r="H245" s="5">
        <v>1</v>
      </c>
      <c r="I245" s="13">
        <v>26</v>
      </c>
      <c r="L245" s="4"/>
      <c r="M245" s="7"/>
      <c r="O245" s="7"/>
      <c r="T245" s="7"/>
      <c r="BB245">
        <f t="shared" si="59"/>
        <v>92</v>
      </c>
      <c r="BC245" t="e">
        <f t="shared" si="55"/>
        <v>#N/A</v>
      </c>
      <c r="BD245" t="e">
        <f t="shared" si="61"/>
        <v>#N/A</v>
      </c>
      <c r="BE245" t="str">
        <f t="shared" si="57"/>
        <v/>
      </c>
      <c r="BF245">
        <f t="shared" si="58"/>
        <v>92</v>
      </c>
      <c r="BH245" t="e">
        <f t="shared" si="56"/>
        <v>#N/A</v>
      </c>
      <c r="BK245" s="26"/>
    </row>
    <row r="246" spans="2:63" x14ac:dyDescent="0.3">
      <c r="B246" s="18" t="s">
        <v>786</v>
      </c>
      <c r="C246" s="13">
        <v>43</v>
      </c>
      <c r="D246" s="21" t="s">
        <v>787</v>
      </c>
      <c r="E246" s="24">
        <v>86</v>
      </c>
      <c r="G246" s="2">
        <f t="shared" si="60"/>
        <v>227</v>
      </c>
      <c r="H246" s="5">
        <v>1</v>
      </c>
      <c r="I246" s="13">
        <v>26</v>
      </c>
      <c r="L246" s="4"/>
      <c r="M246" s="7"/>
      <c r="O246" s="7"/>
      <c r="T246" s="7"/>
      <c r="BB246">
        <f t="shared" si="59"/>
        <v>93</v>
      </c>
      <c r="BC246" t="e">
        <f t="shared" si="55"/>
        <v>#N/A</v>
      </c>
      <c r="BD246" t="e">
        <f t="shared" si="61"/>
        <v>#N/A</v>
      </c>
      <c r="BE246" t="str">
        <f t="shared" si="57"/>
        <v/>
      </c>
      <c r="BF246">
        <f t="shared" si="58"/>
        <v>93</v>
      </c>
      <c r="BH246" t="e">
        <f t="shared" si="56"/>
        <v>#N/A</v>
      </c>
      <c r="BK246" s="26"/>
    </row>
    <row r="247" spans="2:63" x14ac:dyDescent="0.3">
      <c r="B247" s="18" t="s">
        <v>788</v>
      </c>
      <c r="C247" s="13">
        <v>42</v>
      </c>
      <c r="D247" s="21" t="s">
        <v>789</v>
      </c>
      <c r="E247" s="24">
        <v>87</v>
      </c>
      <c r="G247" s="2">
        <f t="shared" si="60"/>
        <v>228</v>
      </c>
      <c r="H247" s="5">
        <v>1</v>
      </c>
      <c r="I247" s="13">
        <v>26</v>
      </c>
      <c r="L247" s="4"/>
      <c r="M247" s="7"/>
      <c r="O247" s="7"/>
      <c r="T247" s="7"/>
      <c r="BB247">
        <f t="shared" si="59"/>
        <v>94</v>
      </c>
      <c r="BC247" t="e">
        <f t="shared" si="55"/>
        <v>#N/A</v>
      </c>
      <c r="BD247" t="e">
        <f t="shared" si="61"/>
        <v>#N/A</v>
      </c>
      <c r="BE247" t="str">
        <f t="shared" si="57"/>
        <v/>
      </c>
      <c r="BF247">
        <f t="shared" si="58"/>
        <v>94</v>
      </c>
      <c r="BH247" t="e">
        <f t="shared" si="56"/>
        <v>#N/A</v>
      </c>
      <c r="BK247" s="26"/>
    </row>
    <row r="248" spans="2:63" x14ac:dyDescent="0.3">
      <c r="B248" s="18" t="s">
        <v>790</v>
      </c>
      <c r="C248" s="13">
        <v>41</v>
      </c>
      <c r="D248" s="21" t="s">
        <v>791</v>
      </c>
      <c r="E248" s="24">
        <v>41</v>
      </c>
      <c r="G248" s="2">
        <f t="shared" si="60"/>
        <v>229</v>
      </c>
      <c r="H248" s="5">
        <v>1</v>
      </c>
      <c r="I248" s="13">
        <v>26</v>
      </c>
      <c r="L248" s="4"/>
      <c r="M248" s="7"/>
      <c r="O248" s="7"/>
      <c r="T248" s="7"/>
      <c r="BB248">
        <f t="shared" si="59"/>
        <v>95</v>
      </c>
      <c r="BC248" t="e">
        <f t="shared" si="55"/>
        <v>#N/A</v>
      </c>
      <c r="BD248" t="e">
        <f t="shared" si="61"/>
        <v>#N/A</v>
      </c>
      <c r="BE248" t="str">
        <f t="shared" si="57"/>
        <v/>
      </c>
      <c r="BF248">
        <f t="shared" si="58"/>
        <v>95</v>
      </c>
      <c r="BH248" t="e">
        <f t="shared" si="56"/>
        <v>#N/A</v>
      </c>
      <c r="BK248" s="26"/>
    </row>
    <row r="249" spans="2:63" x14ac:dyDescent="0.3">
      <c r="B249" s="18" t="s">
        <v>792</v>
      </c>
      <c r="C249" s="13">
        <v>40</v>
      </c>
      <c r="D249" s="21" t="s">
        <v>793</v>
      </c>
      <c r="E249" s="24">
        <v>40</v>
      </c>
      <c r="G249" s="2">
        <f t="shared" si="60"/>
        <v>230</v>
      </c>
      <c r="H249" s="5">
        <v>1</v>
      </c>
      <c r="I249" s="13">
        <v>26</v>
      </c>
      <c r="L249" s="4"/>
      <c r="M249" s="7"/>
      <c r="O249" s="7"/>
      <c r="T249" s="7"/>
      <c r="BB249">
        <f t="shared" si="59"/>
        <v>96</v>
      </c>
      <c r="BC249" t="e">
        <f t="shared" si="55"/>
        <v>#N/A</v>
      </c>
      <c r="BD249" t="e">
        <f t="shared" si="61"/>
        <v>#N/A</v>
      </c>
      <c r="BE249" t="str">
        <f t="shared" si="57"/>
        <v/>
      </c>
      <c r="BF249">
        <f t="shared" si="58"/>
        <v>96</v>
      </c>
      <c r="BH249" t="e">
        <f t="shared" si="56"/>
        <v>#N/A</v>
      </c>
      <c r="BK249" s="26"/>
    </row>
    <row r="250" spans="2:63" x14ac:dyDescent="0.3">
      <c r="B250" s="18" t="s">
        <v>794</v>
      </c>
      <c r="C250" s="13">
        <v>39</v>
      </c>
      <c r="D250" s="21" t="s">
        <v>795</v>
      </c>
      <c r="E250" s="24">
        <v>39</v>
      </c>
      <c r="G250" s="2">
        <f t="shared" si="60"/>
        <v>231</v>
      </c>
      <c r="H250" s="5">
        <v>1</v>
      </c>
      <c r="I250" s="13">
        <v>26</v>
      </c>
      <c r="L250" s="4"/>
      <c r="M250" s="7"/>
      <c r="O250" s="7"/>
      <c r="T250" s="7"/>
      <c r="BB250">
        <f t="shared" si="59"/>
        <v>97</v>
      </c>
      <c r="BC250" t="e">
        <f t="shared" ref="BC250:BC281" si="62">HLOOKUP(Tot_Jug,Knockout,BB250+1,FALSE)</f>
        <v>#N/A</v>
      </c>
      <c r="BD250" t="e">
        <f t="shared" si="61"/>
        <v>#N/A</v>
      </c>
      <c r="BE250" t="str">
        <f t="shared" si="57"/>
        <v/>
      </c>
      <c r="BF250">
        <f t="shared" si="58"/>
        <v>97</v>
      </c>
      <c r="BH250" t="e">
        <f t="shared" ref="BH250:BH281" si="63">HLOOKUP(CONCATENATE("G",BE250),Group_Results,BG250+1,FALSE)</f>
        <v>#N/A</v>
      </c>
      <c r="BK250" s="26"/>
    </row>
    <row r="251" spans="2:63" x14ac:dyDescent="0.3">
      <c r="B251" s="18" t="s">
        <v>796</v>
      </c>
      <c r="C251" s="13">
        <v>38</v>
      </c>
      <c r="D251" s="21" t="s">
        <v>797</v>
      </c>
      <c r="E251" s="24">
        <v>38</v>
      </c>
      <c r="G251" s="2">
        <f t="shared" si="60"/>
        <v>232</v>
      </c>
      <c r="H251" s="5">
        <v>1</v>
      </c>
      <c r="I251" s="13">
        <v>26</v>
      </c>
      <c r="L251" s="4"/>
      <c r="M251" s="7"/>
      <c r="O251" s="7"/>
      <c r="T251" s="7"/>
      <c r="BB251">
        <f t="shared" si="59"/>
        <v>98</v>
      </c>
      <c r="BC251" t="e">
        <f t="shared" si="62"/>
        <v>#N/A</v>
      </c>
      <c r="BD251" t="e">
        <f t="shared" si="61"/>
        <v>#N/A</v>
      </c>
      <c r="BE251" t="str">
        <f t="shared" ref="BE251:BE281" si="64">IF(BF251&gt;Tot_Jug,"",IF(BF251&lt;=Grps,BF250+1,IF(BF251=Grps+1,1,IF(AND(BF251&gt;Grps,BF251&lt;=Grps*2),BE250+1,IF(BF251=(Grps*2)+1,Grps,IF(BF251&gt;(Grps*2)+1,BE250-1,IF(BF251&gt;Tot_Jug,"",9999999)))))))</f>
        <v/>
      </c>
      <c r="BF251">
        <f t="shared" ref="BF251:BF281" si="65">IF(BF250="","",IF(BF250=Tot_Jug,"",BF250+1))</f>
        <v>98</v>
      </c>
      <c r="BH251" t="e">
        <f t="shared" si="63"/>
        <v>#N/A</v>
      </c>
      <c r="BK251" s="26"/>
    </row>
    <row r="252" spans="2:63" x14ac:dyDescent="0.3">
      <c r="B252" s="18" t="s">
        <v>798</v>
      </c>
      <c r="C252" s="13">
        <v>37</v>
      </c>
      <c r="D252" s="21" t="s">
        <v>799</v>
      </c>
      <c r="E252" s="24">
        <v>37</v>
      </c>
      <c r="G252" s="2">
        <f t="shared" si="60"/>
        <v>233</v>
      </c>
      <c r="H252" s="5">
        <v>1</v>
      </c>
      <c r="I252" s="13">
        <v>26</v>
      </c>
      <c r="L252" s="4"/>
      <c r="M252" s="7"/>
      <c r="O252" s="7"/>
      <c r="T252" s="7"/>
      <c r="BB252">
        <f t="shared" si="59"/>
        <v>99</v>
      </c>
      <c r="BC252" t="e">
        <f t="shared" si="62"/>
        <v>#N/A</v>
      </c>
      <c r="BD252" t="e">
        <f t="shared" si="61"/>
        <v>#N/A</v>
      </c>
      <c r="BE252" t="str">
        <f t="shared" si="64"/>
        <v/>
      </c>
      <c r="BF252">
        <f t="shared" si="65"/>
        <v>99</v>
      </c>
      <c r="BH252" t="e">
        <f t="shared" si="63"/>
        <v>#N/A</v>
      </c>
      <c r="BK252" s="26"/>
    </row>
    <row r="253" spans="2:63" x14ac:dyDescent="0.3">
      <c r="B253" s="18" t="s">
        <v>800</v>
      </c>
      <c r="C253" s="13">
        <v>36</v>
      </c>
      <c r="D253" s="21" t="s">
        <v>801</v>
      </c>
      <c r="E253" s="24">
        <v>36</v>
      </c>
      <c r="G253" s="2">
        <f t="shared" si="60"/>
        <v>234</v>
      </c>
      <c r="H253" s="5">
        <v>1</v>
      </c>
      <c r="I253" s="13">
        <v>26</v>
      </c>
      <c r="L253" s="4"/>
      <c r="M253" s="7"/>
      <c r="O253" s="7"/>
      <c r="T253" s="7"/>
      <c r="BB253">
        <f t="shared" si="59"/>
        <v>100</v>
      </c>
      <c r="BC253" t="e">
        <f t="shared" si="62"/>
        <v>#N/A</v>
      </c>
      <c r="BD253" t="e">
        <f t="shared" si="61"/>
        <v>#N/A</v>
      </c>
      <c r="BE253" t="str">
        <f t="shared" si="64"/>
        <v/>
      </c>
      <c r="BF253">
        <f t="shared" si="65"/>
        <v>100</v>
      </c>
      <c r="BH253" t="e">
        <f t="shared" si="63"/>
        <v>#N/A</v>
      </c>
      <c r="BK253" s="26"/>
    </row>
    <row r="254" spans="2:63" x14ac:dyDescent="0.3">
      <c r="B254" s="18" t="s">
        <v>802</v>
      </c>
      <c r="C254" s="13">
        <v>35</v>
      </c>
      <c r="D254" s="21" t="s">
        <v>803</v>
      </c>
      <c r="E254" s="24">
        <v>64</v>
      </c>
      <c r="G254" s="2">
        <f t="shared" si="60"/>
        <v>235</v>
      </c>
      <c r="H254" s="5">
        <v>1</v>
      </c>
      <c r="I254" s="13">
        <v>26</v>
      </c>
      <c r="L254" s="4"/>
      <c r="M254" s="7"/>
      <c r="O254" s="7"/>
      <c r="T254" s="7"/>
      <c r="BB254">
        <f t="shared" si="59"/>
        <v>101</v>
      </c>
      <c r="BC254" t="e">
        <f t="shared" si="62"/>
        <v>#N/A</v>
      </c>
      <c r="BD254" t="e">
        <f t="shared" si="61"/>
        <v>#N/A</v>
      </c>
      <c r="BE254" t="str">
        <f t="shared" si="64"/>
        <v/>
      </c>
      <c r="BF254">
        <f t="shared" si="65"/>
        <v>101</v>
      </c>
      <c r="BH254" t="e">
        <f t="shared" si="63"/>
        <v>#N/A</v>
      </c>
      <c r="BK254" s="26"/>
    </row>
    <row r="255" spans="2:63" x14ac:dyDescent="0.3">
      <c r="B255" s="18" t="s">
        <v>804</v>
      </c>
      <c r="C255" s="13">
        <v>34</v>
      </c>
      <c r="D255" s="21" t="s">
        <v>805</v>
      </c>
      <c r="E255" s="24">
        <v>63</v>
      </c>
      <c r="G255" s="2">
        <f t="shared" si="60"/>
        <v>236</v>
      </c>
      <c r="H255" s="5">
        <v>1</v>
      </c>
      <c r="I255" s="13">
        <v>26</v>
      </c>
      <c r="L255" s="4"/>
      <c r="M255" s="7"/>
      <c r="O255" s="7"/>
      <c r="T255" s="7"/>
      <c r="BB255">
        <f t="shared" si="59"/>
        <v>102</v>
      </c>
      <c r="BC255" t="e">
        <f t="shared" si="62"/>
        <v>#N/A</v>
      </c>
      <c r="BD255" t="e">
        <f t="shared" si="61"/>
        <v>#N/A</v>
      </c>
      <c r="BE255" t="str">
        <f t="shared" si="64"/>
        <v/>
      </c>
      <c r="BF255">
        <f t="shared" si="65"/>
        <v>102</v>
      </c>
      <c r="BH255" t="e">
        <f t="shared" si="63"/>
        <v>#N/A</v>
      </c>
      <c r="BK255" s="26"/>
    </row>
    <row r="256" spans="2:63" x14ac:dyDescent="0.3">
      <c r="B256" s="18" t="s">
        <v>806</v>
      </c>
      <c r="C256" s="13">
        <v>51</v>
      </c>
      <c r="D256" s="21" t="s">
        <v>807</v>
      </c>
      <c r="E256" s="24">
        <v>62</v>
      </c>
      <c r="G256" s="2">
        <f t="shared" si="60"/>
        <v>237</v>
      </c>
      <c r="H256" s="5">
        <v>1</v>
      </c>
      <c r="I256" s="13">
        <v>26</v>
      </c>
      <c r="L256" s="4"/>
      <c r="M256" s="7"/>
      <c r="O256" s="7"/>
      <c r="T256" s="7"/>
      <c r="BB256">
        <f t="shared" si="59"/>
        <v>103</v>
      </c>
      <c r="BC256" t="e">
        <f t="shared" si="62"/>
        <v>#N/A</v>
      </c>
      <c r="BD256" t="e">
        <f t="shared" si="61"/>
        <v>#N/A</v>
      </c>
      <c r="BE256" t="str">
        <f t="shared" si="64"/>
        <v/>
      </c>
      <c r="BF256">
        <f t="shared" si="65"/>
        <v>103</v>
      </c>
      <c r="BH256" t="e">
        <f t="shared" si="63"/>
        <v>#N/A</v>
      </c>
      <c r="BK256" s="26"/>
    </row>
    <row r="257" spans="2:63" x14ac:dyDescent="0.3">
      <c r="B257" s="18" t="s">
        <v>808</v>
      </c>
      <c r="C257" s="13">
        <v>33</v>
      </c>
      <c r="D257" s="21" t="s">
        <v>809</v>
      </c>
      <c r="E257" s="24">
        <v>35</v>
      </c>
      <c r="G257" s="2">
        <f t="shared" si="60"/>
        <v>238</v>
      </c>
      <c r="H257" s="5">
        <v>1</v>
      </c>
      <c r="I257" s="13">
        <v>26</v>
      </c>
      <c r="L257" s="4"/>
      <c r="M257" s="7"/>
      <c r="O257" s="7"/>
      <c r="T257" s="7"/>
      <c r="BB257">
        <f t="shared" si="59"/>
        <v>104</v>
      </c>
      <c r="BC257" t="e">
        <f t="shared" si="62"/>
        <v>#N/A</v>
      </c>
      <c r="BD257" t="e">
        <f t="shared" si="61"/>
        <v>#N/A</v>
      </c>
      <c r="BE257" t="str">
        <f t="shared" si="64"/>
        <v/>
      </c>
      <c r="BF257">
        <f t="shared" si="65"/>
        <v>104</v>
      </c>
      <c r="BH257" t="e">
        <f t="shared" si="63"/>
        <v>#N/A</v>
      </c>
      <c r="BK257" s="26"/>
    </row>
    <row r="258" spans="2:63" x14ac:dyDescent="0.3">
      <c r="B258" s="18" t="s">
        <v>810</v>
      </c>
      <c r="C258" s="13">
        <v>32</v>
      </c>
      <c r="D258" s="21" t="s">
        <v>811</v>
      </c>
      <c r="E258" s="24">
        <v>61</v>
      </c>
      <c r="G258" s="2">
        <f t="shared" si="60"/>
        <v>239</v>
      </c>
      <c r="H258" s="5">
        <v>1</v>
      </c>
      <c r="I258" s="13">
        <v>26</v>
      </c>
      <c r="L258" s="4"/>
      <c r="M258" s="7"/>
      <c r="O258" s="7"/>
      <c r="T258" s="7"/>
      <c r="BB258">
        <f t="shared" si="59"/>
        <v>105</v>
      </c>
      <c r="BC258" t="e">
        <f t="shared" si="62"/>
        <v>#N/A</v>
      </c>
      <c r="BD258" t="e">
        <f t="shared" si="61"/>
        <v>#N/A</v>
      </c>
      <c r="BE258" t="str">
        <f t="shared" si="64"/>
        <v/>
      </c>
      <c r="BF258">
        <f t="shared" si="65"/>
        <v>105</v>
      </c>
      <c r="BH258" t="e">
        <f t="shared" si="63"/>
        <v>#N/A</v>
      </c>
      <c r="BK258" s="26"/>
    </row>
    <row r="259" spans="2:63" x14ac:dyDescent="0.3">
      <c r="B259" s="18" t="s">
        <v>812</v>
      </c>
      <c r="C259" s="13">
        <v>31</v>
      </c>
      <c r="D259" s="21" t="s">
        <v>813</v>
      </c>
      <c r="E259" s="24">
        <v>60</v>
      </c>
      <c r="G259" s="2">
        <f t="shared" si="60"/>
        <v>240</v>
      </c>
      <c r="H259" s="5">
        <v>1</v>
      </c>
      <c r="I259" s="13">
        <v>26</v>
      </c>
      <c r="L259" s="4"/>
      <c r="M259" s="7"/>
      <c r="O259" s="7"/>
      <c r="T259" s="7"/>
      <c r="BB259">
        <f t="shared" si="59"/>
        <v>106</v>
      </c>
      <c r="BC259" t="e">
        <f t="shared" si="62"/>
        <v>#N/A</v>
      </c>
      <c r="BD259" t="e">
        <f t="shared" si="61"/>
        <v>#N/A</v>
      </c>
      <c r="BE259" t="str">
        <f t="shared" si="64"/>
        <v/>
      </c>
      <c r="BF259">
        <f t="shared" si="65"/>
        <v>106</v>
      </c>
      <c r="BH259" t="e">
        <f t="shared" si="63"/>
        <v>#N/A</v>
      </c>
      <c r="BK259" s="26"/>
    </row>
    <row r="260" spans="2:63" x14ac:dyDescent="0.3">
      <c r="B260" s="18" t="s">
        <v>814</v>
      </c>
      <c r="C260" s="13">
        <v>30</v>
      </c>
      <c r="D260" s="21" t="s">
        <v>815</v>
      </c>
      <c r="E260" s="24">
        <v>59</v>
      </c>
      <c r="G260" s="2">
        <f t="shared" si="60"/>
        <v>241</v>
      </c>
      <c r="H260" s="5">
        <v>1</v>
      </c>
      <c r="I260" s="13">
        <v>26</v>
      </c>
      <c r="L260" s="4"/>
      <c r="M260" s="7"/>
      <c r="O260" s="7"/>
      <c r="T260" s="7"/>
      <c r="BB260">
        <f t="shared" si="59"/>
        <v>107</v>
      </c>
      <c r="BC260" t="e">
        <f t="shared" si="62"/>
        <v>#N/A</v>
      </c>
      <c r="BD260" t="e">
        <f t="shared" si="61"/>
        <v>#N/A</v>
      </c>
      <c r="BE260" t="str">
        <f t="shared" si="64"/>
        <v/>
      </c>
      <c r="BF260">
        <f t="shared" si="65"/>
        <v>107</v>
      </c>
      <c r="BH260" t="e">
        <f t="shared" si="63"/>
        <v>#N/A</v>
      </c>
      <c r="BK260" s="26"/>
    </row>
    <row r="261" spans="2:63" x14ac:dyDescent="0.3">
      <c r="B261" s="18" t="s">
        <v>816</v>
      </c>
      <c r="C261" s="13">
        <v>29</v>
      </c>
      <c r="D261" s="21" t="s">
        <v>817</v>
      </c>
      <c r="E261" s="24">
        <v>58</v>
      </c>
      <c r="G261" s="2">
        <f t="shared" si="60"/>
        <v>242</v>
      </c>
      <c r="H261" s="5">
        <v>1</v>
      </c>
      <c r="I261" s="13">
        <v>26</v>
      </c>
      <c r="L261" s="4"/>
      <c r="M261" s="7"/>
      <c r="O261" s="7"/>
      <c r="T261" s="7"/>
      <c r="BB261">
        <f t="shared" si="59"/>
        <v>108</v>
      </c>
      <c r="BC261" t="e">
        <f t="shared" si="62"/>
        <v>#N/A</v>
      </c>
      <c r="BD261" t="e">
        <f t="shared" si="61"/>
        <v>#N/A</v>
      </c>
      <c r="BE261" t="str">
        <f t="shared" si="64"/>
        <v/>
      </c>
      <c r="BF261">
        <f t="shared" si="65"/>
        <v>108</v>
      </c>
      <c r="BH261" t="e">
        <f t="shared" si="63"/>
        <v>#N/A</v>
      </c>
      <c r="BK261" s="26"/>
    </row>
    <row r="262" spans="2:63" x14ac:dyDescent="0.3">
      <c r="B262" s="18" t="s">
        <v>818</v>
      </c>
      <c r="C262" s="13">
        <v>28</v>
      </c>
      <c r="D262" s="21" t="s">
        <v>819</v>
      </c>
      <c r="E262" s="24">
        <v>57</v>
      </c>
      <c r="G262" s="2">
        <f t="shared" si="60"/>
        <v>243</v>
      </c>
      <c r="H262" s="5">
        <v>1</v>
      </c>
      <c r="I262" s="13">
        <v>26</v>
      </c>
      <c r="L262" s="4"/>
      <c r="M262" s="7"/>
      <c r="O262" s="7"/>
      <c r="BB262">
        <f t="shared" si="59"/>
        <v>109</v>
      </c>
      <c r="BC262" t="e">
        <f t="shared" si="62"/>
        <v>#N/A</v>
      </c>
      <c r="BD262" t="e">
        <f t="shared" si="61"/>
        <v>#N/A</v>
      </c>
      <c r="BE262" t="str">
        <f t="shared" si="64"/>
        <v/>
      </c>
      <c r="BF262">
        <f t="shared" si="65"/>
        <v>109</v>
      </c>
      <c r="BH262" t="e">
        <f t="shared" si="63"/>
        <v>#N/A</v>
      </c>
      <c r="BK262" s="26"/>
    </row>
    <row r="263" spans="2:63" x14ac:dyDescent="0.3">
      <c r="B263" s="18" t="s">
        <v>820</v>
      </c>
      <c r="C263" s="13">
        <v>27</v>
      </c>
      <c r="D263" s="21" t="s">
        <v>821</v>
      </c>
      <c r="E263" s="24">
        <v>56</v>
      </c>
      <c r="G263" s="2">
        <f t="shared" si="60"/>
        <v>244</v>
      </c>
      <c r="H263" s="5">
        <v>1</v>
      </c>
      <c r="I263" s="13">
        <v>26</v>
      </c>
      <c r="L263" s="4"/>
      <c r="M263" s="7"/>
      <c r="O263" s="7"/>
      <c r="T263" s="7"/>
      <c r="BB263">
        <f t="shared" si="59"/>
        <v>110</v>
      </c>
      <c r="BC263" t="e">
        <f t="shared" si="62"/>
        <v>#N/A</v>
      </c>
      <c r="BD263" t="e">
        <f t="shared" si="61"/>
        <v>#N/A</v>
      </c>
      <c r="BE263" t="str">
        <f t="shared" si="64"/>
        <v/>
      </c>
      <c r="BF263">
        <f t="shared" si="65"/>
        <v>110</v>
      </c>
      <c r="BH263" t="e">
        <f t="shared" si="63"/>
        <v>#N/A</v>
      </c>
      <c r="BK263" s="26"/>
    </row>
    <row r="264" spans="2:63" x14ac:dyDescent="0.3">
      <c r="B264" s="18" t="s">
        <v>822</v>
      </c>
      <c r="C264" s="13">
        <v>50</v>
      </c>
      <c r="D264" s="21" t="s">
        <v>823</v>
      </c>
      <c r="E264" s="24">
        <v>55</v>
      </c>
      <c r="G264" s="2">
        <f t="shared" si="60"/>
        <v>245</v>
      </c>
      <c r="H264" s="5">
        <v>1</v>
      </c>
      <c r="I264" s="13">
        <v>26</v>
      </c>
      <c r="L264" s="4"/>
      <c r="M264" s="7"/>
      <c r="O264" s="7"/>
      <c r="T264" s="7"/>
      <c r="BB264">
        <f t="shared" si="59"/>
        <v>111</v>
      </c>
      <c r="BC264" t="e">
        <f t="shared" si="62"/>
        <v>#N/A</v>
      </c>
      <c r="BD264" t="e">
        <f t="shared" si="61"/>
        <v>#N/A</v>
      </c>
      <c r="BE264" t="str">
        <f t="shared" si="64"/>
        <v/>
      </c>
      <c r="BF264">
        <f t="shared" si="65"/>
        <v>111</v>
      </c>
      <c r="BH264" t="e">
        <f t="shared" si="63"/>
        <v>#N/A</v>
      </c>
      <c r="BK264" s="26"/>
    </row>
    <row r="265" spans="2:63" x14ac:dyDescent="0.3">
      <c r="B265" s="18" t="s">
        <v>824</v>
      </c>
      <c r="C265" s="13">
        <v>49</v>
      </c>
      <c r="D265" s="21" t="s">
        <v>825</v>
      </c>
      <c r="E265" s="24">
        <v>54</v>
      </c>
      <c r="G265" s="2">
        <f t="shared" si="60"/>
        <v>246</v>
      </c>
      <c r="H265" s="5">
        <v>1</v>
      </c>
      <c r="I265" s="13">
        <v>26</v>
      </c>
      <c r="L265" s="4"/>
      <c r="M265" s="7"/>
      <c r="O265" s="7"/>
      <c r="T265" s="7"/>
      <c r="BB265">
        <f t="shared" si="59"/>
        <v>112</v>
      </c>
      <c r="BC265" t="e">
        <f t="shared" si="62"/>
        <v>#N/A</v>
      </c>
      <c r="BD265" t="e">
        <f t="shared" si="61"/>
        <v>#N/A</v>
      </c>
      <c r="BE265" t="str">
        <f t="shared" si="64"/>
        <v/>
      </c>
      <c r="BF265">
        <f t="shared" si="65"/>
        <v>112</v>
      </c>
      <c r="BH265" t="e">
        <f t="shared" si="63"/>
        <v>#N/A</v>
      </c>
      <c r="BK265" s="26"/>
    </row>
    <row r="266" spans="2:63" x14ac:dyDescent="0.3">
      <c r="B266" s="18" t="s">
        <v>826</v>
      </c>
      <c r="C266" s="13">
        <v>48</v>
      </c>
      <c r="D266" s="21" t="s">
        <v>827</v>
      </c>
      <c r="E266" s="24">
        <v>53</v>
      </c>
      <c r="G266" s="2">
        <f t="shared" si="60"/>
        <v>247</v>
      </c>
      <c r="H266" s="5">
        <v>1</v>
      </c>
      <c r="I266" s="13">
        <v>26</v>
      </c>
      <c r="L266" s="4"/>
      <c r="M266" s="7"/>
      <c r="O266" s="7"/>
      <c r="T266" s="7"/>
      <c r="BB266">
        <f t="shared" si="59"/>
        <v>113</v>
      </c>
      <c r="BC266" t="e">
        <f t="shared" si="62"/>
        <v>#N/A</v>
      </c>
      <c r="BD266" t="e">
        <f t="shared" si="61"/>
        <v>#N/A</v>
      </c>
      <c r="BE266" t="str">
        <f t="shared" si="64"/>
        <v/>
      </c>
      <c r="BF266">
        <f t="shared" si="65"/>
        <v>113</v>
      </c>
      <c r="BH266" t="e">
        <f t="shared" si="63"/>
        <v>#N/A</v>
      </c>
      <c r="BK266" s="26"/>
    </row>
    <row r="267" spans="2:63" x14ac:dyDescent="0.3">
      <c r="B267" s="18" t="s">
        <v>828</v>
      </c>
      <c r="C267" s="13">
        <v>47</v>
      </c>
      <c r="D267" s="21" t="s">
        <v>829</v>
      </c>
      <c r="E267" s="24">
        <v>52</v>
      </c>
      <c r="G267" s="2">
        <f t="shared" si="60"/>
        <v>248</v>
      </c>
      <c r="H267" s="5">
        <v>1</v>
      </c>
      <c r="I267" s="13">
        <v>26</v>
      </c>
      <c r="L267" s="4"/>
      <c r="M267" s="7"/>
      <c r="O267" s="7"/>
      <c r="T267" s="7"/>
      <c r="BB267">
        <f t="shared" si="59"/>
        <v>114</v>
      </c>
      <c r="BC267" t="e">
        <f t="shared" si="62"/>
        <v>#N/A</v>
      </c>
      <c r="BD267" t="e">
        <f t="shared" si="61"/>
        <v>#N/A</v>
      </c>
      <c r="BE267" t="str">
        <f t="shared" si="64"/>
        <v/>
      </c>
      <c r="BF267">
        <f t="shared" si="65"/>
        <v>114</v>
      </c>
      <c r="BH267" t="e">
        <f t="shared" si="63"/>
        <v>#N/A</v>
      </c>
      <c r="BK267" s="26"/>
    </row>
    <row r="268" spans="2:63" x14ac:dyDescent="0.3">
      <c r="B268" s="18" t="s">
        <v>830</v>
      </c>
      <c r="C268" s="13">
        <v>46</v>
      </c>
      <c r="D268" s="21" t="s">
        <v>831</v>
      </c>
      <c r="E268" s="24">
        <v>34</v>
      </c>
      <c r="G268" s="2">
        <f t="shared" si="60"/>
        <v>249</v>
      </c>
      <c r="H268" s="5">
        <v>1</v>
      </c>
      <c r="I268" s="13">
        <v>26</v>
      </c>
      <c r="L268" s="4"/>
      <c r="M268" s="7"/>
      <c r="O268" s="7"/>
      <c r="T268" s="7"/>
      <c r="BB268">
        <f t="shared" si="59"/>
        <v>115</v>
      </c>
      <c r="BC268" t="e">
        <f t="shared" si="62"/>
        <v>#N/A</v>
      </c>
      <c r="BD268" t="e">
        <f t="shared" si="61"/>
        <v>#N/A</v>
      </c>
      <c r="BE268" t="str">
        <f t="shared" si="64"/>
        <v/>
      </c>
      <c r="BF268">
        <f t="shared" si="65"/>
        <v>115</v>
      </c>
      <c r="BH268" t="e">
        <f t="shared" si="63"/>
        <v>#N/A</v>
      </c>
      <c r="BK268" s="26"/>
    </row>
    <row r="269" spans="2:63" x14ac:dyDescent="0.3">
      <c r="B269" s="18" t="s">
        <v>832</v>
      </c>
      <c r="C269" s="13">
        <v>45</v>
      </c>
      <c r="D269" s="21" t="s">
        <v>833</v>
      </c>
      <c r="E269" s="24">
        <v>51</v>
      </c>
      <c r="G269" s="2">
        <f t="shared" si="60"/>
        <v>250</v>
      </c>
      <c r="H269" s="5">
        <v>0</v>
      </c>
      <c r="I269" s="13">
        <v>32</v>
      </c>
      <c r="L269" s="4"/>
      <c r="M269" s="7"/>
      <c r="O269" s="7"/>
      <c r="T269" s="7"/>
      <c r="BB269">
        <f t="shared" si="59"/>
        <v>116</v>
      </c>
      <c r="BC269" t="e">
        <f t="shared" si="62"/>
        <v>#N/A</v>
      </c>
      <c r="BD269" t="e">
        <f t="shared" si="61"/>
        <v>#N/A</v>
      </c>
      <c r="BE269" t="str">
        <f t="shared" si="64"/>
        <v/>
      </c>
      <c r="BF269">
        <f t="shared" si="65"/>
        <v>116</v>
      </c>
      <c r="BH269" t="e">
        <f t="shared" si="63"/>
        <v>#N/A</v>
      </c>
      <c r="BK269" s="26"/>
    </row>
    <row r="270" spans="2:63" x14ac:dyDescent="0.3">
      <c r="B270" s="18" t="s">
        <v>834</v>
      </c>
      <c r="C270" s="13">
        <v>44</v>
      </c>
      <c r="D270" s="21" t="s">
        <v>835</v>
      </c>
      <c r="E270" s="24">
        <v>50</v>
      </c>
      <c r="G270" s="2">
        <f t="shared" si="60"/>
        <v>251</v>
      </c>
      <c r="H270" s="5">
        <v>0</v>
      </c>
      <c r="I270" s="13">
        <v>32</v>
      </c>
      <c r="L270" s="4"/>
      <c r="M270" s="7"/>
      <c r="O270" s="7"/>
      <c r="T270" s="7"/>
      <c r="BB270">
        <f t="shared" si="59"/>
        <v>117</v>
      </c>
      <c r="BC270" t="e">
        <f t="shared" si="62"/>
        <v>#N/A</v>
      </c>
      <c r="BD270" t="e">
        <f t="shared" si="61"/>
        <v>#N/A</v>
      </c>
      <c r="BE270" t="str">
        <f t="shared" si="64"/>
        <v/>
      </c>
      <c r="BF270">
        <f t="shared" si="65"/>
        <v>117</v>
      </c>
      <c r="BH270" t="e">
        <f t="shared" si="63"/>
        <v>#N/A</v>
      </c>
      <c r="BK270" s="26"/>
    </row>
    <row r="271" spans="2:63" x14ac:dyDescent="0.3">
      <c r="B271" s="18" t="s">
        <v>836</v>
      </c>
      <c r="C271" s="13">
        <v>53</v>
      </c>
      <c r="D271" s="21" t="s">
        <v>837</v>
      </c>
      <c r="E271" s="24">
        <v>49</v>
      </c>
      <c r="G271" s="2">
        <f t="shared" si="60"/>
        <v>252</v>
      </c>
      <c r="H271" s="5">
        <v>0</v>
      </c>
      <c r="I271" s="13">
        <v>32</v>
      </c>
      <c r="L271" s="4"/>
      <c r="M271" s="7"/>
      <c r="O271" s="7"/>
      <c r="T271" s="7"/>
      <c r="BB271">
        <f t="shared" si="59"/>
        <v>118</v>
      </c>
      <c r="BC271" t="e">
        <f t="shared" si="62"/>
        <v>#N/A</v>
      </c>
      <c r="BD271" t="e">
        <f t="shared" si="61"/>
        <v>#N/A</v>
      </c>
      <c r="BE271" t="str">
        <f t="shared" si="64"/>
        <v/>
      </c>
      <c r="BF271">
        <f t="shared" si="65"/>
        <v>118</v>
      </c>
      <c r="BH271" t="e">
        <f t="shared" si="63"/>
        <v>#N/A</v>
      </c>
      <c r="BK271" s="26"/>
    </row>
    <row r="272" spans="2:63" x14ac:dyDescent="0.3">
      <c r="B272" s="18" t="s">
        <v>838</v>
      </c>
      <c r="C272" s="13">
        <v>62</v>
      </c>
      <c r="D272" s="21" t="s">
        <v>839</v>
      </c>
      <c r="E272" s="24">
        <v>48</v>
      </c>
      <c r="G272" s="2">
        <f t="shared" si="60"/>
        <v>253</v>
      </c>
      <c r="H272" s="5">
        <v>0</v>
      </c>
      <c r="I272" s="13">
        <v>32</v>
      </c>
      <c r="L272" s="4"/>
      <c r="M272" s="7"/>
      <c r="O272" s="7"/>
      <c r="T272" s="7"/>
      <c r="BB272">
        <f t="shared" si="59"/>
        <v>119</v>
      </c>
      <c r="BC272" t="e">
        <f t="shared" si="62"/>
        <v>#N/A</v>
      </c>
      <c r="BD272" t="e">
        <f t="shared" si="61"/>
        <v>#N/A</v>
      </c>
      <c r="BE272" t="str">
        <f t="shared" si="64"/>
        <v/>
      </c>
      <c r="BF272">
        <f t="shared" si="65"/>
        <v>119</v>
      </c>
      <c r="BH272" t="e">
        <f t="shared" si="63"/>
        <v>#N/A</v>
      </c>
      <c r="BK272" s="26"/>
    </row>
    <row r="273" spans="2:63" x14ac:dyDescent="0.3">
      <c r="B273" s="18" t="s">
        <v>840</v>
      </c>
      <c r="C273" s="13">
        <v>63</v>
      </c>
      <c r="D273" s="21" t="s">
        <v>841</v>
      </c>
      <c r="E273" s="24">
        <v>47</v>
      </c>
      <c r="G273" s="2">
        <f t="shared" si="60"/>
        <v>254</v>
      </c>
      <c r="H273" s="5">
        <v>0</v>
      </c>
      <c r="I273" s="13">
        <v>32</v>
      </c>
      <c r="L273" s="4"/>
      <c r="M273" s="7"/>
      <c r="O273" s="7"/>
      <c r="T273" s="7"/>
      <c r="BB273">
        <f t="shared" si="59"/>
        <v>120</v>
      </c>
      <c r="BC273" t="e">
        <f t="shared" si="62"/>
        <v>#N/A</v>
      </c>
      <c r="BD273" t="e">
        <f t="shared" si="61"/>
        <v>#N/A</v>
      </c>
      <c r="BE273" t="str">
        <f t="shared" si="64"/>
        <v/>
      </c>
      <c r="BF273">
        <f t="shared" si="65"/>
        <v>120</v>
      </c>
      <c r="BH273" t="e">
        <f t="shared" si="63"/>
        <v>#N/A</v>
      </c>
      <c r="BK273" s="26"/>
    </row>
    <row r="274" spans="2:63" x14ac:dyDescent="0.3">
      <c r="B274" s="18" t="s">
        <v>842</v>
      </c>
      <c r="C274" s="13">
        <v>64</v>
      </c>
      <c r="D274" s="21" t="s">
        <v>843</v>
      </c>
      <c r="E274" s="24">
        <v>46</v>
      </c>
      <c r="G274" s="2">
        <f t="shared" si="60"/>
        <v>255</v>
      </c>
      <c r="H274" s="5">
        <v>0</v>
      </c>
      <c r="I274" s="13">
        <v>32</v>
      </c>
      <c r="L274" s="4"/>
      <c r="M274" s="7"/>
      <c r="O274" s="7"/>
      <c r="T274" s="7"/>
      <c r="BB274">
        <f t="shared" si="59"/>
        <v>121</v>
      </c>
      <c r="BC274" t="e">
        <f t="shared" si="62"/>
        <v>#N/A</v>
      </c>
      <c r="BD274" t="e">
        <f t="shared" si="61"/>
        <v>#N/A</v>
      </c>
      <c r="BE274" t="str">
        <f t="shared" si="64"/>
        <v/>
      </c>
      <c r="BF274">
        <f t="shared" si="65"/>
        <v>121</v>
      </c>
      <c r="BH274" t="e">
        <f t="shared" si="63"/>
        <v>#N/A</v>
      </c>
      <c r="BK274" s="26"/>
    </row>
    <row r="275" spans="2:63" x14ac:dyDescent="0.3">
      <c r="B275" s="18" t="s">
        <v>844</v>
      </c>
      <c r="C275" s="13">
        <v>65</v>
      </c>
      <c r="D275" s="21" t="s">
        <v>845</v>
      </c>
      <c r="E275" s="24">
        <v>45</v>
      </c>
      <c r="G275" s="2">
        <f t="shared" si="60"/>
        <v>256</v>
      </c>
      <c r="H275" s="5">
        <v>0</v>
      </c>
      <c r="I275" s="13">
        <v>32</v>
      </c>
      <c r="L275" s="4"/>
      <c r="M275" s="7"/>
      <c r="O275" s="7"/>
      <c r="T275" s="7"/>
      <c r="BB275">
        <f t="shared" si="59"/>
        <v>122</v>
      </c>
      <c r="BC275" t="e">
        <f t="shared" si="62"/>
        <v>#N/A</v>
      </c>
      <c r="BD275" t="e">
        <f t="shared" si="61"/>
        <v>#N/A</v>
      </c>
      <c r="BE275" t="str">
        <f t="shared" si="64"/>
        <v/>
      </c>
      <c r="BF275">
        <f t="shared" si="65"/>
        <v>122</v>
      </c>
      <c r="BH275" t="e">
        <f t="shared" si="63"/>
        <v>#N/A</v>
      </c>
      <c r="BK275" s="26"/>
    </row>
    <row r="276" spans="2:63" x14ac:dyDescent="0.3">
      <c r="B276" s="18" t="s">
        <v>846</v>
      </c>
      <c r="C276" s="13">
        <v>66</v>
      </c>
      <c r="D276" s="21" t="s">
        <v>847</v>
      </c>
      <c r="E276" s="24">
        <v>44</v>
      </c>
      <c r="G276" s="2">
        <f t="shared" si="60"/>
        <v>257</v>
      </c>
      <c r="H276" s="5">
        <v>0</v>
      </c>
      <c r="I276" s="13">
        <v>32</v>
      </c>
      <c r="L276" s="4"/>
      <c r="M276" s="7"/>
      <c r="O276" s="7"/>
      <c r="T276" s="7"/>
      <c r="BB276">
        <f t="shared" si="59"/>
        <v>123</v>
      </c>
      <c r="BC276" t="e">
        <f t="shared" si="62"/>
        <v>#N/A</v>
      </c>
      <c r="BD276" t="e">
        <f t="shared" si="61"/>
        <v>#N/A</v>
      </c>
      <c r="BE276" t="str">
        <f t="shared" si="64"/>
        <v/>
      </c>
      <c r="BF276">
        <f t="shared" si="65"/>
        <v>123</v>
      </c>
      <c r="BH276" t="e">
        <f t="shared" si="63"/>
        <v>#N/A</v>
      </c>
      <c r="BK276" s="26"/>
    </row>
    <row r="277" spans="2:63" x14ac:dyDescent="0.3">
      <c r="B277" s="18" t="s">
        <v>848</v>
      </c>
      <c r="C277" s="13">
        <v>67</v>
      </c>
      <c r="D277" s="21" t="s">
        <v>849</v>
      </c>
      <c r="E277" s="24">
        <v>43</v>
      </c>
      <c r="G277" s="2">
        <f t="shared" si="60"/>
        <v>258</v>
      </c>
      <c r="H277" s="5">
        <v>0</v>
      </c>
      <c r="I277" s="13">
        <v>32</v>
      </c>
      <c r="L277" s="4"/>
      <c r="M277" s="7"/>
      <c r="O277" s="7"/>
      <c r="T277" s="7"/>
      <c r="BB277">
        <f t="shared" si="59"/>
        <v>124</v>
      </c>
      <c r="BC277" t="e">
        <f t="shared" si="62"/>
        <v>#N/A</v>
      </c>
      <c r="BD277" t="e">
        <f t="shared" si="61"/>
        <v>#N/A</v>
      </c>
      <c r="BE277" t="str">
        <f t="shared" si="64"/>
        <v/>
      </c>
      <c r="BF277">
        <f t="shared" si="65"/>
        <v>124</v>
      </c>
      <c r="BH277" t="e">
        <f t="shared" si="63"/>
        <v>#N/A</v>
      </c>
      <c r="BK277" s="26"/>
    </row>
    <row r="278" spans="2:63" x14ac:dyDescent="0.3">
      <c r="B278" s="18" t="s">
        <v>850</v>
      </c>
      <c r="C278" s="13">
        <v>68</v>
      </c>
      <c r="D278" s="21" t="s">
        <v>851</v>
      </c>
      <c r="E278" s="24">
        <v>42</v>
      </c>
      <c r="G278" s="2">
        <f t="shared" si="60"/>
        <v>259</v>
      </c>
      <c r="H278" s="5">
        <v>0</v>
      </c>
      <c r="I278" s="13">
        <v>32</v>
      </c>
      <c r="L278" s="4"/>
      <c r="M278" s="7"/>
      <c r="O278" s="7"/>
      <c r="T278" s="7"/>
      <c r="BB278">
        <f t="shared" si="59"/>
        <v>125</v>
      </c>
      <c r="BC278" t="e">
        <f t="shared" si="62"/>
        <v>#N/A</v>
      </c>
      <c r="BD278" t="e">
        <f t="shared" si="61"/>
        <v>#N/A</v>
      </c>
      <c r="BE278" t="str">
        <f t="shared" si="64"/>
        <v/>
      </c>
      <c r="BF278">
        <f t="shared" si="65"/>
        <v>125</v>
      </c>
      <c r="BH278" t="e">
        <f t="shared" si="63"/>
        <v>#N/A</v>
      </c>
      <c r="BK278" s="26"/>
    </row>
    <row r="279" spans="2:63" x14ac:dyDescent="0.3">
      <c r="B279" s="18" t="s">
        <v>852</v>
      </c>
      <c r="C279" s="13">
        <v>69</v>
      </c>
      <c r="D279" s="21" t="s">
        <v>853</v>
      </c>
      <c r="E279" s="24">
        <v>33</v>
      </c>
      <c r="G279" s="2">
        <f t="shared" si="60"/>
        <v>260</v>
      </c>
      <c r="H279" s="5">
        <v>0</v>
      </c>
      <c r="I279" s="13">
        <v>32</v>
      </c>
      <c r="L279" s="4"/>
      <c r="M279" s="7"/>
      <c r="O279" s="7"/>
      <c r="T279" s="7"/>
      <c r="BB279">
        <f t="shared" si="59"/>
        <v>126</v>
      </c>
      <c r="BC279" t="e">
        <f t="shared" si="62"/>
        <v>#N/A</v>
      </c>
      <c r="BD279" t="e">
        <f t="shared" si="61"/>
        <v>#N/A</v>
      </c>
      <c r="BE279" t="str">
        <f t="shared" si="64"/>
        <v/>
      </c>
      <c r="BF279">
        <f t="shared" si="65"/>
        <v>126</v>
      </c>
      <c r="BH279" t="e">
        <f t="shared" si="63"/>
        <v>#N/A</v>
      </c>
      <c r="BK279" s="26"/>
    </row>
    <row r="280" spans="2:63" x14ac:dyDescent="0.3">
      <c r="B280" s="18" t="s">
        <v>854</v>
      </c>
      <c r="C280" s="13">
        <v>70</v>
      </c>
      <c r="D280" s="21" t="s">
        <v>855</v>
      </c>
      <c r="E280" s="24">
        <v>9</v>
      </c>
      <c r="G280" s="2">
        <f t="shared" si="60"/>
        <v>261</v>
      </c>
      <c r="H280" s="5">
        <v>0</v>
      </c>
      <c r="I280" s="13">
        <v>32</v>
      </c>
      <c r="L280" s="4"/>
      <c r="M280" s="7"/>
      <c r="O280" s="7"/>
      <c r="T280" s="7"/>
      <c r="BB280">
        <f t="shared" si="59"/>
        <v>127</v>
      </c>
      <c r="BC280" t="e">
        <f t="shared" si="62"/>
        <v>#N/A</v>
      </c>
      <c r="BD280" t="e">
        <f t="shared" si="61"/>
        <v>#N/A</v>
      </c>
      <c r="BE280" t="str">
        <f t="shared" si="64"/>
        <v/>
      </c>
      <c r="BF280">
        <f t="shared" si="65"/>
        <v>127</v>
      </c>
      <c r="BH280" t="e">
        <f t="shared" si="63"/>
        <v>#N/A</v>
      </c>
      <c r="BK280" s="26"/>
    </row>
    <row r="281" spans="2:63" x14ac:dyDescent="0.3">
      <c r="B281" s="18" t="s">
        <v>856</v>
      </c>
      <c r="C281" s="13">
        <v>71</v>
      </c>
      <c r="D281" s="21" t="s">
        <v>857</v>
      </c>
      <c r="E281" s="24">
        <v>8</v>
      </c>
      <c r="G281" s="2">
        <f t="shared" si="60"/>
        <v>262</v>
      </c>
      <c r="H281" s="5">
        <v>0</v>
      </c>
      <c r="I281" s="13">
        <v>32</v>
      </c>
      <c r="L281" s="4"/>
      <c r="M281" s="7"/>
      <c r="O281" s="7"/>
      <c r="T281" s="7"/>
      <c r="BB281">
        <f t="shared" si="59"/>
        <v>128</v>
      </c>
      <c r="BC281" t="e">
        <f t="shared" si="62"/>
        <v>#N/A</v>
      </c>
      <c r="BD281" t="e">
        <f t="shared" si="61"/>
        <v>#N/A</v>
      </c>
      <c r="BE281" t="str">
        <f t="shared" si="64"/>
        <v/>
      </c>
      <c r="BF281">
        <f t="shared" si="65"/>
        <v>128</v>
      </c>
      <c r="BH281" t="e">
        <f t="shared" si="63"/>
        <v>#N/A</v>
      </c>
      <c r="BK281" s="26"/>
    </row>
    <row r="282" spans="2:63" x14ac:dyDescent="0.3">
      <c r="B282" s="18" t="s">
        <v>858</v>
      </c>
      <c r="C282" s="13">
        <v>54</v>
      </c>
      <c r="D282" s="21" t="s">
        <v>859</v>
      </c>
      <c r="E282" s="24">
        <v>7</v>
      </c>
      <c r="G282" s="2">
        <f t="shared" si="60"/>
        <v>263</v>
      </c>
      <c r="H282" s="5">
        <v>0</v>
      </c>
      <c r="I282" s="13">
        <v>32</v>
      </c>
      <c r="L282" s="4"/>
      <c r="M282" s="7"/>
      <c r="O282" s="7"/>
      <c r="T282" s="7"/>
      <c r="BK282" s="26"/>
    </row>
    <row r="283" spans="2:63" x14ac:dyDescent="0.3">
      <c r="B283" s="18" t="s">
        <v>860</v>
      </c>
      <c r="C283" s="13">
        <v>72</v>
      </c>
      <c r="D283" s="21" t="s">
        <v>861</v>
      </c>
      <c r="E283" s="24">
        <v>6</v>
      </c>
      <c r="G283" s="2">
        <f t="shared" si="60"/>
        <v>264</v>
      </c>
      <c r="H283" s="5">
        <v>0</v>
      </c>
      <c r="I283" s="13">
        <v>32</v>
      </c>
      <c r="L283" s="4"/>
      <c r="M283" s="7"/>
      <c r="O283" s="7"/>
      <c r="T283" s="7"/>
      <c r="BK283" s="26"/>
    </row>
    <row r="284" spans="2:63" x14ac:dyDescent="0.3">
      <c r="B284" s="18" t="s">
        <v>862</v>
      </c>
      <c r="C284" s="13">
        <v>73</v>
      </c>
      <c r="D284" s="21" t="s">
        <v>863</v>
      </c>
      <c r="E284" s="24">
        <v>5</v>
      </c>
      <c r="G284" s="2">
        <f t="shared" si="60"/>
        <v>265</v>
      </c>
      <c r="H284" s="5">
        <v>0</v>
      </c>
      <c r="I284" s="13">
        <v>32</v>
      </c>
      <c r="L284" s="4"/>
      <c r="M284" s="7"/>
      <c r="O284" s="7"/>
      <c r="T284" s="7"/>
      <c r="BK284" s="26"/>
    </row>
    <row r="285" spans="2:63" x14ac:dyDescent="0.3">
      <c r="B285" s="18" t="s">
        <v>864</v>
      </c>
      <c r="C285" s="13">
        <v>74</v>
      </c>
      <c r="D285" s="21" t="s">
        <v>865</v>
      </c>
      <c r="E285" s="24">
        <v>4</v>
      </c>
      <c r="G285" s="2">
        <f t="shared" ref="G285:G348" si="66">G284+1</f>
        <v>266</v>
      </c>
      <c r="H285" s="5">
        <v>0</v>
      </c>
      <c r="I285" s="13">
        <v>32</v>
      </c>
      <c r="L285" s="4"/>
      <c r="M285" s="7"/>
      <c r="O285" s="7"/>
      <c r="T285" s="7"/>
      <c r="BK285" s="26"/>
    </row>
    <row r="286" spans="2:63" x14ac:dyDescent="0.3">
      <c r="B286" s="18" t="s">
        <v>866</v>
      </c>
      <c r="C286" s="13">
        <v>75</v>
      </c>
      <c r="D286" s="21" t="s">
        <v>867</v>
      </c>
      <c r="E286" s="24">
        <v>32</v>
      </c>
      <c r="G286" s="2">
        <f t="shared" si="66"/>
        <v>267</v>
      </c>
      <c r="H286" s="5">
        <v>0</v>
      </c>
      <c r="I286" s="13">
        <v>32</v>
      </c>
      <c r="L286" s="4"/>
      <c r="M286" s="7"/>
      <c r="O286" s="7"/>
      <c r="T286" s="7"/>
      <c r="BK286" s="26"/>
    </row>
    <row r="287" spans="2:63" x14ac:dyDescent="0.3">
      <c r="B287" s="18" t="s">
        <v>868</v>
      </c>
      <c r="C287" s="13">
        <v>76</v>
      </c>
      <c r="D287" s="21" t="s">
        <v>869</v>
      </c>
      <c r="E287" s="24">
        <v>31</v>
      </c>
      <c r="G287" s="2">
        <f t="shared" si="66"/>
        <v>268</v>
      </c>
      <c r="H287" s="5">
        <v>0</v>
      </c>
      <c r="I287" s="13">
        <v>32</v>
      </c>
      <c r="L287" s="4"/>
      <c r="M287" s="7"/>
      <c r="O287" s="7"/>
      <c r="T287" s="7"/>
      <c r="BK287" s="26"/>
    </row>
    <row r="288" spans="2:63" x14ac:dyDescent="0.3">
      <c r="B288" s="18" t="s">
        <v>870</v>
      </c>
      <c r="C288" s="13">
        <v>77</v>
      </c>
      <c r="D288" s="21" t="s">
        <v>871</v>
      </c>
      <c r="E288" s="24">
        <v>30</v>
      </c>
      <c r="G288" s="2">
        <f t="shared" si="66"/>
        <v>269</v>
      </c>
      <c r="H288" s="5">
        <v>0</v>
      </c>
      <c r="I288" s="13">
        <v>32</v>
      </c>
      <c r="L288" s="4"/>
      <c r="M288" s="7"/>
      <c r="O288" s="7"/>
      <c r="T288" s="7"/>
      <c r="BK288" s="26"/>
    </row>
    <row r="289" spans="2:67" x14ac:dyDescent="0.3">
      <c r="B289" s="18" t="s">
        <v>872</v>
      </c>
      <c r="C289" s="13">
        <v>78</v>
      </c>
      <c r="D289" s="21" t="s">
        <v>873</v>
      </c>
      <c r="E289" s="24">
        <v>3</v>
      </c>
      <c r="G289" s="2">
        <f t="shared" si="66"/>
        <v>270</v>
      </c>
      <c r="H289" s="5">
        <v>0</v>
      </c>
      <c r="I289" s="13">
        <v>32</v>
      </c>
      <c r="L289" s="4"/>
      <c r="M289" s="7"/>
      <c r="O289" s="7"/>
      <c r="T289" s="7"/>
      <c r="BK289" s="26"/>
    </row>
    <row r="290" spans="2:67" x14ac:dyDescent="0.3">
      <c r="B290" s="18" t="s">
        <v>874</v>
      </c>
      <c r="C290" s="13">
        <v>55</v>
      </c>
      <c r="D290" s="21" t="s">
        <v>875</v>
      </c>
      <c r="E290" s="24">
        <v>29</v>
      </c>
      <c r="G290" s="2">
        <f t="shared" si="66"/>
        <v>271</v>
      </c>
      <c r="H290" s="5">
        <v>0</v>
      </c>
      <c r="I290" s="13">
        <v>32</v>
      </c>
      <c r="L290" s="4"/>
      <c r="M290" s="7"/>
      <c r="O290" s="7"/>
      <c r="T290" s="7"/>
      <c r="BO290" s="26"/>
    </row>
    <row r="291" spans="2:67" x14ac:dyDescent="0.3">
      <c r="B291" s="18" t="s">
        <v>876</v>
      </c>
      <c r="C291" s="13">
        <v>56</v>
      </c>
      <c r="D291" s="21" t="s">
        <v>877</v>
      </c>
      <c r="E291" s="24">
        <v>28</v>
      </c>
      <c r="G291" s="2">
        <f t="shared" si="66"/>
        <v>272</v>
      </c>
      <c r="H291" s="5">
        <v>0</v>
      </c>
      <c r="I291" s="13">
        <v>32</v>
      </c>
      <c r="L291" s="4"/>
      <c r="M291" s="7"/>
      <c r="O291" s="7"/>
      <c r="T291" s="7"/>
      <c r="BO291" s="26"/>
    </row>
    <row r="292" spans="2:67" x14ac:dyDescent="0.3">
      <c r="B292" s="18" t="s">
        <v>878</v>
      </c>
      <c r="C292" s="13">
        <v>57</v>
      </c>
      <c r="D292" s="21" t="s">
        <v>879</v>
      </c>
      <c r="E292" s="24">
        <v>27</v>
      </c>
      <c r="G292" s="2">
        <f t="shared" si="66"/>
        <v>273</v>
      </c>
      <c r="H292" s="5">
        <v>0</v>
      </c>
      <c r="I292" s="13">
        <v>32</v>
      </c>
      <c r="L292" s="4"/>
      <c r="M292" s="7"/>
      <c r="O292" s="7"/>
      <c r="T292" s="7"/>
      <c r="BO292" s="26"/>
    </row>
    <row r="293" spans="2:67" x14ac:dyDescent="0.3">
      <c r="B293" s="18" t="s">
        <v>880</v>
      </c>
      <c r="C293" s="13">
        <v>58</v>
      </c>
      <c r="D293" s="21" t="s">
        <v>881</v>
      </c>
      <c r="E293" s="24">
        <v>26</v>
      </c>
      <c r="G293" s="2">
        <f t="shared" si="66"/>
        <v>274</v>
      </c>
      <c r="H293" s="5">
        <v>0</v>
      </c>
      <c r="I293" s="13">
        <v>32</v>
      </c>
      <c r="L293" s="4"/>
      <c r="M293" s="7"/>
      <c r="O293" s="7"/>
      <c r="T293" s="7"/>
      <c r="BO293" s="26"/>
    </row>
    <row r="294" spans="2:67" x14ac:dyDescent="0.3">
      <c r="B294" s="18" t="s">
        <v>882</v>
      </c>
      <c r="C294" s="13">
        <v>59</v>
      </c>
      <c r="D294" s="21" t="s">
        <v>883</v>
      </c>
      <c r="E294" s="24">
        <v>25</v>
      </c>
      <c r="G294" s="2">
        <f t="shared" si="66"/>
        <v>275</v>
      </c>
      <c r="H294" s="5">
        <v>0</v>
      </c>
      <c r="I294" s="13">
        <v>32</v>
      </c>
      <c r="L294" s="4"/>
      <c r="M294" s="7"/>
      <c r="O294" s="7"/>
      <c r="T294" s="7"/>
      <c r="BO294" s="26"/>
    </row>
    <row r="295" spans="2:67" x14ac:dyDescent="0.3">
      <c r="B295" s="18" t="s">
        <v>884</v>
      </c>
      <c r="C295" s="13">
        <v>60</v>
      </c>
      <c r="D295" s="21" t="s">
        <v>885</v>
      </c>
      <c r="E295" s="24">
        <v>24</v>
      </c>
      <c r="G295" s="2">
        <f t="shared" si="66"/>
        <v>276</v>
      </c>
      <c r="H295" s="5">
        <v>0</v>
      </c>
      <c r="I295" s="13">
        <v>32</v>
      </c>
      <c r="L295" s="4"/>
      <c r="M295" s="7"/>
      <c r="O295" s="7"/>
      <c r="BO295" s="26"/>
    </row>
    <row r="296" spans="2:67" x14ac:dyDescent="0.3">
      <c r="B296" s="18" t="s">
        <v>886</v>
      </c>
      <c r="C296" s="13">
        <v>61</v>
      </c>
      <c r="D296" s="21" t="s">
        <v>887</v>
      </c>
      <c r="E296" s="24">
        <v>23</v>
      </c>
      <c r="G296" s="2">
        <f t="shared" si="66"/>
        <v>277</v>
      </c>
      <c r="H296" s="5">
        <v>0</v>
      </c>
      <c r="I296" s="13">
        <v>32</v>
      </c>
      <c r="L296" s="4"/>
      <c r="M296" s="7"/>
      <c r="O296" s="7"/>
      <c r="T296" s="7"/>
      <c r="BO296" s="26"/>
    </row>
    <row r="297" spans="2:67" x14ac:dyDescent="0.3">
      <c r="B297" s="18" t="s">
        <v>888</v>
      </c>
      <c r="C297" s="13">
        <v>95</v>
      </c>
      <c r="D297" s="21" t="s">
        <v>889</v>
      </c>
      <c r="E297" s="24">
        <v>22</v>
      </c>
      <c r="G297" s="2">
        <f t="shared" si="66"/>
        <v>278</v>
      </c>
      <c r="H297" s="5">
        <v>0</v>
      </c>
      <c r="I297" s="13">
        <v>32</v>
      </c>
      <c r="L297" s="4"/>
      <c r="M297" s="7"/>
      <c r="O297" s="7"/>
      <c r="T297" s="7"/>
      <c r="BO297" s="26"/>
    </row>
    <row r="298" spans="2:67" x14ac:dyDescent="0.3">
      <c r="B298" s="18" t="s">
        <v>890</v>
      </c>
      <c r="C298" s="13">
        <v>94</v>
      </c>
      <c r="D298" s="21" t="s">
        <v>891</v>
      </c>
      <c r="E298" s="24">
        <v>21</v>
      </c>
      <c r="G298" s="2">
        <f t="shared" si="66"/>
        <v>279</v>
      </c>
      <c r="H298" s="5">
        <v>0</v>
      </c>
      <c r="I298" s="13">
        <v>32</v>
      </c>
      <c r="L298" s="4"/>
      <c r="M298" s="7"/>
      <c r="O298" s="7"/>
      <c r="T298" s="7"/>
      <c r="BO298" s="26"/>
    </row>
    <row r="299" spans="2:67" x14ac:dyDescent="0.3">
      <c r="B299" s="18" t="s">
        <v>892</v>
      </c>
      <c r="C299" s="13">
        <v>93</v>
      </c>
      <c r="D299" s="21" t="s">
        <v>893</v>
      </c>
      <c r="E299" s="24">
        <v>20</v>
      </c>
      <c r="G299" s="2">
        <f t="shared" si="66"/>
        <v>280</v>
      </c>
      <c r="H299" s="5">
        <v>0</v>
      </c>
      <c r="I299" s="13">
        <v>32</v>
      </c>
      <c r="L299" s="4"/>
      <c r="M299" s="7"/>
      <c r="O299" s="7"/>
      <c r="T299" s="7"/>
      <c r="BO299" s="26"/>
    </row>
    <row r="300" spans="2:67" x14ac:dyDescent="0.3">
      <c r="B300" s="18" t="s">
        <v>894</v>
      </c>
      <c r="C300" s="13">
        <v>92</v>
      </c>
      <c r="D300" s="21" t="s">
        <v>895</v>
      </c>
      <c r="E300" s="24">
        <v>2</v>
      </c>
      <c r="G300" s="2">
        <f t="shared" si="66"/>
        <v>281</v>
      </c>
      <c r="H300" s="5">
        <v>0</v>
      </c>
      <c r="I300" s="13">
        <v>32</v>
      </c>
      <c r="L300" s="4"/>
      <c r="M300" s="7"/>
      <c r="O300" s="7"/>
      <c r="T300" s="7"/>
      <c r="BO300" s="26"/>
    </row>
    <row r="301" spans="2:67" x14ac:dyDescent="0.3">
      <c r="B301" s="18" t="s">
        <v>896</v>
      </c>
      <c r="C301" s="13">
        <v>91</v>
      </c>
      <c r="D301" s="21" t="s">
        <v>897</v>
      </c>
      <c r="E301" s="24">
        <v>19</v>
      </c>
      <c r="G301" s="2">
        <f t="shared" si="66"/>
        <v>282</v>
      </c>
      <c r="H301" s="5">
        <v>0</v>
      </c>
      <c r="I301" s="13">
        <v>32</v>
      </c>
      <c r="L301" s="4"/>
      <c r="M301" s="7"/>
      <c r="O301" s="7"/>
      <c r="T301" s="7"/>
      <c r="BO301" s="26"/>
    </row>
    <row r="302" spans="2:67" x14ac:dyDescent="0.3">
      <c r="B302" s="18" t="s">
        <v>898</v>
      </c>
      <c r="C302" s="13">
        <v>90</v>
      </c>
      <c r="D302" s="21" t="s">
        <v>899</v>
      </c>
      <c r="E302" s="24">
        <v>18</v>
      </c>
      <c r="G302" s="2">
        <f t="shared" si="66"/>
        <v>283</v>
      </c>
      <c r="H302" s="5">
        <v>0</v>
      </c>
      <c r="I302" s="13">
        <v>32</v>
      </c>
      <c r="L302" s="4"/>
      <c r="M302" s="7"/>
      <c r="O302" s="7"/>
      <c r="T302" s="7"/>
      <c r="BO302" s="26"/>
    </row>
    <row r="303" spans="2:67" x14ac:dyDescent="0.3">
      <c r="B303" s="18" t="s">
        <v>900</v>
      </c>
      <c r="C303" s="13">
        <v>89</v>
      </c>
      <c r="D303" s="21" t="s">
        <v>901</v>
      </c>
      <c r="E303" s="24">
        <v>17</v>
      </c>
      <c r="G303" s="2">
        <f t="shared" si="66"/>
        <v>284</v>
      </c>
      <c r="H303" s="5">
        <v>0</v>
      </c>
      <c r="I303" s="13">
        <v>32</v>
      </c>
      <c r="L303" s="4"/>
      <c r="M303" s="7"/>
      <c r="O303" s="7"/>
      <c r="T303" s="7"/>
      <c r="BO303" s="26"/>
    </row>
    <row r="304" spans="2:67" x14ac:dyDescent="0.3">
      <c r="B304" s="18" t="s">
        <v>902</v>
      </c>
      <c r="C304" s="13">
        <v>88</v>
      </c>
      <c r="D304" s="21" t="s">
        <v>903</v>
      </c>
      <c r="E304" s="24">
        <v>16</v>
      </c>
      <c r="G304" s="2">
        <f t="shared" si="66"/>
        <v>285</v>
      </c>
      <c r="H304" s="5">
        <v>0</v>
      </c>
      <c r="I304" s="13">
        <v>32</v>
      </c>
      <c r="L304" s="4"/>
      <c r="M304" s="7"/>
      <c r="O304" s="7"/>
      <c r="T304" s="7"/>
      <c r="BO304" s="26"/>
    </row>
    <row r="305" spans="2:67" x14ac:dyDescent="0.3">
      <c r="B305" s="18" t="s">
        <v>904</v>
      </c>
      <c r="C305" s="13">
        <v>87</v>
      </c>
      <c r="D305" s="21" t="s">
        <v>905</v>
      </c>
      <c r="E305" s="24">
        <v>15</v>
      </c>
      <c r="G305" s="2">
        <f t="shared" si="66"/>
        <v>286</v>
      </c>
      <c r="H305" s="5">
        <v>0</v>
      </c>
      <c r="I305" s="13">
        <v>32</v>
      </c>
      <c r="L305" s="4"/>
      <c r="M305" s="7"/>
      <c r="O305" s="7"/>
      <c r="T305" s="7"/>
      <c r="BO305" s="26"/>
    </row>
    <row r="306" spans="2:67" x14ac:dyDescent="0.3">
      <c r="B306" s="18" t="s">
        <v>906</v>
      </c>
      <c r="C306" s="13">
        <v>86</v>
      </c>
      <c r="D306" s="21" t="s">
        <v>907</v>
      </c>
      <c r="E306" s="24">
        <v>14</v>
      </c>
      <c r="G306" s="2">
        <f t="shared" si="66"/>
        <v>287</v>
      </c>
      <c r="H306" s="5">
        <v>0</v>
      </c>
      <c r="I306" s="13">
        <v>32</v>
      </c>
      <c r="L306" s="4"/>
      <c r="M306" s="7"/>
      <c r="O306" s="7"/>
      <c r="T306" s="7"/>
      <c r="BO306" s="26"/>
    </row>
    <row r="307" spans="2:67" x14ac:dyDescent="0.3">
      <c r="B307" s="18" t="s">
        <v>908</v>
      </c>
      <c r="C307" s="13">
        <v>85</v>
      </c>
      <c r="D307" s="21" t="s">
        <v>909</v>
      </c>
      <c r="E307" s="24">
        <v>13</v>
      </c>
      <c r="G307" s="2">
        <f t="shared" si="66"/>
        <v>288</v>
      </c>
      <c r="H307" s="5">
        <v>0</v>
      </c>
      <c r="I307" s="13">
        <v>32</v>
      </c>
      <c r="L307" s="4"/>
      <c r="M307" s="7"/>
      <c r="O307" s="7"/>
      <c r="T307" s="7"/>
      <c r="BO307" s="26"/>
    </row>
    <row r="308" spans="2:67" x14ac:dyDescent="0.3">
      <c r="B308" s="18" t="s">
        <v>910</v>
      </c>
      <c r="C308" s="13">
        <v>84</v>
      </c>
      <c r="D308" s="21" t="s">
        <v>911</v>
      </c>
      <c r="E308" s="24">
        <v>12</v>
      </c>
      <c r="G308" s="2">
        <f t="shared" si="66"/>
        <v>289</v>
      </c>
      <c r="H308" s="5">
        <v>0</v>
      </c>
      <c r="I308" s="13">
        <v>32</v>
      </c>
      <c r="L308" s="4"/>
      <c r="M308" s="7"/>
      <c r="O308" s="7"/>
      <c r="T308" s="7"/>
      <c r="BO308" s="26"/>
    </row>
    <row r="309" spans="2:67" x14ac:dyDescent="0.3">
      <c r="B309" s="18" t="s">
        <v>912</v>
      </c>
      <c r="C309" s="13">
        <v>83</v>
      </c>
      <c r="D309" s="21" t="s">
        <v>913</v>
      </c>
      <c r="E309" s="24">
        <v>11</v>
      </c>
      <c r="G309" s="2">
        <f t="shared" si="66"/>
        <v>290</v>
      </c>
      <c r="H309" s="5">
        <v>0</v>
      </c>
      <c r="I309" s="13">
        <v>32</v>
      </c>
      <c r="L309" s="4"/>
      <c r="M309" s="7"/>
      <c r="O309" s="7"/>
      <c r="T309" s="7"/>
      <c r="BO309" s="26"/>
    </row>
    <row r="310" spans="2:67" x14ac:dyDescent="0.3">
      <c r="B310" s="18" t="s">
        <v>914</v>
      </c>
      <c r="C310" s="13">
        <v>82</v>
      </c>
      <c r="D310" s="21" t="s">
        <v>915</v>
      </c>
      <c r="E310" s="24">
        <v>10</v>
      </c>
      <c r="G310" s="2">
        <f t="shared" si="66"/>
        <v>291</v>
      </c>
      <c r="H310" s="5">
        <v>0</v>
      </c>
      <c r="I310" s="13">
        <v>32</v>
      </c>
      <c r="L310" s="4"/>
      <c r="M310" s="7"/>
      <c r="O310" s="7"/>
      <c r="T310" s="7"/>
      <c r="BO310" s="26"/>
    </row>
    <row r="311" spans="2:67" x14ac:dyDescent="0.3">
      <c r="B311" s="18" t="s">
        <v>916</v>
      </c>
      <c r="C311" s="13">
        <v>81</v>
      </c>
      <c r="D311" s="21" t="s">
        <v>917</v>
      </c>
      <c r="E311" s="24">
        <v>1</v>
      </c>
      <c r="G311" s="2">
        <f t="shared" si="66"/>
        <v>292</v>
      </c>
      <c r="H311" s="5">
        <v>0</v>
      </c>
      <c r="I311" s="13">
        <v>32</v>
      </c>
      <c r="L311" s="4"/>
      <c r="M311" s="7"/>
      <c r="O311" s="7"/>
      <c r="T311" s="7"/>
      <c r="BO311" s="26"/>
    </row>
    <row r="312" spans="2:67" x14ac:dyDescent="0.3">
      <c r="B312" s="18" t="s">
        <v>918</v>
      </c>
      <c r="C312" s="13">
        <v>80</v>
      </c>
      <c r="D312" s="21" t="s">
        <v>919</v>
      </c>
      <c r="E312" s="24">
        <v>85</v>
      </c>
      <c r="G312" s="2">
        <f t="shared" si="66"/>
        <v>293</v>
      </c>
      <c r="H312" s="5">
        <v>0</v>
      </c>
      <c r="I312" s="13">
        <v>32</v>
      </c>
      <c r="L312" s="4"/>
      <c r="M312" s="7"/>
      <c r="O312" s="7"/>
      <c r="T312" s="7"/>
    </row>
    <row r="313" spans="2:67" x14ac:dyDescent="0.3">
      <c r="B313" s="18" t="s">
        <v>920</v>
      </c>
      <c r="C313" s="13">
        <v>79</v>
      </c>
      <c r="D313" s="21" t="s">
        <v>921</v>
      </c>
      <c r="E313" s="24">
        <v>86</v>
      </c>
      <c r="G313" s="2">
        <f t="shared" si="66"/>
        <v>294</v>
      </c>
      <c r="H313" s="5">
        <v>0</v>
      </c>
      <c r="I313" s="13">
        <v>32</v>
      </c>
      <c r="L313" s="4"/>
      <c r="M313" s="7"/>
      <c r="O313" s="7"/>
      <c r="T313" s="7"/>
    </row>
    <row r="314" spans="2:67" x14ac:dyDescent="0.3">
      <c r="B314" s="18" t="s">
        <v>922</v>
      </c>
      <c r="C314" s="13">
        <v>102</v>
      </c>
      <c r="D314" s="21" t="s">
        <v>923</v>
      </c>
      <c r="E314" s="24">
        <v>87</v>
      </c>
      <c r="G314" s="2">
        <f t="shared" si="66"/>
        <v>295</v>
      </c>
      <c r="H314" s="5">
        <v>0</v>
      </c>
      <c r="I314" s="13">
        <v>32</v>
      </c>
      <c r="L314" s="4"/>
      <c r="M314" s="7"/>
      <c r="O314" s="7"/>
      <c r="T314" s="7"/>
    </row>
    <row r="315" spans="2:67" x14ac:dyDescent="0.3">
      <c r="B315" s="18" t="s">
        <v>924</v>
      </c>
      <c r="C315" s="13">
        <v>101</v>
      </c>
      <c r="D315" s="21" t="s">
        <v>925</v>
      </c>
      <c r="E315" s="24">
        <v>88</v>
      </c>
      <c r="G315" s="2">
        <f t="shared" si="66"/>
        <v>296</v>
      </c>
      <c r="H315" s="5">
        <v>0</v>
      </c>
      <c r="I315" s="13">
        <v>32</v>
      </c>
      <c r="L315" s="4"/>
      <c r="M315" s="7"/>
      <c r="O315" s="7"/>
      <c r="T315" s="7"/>
    </row>
    <row r="316" spans="2:67" x14ac:dyDescent="0.3">
      <c r="B316" s="18" t="s">
        <v>926</v>
      </c>
      <c r="C316" s="13">
        <v>100</v>
      </c>
      <c r="D316" s="21" t="s">
        <v>927</v>
      </c>
      <c r="E316" s="24">
        <v>89</v>
      </c>
      <c r="G316" s="2">
        <f t="shared" si="66"/>
        <v>297</v>
      </c>
      <c r="H316" s="5">
        <v>0</v>
      </c>
      <c r="I316" s="13">
        <v>32</v>
      </c>
      <c r="L316" s="4"/>
      <c r="M316" s="7"/>
      <c r="O316" s="7"/>
      <c r="T316" s="7"/>
    </row>
    <row r="317" spans="2:67" x14ac:dyDescent="0.3">
      <c r="B317" s="18" t="s">
        <v>928</v>
      </c>
      <c r="C317" s="13">
        <v>99</v>
      </c>
      <c r="D317" s="21" t="s">
        <v>929</v>
      </c>
      <c r="E317" s="24">
        <v>90</v>
      </c>
      <c r="G317" s="2">
        <f t="shared" si="66"/>
        <v>298</v>
      </c>
      <c r="H317" s="5">
        <v>0</v>
      </c>
      <c r="I317" s="13">
        <v>32</v>
      </c>
      <c r="L317" s="4"/>
      <c r="M317" s="7"/>
      <c r="O317" s="7"/>
      <c r="T317" s="7"/>
    </row>
    <row r="318" spans="2:67" x14ac:dyDescent="0.3">
      <c r="B318" s="18" t="s">
        <v>930</v>
      </c>
      <c r="C318" s="13">
        <v>98</v>
      </c>
      <c r="D318" s="21" t="s">
        <v>931</v>
      </c>
      <c r="E318" s="24">
        <v>63</v>
      </c>
      <c r="G318" s="2">
        <f t="shared" si="66"/>
        <v>299</v>
      </c>
      <c r="H318" s="5">
        <v>0</v>
      </c>
      <c r="I318" s="13">
        <v>32</v>
      </c>
      <c r="L318" s="4"/>
      <c r="M318" s="7"/>
      <c r="O318" s="7"/>
      <c r="T318" s="7"/>
    </row>
    <row r="319" spans="2:67" x14ac:dyDescent="0.3">
      <c r="B319" s="18" t="s">
        <v>932</v>
      </c>
      <c r="C319" s="13">
        <v>97</v>
      </c>
      <c r="D319" s="21" t="s">
        <v>933</v>
      </c>
      <c r="E319" s="24">
        <v>64</v>
      </c>
      <c r="G319" s="2">
        <f t="shared" si="66"/>
        <v>300</v>
      </c>
      <c r="H319" s="5">
        <v>0</v>
      </c>
      <c r="I319" s="13">
        <v>32</v>
      </c>
      <c r="L319" s="4"/>
      <c r="M319" s="7"/>
      <c r="O319" s="7"/>
      <c r="T319" s="7"/>
    </row>
    <row r="320" spans="2:67" x14ac:dyDescent="0.3">
      <c r="B320" s="18" t="s">
        <v>934</v>
      </c>
      <c r="C320" s="13">
        <v>96</v>
      </c>
      <c r="D320" s="21" t="s">
        <v>935</v>
      </c>
      <c r="E320" s="24">
        <v>91</v>
      </c>
      <c r="G320" s="2">
        <f t="shared" si="66"/>
        <v>301</v>
      </c>
      <c r="H320" s="5">
        <v>0</v>
      </c>
      <c r="I320" s="13">
        <v>32</v>
      </c>
      <c r="L320" s="4"/>
      <c r="M320" s="7"/>
      <c r="O320" s="7"/>
      <c r="T320" s="7"/>
    </row>
    <row r="321" spans="2:63" x14ac:dyDescent="0.3">
      <c r="B321" s="18" t="s">
        <v>936</v>
      </c>
      <c r="C321" s="13">
        <v>1</v>
      </c>
      <c r="D321" s="21" t="s">
        <v>937</v>
      </c>
      <c r="E321" s="24">
        <v>65</v>
      </c>
      <c r="G321" s="2">
        <f t="shared" si="66"/>
        <v>302</v>
      </c>
      <c r="H321" s="5">
        <v>0</v>
      </c>
      <c r="I321" s="13">
        <v>32</v>
      </c>
      <c r="L321" s="4"/>
      <c r="M321" s="7"/>
      <c r="O321" s="7"/>
      <c r="T321" s="7"/>
    </row>
    <row r="322" spans="2:63" x14ac:dyDescent="0.3">
      <c r="B322" s="18" t="s">
        <v>938</v>
      </c>
      <c r="C322" s="13">
        <v>10</v>
      </c>
      <c r="D322" s="21" t="s">
        <v>939</v>
      </c>
      <c r="E322" s="24">
        <v>66</v>
      </c>
      <c r="G322" s="2">
        <f t="shared" si="66"/>
        <v>303</v>
      </c>
      <c r="H322" s="5">
        <v>0</v>
      </c>
      <c r="I322" s="13">
        <v>32</v>
      </c>
      <c r="L322" s="4"/>
      <c r="M322" s="7"/>
      <c r="O322" s="7"/>
      <c r="T322" s="7"/>
    </row>
    <row r="323" spans="2:63" x14ac:dyDescent="0.3">
      <c r="B323" s="18" t="s">
        <v>940</v>
      </c>
      <c r="C323" s="13">
        <v>11</v>
      </c>
      <c r="D323" s="21" t="s">
        <v>941</v>
      </c>
      <c r="E323" s="24">
        <v>67</v>
      </c>
      <c r="G323" s="2">
        <f t="shared" si="66"/>
        <v>304</v>
      </c>
      <c r="H323" s="5">
        <v>0</v>
      </c>
      <c r="I323" s="13">
        <v>32</v>
      </c>
      <c r="L323" s="4"/>
      <c r="M323" s="7"/>
      <c r="O323" s="7"/>
      <c r="T323" s="7"/>
    </row>
    <row r="324" spans="2:63" x14ac:dyDescent="0.3">
      <c r="B324" s="18" t="s">
        <v>942</v>
      </c>
      <c r="C324" s="13">
        <v>12</v>
      </c>
      <c r="D324" s="21" t="s">
        <v>943</v>
      </c>
      <c r="E324" s="24">
        <v>68</v>
      </c>
      <c r="G324" s="2">
        <f t="shared" si="66"/>
        <v>305</v>
      </c>
      <c r="H324" s="5">
        <v>0</v>
      </c>
      <c r="I324" s="13">
        <v>32</v>
      </c>
      <c r="L324" s="4"/>
      <c r="M324" s="7"/>
      <c r="O324" s="7"/>
      <c r="T324" s="7"/>
    </row>
    <row r="325" spans="2:63" x14ac:dyDescent="0.3">
      <c r="B325" s="18" t="s">
        <v>944</v>
      </c>
      <c r="C325" s="13">
        <v>13</v>
      </c>
      <c r="D325" s="21" t="s">
        <v>945</v>
      </c>
      <c r="E325" s="24">
        <v>69</v>
      </c>
      <c r="G325" s="2">
        <f t="shared" si="66"/>
        <v>306</v>
      </c>
      <c r="H325" s="5">
        <v>0</v>
      </c>
      <c r="I325" s="13">
        <v>32</v>
      </c>
      <c r="L325" s="4"/>
      <c r="M325" s="7"/>
      <c r="O325" s="7"/>
      <c r="T325" s="7"/>
    </row>
    <row r="326" spans="2:63" x14ac:dyDescent="0.3">
      <c r="B326" s="18" t="s">
        <v>946</v>
      </c>
      <c r="C326" s="13">
        <v>14</v>
      </c>
      <c r="D326" s="21" t="s">
        <v>947</v>
      </c>
      <c r="E326" s="24">
        <v>70</v>
      </c>
      <c r="G326" s="2">
        <f t="shared" si="66"/>
        <v>307</v>
      </c>
      <c r="H326" s="5">
        <v>0</v>
      </c>
      <c r="I326" s="13">
        <v>32</v>
      </c>
      <c r="L326" s="4"/>
      <c r="M326" s="7"/>
      <c r="O326" s="7"/>
      <c r="T326" s="7"/>
    </row>
    <row r="327" spans="2:63" x14ac:dyDescent="0.3">
      <c r="B327" s="18" t="s">
        <v>948</v>
      </c>
      <c r="C327" s="13">
        <v>15</v>
      </c>
      <c r="D327" s="21" t="s">
        <v>949</v>
      </c>
      <c r="E327" s="24">
        <v>71</v>
      </c>
      <c r="G327" s="2">
        <f t="shared" si="66"/>
        <v>308</v>
      </c>
      <c r="H327" s="5">
        <v>0</v>
      </c>
      <c r="I327" s="13">
        <v>32</v>
      </c>
      <c r="L327" s="4"/>
      <c r="M327" s="7"/>
      <c r="O327" s="7"/>
      <c r="T327" s="7"/>
      <c r="BK327" s="26"/>
    </row>
    <row r="328" spans="2:63" x14ac:dyDescent="0.3">
      <c r="B328" s="18" t="s">
        <v>950</v>
      </c>
      <c r="C328" s="13">
        <v>16</v>
      </c>
      <c r="D328" s="21" t="s">
        <v>951</v>
      </c>
      <c r="E328" s="24">
        <v>72</v>
      </c>
      <c r="G328" s="2">
        <f t="shared" si="66"/>
        <v>309</v>
      </c>
      <c r="H328" s="5">
        <v>0</v>
      </c>
      <c r="I328" s="13">
        <v>32</v>
      </c>
      <c r="L328" s="4"/>
      <c r="M328" s="7"/>
      <c r="O328" s="7"/>
      <c r="T328" s="7"/>
      <c r="BK328" s="26"/>
    </row>
    <row r="329" spans="2:63" x14ac:dyDescent="0.3">
      <c r="B329" s="18" t="s">
        <v>952</v>
      </c>
      <c r="C329" s="13">
        <v>17</v>
      </c>
      <c r="D329" s="21" t="s">
        <v>953</v>
      </c>
      <c r="E329" s="24">
        <v>73</v>
      </c>
      <c r="G329" s="2">
        <f t="shared" si="66"/>
        <v>310</v>
      </c>
      <c r="H329" s="5">
        <v>0</v>
      </c>
      <c r="I329" s="13">
        <v>32</v>
      </c>
      <c r="L329" s="4"/>
      <c r="M329" s="7"/>
      <c r="O329" s="7"/>
      <c r="T329" s="7"/>
    </row>
    <row r="330" spans="2:63" x14ac:dyDescent="0.3">
      <c r="B330" s="18" t="s">
        <v>954</v>
      </c>
      <c r="C330" s="13">
        <v>18</v>
      </c>
      <c r="D330" s="21" t="s">
        <v>955</v>
      </c>
      <c r="E330" s="24">
        <v>74</v>
      </c>
      <c r="G330" s="2">
        <f t="shared" si="66"/>
        <v>311</v>
      </c>
      <c r="H330" s="5">
        <v>0</v>
      </c>
      <c r="I330" s="13">
        <v>32</v>
      </c>
      <c r="L330" s="4"/>
      <c r="M330" s="7"/>
      <c r="O330" s="7"/>
      <c r="T330" s="7"/>
    </row>
    <row r="331" spans="2:63" x14ac:dyDescent="0.3">
      <c r="B331" s="18" t="s">
        <v>956</v>
      </c>
      <c r="C331" s="13">
        <v>19</v>
      </c>
      <c r="D331" s="21" t="s">
        <v>957</v>
      </c>
      <c r="E331" s="24">
        <v>92</v>
      </c>
      <c r="G331" s="2">
        <f t="shared" si="66"/>
        <v>312</v>
      </c>
      <c r="H331" s="5">
        <v>0</v>
      </c>
      <c r="I331" s="13">
        <v>32</v>
      </c>
      <c r="L331" s="4"/>
      <c r="M331" s="7"/>
      <c r="O331" s="7"/>
      <c r="T331" s="7"/>
    </row>
    <row r="332" spans="2:63" x14ac:dyDescent="0.3">
      <c r="B332" s="18" t="s">
        <v>958</v>
      </c>
      <c r="C332" s="13">
        <v>2</v>
      </c>
      <c r="D332" s="21" t="s">
        <v>959</v>
      </c>
      <c r="E332" s="24">
        <v>75</v>
      </c>
      <c r="G332" s="2">
        <f t="shared" si="66"/>
        <v>313</v>
      </c>
      <c r="H332" s="5">
        <v>0</v>
      </c>
      <c r="I332" s="13">
        <v>32</v>
      </c>
      <c r="L332" s="4"/>
      <c r="M332" s="7"/>
      <c r="O332" s="7"/>
      <c r="T332" s="7"/>
    </row>
    <row r="333" spans="2:63" x14ac:dyDescent="0.3">
      <c r="B333" s="18" t="s">
        <v>960</v>
      </c>
      <c r="C333" s="13">
        <v>20</v>
      </c>
      <c r="D333" s="21" t="s">
        <v>961</v>
      </c>
      <c r="E333" s="24">
        <v>76</v>
      </c>
      <c r="G333" s="2">
        <f t="shared" si="66"/>
        <v>314</v>
      </c>
      <c r="H333" s="5">
        <v>0</v>
      </c>
      <c r="I333" s="13">
        <v>32</v>
      </c>
      <c r="L333" s="4"/>
      <c r="M333" s="7"/>
      <c r="O333" s="7"/>
      <c r="T333" s="7"/>
    </row>
    <row r="334" spans="2:63" x14ac:dyDescent="0.3">
      <c r="B334" s="18" t="s">
        <v>962</v>
      </c>
      <c r="C334" s="13">
        <v>21</v>
      </c>
      <c r="D334" s="21" t="s">
        <v>963</v>
      </c>
      <c r="E334" s="24">
        <v>77</v>
      </c>
      <c r="G334" s="2">
        <f t="shared" si="66"/>
        <v>315</v>
      </c>
      <c r="H334" s="5">
        <v>0</v>
      </c>
      <c r="I334" s="13">
        <v>32</v>
      </c>
      <c r="L334" s="4"/>
      <c r="M334" s="7"/>
      <c r="O334" s="7"/>
      <c r="T334" s="7"/>
    </row>
    <row r="335" spans="2:63" x14ac:dyDescent="0.3">
      <c r="B335" s="18" t="s">
        <v>964</v>
      </c>
      <c r="C335" s="13">
        <v>22</v>
      </c>
      <c r="D335" s="21" t="s">
        <v>965</v>
      </c>
      <c r="E335" s="24">
        <v>78</v>
      </c>
      <c r="G335" s="2">
        <f t="shared" si="66"/>
        <v>316</v>
      </c>
      <c r="H335" s="5">
        <v>0</v>
      </c>
      <c r="I335" s="13">
        <v>32</v>
      </c>
      <c r="L335" s="4"/>
      <c r="M335" s="7"/>
      <c r="O335" s="7"/>
      <c r="T335" s="7"/>
    </row>
    <row r="336" spans="2:63" x14ac:dyDescent="0.3">
      <c r="B336" s="18" t="s">
        <v>966</v>
      </c>
      <c r="C336" s="13">
        <v>23</v>
      </c>
      <c r="D336" s="21" t="s">
        <v>967</v>
      </c>
      <c r="E336" s="24">
        <v>79</v>
      </c>
      <c r="G336" s="2">
        <f t="shared" si="66"/>
        <v>317</v>
      </c>
      <c r="H336" s="5">
        <v>0</v>
      </c>
      <c r="I336" s="13">
        <v>32</v>
      </c>
      <c r="L336" s="4"/>
      <c r="M336" s="7"/>
      <c r="O336" s="7"/>
      <c r="T336" s="7"/>
    </row>
    <row r="337" spans="2:20" x14ac:dyDescent="0.3">
      <c r="B337" s="18" t="s">
        <v>968</v>
      </c>
      <c r="C337" s="13">
        <v>24</v>
      </c>
      <c r="D337" s="21" t="s">
        <v>969</v>
      </c>
      <c r="E337" s="24">
        <v>80</v>
      </c>
      <c r="G337" s="2">
        <f t="shared" si="66"/>
        <v>318</v>
      </c>
      <c r="H337" s="5">
        <v>0</v>
      </c>
      <c r="I337" s="13">
        <v>32</v>
      </c>
      <c r="L337" s="4"/>
      <c r="M337" s="7"/>
      <c r="O337" s="7"/>
      <c r="T337" s="7"/>
    </row>
    <row r="338" spans="2:20" x14ac:dyDescent="0.3">
      <c r="B338" s="18" t="s">
        <v>970</v>
      </c>
      <c r="C338" s="13">
        <v>25</v>
      </c>
      <c r="D338" s="21" t="s">
        <v>971</v>
      </c>
      <c r="E338" s="24">
        <v>81</v>
      </c>
      <c r="G338" s="2">
        <f t="shared" si="66"/>
        <v>319</v>
      </c>
      <c r="H338" s="5">
        <v>0</v>
      </c>
      <c r="I338" s="13">
        <v>32</v>
      </c>
      <c r="L338" s="4"/>
      <c r="M338" s="7"/>
      <c r="O338" s="7"/>
      <c r="T338" s="7"/>
    </row>
    <row r="339" spans="2:20" x14ac:dyDescent="0.3">
      <c r="B339" s="18" t="s">
        <v>972</v>
      </c>
      <c r="C339" s="13">
        <v>26</v>
      </c>
      <c r="D339" s="21" t="s">
        <v>973</v>
      </c>
      <c r="E339" s="24">
        <v>82</v>
      </c>
      <c r="G339" s="2">
        <f t="shared" si="66"/>
        <v>320</v>
      </c>
      <c r="H339" s="5">
        <v>0</v>
      </c>
      <c r="I339" s="13">
        <v>32</v>
      </c>
      <c r="L339" s="4"/>
      <c r="M339" s="7"/>
      <c r="O339" s="7"/>
      <c r="T339" s="7"/>
    </row>
    <row r="340" spans="2:20" x14ac:dyDescent="0.3">
      <c r="B340" s="18" t="s">
        <v>974</v>
      </c>
      <c r="C340" s="13">
        <v>3</v>
      </c>
      <c r="D340" s="21" t="s">
        <v>975</v>
      </c>
      <c r="E340" s="24">
        <v>83</v>
      </c>
      <c r="G340" s="2">
        <f t="shared" si="66"/>
        <v>321</v>
      </c>
      <c r="H340" s="5">
        <v>0</v>
      </c>
      <c r="I340" s="13">
        <v>32</v>
      </c>
      <c r="L340" s="4"/>
      <c r="M340" s="7"/>
      <c r="O340" s="7"/>
      <c r="T340" s="7"/>
    </row>
    <row r="341" spans="2:20" x14ac:dyDescent="0.3">
      <c r="B341" s="18" t="s">
        <v>976</v>
      </c>
      <c r="C341" s="13">
        <v>4</v>
      </c>
      <c r="D341" s="21" t="s">
        <v>977</v>
      </c>
      <c r="E341" s="24">
        <v>84</v>
      </c>
      <c r="G341" s="2">
        <f t="shared" si="66"/>
        <v>322</v>
      </c>
      <c r="H341" s="5">
        <v>0</v>
      </c>
      <c r="I341" s="13">
        <v>32</v>
      </c>
      <c r="L341" s="4"/>
      <c r="M341" s="7"/>
      <c r="O341" s="7"/>
      <c r="T341" s="7"/>
    </row>
    <row r="342" spans="2:20" x14ac:dyDescent="0.3">
      <c r="B342" s="18" t="s">
        <v>978</v>
      </c>
      <c r="C342" s="13">
        <v>5</v>
      </c>
      <c r="D342" s="21" t="s">
        <v>979</v>
      </c>
      <c r="E342" s="24">
        <v>93</v>
      </c>
      <c r="G342" s="2">
        <f t="shared" si="66"/>
        <v>323</v>
      </c>
      <c r="H342" s="5">
        <v>0</v>
      </c>
      <c r="I342" s="13">
        <v>32</v>
      </c>
      <c r="L342" s="4"/>
      <c r="M342" s="7"/>
      <c r="O342" s="7"/>
      <c r="T342" s="7"/>
    </row>
    <row r="343" spans="2:20" x14ac:dyDescent="0.3">
      <c r="B343" s="18" t="s">
        <v>980</v>
      </c>
      <c r="C343" s="13">
        <v>6</v>
      </c>
      <c r="D343" s="21" t="s">
        <v>981</v>
      </c>
      <c r="E343" s="24">
        <v>40</v>
      </c>
      <c r="G343" s="2">
        <f t="shared" si="66"/>
        <v>324</v>
      </c>
      <c r="H343" s="5">
        <v>0</v>
      </c>
      <c r="I343" s="13">
        <v>32</v>
      </c>
      <c r="L343" s="4"/>
      <c r="M343" s="7"/>
      <c r="O343" s="7"/>
      <c r="T343" s="7"/>
    </row>
    <row r="344" spans="2:20" x14ac:dyDescent="0.3">
      <c r="B344" s="18" t="s">
        <v>982</v>
      </c>
      <c r="C344" s="13">
        <v>7</v>
      </c>
      <c r="D344" s="21" t="s">
        <v>983</v>
      </c>
      <c r="E344" s="24">
        <v>39</v>
      </c>
      <c r="G344" s="2">
        <f t="shared" si="66"/>
        <v>325</v>
      </c>
      <c r="H344" s="5">
        <v>0</v>
      </c>
      <c r="I344" s="13">
        <v>32</v>
      </c>
      <c r="L344" s="4"/>
      <c r="M344" s="7"/>
      <c r="O344" s="7"/>
      <c r="T344" s="7"/>
    </row>
    <row r="345" spans="2:20" x14ac:dyDescent="0.3">
      <c r="B345" s="18" t="s">
        <v>984</v>
      </c>
      <c r="C345" s="13">
        <v>8</v>
      </c>
      <c r="D345" s="21" t="s">
        <v>985</v>
      </c>
      <c r="E345" s="24">
        <v>38</v>
      </c>
      <c r="G345" s="2">
        <f t="shared" si="66"/>
        <v>326</v>
      </c>
      <c r="H345" s="5">
        <v>0</v>
      </c>
      <c r="I345" s="13">
        <v>32</v>
      </c>
      <c r="L345" s="4"/>
      <c r="M345" s="7"/>
      <c r="O345" s="7"/>
      <c r="T345" s="7"/>
    </row>
    <row r="346" spans="2:20" x14ac:dyDescent="0.3">
      <c r="B346" s="18" t="s">
        <v>986</v>
      </c>
      <c r="C346" s="13">
        <v>9</v>
      </c>
      <c r="D346" s="21" t="s">
        <v>987</v>
      </c>
      <c r="E346" s="24">
        <v>37</v>
      </c>
      <c r="G346" s="2">
        <f t="shared" si="66"/>
        <v>327</v>
      </c>
      <c r="H346" s="5">
        <v>0</v>
      </c>
      <c r="I346" s="13">
        <v>32</v>
      </c>
      <c r="L346" s="4"/>
      <c r="M346" s="7"/>
      <c r="O346" s="7"/>
      <c r="T346" s="7"/>
    </row>
    <row r="347" spans="2:20" x14ac:dyDescent="0.3">
      <c r="B347" s="18" t="s">
        <v>988</v>
      </c>
      <c r="C347" s="13">
        <v>52</v>
      </c>
      <c r="D347" s="21" t="s">
        <v>989</v>
      </c>
      <c r="E347" s="24">
        <v>36</v>
      </c>
      <c r="G347" s="2">
        <f t="shared" si="66"/>
        <v>328</v>
      </c>
      <c r="H347" s="5">
        <v>0</v>
      </c>
      <c r="I347" s="13">
        <v>32</v>
      </c>
      <c r="L347" s="4"/>
      <c r="M347" s="7"/>
      <c r="O347" s="7"/>
      <c r="T347" s="7"/>
    </row>
    <row r="348" spans="2:20" x14ac:dyDescent="0.3">
      <c r="B348" s="18" t="s">
        <v>990</v>
      </c>
      <c r="C348" s="13">
        <v>43</v>
      </c>
      <c r="D348" s="21" t="s">
        <v>991</v>
      </c>
      <c r="E348" s="24">
        <v>35</v>
      </c>
      <c r="G348" s="2">
        <f t="shared" si="66"/>
        <v>329</v>
      </c>
      <c r="H348" s="5">
        <v>0</v>
      </c>
      <c r="I348" s="13">
        <v>32</v>
      </c>
      <c r="L348" s="4"/>
      <c r="M348" s="7"/>
      <c r="O348" s="7"/>
      <c r="T348" s="7"/>
    </row>
    <row r="349" spans="2:20" x14ac:dyDescent="0.3">
      <c r="B349" s="18" t="s">
        <v>992</v>
      </c>
      <c r="C349" s="13">
        <v>42</v>
      </c>
      <c r="D349" s="21" t="s">
        <v>993</v>
      </c>
      <c r="E349" s="24">
        <v>62</v>
      </c>
      <c r="G349" s="2">
        <f t="shared" ref="G349:G412" si="67">G348+1</f>
        <v>330</v>
      </c>
      <c r="H349" s="5">
        <v>0</v>
      </c>
      <c r="I349" s="13">
        <v>32</v>
      </c>
      <c r="L349" s="4"/>
      <c r="M349" s="7"/>
      <c r="O349" s="7"/>
      <c r="T349" s="7"/>
    </row>
    <row r="350" spans="2:20" x14ac:dyDescent="0.3">
      <c r="B350" s="18" t="s">
        <v>994</v>
      </c>
      <c r="C350" s="13">
        <v>41</v>
      </c>
      <c r="D350" s="21" t="s">
        <v>995</v>
      </c>
      <c r="E350" s="24">
        <v>61</v>
      </c>
      <c r="G350" s="2">
        <f t="shared" si="67"/>
        <v>331</v>
      </c>
      <c r="H350" s="5">
        <v>0</v>
      </c>
      <c r="I350" s="13">
        <v>32</v>
      </c>
      <c r="L350" s="4"/>
      <c r="M350" s="7"/>
      <c r="O350" s="7"/>
      <c r="T350" s="7"/>
    </row>
    <row r="351" spans="2:20" x14ac:dyDescent="0.3">
      <c r="B351" s="18" t="s">
        <v>996</v>
      </c>
      <c r="C351" s="13">
        <v>40</v>
      </c>
      <c r="D351" s="21" t="s">
        <v>997</v>
      </c>
      <c r="E351" s="24">
        <v>34</v>
      </c>
      <c r="G351" s="2">
        <f t="shared" si="67"/>
        <v>332</v>
      </c>
      <c r="H351" s="5">
        <v>0</v>
      </c>
      <c r="I351" s="13">
        <v>32</v>
      </c>
      <c r="L351" s="4"/>
      <c r="M351" s="7"/>
      <c r="O351" s="7"/>
      <c r="T351" s="7"/>
    </row>
    <row r="352" spans="2:20" x14ac:dyDescent="0.3">
      <c r="B352" s="18" t="s">
        <v>998</v>
      </c>
      <c r="C352" s="13">
        <v>39</v>
      </c>
      <c r="D352" s="21" t="s">
        <v>999</v>
      </c>
      <c r="E352" s="24">
        <v>60</v>
      </c>
      <c r="G352" s="2">
        <f t="shared" si="67"/>
        <v>333</v>
      </c>
      <c r="H352" s="5">
        <v>0</v>
      </c>
      <c r="I352" s="13">
        <v>32</v>
      </c>
      <c r="L352" s="4"/>
      <c r="M352" s="7"/>
      <c r="O352" s="7"/>
      <c r="T352" s="7"/>
    </row>
    <row r="353" spans="2:20" x14ac:dyDescent="0.3">
      <c r="B353" s="18" t="s">
        <v>1000</v>
      </c>
      <c r="C353" s="13">
        <v>38</v>
      </c>
      <c r="D353" s="21" t="s">
        <v>1001</v>
      </c>
      <c r="E353" s="24">
        <v>59</v>
      </c>
      <c r="G353" s="2">
        <f t="shared" si="67"/>
        <v>334</v>
      </c>
      <c r="H353" s="5">
        <v>0</v>
      </c>
      <c r="I353" s="13">
        <v>32</v>
      </c>
      <c r="L353" s="4"/>
      <c r="M353" s="7"/>
      <c r="O353" s="7"/>
      <c r="T353" s="7"/>
    </row>
    <row r="354" spans="2:20" x14ac:dyDescent="0.3">
      <c r="B354" s="18" t="s">
        <v>1002</v>
      </c>
      <c r="C354" s="13">
        <v>37</v>
      </c>
      <c r="D354" s="21" t="s">
        <v>1003</v>
      </c>
      <c r="E354" s="24">
        <v>58</v>
      </c>
      <c r="G354" s="2">
        <f t="shared" si="67"/>
        <v>335</v>
      </c>
      <c r="H354" s="5">
        <v>0</v>
      </c>
      <c r="I354" s="13">
        <v>32</v>
      </c>
      <c r="L354" s="4"/>
      <c r="M354" s="7"/>
      <c r="O354" s="7"/>
      <c r="T354" s="7"/>
    </row>
    <row r="355" spans="2:20" x14ac:dyDescent="0.3">
      <c r="B355" s="18" t="s">
        <v>1004</v>
      </c>
      <c r="C355" s="13">
        <v>36</v>
      </c>
      <c r="D355" s="21" t="s">
        <v>1005</v>
      </c>
      <c r="E355" s="24">
        <v>57</v>
      </c>
      <c r="G355" s="2">
        <f t="shared" si="67"/>
        <v>336</v>
      </c>
      <c r="H355" s="5">
        <v>0</v>
      </c>
      <c r="I355" s="13">
        <v>32</v>
      </c>
      <c r="L355" s="4"/>
      <c r="M355" s="7"/>
      <c r="O355" s="7"/>
      <c r="T355" s="7"/>
    </row>
    <row r="356" spans="2:20" x14ac:dyDescent="0.3">
      <c r="B356" s="18" t="s">
        <v>1006</v>
      </c>
      <c r="C356" s="13">
        <v>35</v>
      </c>
      <c r="D356" s="21" t="s">
        <v>1007</v>
      </c>
      <c r="E356" s="24">
        <v>56</v>
      </c>
      <c r="G356" s="2">
        <f t="shared" si="67"/>
        <v>337</v>
      </c>
      <c r="H356" s="5">
        <v>0</v>
      </c>
      <c r="I356" s="13">
        <v>32</v>
      </c>
      <c r="L356" s="4"/>
      <c r="M356" s="7"/>
      <c r="O356" s="7"/>
      <c r="T356" s="7"/>
    </row>
    <row r="357" spans="2:20" x14ac:dyDescent="0.3">
      <c r="B357" s="18" t="s">
        <v>1008</v>
      </c>
      <c r="C357" s="13">
        <v>34</v>
      </c>
      <c r="D357" s="21" t="s">
        <v>1009</v>
      </c>
      <c r="E357" s="24">
        <v>55</v>
      </c>
      <c r="G357" s="2">
        <f t="shared" si="67"/>
        <v>338</v>
      </c>
      <c r="H357" s="5">
        <v>0</v>
      </c>
      <c r="I357" s="13">
        <v>32</v>
      </c>
      <c r="L357" s="4"/>
      <c r="M357" s="7"/>
      <c r="O357" s="7"/>
      <c r="T357" s="7"/>
    </row>
    <row r="358" spans="2:20" x14ac:dyDescent="0.3">
      <c r="B358" s="18" t="s">
        <v>1010</v>
      </c>
      <c r="C358" s="13">
        <v>51</v>
      </c>
      <c r="D358" s="21" t="s">
        <v>1011</v>
      </c>
      <c r="E358" s="24">
        <v>54</v>
      </c>
      <c r="G358" s="2">
        <f t="shared" si="67"/>
        <v>339</v>
      </c>
      <c r="H358" s="5">
        <v>0</v>
      </c>
      <c r="I358" s="13">
        <v>32</v>
      </c>
      <c r="L358" s="4"/>
      <c r="M358" s="7"/>
      <c r="O358" s="7"/>
      <c r="T358" s="7"/>
    </row>
    <row r="359" spans="2:20" x14ac:dyDescent="0.3">
      <c r="B359" s="18" t="s">
        <v>1012</v>
      </c>
      <c r="C359" s="13">
        <v>33</v>
      </c>
      <c r="D359" s="21" t="s">
        <v>1013</v>
      </c>
      <c r="E359" s="24">
        <v>53</v>
      </c>
      <c r="G359" s="2">
        <f t="shared" si="67"/>
        <v>340</v>
      </c>
      <c r="H359" s="5">
        <v>0</v>
      </c>
      <c r="I359" s="13">
        <v>32</v>
      </c>
      <c r="L359" s="4"/>
      <c r="M359" s="7"/>
      <c r="O359" s="7"/>
      <c r="T359" s="7"/>
    </row>
    <row r="360" spans="2:20" x14ac:dyDescent="0.3">
      <c r="B360" s="18" t="s">
        <v>1014</v>
      </c>
      <c r="C360" s="13">
        <v>32</v>
      </c>
      <c r="D360" s="21" t="s">
        <v>1015</v>
      </c>
      <c r="E360" s="24">
        <v>52</v>
      </c>
      <c r="G360" s="2">
        <f t="shared" si="67"/>
        <v>341</v>
      </c>
      <c r="H360" s="5">
        <v>0</v>
      </c>
      <c r="I360" s="13">
        <v>32</v>
      </c>
      <c r="L360" s="4"/>
      <c r="M360" s="7"/>
      <c r="O360" s="7"/>
      <c r="T360" s="7"/>
    </row>
    <row r="361" spans="2:20" x14ac:dyDescent="0.3">
      <c r="B361" s="18" t="s">
        <v>1016</v>
      </c>
      <c r="C361" s="13">
        <v>31</v>
      </c>
      <c r="D361" s="21" t="s">
        <v>1017</v>
      </c>
      <c r="E361" s="24">
        <v>51</v>
      </c>
      <c r="G361" s="2">
        <f t="shared" si="67"/>
        <v>342</v>
      </c>
      <c r="H361" s="5">
        <v>0</v>
      </c>
      <c r="I361" s="13">
        <v>32</v>
      </c>
      <c r="L361" s="4"/>
      <c r="M361" s="7"/>
      <c r="O361" s="7"/>
      <c r="T361" s="7"/>
    </row>
    <row r="362" spans="2:20" x14ac:dyDescent="0.3">
      <c r="B362" s="18" t="s">
        <v>1018</v>
      </c>
      <c r="C362" s="13">
        <v>30</v>
      </c>
      <c r="D362" s="21" t="s">
        <v>1019</v>
      </c>
      <c r="E362" s="24">
        <v>33</v>
      </c>
      <c r="G362" s="2">
        <f t="shared" si="67"/>
        <v>343</v>
      </c>
      <c r="H362" s="5">
        <v>0</v>
      </c>
      <c r="I362" s="13">
        <v>32</v>
      </c>
      <c r="L362" s="4"/>
      <c r="M362" s="7"/>
      <c r="O362" s="7"/>
      <c r="T362" s="7"/>
    </row>
    <row r="363" spans="2:20" x14ac:dyDescent="0.3">
      <c r="B363" s="18" t="s">
        <v>1020</v>
      </c>
      <c r="C363" s="13">
        <v>29</v>
      </c>
      <c r="D363" s="21" t="s">
        <v>1021</v>
      </c>
      <c r="E363" s="24">
        <v>50</v>
      </c>
      <c r="G363" s="2">
        <f t="shared" si="67"/>
        <v>344</v>
      </c>
      <c r="H363" s="5">
        <v>0</v>
      </c>
      <c r="I363" s="13">
        <v>32</v>
      </c>
      <c r="L363" s="4"/>
      <c r="M363" s="7"/>
      <c r="O363" s="7"/>
      <c r="T363" s="7"/>
    </row>
    <row r="364" spans="2:20" x14ac:dyDescent="0.3">
      <c r="B364" s="18" t="s">
        <v>1022</v>
      </c>
      <c r="C364" s="13">
        <v>28</v>
      </c>
      <c r="D364" s="21" t="s">
        <v>1023</v>
      </c>
      <c r="E364" s="24">
        <v>49</v>
      </c>
      <c r="G364" s="2">
        <f t="shared" si="67"/>
        <v>345</v>
      </c>
      <c r="H364" s="5">
        <v>0</v>
      </c>
      <c r="I364" s="13">
        <v>32</v>
      </c>
      <c r="L364" s="4"/>
      <c r="M364" s="7"/>
      <c r="O364" s="7"/>
      <c r="T364" s="7"/>
    </row>
    <row r="365" spans="2:20" x14ac:dyDescent="0.3">
      <c r="B365" s="18" t="s">
        <v>1024</v>
      </c>
      <c r="C365" s="13">
        <v>27</v>
      </c>
      <c r="D365" s="21" t="s">
        <v>1025</v>
      </c>
      <c r="E365" s="24">
        <v>48</v>
      </c>
      <c r="G365" s="2">
        <f t="shared" si="67"/>
        <v>346</v>
      </c>
      <c r="H365" s="5">
        <v>0</v>
      </c>
      <c r="I365" s="13">
        <v>32</v>
      </c>
      <c r="L365" s="4"/>
      <c r="M365" s="7"/>
      <c r="O365" s="7"/>
      <c r="T365" s="7"/>
    </row>
    <row r="366" spans="2:20" x14ac:dyDescent="0.3">
      <c r="B366" s="18" t="s">
        <v>1026</v>
      </c>
      <c r="C366" s="13">
        <v>50</v>
      </c>
      <c r="D366" s="21" t="s">
        <v>1027</v>
      </c>
      <c r="E366" s="24">
        <v>47</v>
      </c>
      <c r="G366" s="2">
        <f t="shared" si="67"/>
        <v>347</v>
      </c>
      <c r="H366" s="5">
        <v>0</v>
      </c>
      <c r="I366" s="13">
        <v>32</v>
      </c>
      <c r="L366" s="4"/>
      <c r="M366" s="7"/>
      <c r="O366" s="7"/>
      <c r="T366" s="7"/>
    </row>
    <row r="367" spans="2:20" x14ac:dyDescent="0.3">
      <c r="B367" s="18" t="s">
        <v>1028</v>
      </c>
      <c r="C367" s="13">
        <v>49</v>
      </c>
      <c r="D367" s="21" t="s">
        <v>1029</v>
      </c>
      <c r="E367" s="24">
        <v>46</v>
      </c>
      <c r="G367" s="2">
        <f t="shared" si="67"/>
        <v>348</v>
      </c>
      <c r="H367" s="5">
        <v>0</v>
      </c>
      <c r="I367" s="13">
        <v>32</v>
      </c>
      <c r="L367" s="4"/>
      <c r="M367" s="7"/>
      <c r="O367" s="7"/>
      <c r="T367" s="7"/>
    </row>
    <row r="368" spans="2:20" x14ac:dyDescent="0.3">
      <c r="B368" s="18" t="s">
        <v>1030</v>
      </c>
      <c r="C368" s="13">
        <v>48</v>
      </c>
      <c r="D368" s="21" t="s">
        <v>1031</v>
      </c>
      <c r="E368" s="24">
        <v>45</v>
      </c>
      <c r="G368" s="2">
        <f t="shared" si="67"/>
        <v>349</v>
      </c>
      <c r="H368" s="5">
        <v>0</v>
      </c>
      <c r="I368" s="13">
        <v>32</v>
      </c>
      <c r="L368" s="4"/>
      <c r="M368" s="7"/>
      <c r="O368" s="7"/>
      <c r="T368" s="7"/>
    </row>
    <row r="369" spans="2:20" x14ac:dyDescent="0.3">
      <c r="B369" s="18" t="s">
        <v>1032</v>
      </c>
      <c r="C369" s="13">
        <v>47</v>
      </c>
      <c r="D369" s="21" t="s">
        <v>1033</v>
      </c>
      <c r="E369" s="24">
        <v>44</v>
      </c>
      <c r="G369" s="2">
        <f t="shared" si="67"/>
        <v>350</v>
      </c>
      <c r="H369" s="5">
        <v>0</v>
      </c>
      <c r="I369" s="13">
        <v>32</v>
      </c>
      <c r="L369" s="4"/>
      <c r="M369" s="7"/>
      <c r="O369" s="7"/>
      <c r="T369" s="7"/>
    </row>
    <row r="370" spans="2:20" x14ac:dyDescent="0.3">
      <c r="B370" s="18" t="s">
        <v>1034</v>
      </c>
      <c r="C370" s="13">
        <v>46</v>
      </c>
      <c r="D370" s="21" t="s">
        <v>1035</v>
      </c>
      <c r="E370" s="24">
        <v>43</v>
      </c>
      <c r="G370" s="2">
        <f t="shared" si="67"/>
        <v>351</v>
      </c>
      <c r="H370" s="5">
        <v>0</v>
      </c>
      <c r="I370" s="13">
        <v>32</v>
      </c>
      <c r="L370" s="4"/>
      <c r="M370" s="7"/>
      <c r="O370" s="7"/>
      <c r="T370" s="7"/>
    </row>
    <row r="371" spans="2:20" x14ac:dyDescent="0.3">
      <c r="B371" s="18" t="s">
        <v>1036</v>
      </c>
      <c r="C371" s="13">
        <v>45</v>
      </c>
      <c r="D371" s="21" t="s">
        <v>1037</v>
      </c>
      <c r="E371" s="24">
        <v>42</v>
      </c>
      <c r="G371" s="2">
        <f t="shared" si="67"/>
        <v>352</v>
      </c>
      <c r="H371" s="5">
        <v>0</v>
      </c>
      <c r="I371" s="13">
        <v>32</v>
      </c>
      <c r="L371" s="4"/>
      <c r="M371" s="7"/>
      <c r="O371" s="7"/>
      <c r="T371" s="7"/>
    </row>
    <row r="372" spans="2:20" x14ac:dyDescent="0.3">
      <c r="B372" s="18" t="s">
        <v>1038</v>
      </c>
      <c r="C372" s="13">
        <v>44</v>
      </c>
      <c r="D372" s="21" t="s">
        <v>1039</v>
      </c>
      <c r="E372" s="24">
        <v>41</v>
      </c>
      <c r="G372" s="2">
        <f t="shared" si="67"/>
        <v>353</v>
      </c>
      <c r="H372" s="5">
        <v>0</v>
      </c>
      <c r="I372" s="13">
        <v>32</v>
      </c>
      <c r="L372" s="4"/>
      <c r="M372" s="7"/>
      <c r="O372" s="7"/>
      <c r="T372" s="7"/>
    </row>
    <row r="373" spans="2:20" x14ac:dyDescent="0.3">
      <c r="B373" s="18" t="s">
        <v>1040</v>
      </c>
      <c r="C373" s="13">
        <v>53</v>
      </c>
      <c r="D373" s="21" t="s">
        <v>1041</v>
      </c>
      <c r="E373" s="24">
        <v>32</v>
      </c>
      <c r="G373" s="2">
        <f t="shared" si="67"/>
        <v>354</v>
      </c>
      <c r="H373" s="5">
        <v>0</v>
      </c>
      <c r="I373" s="13">
        <v>32</v>
      </c>
      <c r="L373" s="4"/>
      <c r="M373" s="7"/>
      <c r="O373" s="7"/>
      <c r="T373" s="7"/>
    </row>
    <row r="374" spans="2:20" x14ac:dyDescent="0.3">
      <c r="B374" s="18" t="s">
        <v>1042</v>
      </c>
      <c r="C374" s="13">
        <v>62</v>
      </c>
      <c r="D374" s="21" t="s">
        <v>1043</v>
      </c>
      <c r="E374" s="24">
        <v>9</v>
      </c>
      <c r="G374" s="2">
        <f t="shared" si="67"/>
        <v>355</v>
      </c>
      <c r="H374" s="5">
        <v>0</v>
      </c>
      <c r="I374" s="13">
        <v>32</v>
      </c>
      <c r="L374" s="4"/>
      <c r="M374" s="7"/>
      <c r="O374" s="7"/>
      <c r="T374" s="7"/>
    </row>
    <row r="375" spans="2:20" x14ac:dyDescent="0.3">
      <c r="B375" s="18" t="s">
        <v>1044</v>
      </c>
      <c r="C375" s="13">
        <v>63</v>
      </c>
      <c r="D375" s="21" t="s">
        <v>1045</v>
      </c>
      <c r="E375" s="24">
        <v>8</v>
      </c>
      <c r="G375" s="2">
        <f t="shared" si="67"/>
        <v>356</v>
      </c>
      <c r="H375" s="5">
        <v>0</v>
      </c>
      <c r="I375" s="13">
        <v>32</v>
      </c>
      <c r="L375" s="4"/>
      <c r="M375" s="7"/>
      <c r="O375" s="7"/>
      <c r="T375" s="7"/>
    </row>
    <row r="376" spans="2:20" x14ac:dyDescent="0.3">
      <c r="B376" s="18" t="s">
        <v>1046</v>
      </c>
      <c r="C376" s="13">
        <v>64</v>
      </c>
      <c r="D376" s="21" t="s">
        <v>1047</v>
      </c>
      <c r="E376" s="24">
        <v>7</v>
      </c>
      <c r="G376" s="2">
        <f t="shared" si="67"/>
        <v>357</v>
      </c>
      <c r="H376" s="5">
        <v>0</v>
      </c>
      <c r="I376" s="13">
        <v>32</v>
      </c>
      <c r="L376" s="4"/>
      <c r="M376" s="7"/>
      <c r="O376" s="7"/>
      <c r="T376" s="7"/>
    </row>
    <row r="377" spans="2:20" x14ac:dyDescent="0.3">
      <c r="B377" s="18" t="s">
        <v>1048</v>
      </c>
      <c r="C377" s="13">
        <v>65</v>
      </c>
      <c r="D377" s="21" t="s">
        <v>1049</v>
      </c>
      <c r="E377" s="24">
        <v>6</v>
      </c>
      <c r="G377" s="2">
        <f t="shared" si="67"/>
        <v>358</v>
      </c>
      <c r="H377" s="5">
        <v>0</v>
      </c>
      <c r="I377" s="13">
        <v>32</v>
      </c>
      <c r="L377" s="4"/>
      <c r="M377" s="7"/>
      <c r="O377" s="7"/>
      <c r="T377" s="7"/>
    </row>
    <row r="378" spans="2:20" x14ac:dyDescent="0.3">
      <c r="B378" s="18" t="s">
        <v>1050</v>
      </c>
      <c r="C378" s="13">
        <v>66</v>
      </c>
      <c r="D378" s="21" t="s">
        <v>1051</v>
      </c>
      <c r="E378" s="24">
        <v>5</v>
      </c>
      <c r="G378" s="2">
        <f t="shared" si="67"/>
        <v>359</v>
      </c>
      <c r="H378" s="5">
        <v>0</v>
      </c>
      <c r="I378" s="13">
        <v>32</v>
      </c>
      <c r="L378" s="4"/>
      <c r="M378" s="7"/>
      <c r="O378" s="7"/>
      <c r="T378" s="7"/>
    </row>
    <row r="379" spans="2:20" x14ac:dyDescent="0.3">
      <c r="B379" s="18" t="s">
        <v>1052</v>
      </c>
      <c r="C379" s="13">
        <v>67</v>
      </c>
      <c r="D379" s="21" t="s">
        <v>1053</v>
      </c>
      <c r="E379" s="24">
        <v>4</v>
      </c>
      <c r="G379" s="2">
        <f t="shared" si="67"/>
        <v>360</v>
      </c>
      <c r="H379" s="5">
        <v>0</v>
      </c>
      <c r="I379" s="13">
        <v>32</v>
      </c>
      <c r="L379" s="4"/>
      <c r="M379" s="7"/>
      <c r="O379" s="7"/>
      <c r="T379" s="7"/>
    </row>
    <row r="380" spans="2:20" x14ac:dyDescent="0.3">
      <c r="B380" s="18" t="s">
        <v>1054</v>
      </c>
      <c r="C380" s="13">
        <v>68</v>
      </c>
      <c r="D380" s="21" t="s">
        <v>1055</v>
      </c>
      <c r="E380" s="24">
        <v>31</v>
      </c>
      <c r="G380" s="2">
        <f t="shared" si="67"/>
        <v>361</v>
      </c>
      <c r="H380" s="5">
        <v>0</v>
      </c>
      <c r="I380" s="13">
        <v>32</v>
      </c>
      <c r="L380" s="4"/>
      <c r="M380" s="7"/>
      <c r="O380" s="7"/>
      <c r="T380" s="7"/>
    </row>
    <row r="381" spans="2:20" x14ac:dyDescent="0.3">
      <c r="B381" s="18" t="s">
        <v>1056</v>
      </c>
      <c r="C381" s="13">
        <v>69</v>
      </c>
      <c r="D381" s="21" t="s">
        <v>1057</v>
      </c>
      <c r="E381" s="24">
        <v>30</v>
      </c>
      <c r="G381" s="2">
        <f t="shared" si="67"/>
        <v>362</v>
      </c>
      <c r="H381" s="5">
        <v>0</v>
      </c>
      <c r="I381" s="13">
        <v>32</v>
      </c>
      <c r="L381" s="4"/>
      <c r="M381" s="7"/>
      <c r="O381" s="7"/>
      <c r="T381" s="7"/>
    </row>
    <row r="382" spans="2:20" x14ac:dyDescent="0.3">
      <c r="B382" s="18" t="s">
        <v>1058</v>
      </c>
      <c r="C382" s="13">
        <v>70</v>
      </c>
      <c r="D382" s="21" t="s">
        <v>1059</v>
      </c>
      <c r="E382" s="24">
        <v>3</v>
      </c>
      <c r="G382" s="2">
        <f t="shared" si="67"/>
        <v>363</v>
      </c>
      <c r="H382" s="5">
        <v>0</v>
      </c>
      <c r="I382" s="13">
        <v>32</v>
      </c>
      <c r="L382" s="4"/>
      <c r="M382" s="7"/>
      <c r="O382" s="7"/>
      <c r="T382" s="7"/>
    </row>
    <row r="383" spans="2:20" x14ac:dyDescent="0.3">
      <c r="B383" s="18" t="s">
        <v>1060</v>
      </c>
      <c r="C383" s="13">
        <v>71</v>
      </c>
      <c r="D383" s="21" t="s">
        <v>1061</v>
      </c>
      <c r="E383" s="24">
        <v>29</v>
      </c>
      <c r="G383" s="2">
        <f t="shared" si="67"/>
        <v>364</v>
      </c>
      <c r="H383" s="5">
        <v>0</v>
      </c>
      <c r="I383" s="13">
        <v>32</v>
      </c>
      <c r="L383" s="4"/>
      <c r="M383" s="7"/>
      <c r="O383" s="7"/>
      <c r="T383" s="7"/>
    </row>
    <row r="384" spans="2:20" x14ac:dyDescent="0.3">
      <c r="B384" s="18" t="s">
        <v>1062</v>
      </c>
      <c r="C384" s="13">
        <v>54</v>
      </c>
      <c r="D384" s="21" t="s">
        <v>1063</v>
      </c>
      <c r="E384" s="24">
        <v>28</v>
      </c>
      <c r="G384" s="2">
        <f t="shared" si="67"/>
        <v>365</v>
      </c>
      <c r="H384" s="5">
        <v>0</v>
      </c>
      <c r="I384" s="13">
        <v>32</v>
      </c>
      <c r="L384" s="4"/>
      <c r="M384" s="7"/>
      <c r="O384" s="7"/>
      <c r="T384" s="7"/>
    </row>
    <row r="385" spans="2:20" x14ac:dyDescent="0.3">
      <c r="B385" s="18" t="s">
        <v>1064</v>
      </c>
      <c r="C385" s="13">
        <v>72</v>
      </c>
      <c r="D385" s="21" t="s">
        <v>1065</v>
      </c>
      <c r="E385" s="24">
        <v>27</v>
      </c>
      <c r="G385" s="2">
        <f t="shared" si="67"/>
        <v>366</v>
      </c>
      <c r="H385" s="5">
        <v>0</v>
      </c>
      <c r="I385" s="13">
        <v>32</v>
      </c>
      <c r="L385" s="4"/>
      <c r="M385" s="7"/>
      <c r="O385" s="7"/>
      <c r="T385" s="7"/>
    </row>
    <row r="386" spans="2:20" x14ac:dyDescent="0.3">
      <c r="B386" s="18" t="s">
        <v>1066</v>
      </c>
      <c r="C386" s="13">
        <v>73</v>
      </c>
      <c r="D386" s="21" t="s">
        <v>1067</v>
      </c>
      <c r="E386" s="24">
        <v>26</v>
      </c>
      <c r="G386" s="2">
        <f t="shared" si="67"/>
        <v>367</v>
      </c>
      <c r="H386" s="5">
        <v>0</v>
      </c>
      <c r="I386" s="13">
        <v>32</v>
      </c>
      <c r="L386" s="4"/>
      <c r="M386" s="7"/>
      <c r="O386" s="7"/>
      <c r="T386" s="7"/>
    </row>
    <row r="387" spans="2:20" x14ac:dyDescent="0.3">
      <c r="B387" s="18" t="s">
        <v>1068</v>
      </c>
      <c r="C387" s="13">
        <v>74</v>
      </c>
      <c r="D387" s="21" t="s">
        <v>1069</v>
      </c>
      <c r="E387" s="24">
        <v>25</v>
      </c>
      <c r="G387" s="2">
        <f t="shared" si="67"/>
        <v>368</v>
      </c>
      <c r="H387" s="5">
        <v>0</v>
      </c>
      <c r="I387" s="13">
        <v>32</v>
      </c>
      <c r="L387" s="4"/>
      <c r="M387" s="7"/>
      <c r="O387" s="7"/>
      <c r="T387" s="7"/>
    </row>
    <row r="388" spans="2:20" x14ac:dyDescent="0.3">
      <c r="B388" s="18" t="s">
        <v>1070</v>
      </c>
      <c r="C388" s="13">
        <v>75</v>
      </c>
      <c r="D388" s="21" t="s">
        <v>1071</v>
      </c>
      <c r="E388" s="24">
        <v>24</v>
      </c>
      <c r="G388" s="2">
        <f t="shared" si="67"/>
        <v>369</v>
      </c>
      <c r="H388" s="5">
        <v>0</v>
      </c>
      <c r="I388" s="13">
        <v>32</v>
      </c>
      <c r="L388" s="4"/>
      <c r="M388" s="7"/>
      <c r="O388" s="7"/>
      <c r="T388" s="7"/>
    </row>
    <row r="389" spans="2:20" x14ac:dyDescent="0.3">
      <c r="B389" s="18" t="s">
        <v>1072</v>
      </c>
      <c r="C389" s="13">
        <v>76</v>
      </c>
      <c r="D389" s="21" t="s">
        <v>1073</v>
      </c>
      <c r="E389" s="24">
        <v>23</v>
      </c>
      <c r="G389" s="2">
        <f t="shared" si="67"/>
        <v>370</v>
      </c>
      <c r="H389" s="5">
        <v>0</v>
      </c>
      <c r="I389" s="13">
        <v>32</v>
      </c>
      <c r="L389" s="4"/>
      <c r="M389" s="7"/>
      <c r="O389" s="7"/>
      <c r="T389" s="7"/>
    </row>
    <row r="390" spans="2:20" x14ac:dyDescent="0.3">
      <c r="B390" s="18" t="s">
        <v>1074</v>
      </c>
      <c r="C390" s="13">
        <v>77</v>
      </c>
      <c r="D390" s="21" t="s">
        <v>1075</v>
      </c>
      <c r="E390" s="24">
        <v>22</v>
      </c>
      <c r="G390" s="2">
        <f t="shared" si="67"/>
        <v>371</v>
      </c>
      <c r="H390" s="5">
        <v>0</v>
      </c>
      <c r="I390" s="13">
        <v>32</v>
      </c>
      <c r="L390" s="4"/>
      <c r="M390" s="7"/>
      <c r="O390" s="7"/>
      <c r="T390" s="7"/>
    </row>
    <row r="391" spans="2:20" x14ac:dyDescent="0.3">
      <c r="B391" s="18" t="s">
        <v>1076</v>
      </c>
      <c r="C391" s="13">
        <v>78</v>
      </c>
      <c r="D391" s="21" t="s">
        <v>1077</v>
      </c>
      <c r="E391" s="24">
        <v>21</v>
      </c>
      <c r="G391" s="2">
        <f t="shared" si="67"/>
        <v>372</v>
      </c>
      <c r="H391" s="5">
        <v>0</v>
      </c>
      <c r="I391" s="13">
        <v>32</v>
      </c>
      <c r="L391" s="4"/>
      <c r="M391" s="7"/>
      <c r="O391" s="7"/>
      <c r="T391" s="7"/>
    </row>
    <row r="392" spans="2:20" x14ac:dyDescent="0.3">
      <c r="B392" s="18" t="s">
        <v>1078</v>
      </c>
      <c r="C392" s="13">
        <v>55</v>
      </c>
      <c r="D392" s="21" t="s">
        <v>1079</v>
      </c>
      <c r="E392" s="24">
        <v>20</v>
      </c>
      <c r="G392" s="2">
        <f t="shared" si="67"/>
        <v>373</v>
      </c>
      <c r="H392" s="5">
        <v>0</v>
      </c>
      <c r="I392" s="13">
        <v>32</v>
      </c>
      <c r="L392" s="4"/>
      <c r="M392" s="7"/>
      <c r="O392" s="7"/>
      <c r="T392" s="7"/>
    </row>
    <row r="393" spans="2:20" x14ac:dyDescent="0.3">
      <c r="B393" s="18" t="s">
        <v>1080</v>
      </c>
      <c r="C393" s="13">
        <v>56</v>
      </c>
      <c r="D393" s="21" t="s">
        <v>1081</v>
      </c>
      <c r="E393" s="24">
        <v>2</v>
      </c>
      <c r="G393" s="2">
        <f t="shared" si="67"/>
        <v>374</v>
      </c>
      <c r="H393" s="5">
        <v>0</v>
      </c>
      <c r="I393" s="13">
        <v>32</v>
      </c>
      <c r="L393" s="4"/>
      <c r="M393" s="7"/>
      <c r="O393" s="7"/>
      <c r="T393" s="7"/>
    </row>
    <row r="394" spans="2:20" x14ac:dyDescent="0.3">
      <c r="B394" s="18" t="s">
        <v>1082</v>
      </c>
      <c r="C394" s="13">
        <v>57</v>
      </c>
      <c r="D394" s="21" t="s">
        <v>1083</v>
      </c>
      <c r="E394" s="24">
        <v>19</v>
      </c>
      <c r="G394" s="2">
        <f t="shared" si="67"/>
        <v>375</v>
      </c>
      <c r="H394" s="5">
        <v>0</v>
      </c>
      <c r="I394" s="13">
        <v>32</v>
      </c>
      <c r="L394" s="4"/>
      <c r="M394" s="7"/>
      <c r="O394" s="7"/>
      <c r="T394" s="7"/>
    </row>
    <row r="395" spans="2:20" x14ac:dyDescent="0.3">
      <c r="B395" s="18" t="s">
        <v>1084</v>
      </c>
      <c r="C395" s="13">
        <v>58</v>
      </c>
      <c r="D395" s="21" t="s">
        <v>1085</v>
      </c>
      <c r="E395" s="24">
        <v>18</v>
      </c>
      <c r="G395" s="2">
        <f t="shared" si="67"/>
        <v>376</v>
      </c>
      <c r="H395" s="5">
        <v>0</v>
      </c>
      <c r="I395" s="13">
        <v>32</v>
      </c>
      <c r="L395" s="4"/>
      <c r="M395" s="7"/>
      <c r="O395" s="7"/>
      <c r="T395" s="7"/>
    </row>
    <row r="396" spans="2:20" x14ac:dyDescent="0.3">
      <c r="B396" s="18" t="s">
        <v>1086</v>
      </c>
      <c r="C396" s="13">
        <v>59</v>
      </c>
      <c r="D396" s="21" t="s">
        <v>1087</v>
      </c>
      <c r="E396" s="24">
        <v>17</v>
      </c>
      <c r="G396" s="2">
        <f t="shared" si="67"/>
        <v>377</v>
      </c>
      <c r="H396" s="5">
        <v>0</v>
      </c>
      <c r="I396" s="13">
        <v>32</v>
      </c>
      <c r="L396" s="4"/>
      <c r="M396" s="7"/>
      <c r="O396" s="7"/>
      <c r="T396" s="7"/>
    </row>
    <row r="397" spans="2:20" x14ac:dyDescent="0.3">
      <c r="B397" s="18" t="s">
        <v>1088</v>
      </c>
      <c r="C397" s="13">
        <v>60</v>
      </c>
      <c r="D397" s="21" t="s">
        <v>1089</v>
      </c>
      <c r="E397" s="24">
        <v>16</v>
      </c>
      <c r="G397" s="2">
        <f t="shared" si="67"/>
        <v>378</v>
      </c>
      <c r="H397" s="5">
        <v>0</v>
      </c>
      <c r="I397" s="13">
        <v>32</v>
      </c>
      <c r="L397" s="4"/>
      <c r="M397" s="7"/>
      <c r="O397" s="7"/>
      <c r="T397" s="7"/>
    </row>
    <row r="398" spans="2:20" x14ac:dyDescent="0.3">
      <c r="B398" s="18" t="s">
        <v>1090</v>
      </c>
      <c r="C398" s="13">
        <v>61</v>
      </c>
      <c r="D398" s="21" t="s">
        <v>1091</v>
      </c>
      <c r="E398" s="24">
        <v>15</v>
      </c>
      <c r="G398" s="2">
        <f t="shared" si="67"/>
        <v>379</v>
      </c>
      <c r="H398" s="5">
        <v>0</v>
      </c>
      <c r="I398" s="13">
        <v>32</v>
      </c>
      <c r="L398" s="4"/>
      <c r="M398" s="7"/>
      <c r="O398" s="7"/>
      <c r="T398" s="7"/>
    </row>
    <row r="399" spans="2:20" x14ac:dyDescent="0.3">
      <c r="B399" s="18" t="s">
        <v>1092</v>
      </c>
      <c r="C399" s="13">
        <v>95</v>
      </c>
      <c r="D399" s="21" t="s">
        <v>1093</v>
      </c>
      <c r="E399" s="24">
        <v>14</v>
      </c>
      <c r="G399" s="2">
        <f t="shared" si="67"/>
        <v>380</v>
      </c>
      <c r="H399" s="5">
        <v>0</v>
      </c>
      <c r="I399" s="13">
        <v>32</v>
      </c>
      <c r="L399" s="4"/>
      <c r="M399" s="7"/>
      <c r="O399" s="7"/>
      <c r="T399" s="7"/>
    </row>
    <row r="400" spans="2:20" x14ac:dyDescent="0.3">
      <c r="B400" s="18" t="s">
        <v>1094</v>
      </c>
      <c r="C400" s="13">
        <v>94</v>
      </c>
      <c r="D400" s="21" t="s">
        <v>1095</v>
      </c>
      <c r="E400" s="24">
        <v>13</v>
      </c>
      <c r="G400" s="2">
        <f t="shared" si="67"/>
        <v>381</v>
      </c>
      <c r="H400" s="5">
        <v>0</v>
      </c>
      <c r="I400" s="13">
        <v>32</v>
      </c>
      <c r="L400" s="4"/>
      <c r="M400" s="7"/>
      <c r="O400" s="7"/>
      <c r="T400" s="7"/>
    </row>
    <row r="401" spans="2:20" x14ac:dyDescent="0.3">
      <c r="B401" s="18" t="s">
        <v>1096</v>
      </c>
      <c r="C401" s="13">
        <v>93</v>
      </c>
      <c r="D401" s="21" t="s">
        <v>1097</v>
      </c>
      <c r="E401" s="24">
        <v>12</v>
      </c>
      <c r="G401" s="2">
        <f t="shared" si="67"/>
        <v>382</v>
      </c>
      <c r="H401" s="5">
        <v>0</v>
      </c>
      <c r="I401" s="13">
        <v>32</v>
      </c>
      <c r="L401" s="4"/>
      <c r="M401" s="7"/>
      <c r="O401" s="7"/>
      <c r="T401" s="7"/>
    </row>
    <row r="402" spans="2:20" x14ac:dyDescent="0.3">
      <c r="B402" s="18" t="s">
        <v>1098</v>
      </c>
      <c r="C402" s="13">
        <v>92</v>
      </c>
      <c r="D402" s="21" t="s">
        <v>1099</v>
      </c>
      <c r="E402" s="24">
        <v>11</v>
      </c>
      <c r="G402" s="2">
        <f t="shared" si="67"/>
        <v>383</v>
      </c>
      <c r="H402" s="5">
        <v>0</v>
      </c>
      <c r="I402" s="13">
        <v>32</v>
      </c>
      <c r="L402" s="4"/>
      <c r="M402" s="7"/>
      <c r="O402" s="7"/>
      <c r="T402" s="7"/>
    </row>
    <row r="403" spans="2:20" x14ac:dyDescent="0.3">
      <c r="B403" s="18" t="s">
        <v>1100</v>
      </c>
      <c r="C403" s="13">
        <v>91</v>
      </c>
      <c r="D403" s="21" t="s">
        <v>1101</v>
      </c>
      <c r="E403" s="24">
        <v>10</v>
      </c>
      <c r="G403" s="2">
        <f t="shared" si="67"/>
        <v>384</v>
      </c>
      <c r="H403" s="5">
        <v>0</v>
      </c>
      <c r="I403" s="13">
        <v>32</v>
      </c>
      <c r="L403" s="4"/>
      <c r="M403" s="7"/>
      <c r="O403" s="7"/>
      <c r="T403" s="7"/>
    </row>
    <row r="404" spans="2:20" x14ac:dyDescent="0.3">
      <c r="B404" s="18" t="s">
        <v>1102</v>
      </c>
      <c r="C404" s="13">
        <v>90</v>
      </c>
      <c r="D404" s="21" t="s">
        <v>1103</v>
      </c>
      <c r="E404" s="24">
        <v>1</v>
      </c>
      <c r="G404" s="2">
        <f t="shared" si="67"/>
        <v>385</v>
      </c>
      <c r="H404" s="5">
        <v>0</v>
      </c>
      <c r="I404" s="13">
        <v>32</v>
      </c>
      <c r="L404" s="4"/>
      <c r="M404" s="7"/>
      <c r="O404" s="7"/>
      <c r="T404" s="7"/>
    </row>
    <row r="405" spans="2:20" x14ac:dyDescent="0.3">
      <c r="B405" s="18" t="s">
        <v>1104</v>
      </c>
      <c r="C405" s="13">
        <v>89</v>
      </c>
      <c r="D405" s="21" t="s">
        <v>1105</v>
      </c>
      <c r="E405" s="24">
        <v>85</v>
      </c>
      <c r="G405" s="2">
        <f t="shared" si="67"/>
        <v>386</v>
      </c>
      <c r="H405" s="5">
        <v>0</v>
      </c>
      <c r="I405" s="13">
        <v>32</v>
      </c>
      <c r="L405" s="4"/>
      <c r="M405" s="7"/>
      <c r="O405" s="7"/>
      <c r="T405" s="7"/>
    </row>
    <row r="406" spans="2:20" x14ac:dyDescent="0.3">
      <c r="B406" s="18" t="s">
        <v>1106</v>
      </c>
      <c r="C406" s="13">
        <v>88</v>
      </c>
      <c r="D406" s="21" t="s">
        <v>1107</v>
      </c>
      <c r="E406" s="24">
        <v>86</v>
      </c>
      <c r="G406" s="2">
        <f t="shared" si="67"/>
        <v>387</v>
      </c>
      <c r="H406" s="5">
        <v>0</v>
      </c>
      <c r="I406" s="13">
        <v>32</v>
      </c>
      <c r="L406" s="4"/>
      <c r="M406" s="7"/>
      <c r="O406" s="7"/>
      <c r="T406" s="7"/>
    </row>
    <row r="407" spans="2:20" x14ac:dyDescent="0.3">
      <c r="B407" s="18" t="s">
        <v>1108</v>
      </c>
      <c r="C407" s="13">
        <v>87</v>
      </c>
      <c r="D407" s="21" t="s">
        <v>1109</v>
      </c>
      <c r="E407" s="24">
        <v>87</v>
      </c>
      <c r="G407" s="2">
        <f t="shared" si="67"/>
        <v>388</v>
      </c>
      <c r="H407" s="5">
        <v>0</v>
      </c>
      <c r="I407" s="13">
        <v>32</v>
      </c>
      <c r="L407" s="4"/>
      <c r="M407" s="7"/>
      <c r="O407" s="7"/>
      <c r="T407" s="7"/>
    </row>
    <row r="408" spans="2:20" x14ac:dyDescent="0.3">
      <c r="B408" s="18" t="s">
        <v>1110</v>
      </c>
      <c r="C408" s="13">
        <v>86</v>
      </c>
      <c r="D408" s="21" t="s">
        <v>1111</v>
      </c>
      <c r="E408" s="24">
        <v>88</v>
      </c>
      <c r="G408" s="2">
        <f t="shared" si="67"/>
        <v>389</v>
      </c>
      <c r="H408" s="5">
        <v>0</v>
      </c>
      <c r="I408" s="13">
        <v>32</v>
      </c>
      <c r="L408" s="4"/>
      <c r="M408" s="7"/>
      <c r="O408" s="7"/>
      <c r="T408" s="7"/>
    </row>
    <row r="409" spans="2:20" x14ac:dyDescent="0.3">
      <c r="B409" s="18" t="s">
        <v>1112</v>
      </c>
      <c r="C409" s="13">
        <v>103</v>
      </c>
      <c r="D409" s="21" t="s">
        <v>1113</v>
      </c>
      <c r="E409" s="24">
        <v>89</v>
      </c>
      <c r="G409" s="2">
        <f t="shared" si="67"/>
        <v>390</v>
      </c>
      <c r="H409" s="5">
        <v>0</v>
      </c>
      <c r="I409" s="13">
        <v>32</v>
      </c>
      <c r="L409" s="4"/>
      <c r="M409" s="7"/>
      <c r="O409" s="7"/>
      <c r="T409" s="7"/>
    </row>
    <row r="410" spans="2:20" x14ac:dyDescent="0.3">
      <c r="B410" s="18" t="s">
        <v>1114</v>
      </c>
      <c r="C410" s="13">
        <v>85</v>
      </c>
      <c r="D410" s="21" t="s">
        <v>1115</v>
      </c>
      <c r="E410" s="24">
        <v>90</v>
      </c>
      <c r="G410" s="2">
        <f t="shared" si="67"/>
        <v>391</v>
      </c>
      <c r="H410" s="5">
        <v>0</v>
      </c>
      <c r="I410" s="13">
        <v>32</v>
      </c>
      <c r="L410" s="4"/>
      <c r="M410" s="7"/>
      <c r="O410" s="7"/>
      <c r="T410" s="7"/>
    </row>
    <row r="411" spans="2:20" x14ac:dyDescent="0.3">
      <c r="B411" s="18" t="s">
        <v>1116</v>
      </c>
      <c r="C411" s="13">
        <v>84</v>
      </c>
      <c r="D411" s="21" t="s">
        <v>1117</v>
      </c>
      <c r="E411" s="24">
        <v>63</v>
      </c>
      <c r="G411" s="2">
        <f t="shared" si="67"/>
        <v>392</v>
      </c>
      <c r="H411" s="5">
        <v>0</v>
      </c>
      <c r="I411" s="13">
        <v>32</v>
      </c>
      <c r="L411" s="4"/>
      <c r="M411" s="7"/>
      <c r="O411" s="7"/>
      <c r="T411" s="7"/>
    </row>
    <row r="412" spans="2:20" x14ac:dyDescent="0.3">
      <c r="B412" s="18" t="s">
        <v>1118</v>
      </c>
      <c r="C412" s="13">
        <v>83</v>
      </c>
      <c r="D412" s="21" t="s">
        <v>1119</v>
      </c>
      <c r="E412" s="24">
        <v>64</v>
      </c>
      <c r="G412" s="2">
        <f t="shared" si="67"/>
        <v>393</v>
      </c>
      <c r="H412" s="5">
        <v>0</v>
      </c>
      <c r="I412" s="13">
        <v>32</v>
      </c>
      <c r="L412" s="4"/>
      <c r="M412" s="7"/>
      <c r="O412" s="7"/>
      <c r="T412" s="7"/>
    </row>
    <row r="413" spans="2:20" x14ac:dyDescent="0.3">
      <c r="B413" s="18" t="s">
        <v>1120</v>
      </c>
      <c r="C413" s="13">
        <v>82</v>
      </c>
      <c r="D413" s="21" t="s">
        <v>1121</v>
      </c>
      <c r="E413" s="24">
        <v>91</v>
      </c>
      <c r="G413" s="2">
        <f t="shared" ref="G413:G476" si="68">G412+1</f>
        <v>394</v>
      </c>
      <c r="H413" s="5">
        <v>0</v>
      </c>
      <c r="I413" s="13">
        <v>32</v>
      </c>
      <c r="L413" s="4"/>
      <c r="M413" s="7"/>
      <c r="O413" s="7"/>
      <c r="T413" s="7"/>
    </row>
    <row r="414" spans="2:20" x14ac:dyDescent="0.3">
      <c r="B414" s="18" t="s">
        <v>1122</v>
      </c>
      <c r="C414" s="13">
        <v>81</v>
      </c>
      <c r="D414" s="21" t="s">
        <v>1123</v>
      </c>
      <c r="E414" s="24">
        <v>65</v>
      </c>
      <c r="G414" s="2">
        <f t="shared" si="68"/>
        <v>395</v>
      </c>
      <c r="H414" s="5">
        <v>0</v>
      </c>
      <c r="I414" s="13">
        <v>32</v>
      </c>
      <c r="L414" s="4"/>
      <c r="M414" s="7"/>
      <c r="O414" s="7"/>
      <c r="T414" s="7"/>
    </row>
    <row r="415" spans="2:20" x14ac:dyDescent="0.3">
      <c r="B415" s="18" t="s">
        <v>1124</v>
      </c>
      <c r="C415" s="13">
        <v>80</v>
      </c>
      <c r="D415" s="21" t="s">
        <v>1125</v>
      </c>
      <c r="E415" s="24">
        <v>66</v>
      </c>
      <c r="G415" s="2">
        <f t="shared" si="68"/>
        <v>396</v>
      </c>
      <c r="H415" s="5">
        <v>0</v>
      </c>
      <c r="I415" s="13">
        <v>32</v>
      </c>
      <c r="L415" s="4"/>
      <c r="M415" s="7"/>
      <c r="O415" s="7"/>
      <c r="T415" s="7"/>
    </row>
    <row r="416" spans="2:20" x14ac:dyDescent="0.3">
      <c r="B416" s="18" t="s">
        <v>1126</v>
      </c>
      <c r="C416" s="13">
        <v>79</v>
      </c>
      <c r="D416" s="21" t="s">
        <v>1127</v>
      </c>
      <c r="E416" s="24">
        <v>67</v>
      </c>
      <c r="G416" s="2">
        <f t="shared" si="68"/>
        <v>397</v>
      </c>
      <c r="H416" s="5">
        <v>0</v>
      </c>
      <c r="I416" s="13">
        <v>32</v>
      </c>
      <c r="L416" s="4"/>
      <c r="M416" s="7"/>
      <c r="O416" s="7"/>
      <c r="T416" s="7"/>
    </row>
    <row r="417" spans="2:20" x14ac:dyDescent="0.3">
      <c r="B417" s="18" t="s">
        <v>1128</v>
      </c>
      <c r="C417" s="13">
        <v>102</v>
      </c>
      <c r="D417" s="21" t="s">
        <v>1129</v>
      </c>
      <c r="E417" s="24">
        <v>68</v>
      </c>
      <c r="G417" s="2">
        <f t="shared" si="68"/>
        <v>398</v>
      </c>
      <c r="H417" s="5">
        <v>0</v>
      </c>
      <c r="I417" s="13">
        <v>32</v>
      </c>
      <c r="L417" s="4"/>
      <c r="M417" s="7"/>
      <c r="O417" s="7"/>
      <c r="T417" s="7"/>
    </row>
    <row r="418" spans="2:20" x14ac:dyDescent="0.3">
      <c r="B418" s="18" t="s">
        <v>1130</v>
      </c>
      <c r="C418" s="13">
        <v>101</v>
      </c>
      <c r="D418" s="21" t="s">
        <v>1131</v>
      </c>
      <c r="E418" s="24">
        <v>69</v>
      </c>
      <c r="G418" s="2">
        <f t="shared" si="68"/>
        <v>399</v>
      </c>
      <c r="H418" s="5">
        <v>0</v>
      </c>
      <c r="I418" s="13">
        <v>32</v>
      </c>
      <c r="L418" s="4"/>
      <c r="M418" s="7"/>
      <c r="O418" s="7"/>
      <c r="T418" s="7"/>
    </row>
    <row r="419" spans="2:20" x14ac:dyDescent="0.3">
      <c r="B419" s="18" t="s">
        <v>1132</v>
      </c>
      <c r="C419" s="13">
        <v>100</v>
      </c>
      <c r="D419" s="21" t="s">
        <v>1133</v>
      </c>
      <c r="E419" s="24">
        <v>70</v>
      </c>
      <c r="G419" s="2">
        <f t="shared" si="68"/>
        <v>400</v>
      </c>
      <c r="H419" s="5">
        <v>0</v>
      </c>
      <c r="I419" s="13">
        <v>32</v>
      </c>
      <c r="L419" s="4"/>
      <c r="M419" s="7"/>
      <c r="O419" s="7"/>
      <c r="T419" s="7"/>
    </row>
    <row r="420" spans="2:20" x14ac:dyDescent="0.3">
      <c r="B420" s="18" t="s">
        <v>1134</v>
      </c>
      <c r="C420" s="13">
        <v>99</v>
      </c>
      <c r="D420" s="21" t="s">
        <v>1135</v>
      </c>
      <c r="E420" s="24">
        <v>71</v>
      </c>
      <c r="G420" s="2">
        <f t="shared" si="68"/>
        <v>401</v>
      </c>
      <c r="H420" s="5">
        <v>0</v>
      </c>
      <c r="I420" s="13">
        <v>32</v>
      </c>
      <c r="L420" s="4"/>
      <c r="M420" s="7"/>
      <c r="O420" s="7"/>
      <c r="T420" s="7"/>
    </row>
    <row r="421" spans="2:20" x14ac:dyDescent="0.3">
      <c r="B421" s="18" t="s">
        <v>1136</v>
      </c>
      <c r="C421" s="13">
        <v>98</v>
      </c>
      <c r="D421" s="21" t="s">
        <v>1137</v>
      </c>
      <c r="E421" s="24">
        <v>72</v>
      </c>
      <c r="G421" s="2">
        <f t="shared" si="68"/>
        <v>402</v>
      </c>
      <c r="H421" s="5">
        <v>0</v>
      </c>
      <c r="I421" s="13">
        <v>32</v>
      </c>
      <c r="L421" s="4"/>
      <c r="M421" s="7"/>
      <c r="O421" s="7"/>
      <c r="T421" s="7"/>
    </row>
    <row r="422" spans="2:20" x14ac:dyDescent="0.3">
      <c r="B422" s="18" t="s">
        <v>1138</v>
      </c>
      <c r="C422" s="13">
        <v>97</v>
      </c>
      <c r="D422" s="21" t="s">
        <v>1139</v>
      </c>
      <c r="E422" s="24">
        <v>73</v>
      </c>
      <c r="G422" s="2">
        <f t="shared" si="68"/>
        <v>403</v>
      </c>
      <c r="H422" s="5">
        <v>0</v>
      </c>
      <c r="I422" s="13">
        <v>32</v>
      </c>
      <c r="L422" s="4"/>
      <c r="M422" s="7"/>
      <c r="O422" s="7"/>
      <c r="T422" s="7"/>
    </row>
    <row r="423" spans="2:20" x14ac:dyDescent="0.3">
      <c r="B423" s="18" t="s">
        <v>1140</v>
      </c>
      <c r="C423" s="13">
        <v>96</v>
      </c>
      <c r="D423" s="21" t="s">
        <v>1141</v>
      </c>
      <c r="E423" s="24">
        <v>74</v>
      </c>
      <c r="G423" s="2">
        <f t="shared" si="68"/>
        <v>404</v>
      </c>
      <c r="H423" s="5">
        <v>0</v>
      </c>
      <c r="I423" s="13">
        <v>32</v>
      </c>
      <c r="L423" s="4"/>
      <c r="M423" s="7"/>
      <c r="O423" s="7"/>
      <c r="T423" s="7"/>
    </row>
    <row r="424" spans="2:20" x14ac:dyDescent="0.3">
      <c r="B424" s="18" t="s">
        <v>1142</v>
      </c>
      <c r="C424" s="13">
        <v>1</v>
      </c>
      <c r="D424" s="21" t="s">
        <v>1143</v>
      </c>
      <c r="E424" s="24">
        <v>92</v>
      </c>
      <c r="G424" s="2">
        <f t="shared" si="68"/>
        <v>405</v>
      </c>
      <c r="H424" s="5">
        <v>0</v>
      </c>
      <c r="I424" s="13">
        <v>32</v>
      </c>
      <c r="L424" s="4"/>
      <c r="M424" s="7"/>
      <c r="O424" s="7"/>
      <c r="T424" s="7"/>
    </row>
    <row r="425" spans="2:20" x14ac:dyDescent="0.3">
      <c r="B425" s="18" t="s">
        <v>1144</v>
      </c>
      <c r="C425" s="13">
        <v>10</v>
      </c>
      <c r="D425" s="21" t="s">
        <v>1145</v>
      </c>
      <c r="E425" s="24">
        <v>75</v>
      </c>
      <c r="G425" s="2">
        <f t="shared" si="68"/>
        <v>406</v>
      </c>
      <c r="H425" s="5">
        <v>0</v>
      </c>
      <c r="I425" s="13">
        <v>32</v>
      </c>
      <c r="L425" s="4"/>
      <c r="M425" s="7"/>
      <c r="O425" s="7"/>
      <c r="T425" s="7"/>
    </row>
    <row r="426" spans="2:20" x14ac:dyDescent="0.3">
      <c r="B426" s="18" t="s">
        <v>1146</v>
      </c>
      <c r="C426" s="13">
        <v>11</v>
      </c>
      <c r="D426" s="21" t="s">
        <v>1147</v>
      </c>
      <c r="E426" s="24">
        <v>76</v>
      </c>
      <c r="G426" s="2">
        <f t="shared" si="68"/>
        <v>407</v>
      </c>
      <c r="H426" s="5">
        <v>0</v>
      </c>
      <c r="I426" s="13">
        <v>32</v>
      </c>
      <c r="L426" s="4"/>
      <c r="M426" s="7"/>
      <c r="O426" s="7"/>
      <c r="T426" s="7"/>
    </row>
    <row r="427" spans="2:20" x14ac:dyDescent="0.3">
      <c r="B427" s="18" t="s">
        <v>1148</v>
      </c>
      <c r="C427" s="13">
        <v>12</v>
      </c>
      <c r="D427" s="21" t="s">
        <v>1149</v>
      </c>
      <c r="E427" s="24">
        <v>77</v>
      </c>
      <c r="G427" s="2">
        <f t="shared" si="68"/>
        <v>408</v>
      </c>
      <c r="H427" s="5">
        <v>0</v>
      </c>
      <c r="I427" s="13">
        <v>32</v>
      </c>
      <c r="L427" s="4"/>
      <c r="M427" s="7"/>
      <c r="O427" s="7"/>
      <c r="T427" s="7"/>
    </row>
    <row r="428" spans="2:20" x14ac:dyDescent="0.3">
      <c r="B428" s="18" t="s">
        <v>1150</v>
      </c>
      <c r="C428" s="13">
        <v>13</v>
      </c>
      <c r="D428" s="21" t="s">
        <v>1151</v>
      </c>
      <c r="E428" s="24">
        <v>78</v>
      </c>
      <c r="G428" s="2">
        <f t="shared" si="68"/>
        <v>409</v>
      </c>
      <c r="H428" s="5">
        <v>0</v>
      </c>
      <c r="I428" s="13">
        <v>32</v>
      </c>
      <c r="L428" s="4"/>
      <c r="M428" s="7"/>
      <c r="O428" s="7"/>
      <c r="T428" s="7"/>
    </row>
    <row r="429" spans="2:20" x14ac:dyDescent="0.3">
      <c r="B429" s="18" t="s">
        <v>1152</v>
      </c>
      <c r="C429" s="13">
        <v>14</v>
      </c>
      <c r="D429" s="21" t="s">
        <v>1153</v>
      </c>
      <c r="E429" s="24">
        <v>79</v>
      </c>
      <c r="G429" s="2">
        <f t="shared" si="68"/>
        <v>410</v>
      </c>
      <c r="H429" s="5">
        <v>0</v>
      </c>
      <c r="I429" s="13">
        <v>32</v>
      </c>
      <c r="L429" s="4"/>
      <c r="M429" s="7"/>
      <c r="O429" s="7"/>
      <c r="T429" s="7"/>
    </row>
    <row r="430" spans="2:20" x14ac:dyDescent="0.3">
      <c r="B430" s="18" t="s">
        <v>1154</v>
      </c>
      <c r="C430" s="13">
        <v>15</v>
      </c>
      <c r="D430" s="21" t="s">
        <v>1155</v>
      </c>
      <c r="E430" s="24">
        <v>80</v>
      </c>
      <c r="G430" s="2">
        <f t="shared" si="68"/>
        <v>411</v>
      </c>
      <c r="H430" s="5">
        <v>0</v>
      </c>
      <c r="I430" s="13">
        <v>32</v>
      </c>
      <c r="L430" s="4"/>
      <c r="M430" s="7"/>
      <c r="O430" s="7"/>
      <c r="T430" s="7"/>
    </row>
    <row r="431" spans="2:20" x14ac:dyDescent="0.3">
      <c r="B431" s="18" t="s">
        <v>1156</v>
      </c>
      <c r="C431" s="13">
        <v>16</v>
      </c>
      <c r="D431" s="21" t="s">
        <v>1157</v>
      </c>
      <c r="E431" s="24">
        <v>81</v>
      </c>
      <c r="G431" s="2">
        <f t="shared" si="68"/>
        <v>412</v>
      </c>
      <c r="H431" s="5">
        <v>0</v>
      </c>
      <c r="I431" s="13">
        <v>32</v>
      </c>
      <c r="L431" s="4"/>
      <c r="M431" s="7"/>
      <c r="O431" s="7"/>
      <c r="T431" s="7"/>
    </row>
    <row r="432" spans="2:20" x14ac:dyDescent="0.3">
      <c r="B432" s="18" t="s">
        <v>1158</v>
      </c>
      <c r="C432" s="13">
        <v>17</v>
      </c>
      <c r="D432" s="21" t="s">
        <v>1159</v>
      </c>
      <c r="E432" s="24">
        <v>82</v>
      </c>
      <c r="G432" s="2">
        <f t="shared" si="68"/>
        <v>413</v>
      </c>
      <c r="H432" s="5">
        <v>0</v>
      </c>
      <c r="I432" s="13">
        <v>32</v>
      </c>
      <c r="L432" s="4"/>
      <c r="M432" s="7"/>
      <c r="O432" s="7"/>
      <c r="T432" s="7"/>
    </row>
    <row r="433" spans="2:20" x14ac:dyDescent="0.3">
      <c r="B433" s="18" t="s">
        <v>1160</v>
      </c>
      <c r="C433" s="13">
        <v>18</v>
      </c>
      <c r="D433" s="21" t="s">
        <v>1161</v>
      </c>
      <c r="E433" s="24">
        <v>83</v>
      </c>
      <c r="G433" s="2">
        <f t="shared" si="68"/>
        <v>414</v>
      </c>
      <c r="H433" s="5">
        <v>0</v>
      </c>
      <c r="I433" s="13">
        <v>32</v>
      </c>
      <c r="L433" s="4"/>
      <c r="M433" s="7"/>
      <c r="O433" s="7"/>
      <c r="T433" s="7"/>
    </row>
    <row r="434" spans="2:20" x14ac:dyDescent="0.3">
      <c r="B434" s="18" t="s">
        <v>1162</v>
      </c>
      <c r="C434" s="13">
        <v>19</v>
      </c>
      <c r="D434" s="21" t="s">
        <v>1163</v>
      </c>
      <c r="E434" s="24">
        <v>84</v>
      </c>
      <c r="G434" s="2">
        <f t="shared" si="68"/>
        <v>415</v>
      </c>
      <c r="H434" s="5">
        <v>0</v>
      </c>
      <c r="I434" s="13">
        <v>32</v>
      </c>
      <c r="L434" s="4"/>
      <c r="M434" s="7"/>
      <c r="O434" s="7"/>
      <c r="T434" s="7"/>
    </row>
    <row r="435" spans="2:20" x14ac:dyDescent="0.3">
      <c r="B435" s="18" t="s">
        <v>1164</v>
      </c>
      <c r="C435" s="13">
        <v>2</v>
      </c>
      <c r="D435" s="21" t="s">
        <v>1165</v>
      </c>
      <c r="E435" s="24">
        <v>40</v>
      </c>
      <c r="G435" s="2">
        <f t="shared" si="68"/>
        <v>416</v>
      </c>
      <c r="H435" s="5">
        <v>0</v>
      </c>
      <c r="I435" s="13">
        <v>32</v>
      </c>
      <c r="L435" s="4"/>
      <c r="M435" s="7"/>
      <c r="O435" s="7"/>
      <c r="T435" s="7"/>
    </row>
    <row r="436" spans="2:20" x14ac:dyDescent="0.3">
      <c r="B436" s="18" t="s">
        <v>1166</v>
      </c>
      <c r="C436" s="13">
        <v>20</v>
      </c>
      <c r="D436" s="21" t="s">
        <v>1167</v>
      </c>
      <c r="E436" s="24">
        <v>39</v>
      </c>
      <c r="G436" s="2">
        <f t="shared" si="68"/>
        <v>417</v>
      </c>
      <c r="H436" s="5">
        <v>0</v>
      </c>
      <c r="I436" s="13">
        <v>32</v>
      </c>
      <c r="L436" s="4"/>
      <c r="M436" s="7"/>
      <c r="O436" s="7"/>
      <c r="T436" s="7"/>
    </row>
    <row r="437" spans="2:20" x14ac:dyDescent="0.3">
      <c r="B437" s="18" t="s">
        <v>1168</v>
      </c>
      <c r="C437" s="13">
        <v>21</v>
      </c>
      <c r="D437" s="21" t="s">
        <v>1169</v>
      </c>
      <c r="E437" s="24">
        <v>38</v>
      </c>
      <c r="G437" s="2">
        <f t="shared" si="68"/>
        <v>418</v>
      </c>
      <c r="H437" s="5">
        <v>0</v>
      </c>
      <c r="I437" s="13">
        <v>32</v>
      </c>
      <c r="L437" s="4"/>
      <c r="M437" s="7"/>
      <c r="O437" s="7"/>
      <c r="T437" s="7"/>
    </row>
    <row r="438" spans="2:20" x14ac:dyDescent="0.3">
      <c r="B438" s="18" t="s">
        <v>1170</v>
      </c>
      <c r="C438" s="13">
        <v>22</v>
      </c>
      <c r="D438" s="21" t="s">
        <v>1171</v>
      </c>
      <c r="E438" s="24">
        <v>37</v>
      </c>
      <c r="G438" s="2">
        <f t="shared" si="68"/>
        <v>419</v>
      </c>
      <c r="H438" s="5">
        <v>0</v>
      </c>
      <c r="I438" s="13">
        <v>32</v>
      </c>
      <c r="L438" s="4"/>
      <c r="M438" s="7"/>
      <c r="O438" s="7"/>
      <c r="T438" s="7"/>
    </row>
    <row r="439" spans="2:20" x14ac:dyDescent="0.3">
      <c r="B439" s="18" t="s">
        <v>1172</v>
      </c>
      <c r="C439" s="13">
        <v>23</v>
      </c>
      <c r="D439" s="21" t="s">
        <v>1173</v>
      </c>
      <c r="E439" s="24">
        <v>36</v>
      </c>
      <c r="G439" s="2">
        <f t="shared" si="68"/>
        <v>420</v>
      </c>
      <c r="H439" s="5">
        <v>0</v>
      </c>
      <c r="I439" s="13">
        <v>32</v>
      </c>
      <c r="L439" s="4"/>
      <c r="M439" s="7"/>
      <c r="O439" s="7"/>
      <c r="T439" s="7"/>
    </row>
    <row r="440" spans="2:20" x14ac:dyDescent="0.3">
      <c r="B440" s="18" t="s">
        <v>1174</v>
      </c>
      <c r="C440" s="13">
        <v>24</v>
      </c>
      <c r="D440" s="21" t="s">
        <v>1175</v>
      </c>
      <c r="E440" s="24">
        <v>35</v>
      </c>
      <c r="G440" s="2">
        <f t="shared" si="68"/>
        <v>421</v>
      </c>
      <c r="H440" s="5">
        <v>0</v>
      </c>
      <c r="I440" s="13">
        <v>32</v>
      </c>
      <c r="L440" s="4"/>
      <c r="M440" s="7"/>
      <c r="O440" s="7"/>
      <c r="T440" s="7"/>
    </row>
    <row r="441" spans="2:20" x14ac:dyDescent="0.3">
      <c r="B441" s="18" t="s">
        <v>1176</v>
      </c>
      <c r="C441" s="13">
        <v>25</v>
      </c>
      <c r="D441" s="21" t="s">
        <v>1177</v>
      </c>
      <c r="E441" s="24">
        <v>62</v>
      </c>
      <c r="G441" s="2">
        <f t="shared" si="68"/>
        <v>422</v>
      </c>
      <c r="H441" s="5">
        <v>0</v>
      </c>
      <c r="I441" s="13">
        <v>32</v>
      </c>
      <c r="L441" s="4"/>
      <c r="M441" s="7"/>
      <c r="O441" s="7"/>
      <c r="T441" s="7"/>
    </row>
    <row r="442" spans="2:20" x14ac:dyDescent="0.3">
      <c r="B442" s="18" t="s">
        <v>1178</v>
      </c>
      <c r="C442" s="13">
        <v>26</v>
      </c>
      <c r="D442" s="21" t="s">
        <v>1179</v>
      </c>
      <c r="E442" s="24">
        <v>61</v>
      </c>
      <c r="G442" s="2">
        <f t="shared" si="68"/>
        <v>423</v>
      </c>
      <c r="H442" s="5">
        <v>0</v>
      </c>
      <c r="I442" s="13">
        <v>32</v>
      </c>
      <c r="L442" s="4"/>
      <c r="M442" s="7"/>
      <c r="O442" s="7"/>
      <c r="T442" s="7"/>
    </row>
    <row r="443" spans="2:20" x14ac:dyDescent="0.3">
      <c r="B443" s="18" t="s">
        <v>1180</v>
      </c>
      <c r="C443" s="13">
        <v>3</v>
      </c>
      <c r="D443" s="21" t="s">
        <v>1181</v>
      </c>
      <c r="E443" s="24">
        <v>34</v>
      </c>
      <c r="G443" s="2">
        <f t="shared" si="68"/>
        <v>424</v>
      </c>
      <c r="H443" s="5">
        <v>0</v>
      </c>
      <c r="I443" s="13">
        <v>32</v>
      </c>
      <c r="L443" s="4"/>
      <c r="M443" s="7"/>
      <c r="O443" s="7"/>
      <c r="T443" s="7"/>
    </row>
    <row r="444" spans="2:20" x14ac:dyDescent="0.3">
      <c r="B444" s="18" t="s">
        <v>1182</v>
      </c>
      <c r="C444" s="13">
        <v>4</v>
      </c>
      <c r="D444" s="21" t="s">
        <v>1183</v>
      </c>
      <c r="E444" s="24">
        <v>60</v>
      </c>
      <c r="G444" s="2">
        <f t="shared" si="68"/>
        <v>425</v>
      </c>
      <c r="H444" s="5">
        <v>0</v>
      </c>
      <c r="I444" s="13">
        <v>32</v>
      </c>
      <c r="L444" s="4"/>
      <c r="M444" s="7"/>
      <c r="O444" s="7"/>
      <c r="T444" s="7"/>
    </row>
    <row r="445" spans="2:20" x14ac:dyDescent="0.3">
      <c r="B445" s="18" t="s">
        <v>1184</v>
      </c>
      <c r="C445" s="13">
        <v>5</v>
      </c>
      <c r="D445" s="21" t="s">
        <v>1185</v>
      </c>
      <c r="E445" s="24">
        <v>59</v>
      </c>
      <c r="G445" s="2">
        <f t="shared" si="68"/>
        <v>426</v>
      </c>
      <c r="H445" s="5">
        <v>0</v>
      </c>
      <c r="I445" s="13">
        <v>32</v>
      </c>
      <c r="L445" s="4"/>
      <c r="M445" s="7"/>
      <c r="O445" s="7"/>
      <c r="T445" s="7"/>
    </row>
    <row r="446" spans="2:20" x14ac:dyDescent="0.3">
      <c r="B446" s="18" t="s">
        <v>1186</v>
      </c>
      <c r="C446" s="13">
        <v>6</v>
      </c>
      <c r="D446" s="21" t="s">
        <v>1187</v>
      </c>
      <c r="E446" s="24">
        <v>58</v>
      </c>
      <c r="G446" s="2">
        <f t="shared" si="68"/>
        <v>427</v>
      </c>
      <c r="H446" s="5">
        <v>0</v>
      </c>
      <c r="I446" s="13">
        <v>32</v>
      </c>
      <c r="L446" s="4"/>
      <c r="M446" s="7"/>
      <c r="O446" s="7"/>
      <c r="T446" s="7"/>
    </row>
    <row r="447" spans="2:20" x14ac:dyDescent="0.3">
      <c r="B447" s="18" t="s">
        <v>1188</v>
      </c>
      <c r="C447" s="13">
        <v>7</v>
      </c>
      <c r="D447" s="21" t="s">
        <v>1189</v>
      </c>
      <c r="E447" s="24">
        <v>57</v>
      </c>
      <c r="G447" s="2">
        <f t="shared" si="68"/>
        <v>428</v>
      </c>
      <c r="H447" s="5">
        <v>0</v>
      </c>
      <c r="I447" s="13">
        <v>32</v>
      </c>
      <c r="L447" s="4"/>
      <c r="M447" s="7"/>
      <c r="O447" s="7"/>
      <c r="T447" s="7"/>
    </row>
    <row r="448" spans="2:20" x14ac:dyDescent="0.3">
      <c r="B448" s="18" t="s">
        <v>1190</v>
      </c>
      <c r="C448" s="13">
        <v>8</v>
      </c>
      <c r="D448" s="21" t="s">
        <v>1191</v>
      </c>
      <c r="E448" s="24">
        <v>56</v>
      </c>
      <c r="G448" s="2">
        <f t="shared" si="68"/>
        <v>429</v>
      </c>
      <c r="H448" s="5">
        <v>0</v>
      </c>
      <c r="I448" s="13">
        <v>32</v>
      </c>
      <c r="L448" s="4"/>
      <c r="M448" s="7"/>
      <c r="O448" s="7"/>
      <c r="T448" s="7"/>
    </row>
    <row r="449" spans="2:20" x14ac:dyDescent="0.3">
      <c r="B449" s="18" t="s">
        <v>1192</v>
      </c>
      <c r="C449" s="13">
        <v>9</v>
      </c>
      <c r="D449" s="21" t="s">
        <v>1193</v>
      </c>
      <c r="E449" s="24">
        <v>55</v>
      </c>
      <c r="G449" s="2">
        <f t="shared" si="68"/>
        <v>430</v>
      </c>
      <c r="H449" s="5">
        <v>0</v>
      </c>
      <c r="I449" s="13">
        <v>32</v>
      </c>
      <c r="L449" s="4"/>
      <c r="M449" s="7"/>
      <c r="O449" s="7"/>
      <c r="T449" s="7"/>
    </row>
    <row r="450" spans="2:20" x14ac:dyDescent="0.3">
      <c r="B450" s="18" t="s">
        <v>1194</v>
      </c>
      <c r="C450" s="13">
        <v>52</v>
      </c>
      <c r="D450" s="21" t="s">
        <v>1195</v>
      </c>
      <c r="E450" s="24">
        <v>54</v>
      </c>
      <c r="G450" s="2">
        <f t="shared" si="68"/>
        <v>431</v>
      </c>
      <c r="H450" s="5">
        <v>0</v>
      </c>
      <c r="I450" s="13">
        <v>32</v>
      </c>
      <c r="L450" s="4"/>
      <c r="M450" s="7"/>
      <c r="O450" s="7"/>
      <c r="T450" s="7"/>
    </row>
    <row r="451" spans="2:20" x14ac:dyDescent="0.3">
      <c r="B451" s="18" t="s">
        <v>1196</v>
      </c>
      <c r="C451" s="13">
        <v>43</v>
      </c>
      <c r="D451" s="21" t="s">
        <v>1197</v>
      </c>
      <c r="E451" s="24">
        <v>53</v>
      </c>
      <c r="G451" s="2">
        <f t="shared" si="68"/>
        <v>432</v>
      </c>
      <c r="H451" s="5">
        <v>0</v>
      </c>
      <c r="I451" s="13">
        <v>32</v>
      </c>
      <c r="L451" s="4"/>
      <c r="M451" s="7"/>
      <c r="O451" s="7"/>
      <c r="T451" s="7"/>
    </row>
    <row r="452" spans="2:20" x14ac:dyDescent="0.3">
      <c r="B452" s="18" t="s">
        <v>1198</v>
      </c>
      <c r="C452" s="13">
        <v>42</v>
      </c>
      <c r="D452" s="21" t="s">
        <v>1199</v>
      </c>
      <c r="E452" s="24">
        <v>52</v>
      </c>
      <c r="G452" s="2">
        <f t="shared" si="68"/>
        <v>433</v>
      </c>
      <c r="H452" s="5">
        <v>0</v>
      </c>
      <c r="I452" s="13">
        <v>32</v>
      </c>
      <c r="L452" s="4"/>
      <c r="M452" s="7"/>
      <c r="O452" s="7"/>
      <c r="T452" s="7"/>
    </row>
    <row r="453" spans="2:20" x14ac:dyDescent="0.3">
      <c r="B453" s="18" t="s">
        <v>1200</v>
      </c>
      <c r="C453" s="13">
        <v>41</v>
      </c>
      <c r="D453" s="21" t="s">
        <v>1201</v>
      </c>
      <c r="E453" s="24">
        <v>51</v>
      </c>
      <c r="G453" s="2">
        <f t="shared" si="68"/>
        <v>434</v>
      </c>
      <c r="H453" s="5">
        <v>0</v>
      </c>
      <c r="I453" s="13">
        <v>32</v>
      </c>
      <c r="L453" s="4"/>
      <c r="M453" s="7"/>
      <c r="O453" s="7"/>
      <c r="T453" s="7"/>
    </row>
    <row r="454" spans="2:20" x14ac:dyDescent="0.3">
      <c r="B454" s="18" t="s">
        <v>1202</v>
      </c>
      <c r="C454" s="13">
        <v>40</v>
      </c>
      <c r="D454" s="21" t="s">
        <v>1203</v>
      </c>
      <c r="E454" s="24">
        <v>33</v>
      </c>
      <c r="G454" s="2">
        <f t="shared" si="68"/>
        <v>435</v>
      </c>
      <c r="H454" s="5">
        <v>0</v>
      </c>
      <c r="I454" s="13">
        <v>32</v>
      </c>
      <c r="L454" s="4"/>
      <c r="M454" s="7"/>
      <c r="O454" s="7"/>
      <c r="T454" s="7"/>
    </row>
    <row r="455" spans="2:20" x14ac:dyDescent="0.3">
      <c r="B455" s="18" t="s">
        <v>1204</v>
      </c>
      <c r="C455" s="13">
        <v>39</v>
      </c>
      <c r="D455" s="21" t="s">
        <v>1205</v>
      </c>
      <c r="E455" s="24">
        <v>50</v>
      </c>
      <c r="G455" s="2">
        <f t="shared" si="68"/>
        <v>436</v>
      </c>
      <c r="H455" s="5">
        <v>0</v>
      </c>
      <c r="I455" s="13">
        <v>32</v>
      </c>
      <c r="L455" s="4"/>
      <c r="M455" s="7"/>
      <c r="O455" s="7"/>
      <c r="T455" s="7"/>
    </row>
    <row r="456" spans="2:20" x14ac:dyDescent="0.3">
      <c r="B456" s="18" t="s">
        <v>1206</v>
      </c>
      <c r="C456" s="13">
        <v>38</v>
      </c>
      <c r="D456" s="21" t="s">
        <v>1207</v>
      </c>
      <c r="E456" s="24">
        <v>49</v>
      </c>
      <c r="G456" s="2">
        <f t="shared" si="68"/>
        <v>437</v>
      </c>
      <c r="H456" s="5">
        <v>0</v>
      </c>
      <c r="I456" s="13">
        <v>32</v>
      </c>
      <c r="L456" s="4"/>
      <c r="M456" s="7"/>
      <c r="O456" s="7"/>
      <c r="T456" s="7"/>
    </row>
    <row r="457" spans="2:20" x14ac:dyDescent="0.3">
      <c r="B457" s="18" t="s">
        <v>1208</v>
      </c>
      <c r="C457" s="13">
        <v>37</v>
      </c>
      <c r="D457" s="21" t="s">
        <v>1209</v>
      </c>
      <c r="E457" s="24">
        <v>48</v>
      </c>
      <c r="G457" s="2">
        <f t="shared" si="68"/>
        <v>438</v>
      </c>
      <c r="H457" s="5">
        <v>0</v>
      </c>
      <c r="I457" s="13">
        <v>32</v>
      </c>
      <c r="L457" s="4"/>
      <c r="M457" s="7"/>
      <c r="O457" s="7"/>
      <c r="T457" s="7"/>
    </row>
    <row r="458" spans="2:20" x14ac:dyDescent="0.3">
      <c r="B458" s="18" t="s">
        <v>1210</v>
      </c>
      <c r="C458" s="13">
        <v>36</v>
      </c>
      <c r="D458" s="21" t="s">
        <v>1211</v>
      </c>
      <c r="E458" s="24">
        <v>47</v>
      </c>
      <c r="G458" s="2">
        <f t="shared" si="68"/>
        <v>439</v>
      </c>
      <c r="H458" s="5">
        <v>0</v>
      </c>
      <c r="I458" s="13">
        <v>32</v>
      </c>
      <c r="L458" s="4"/>
      <c r="M458" s="7"/>
      <c r="O458" s="7"/>
      <c r="T458" s="7"/>
    </row>
    <row r="459" spans="2:20" x14ac:dyDescent="0.3">
      <c r="B459" s="18" t="s">
        <v>1212</v>
      </c>
      <c r="C459" s="13">
        <v>35</v>
      </c>
      <c r="D459" s="21" t="s">
        <v>1213</v>
      </c>
      <c r="E459" s="24">
        <v>46</v>
      </c>
      <c r="G459" s="2">
        <f t="shared" si="68"/>
        <v>440</v>
      </c>
      <c r="H459" s="5">
        <v>0</v>
      </c>
      <c r="I459" s="13">
        <v>32</v>
      </c>
      <c r="L459" s="4"/>
      <c r="M459" s="7"/>
      <c r="O459" s="7"/>
      <c r="T459" s="7"/>
    </row>
    <row r="460" spans="2:20" x14ac:dyDescent="0.3">
      <c r="B460" s="18" t="s">
        <v>1214</v>
      </c>
      <c r="C460" s="13">
        <v>34</v>
      </c>
      <c r="D460" s="21" t="s">
        <v>1215</v>
      </c>
      <c r="E460" s="24">
        <v>45</v>
      </c>
      <c r="G460" s="2">
        <f t="shared" si="68"/>
        <v>441</v>
      </c>
      <c r="H460" s="5">
        <v>0</v>
      </c>
      <c r="I460" s="13">
        <v>32</v>
      </c>
      <c r="L460" s="4"/>
      <c r="M460" s="7"/>
      <c r="O460" s="7"/>
      <c r="T460" s="7"/>
    </row>
    <row r="461" spans="2:20" x14ac:dyDescent="0.3">
      <c r="B461" s="18" t="s">
        <v>1216</v>
      </c>
      <c r="C461" s="13">
        <v>51</v>
      </c>
      <c r="D461" s="21" t="s">
        <v>1217</v>
      </c>
      <c r="E461" s="24">
        <v>44</v>
      </c>
      <c r="G461" s="2">
        <f t="shared" si="68"/>
        <v>442</v>
      </c>
      <c r="H461" s="5">
        <v>0</v>
      </c>
      <c r="I461" s="13">
        <v>32</v>
      </c>
      <c r="L461" s="4"/>
      <c r="M461" s="7"/>
      <c r="O461" s="7"/>
      <c r="T461" s="7"/>
    </row>
    <row r="462" spans="2:20" x14ac:dyDescent="0.3">
      <c r="B462" s="18" t="s">
        <v>1218</v>
      </c>
      <c r="C462" s="13">
        <v>33</v>
      </c>
      <c r="D462" s="21" t="s">
        <v>1219</v>
      </c>
      <c r="E462" s="24">
        <v>43</v>
      </c>
      <c r="G462" s="2">
        <f t="shared" si="68"/>
        <v>443</v>
      </c>
      <c r="H462" s="5">
        <v>0</v>
      </c>
      <c r="I462" s="13">
        <v>32</v>
      </c>
      <c r="L462" s="4"/>
      <c r="M462" s="7"/>
      <c r="O462" s="7"/>
      <c r="T462" s="7"/>
    </row>
    <row r="463" spans="2:20" x14ac:dyDescent="0.3">
      <c r="B463" s="18" t="s">
        <v>1220</v>
      </c>
      <c r="C463" s="13">
        <v>32</v>
      </c>
      <c r="D463" s="21" t="s">
        <v>1221</v>
      </c>
      <c r="E463" s="24">
        <v>42</v>
      </c>
      <c r="G463" s="2">
        <f t="shared" si="68"/>
        <v>444</v>
      </c>
      <c r="H463" s="5">
        <v>0</v>
      </c>
      <c r="I463" s="13">
        <v>32</v>
      </c>
      <c r="L463" s="4"/>
      <c r="M463" s="7"/>
      <c r="O463" s="7"/>
      <c r="T463" s="7"/>
    </row>
    <row r="464" spans="2:20" x14ac:dyDescent="0.3">
      <c r="B464" s="18" t="s">
        <v>1222</v>
      </c>
      <c r="C464" s="13">
        <v>31</v>
      </c>
      <c r="D464" s="21" t="s">
        <v>1223</v>
      </c>
      <c r="E464" s="24">
        <v>41</v>
      </c>
      <c r="G464" s="2">
        <f t="shared" si="68"/>
        <v>445</v>
      </c>
      <c r="H464" s="5">
        <v>0</v>
      </c>
      <c r="I464" s="13">
        <v>32</v>
      </c>
      <c r="L464" s="4"/>
      <c r="M464" s="7"/>
      <c r="O464" s="7"/>
      <c r="T464" s="7"/>
    </row>
    <row r="465" spans="2:20" x14ac:dyDescent="0.3">
      <c r="B465" s="18" t="s">
        <v>1224</v>
      </c>
      <c r="C465" s="13">
        <v>30</v>
      </c>
      <c r="D465" s="21" t="s">
        <v>1225</v>
      </c>
      <c r="E465" s="24">
        <v>32</v>
      </c>
      <c r="G465" s="2">
        <f t="shared" si="68"/>
        <v>446</v>
      </c>
      <c r="H465" s="5">
        <v>0</v>
      </c>
      <c r="I465" s="13">
        <v>32</v>
      </c>
      <c r="L465" s="4"/>
      <c r="M465" s="7"/>
      <c r="O465" s="7"/>
      <c r="T465" s="7"/>
    </row>
    <row r="466" spans="2:20" x14ac:dyDescent="0.3">
      <c r="B466" s="18" t="s">
        <v>1226</v>
      </c>
      <c r="C466" s="13">
        <v>29</v>
      </c>
      <c r="D466" s="21" t="s">
        <v>1227</v>
      </c>
      <c r="E466" s="24">
        <v>9</v>
      </c>
      <c r="G466" s="2">
        <f t="shared" si="68"/>
        <v>447</v>
      </c>
      <c r="H466" s="5">
        <v>0</v>
      </c>
      <c r="I466" s="13">
        <v>32</v>
      </c>
      <c r="L466" s="4"/>
      <c r="M466" s="7"/>
      <c r="O466" s="7"/>
      <c r="T466" s="7"/>
    </row>
    <row r="467" spans="2:20" x14ac:dyDescent="0.3">
      <c r="B467" s="18" t="s">
        <v>1228</v>
      </c>
      <c r="C467" s="13">
        <v>28</v>
      </c>
      <c r="D467" s="21" t="s">
        <v>1229</v>
      </c>
      <c r="E467" s="24">
        <v>8</v>
      </c>
      <c r="G467" s="2">
        <f t="shared" si="68"/>
        <v>448</v>
      </c>
      <c r="H467" s="5">
        <v>0</v>
      </c>
      <c r="I467" s="13">
        <v>32</v>
      </c>
      <c r="L467" s="4"/>
      <c r="M467" s="7"/>
      <c r="O467" s="7"/>
      <c r="T467" s="7"/>
    </row>
    <row r="468" spans="2:20" x14ac:dyDescent="0.3">
      <c r="B468" s="18" t="s">
        <v>1230</v>
      </c>
      <c r="C468" s="13">
        <v>27</v>
      </c>
      <c r="D468" s="21" t="s">
        <v>1231</v>
      </c>
      <c r="E468" s="24">
        <v>7</v>
      </c>
      <c r="G468" s="2">
        <f t="shared" si="68"/>
        <v>449</v>
      </c>
      <c r="H468" s="5">
        <v>0</v>
      </c>
      <c r="I468" s="13">
        <v>32</v>
      </c>
      <c r="L468" s="4"/>
      <c r="M468" s="7"/>
      <c r="O468" s="7"/>
      <c r="T468" s="7"/>
    </row>
    <row r="469" spans="2:20" x14ac:dyDescent="0.3">
      <c r="B469" s="18" t="s">
        <v>1232</v>
      </c>
      <c r="C469" s="13">
        <v>50</v>
      </c>
      <c r="D469" s="21" t="s">
        <v>1233</v>
      </c>
      <c r="E469" s="24">
        <v>6</v>
      </c>
      <c r="G469" s="2">
        <f t="shared" si="68"/>
        <v>450</v>
      </c>
      <c r="H469" s="5">
        <v>0</v>
      </c>
      <c r="I469" s="13">
        <v>32</v>
      </c>
      <c r="L469" s="4"/>
      <c r="M469" s="7"/>
      <c r="O469" s="7"/>
      <c r="T469" s="7"/>
    </row>
    <row r="470" spans="2:20" x14ac:dyDescent="0.3">
      <c r="B470" s="18" t="s">
        <v>1234</v>
      </c>
      <c r="C470" s="13">
        <v>49</v>
      </c>
      <c r="D470" s="21" t="s">
        <v>1235</v>
      </c>
      <c r="E470" s="24">
        <v>5</v>
      </c>
      <c r="G470" s="2">
        <f t="shared" si="68"/>
        <v>451</v>
      </c>
      <c r="H470" s="5">
        <v>0</v>
      </c>
      <c r="I470" s="13">
        <v>32</v>
      </c>
      <c r="L470" s="4"/>
      <c r="M470" s="7"/>
      <c r="O470" s="7"/>
      <c r="T470" s="7"/>
    </row>
    <row r="471" spans="2:20" x14ac:dyDescent="0.3">
      <c r="B471" s="18" t="s">
        <v>1236</v>
      </c>
      <c r="C471" s="13">
        <v>48</v>
      </c>
      <c r="D471" s="18" t="s">
        <v>1237</v>
      </c>
      <c r="E471" s="24">
        <v>4</v>
      </c>
      <c r="G471" s="2">
        <f t="shared" si="68"/>
        <v>452</v>
      </c>
      <c r="H471" s="5">
        <v>0</v>
      </c>
      <c r="I471" s="13">
        <v>32</v>
      </c>
      <c r="L471" s="4"/>
      <c r="M471" s="7"/>
      <c r="O471" s="7"/>
      <c r="T471" s="7"/>
    </row>
    <row r="472" spans="2:20" x14ac:dyDescent="0.3">
      <c r="B472" s="18" t="s">
        <v>1238</v>
      </c>
      <c r="C472" s="13">
        <v>47</v>
      </c>
      <c r="D472" s="21" t="s">
        <v>1239</v>
      </c>
      <c r="E472" s="24">
        <v>31</v>
      </c>
      <c r="G472" s="2">
        <f t="shared" si="68"/>
        <v>453</v>
      </c>
      <c r="H472" s="5">
        <v>0</v>
      </c>
      <c r="I472" s="13">
        <v>32</v>
      </c>
      <c r="L472" s="4"/>
      <c r="M472" s="7"/>
      <c r="O472" s="7"/>
      <c r="T472" s="7"/>
    </row>
    <row r="473" spans="2:20" x14ac:dyDescent="0.3">
      <c r="B473" s="18" t="s">
        <v>1240</v>
      </c>
      <c r="C473" s="13">
        <v>46</v>
      </c>
      <c r="D473" s="21" t="s">
        <v>1241</v>
      </c>
      <c r="E473" s="24">
        <v>30</v>
      </c>
      <c r="G473" s="2">
        <f t="shared" si="68"/>
        <v>454</v>
      </c>
      <c r="H473" s="5">
        <v>0</v>
      </c>
      <c r="I473" s="13">
        <v>32</v>
      </c>
      <c r="L473" s="4"/>
      <c r="M473" s="7"/>
      <c r="O473" s="7"/>
      <c r="T473" s="7"/>
    </row>
    <row r="474" spans="2:20" x14ac:dyDescent="0.3">
      <c r="B474" s="18" t="s">
        <v>1242</v>
      </c>
      <c r="C474" s="13">
        <v>45</v>
      </c>
      <c r="D474" s="21" t="s">
        <v>1243</v>
      </c>
      <c r="E474" s="24">
        <v>3</v>
      </c>
      <c r="G474" s="2">
        <f t="shared" si="68"/>
        <v>455</v>
      </c>
      <c r="H474" s="5">
        <v>0</v>
      </c>
      <c r="I474" s="13">
        <v>32</v>
      </c>
      <c r="L474" s="4"/>
      <c r="M474" s="7"/>
      <c r="O474" s="7"/>
      <c r="T474" s="7"/>
    </row>
    <row r="475" spans="2:20" x14ac:dyDescent="0.3">
      <c r="B475" s="18" t="s">
        <v>1244</v>
      </c>
      <c r="C475" s="13">
        <v>44</v>
      </c>
      <c r="D475" s="21" t="s">
        <v>1245</v>
      </c>
      <c r="E475" s="24">
        <v>29</v>
      </c>
      <c r="G475" s="2">
        <f t="shared" si="68"/>
        <v>456</v>
      </c>
      <c r="H475" s="5">
        <v>0</v>
      </c>
      <c r="I475" s="13">
        <v>32</v>
      </c>
      <c r="L475" s="4"/>
      <c r="M475" s="7"/>
      <c r="O475" s="7"/>
      <c r="T475" s="7"/>
    </row>
    <row r="476" spans="2:20" x14ac:dyDescent="0.3">
      <c r="B476" s="18" t="s">
        <v>1246</v>
      </c>
      <c r="C476" s="13">
        <v>53</v>
      </c>
      <c r="D476" s="21" t="s">
        <v>1247</v>
      </c>
      <c r="E476" s="24">
        <v>28</v>
      </c>
      <c r="G476" s="2">
        <f t="shared" si="68"/>
        <v>457</v>
      </c>
      <c r="H476" s="5">
        <v>0</v>
      </c>
      <c r="I476" s="13">
        <v>32</v>
      </c>
      <c r="L476" s="4"/>
      <c r="M476" s="7"/>
      <c r="O476" s="7"/>
      <c r="T476" s="7"/>
    </row>
    <row r="477" spans="2:20" x14ac:dyDescent="0.3">
      <c r="B477" s="18" t="s">
        <v>1248</v>
      </c>
      <c r="C477" s="13">
        <v>62</v>
      </c>
      <c r="D477" s="21" t="s">
        <v>1249</v>
      </c>
      <c r="E477" s="24">
        <v>27</v>
      </c>
      <c r="G477" s="2">
        <f t="shared" ref="G477:G519" si="69">G476+1</f>
        <v>458</v>
      </c>
      <c r="H477" s="5">
        <v>0</v>
      </c>
      <c r="I477" s="13">
        <v>32</v>
      </c>
      <c r="L477" s="4"/>
      <c r="M477" s="7"/>
      <c r="O477" s="7"/>
      <c r="T477" s="7"/>
    </row>
    <row r="478" spans="2:20" x14ac:dyDescent="0.3">
      <c r="B478" s="18" t="s">
        <v>1250</v>
      </c>
      <c r="C478" s="13">
        <v>63</v>
      </c>
      <c r="D478" s="21" t="s">
        <v>1251</v>
      </c>
      <c r="E478" s="24">
        <v>26</v>
      </c>
      <c r="G478" s="2">
        <f t="shared" si="69"/>
        <v>459</v>
      </c>
      <c r="H478" s="5">
        <v>0</v>
      </c>
      <c r="I478" s="13">
        <v>32</v>
      </c>
      <c r="L478" s="4"/>
      <c r="M478" s="7"/>
      <c r="O478" s="7"/>
      <c r="T478" s="7"/>
    </row>
    <row r="479" spans="2:20" x14ac:dyDescent="0.3">
      <c r="B479" s="18" t="s">
        <v>1252</v>
      </c>
      <c r="C479" s="13">
        <v>64</v>
      </c>
      <c r="D479" s="21" t="s">
        <v>1253</v>
      </c>
      <c r="E479" s="24">
        <v>25</v>
      </c>
      <c r="G479" s="2">
        <f t="shared" si="69"/>
        <v>460</v>
      </c>
      <c r="H479" s="5">
        <v>0</v>
      </c>
      <c r="I479" s="13">
        <v>32</v>
      </c>
      <c r="L479" s="4"/>
      <c r="M479" s="7"/>
      <c r="O479" s="7"/>
      <c r="T479" s="7"/>
    </row>
    <row r="480" spans="2:20" x14ac:dyDescent="0.3">
      <c r="B480" s="18" t="s">
        <v>1254</v>
      </c>
      <c r="C480" s="13">
        <v>65</v>
      </c>
      <c r="D480" s="21" t="s">
        <v>1255</v>
      </c>
      <c r="E480" s="24">
        <v>24</v>
      </c>
      <c r="G480" s="2">
        <f t="shared" si="69"/>
        <v>461</v>
      </c>
      <c r="H480" s="5">
        <v>0</v>
      </c>
      <c r="I480" s="13">
        <v>32</v>
      </c>
      <c r="L480" s="4"/>
      <c r="M480" s="7"/>
      <c r="O480" s="7"/>
      <c r="T480" s="7"/>
    </row>
    <row r="481" spans="2:20" x14ac:dyDescent="0.3">
      <c r="B481" s="18" t="s">
        <v>1256</v>
      </c>
      <c r="C481" s="13">
        <v>66</v>
      </c>
      <c r="D481" s="21" t="s">
        <v>1257</v>
      </c>
      <c r="E481" s="24">
        <v>23</v>
      </c>
      <c r="G481" s="2">
        <f t="shared" si="69"/>
        <v>462</v>
      </c>
      <c r="H481" s="5">
        <v>0</v>
      </c>
      <c r="I481" s="13">
        <v>32</v>
      </c>
      <c r="L481" s="4"/>
      <c r="M481" s="7"/>
      <c r="O481" s="7"/>
      <c r="T481" s="7"/>
    </row>
    <row r="482" spans="2:20" x14ac:dyDescent="0.3">
      <c r="B482" s="18" t="s">
        <v>1258</v>
      </c>
      <c r="C482" s="13">
        <v>67</v>
      </c>
      <c r="D482" s="21" t="s">
        <v>1259</v>
      </c>
      <c r="E482" s="24">
        <v>22</v>
      </c>
      <c r="G482" s="2">
        <f t="shared" si="69"/>
        <v>463</v>
      </c>
      <c r="H482" s="5">
        <v>0</v>
      </c>
      <c r="I482" s="13">
        <v>32</v>
      </c>
      <c r="L482" s="4"/>
      <c r="M482" s="7"/>
      <c r="O482" s="7"/>
      <c r="T482" s="7"/>
    </row>
    <row r="483" spans="2:20" x14ac:dyDescent="0.3">
      <c r="B483" s="18" t="s">
        <v>1260</v>
      </c>
      <c r="C483" s="13">
        <v>68</v>
      </c>
      <c r="D483" s="21" t="s">
        <v>1261</v>
      </c>
      <c r="E483" s="24">
        <v>21</v>
      </c>
      <c r="G483" s="2">
        <f t="shared" si="69"/>
        <v>464</v>
      </c>
      <c r="H483" s="5">
        <v>0</v>
      </c>
      <c r="I483" s="13">
        <v>32</v>
      </c>
      <c r="L483" s="4"/>
      <c r="M483" s="7"/>
      <c r="O483" s="7"/>
      <c r="T483" s="7"/>
    </row>
    <row r="484" spans="2:20" x14ac:dyDescent="0.3">
      <c r="B484" s="18" t="s">
        <v>1262</v>
      </c>
      <c r="C484" s="13">
        <v>69</v>
      </c>
      <c r="D484" s="21" t="s">
        <v>1263</v>
      </c>
      <c r="E484" s="24">
        <v>20</v>
      </c>
      <c r="G484" s="2">
        <f t="shared" si="69"/>
        <v>465</v>
      </c>
      <c r="H484" s="5">
        <v>0</v>
      </c>
      <c r="I484" s="13">
        <v>32</v>
      </c>
      <c r="L484" s="4"/>
      <c r="M484" s="7"/>
      <c r="O484" s="7"/>
      <c r="T484" s="7"/>
    </row>
    <row r="485" spans="2:20" x14ac:dyDescent="0.3">
      <c r="B485" s="18" t="s">
        <v>1264</v>
      </c>
      <c r="C485" s="13">
        <v>70</v>
      </c>
      <c r="D485" s="21" t="s">
        <v>1265</v>
      </c>
      <c r="E485" s="24">
        <v>2</v>
      </c>
      <c r="G485" s="2">
        <f t="shared" si="69"/>
        <v>466</v>
      </c>
      <c r="H485" s="5">
        <v>0</v>
      </c>
      <c r="I485" s="13">
        <v>32</v>
      </c>
      <c r="L485" s="4"/>
      <c r="M485" s="7"/>
      <c r="O485" s="7"/>
      <c r="T485" s="7"/>
    </row>
    <row r="486" spans="2:20" x14ac:dyDescent="0.3">
      <c r="B486" s="18" t="s">
        <v>1266</v>
      </c>
      <c r="C486" s="13">
        <v>71</v>
      </c>
      <c r="D486" s="21" t="s">
        <v>1267</v>
      </c>
      <c r="E486" s="24">
        <v>19</v>
      </c>
      <c r="G486" s="2">
        <f t="shared" si="69"/>
        <v>467</v>
      </c>
      <c r="H486" s="5">
        <v>0</v>
      </c>
      <c r="I486" s="13">
        <v>32</v>
      </c>
      <c r="L486" s="4"/>
      <c r="M486" s="7"/>
      <c r="O486" s="7"/>
      <c r="T486" s="7"/>
    </row>
    <row r="487" spans="2:20" x14ac:dyDescent="0.3">
      <c r="B487" s="18" t="s">
        <v>1268</v>
      </c>
      <c r="C487" s="13">
        <v>54</v>
      </c>
      <c r="D487" s="21" t="s">
        <v>1269</v>
      </c>
      <c r="E487" s="24">
        <v>18</v>
      </c>
      <c r="G487" s="2">
        <f t="shared" si="69"/>
        <v>468</v>
      </c>
      <c r="H487" s="5">
        <v>0</v>
      </c>
      <c r="I487" s="13">
        <v>32</v>
      </c>
      <c r="L487" s="4"/>
      <c r="M487" s="7"/>
      <c r="O487" s="7"/>
      <c r="T487" s="7"/>
    </row>
    <row r="488" spans="2:20" x14ac:dyDescent="0.3">
      <c r="B488" s="18" t="s">
        <v>1270</v>
      </c>
      <c r="C488" s="13">
        <v>72</v>
      </c>
      <c r="D488" s="21" t="s">
        <v>1271</v>
      </c>
      <c r="E488" s="24">
        <v>17</v>
      </c>
      <c r="G488" s="2">
        <f t="shared" si="69"/>
        <v>469</v>
      </c>
      <c r="H488" s="5">
        <v>0</v>
      </c>
      <c r="I488" s="13">
        <v>32</v>
      </c>
      <c r="L488" s="4"/>
      <c r="M488" s="7"/>
      <c r="O488" s="7"/>
      <c r="T488" s="7"/>
    </row>
    <row r="489" spans="2:20" x14ac:dyDescent="0.3">
      <c r="B489" s="18" t="s">
        <v>1272</v>
      </c>
      <c r="C489" s="13">
        <v>73</v>
      </c>
      <c r="D489" s="21" t="s">
        <v>1273</v>
      </c>
      <c r="E489" s="24">
        <v>16</v>
      </c>
      <c r="G489" s="2">
        <f t="shared" si="69"/>
        <v>470</v>
      </c>
      <c r="H489" s="5">
        <v>0</v>
      </c>
      <c r="I489" s="13">
        <v>32</v>
      </c>
      <c r="L489" s="4"/>
      <c r="M489" s="7"/>
      <c r="O489" s="7"/>
      <c r="T489" s="7"/>
    </row>
    <row r="490" spans="2:20" x14ac:dyDescent="0.3">
      <c r="B490" s="18" t="s">
        <v>1274</v>
      </c>
      <c r="C490" s="13">
        <v>74</v>
      </c>
      <c r="D490" s="21" t="s">
        <v>1275</v>
      </c>
      <c r="E490" s="24">
        <v>15</v>
      </c>
      <c r="G490" s="2">
        <f t="shared" si="69"/>
        <v>471</v>
      </c>
      <c r="H490" s="5">
        <v>0</v>
      </c>
      <c r="I490" s="13">
        <v>32</v>
      </c>
      <c r="L490" s="4"/>
      <c r="M490" s="7"/>
      <c r="O490" s="7"/>
      <c r="T490" s="7"/>
    </row>
    <row r="491" spans="2:20" x14ac:dyDescent="0.3">
      <c r="B491" s="18" t="s">
        <v>1276</v>
      </c>
      <c r="C491" s="13">
        <v>75</v>
      </c>
      <c r="D491" s="21" t="s">
        <v>1277</v>
      </c>
      <c r="E491" s="24">
        <v>14</v>
      </c>
      <c r="G491" s="2">
        <f t="shared" si="69"/>
        <v>472</v>
      </c>
      <c r="H491" s="5">
        <v>0</v>
      </c>
      <c r="I491" s="13">
        <v>32</v>
      </c>
      <c r="L491" s="4"/>
      <c r="M491" s="7"/>
      <c r="O491" s="7"/>
      <c r="T491" s="7"/>
    </row>
    <row r="492" spans="2:20" x14ac:dyDescent="0.3">
      <c r="B492" s="18" t="s">
        <v>1278</v>
      </c>
      <c r="C492" s="13">
        <v>76</v>
      </c>
      <c r="D492" s="21" t="s">
        <v>1279</v>
      </c>
      <c r="E492" s="24">
        <v>13</v>
      </c>
      <c r="G492" s="2">
        <f t="shared" si="69"/>
        <v>473</v>
      </c>
      <c r="H492" s="5">
        <v>0</v>
      </c>
      <c r="I492" s="13">
        <v>32</v>
      </c>
      <c r="L492" s="4"/>
      <c r="M492" s="7"/>
      <c r="O492" s="7"/>
      <c r="T492" s="7"/>
    </row>
    <row r="493" spans="2:20" x14ac:dyDescent="0.3">
      <c r="B493" s="18" t="s">
        <v>1280</v>
      </c>
      <c r="C493" s="13">
        <v>77</v>
      </c>
      <c r="D493" s="21" t="s">
        <v>1281</v>
      </c>
      <c r="E493" s="24">
        <v>12</v>
      </c>
      <c r="G493" s="2">
        <f t="shared" si="69"/>
        <v>474</v>
      </c>
      <c r="H493" s="5">
        <v>0</v>
      </c>
      <c r="I493" s="13">
        <v>32</v>
      </c>
      <c r="L493" s="4"/>
      <c r="M493" s="7"/>
      <c r="O493" s="7"/>
      <c r="T493" s="7"/>
    </row>
    <row r="494" spans="2:20" x14ac:dyDescent="0.3">
      <c r="B494" s="18" t="s">
        <v>1282</v>
      </c>
      <c r="C494" s="13">
        <v>78</v>
      </c>
      <c r="D494" s="21" t="s">
        <v>1283</v>
      </c>
      <c r="E494" s="24">
        <v>11</v>
      </c>
      <c r="G494" s="2">
        <f t="shared" si="69"/>
        <v>475</v>
      </c>
      <c r="H494" s="5">
        <v>0</v>
      </c>
      <c r="I494" s="13">
        <v>32</v>
      </c>
      <c r="L494" s="4"/>
      <c r="M494" s="7"/>
      <c r="O494" s="7"/>
      <c r="T494" s="7"/>
    </row>
    <row r="495" spans="2:20" x14ac:dyDescent="0.3">
      <c r="B495" s="18" t="s">
        <v>1284</v>
      </c>
      <c r="C495" s="13">
        <v>55</v>
      </c>
      <c r="D495" s="21" t="s">
        <v>1285</v>
      </c>
      <c r="E495" s="24">
        <v>10</v>
      </c>
      <c r="G495" s="2">
        <f t="shared" si="69"/>
        <v>476</v>
      </c>
      <c r="H495" s="5">
        <v>0</v>
      </c>
      <c r="I495" s="13">
        <v>32</v>
      </c>
      <c r="L495" s="4"/>
      <c r="M495" s="7"/>
      <c r="O495" s="7"/>
      <c r="T495" s="7"/>
    </row>
    <row r="496" spans="2:20" x14ac:dyDescent="0.3">
      <c r="B496" s="18" t="s">
        <v>1286</v>
      </c>
      <c r="C496" s="13">
        <v>56</v>
      </c>
      <c r="D496" s="21" t="s">
        <v>1287</v>
      </c>
      <c r="E496" s="24">
        <v>1</v>
      </c>
      <c r="G496" s="2">
        <f t="shared" si="69"/>
        <v>477</v>
      </c>
      <c r="H496" s="5">
        <v>0</v>
      </c>
      <c r="I496" s="13">
        <v>32</v>
      </c>
      <c r="L496" s="4"/>
      <c r="M496" s="7"/>
      <c r="O496" s="7"/>
      <c r="T496" s="7"/>
    </row>
    <row r="497" spans="2:20" x14ac:dyDescent="0.3">
      <c r="B497" s="18" t="s">
        <v>1288</v>
      </c>
      <c r="C497" s="13">
        <v>57</v>
      </c>
      <c r="D497" s="21" t="s">
        <v>1289</v>
      </c>
      <c r="E497" s="24">
        <v>85</v>
      </c>
      <c r="G497" s="2">
        <f t="shared" si="69"/>
        <v>478</v>
      </c>
      <c r="H497" s="5">
        <v>0</v>
      </c>
      <c r="I497" s="13">
        <v>32</v>
      </c>
      <c r="L497" s="4"/>
      <c r="M497" s="7"/>
      <c r="O497" s="7"/>
      <c r="T497" s="7"/>
    </row>
    <row r="498" spans="2:20" x14ac:dyDescent="0.3">
      <c r="B498" s="18" t="s">
        <v>1290</v>
      </c>
      <c r="C498" s="13">
        <v>58</v>
      </c>
      <c r="D498" s="21" t="s">
        <v>1291</v>
      </c>
      <c r="E498" s="24">
        <v>86</v>
      </c>
      <c r="G498" s="2">
        <f t="shared" si="69"/>
        <v>479</v>
      </c>
      <c r="H498" s="5">
        <v>0</v>
      </c>
      <c r="I498" s="13">
        <v>32</v>
      </c>
      <c r="L498" s="4"/>
      <c r="M498" s="7"/>
      <c r="O498" s="7"/>
      <c r="T498" s="7"/>
    </row>
    <row r="499" spans="2:20" x14ac:dyDescent="0.3">
      <c r="B499" s="18" t="s">
        <v>1292</v>
      </c>
      <c r="C499" s="13">
        <v>59</v>
      </c>
      <c r="D499" s="21" t="s">
        <v>1293</v>
      </c>
      <c r="E499" s="24">
        <v>87</v>
      </c>
      <c r="G499" s="2">
        <f t="shared" si="69"/>
        <v>480</v>
      </c>
      <c r="H499" s="5">
        <v>0</v>
      </c>
      <c r="I499" s="13">
        <v>32</v>
      </c>
      <c r="L499" s="4"/>
      <c r="M499" s="7"/>
      <c r="O499" s="7"/>
      <c r="T499" s="7"/>
    </row>
    <row r="500" spans="2:20" x14ac:dyDescent="0.3">
      <c r="B500" s="18" t="s">
        <v>1294</v>
      </c>
      <c r="C500" s="13">
        <v>60</v>
      </c>
      <c r="D500" s="21" t="s">
        <v>1295</v>
      </c>
      <c r="E500" s="24">
        <v>88</v>
      </c>
      <c r="G500" s="2">
        <f t="shared" si="69"/>
        <v>481</v>
      </c>
      <c r="H500" s="5">
        <v>0</v>
      </c>
      <c r="I500" s="13">
        <v>32</v>
      </c>
      <c r="L500" s="4"/>
      <c r="M500" s="7"/>
      <c r="O500" s="7"/>
      <c r="T500" s="7"/>
    </row>
    <row r="501" spans="2:20" x14ac:dyDescent="0.3">
      <c r="B501" s="18" t="s">
        <v>1296</v>
      </c>
      <c r="C501" s="13">
        <v>61</v>
      </c>
      <c r="D501" s="21" t="s">
        <v>1297</v>
      </c>
      <c r="E501" s="24">
        <v>89</v>
      </c>
      <c r="G501" s="2">
        <f t="shared" si="69"/>
        <v>482</v>
      </c>
      <c r="H501" s="5">
        <v>0</v>
      </c>
      <c r="I501" s="13">
        <v>32</v>
      </c>
      <c r="L501" s="4"/>
      <c r="M501" s="7"/>
      <c r="O501" s="7"/>
      <c r="T501" s="7"/>
    </row>
    <row r="502" spans="2:20" x14ac:dyDescent="0.3">
      <c r="B502" s="18" t="s">
        <v>1298</v>
      </c>
      <c r="C502" s="13">
        <v>104</v>
      </c>
      <c r="D502" s="21" t="s">
        <v>1299</v>
      </c>
      <c r="E502" s="24">
        <v>90</v>
      </c>
      <c r="G502" s="2">
        <f t="shared" si="69"/>
        <v>483</v>
      </c>
      <c r="H502" s="5">
        <v>0</v>
      </c>
      <c r="I502" s="13">
        <v>32</v>
      </c>
      <c r="L502" s="4"/>
      <c r="M502" s="7"/>
      <c r="O502" s="7"/>
      <c r="T502" s="7"/>
    </row>
    <row r="503" spans="2:20" x14ac:dyDescent="0.3">
      <c r="B503" s="18" t="s">
        <v>1300</v>
      </c>
      <c r="C503" s="13">
        <v>95</v>
      </c>
      <c r="D503" s="21" t="s">
        <v>1301</v>
      </c>
      <c r="E503" s="24">
        <v>63</v>
      </c>
      <c r="G503" s="2">
        <f t="shared" si="69"/>
        <v>484</v>
      </c>
      <c r="H503" s="5">
        <v>0</v>
      </c>
      <c r="I503" s="13">
        <v>32</v>
      </c>
      <c r="L503" s="4"/>
      <c r="M503" s="7"/>
      <c r="O503" s="7"/>
      <c r="T503" s="7"/>
    </row>
    <row r="504" spans="2:20" x14ac:dyDescent="0.3">
      <c r="B504" s="18" t="s">
        <v>1302</v>
      </c>
      <c r="C504" s="13">
        <v>94</v>
      </c>
      <c r="D504" s="21" t="s">
        <v>1303</v>
      </c>
      <c r="E504" s="24">
        <v>64</v>
      </c>
      <c r="G504" s="2">
        <f t="shared" si="69"/>
        <v>485</v>
      </c>
      <c r="H504" s="5">
        <v>0</v>
      </c>
      <c r="I504" s="13">
        <v>32</v>
      </c>
      <c r="L504" s="4"/>
      <c r="M504" s="7"/>
      <c r="O504" s="7"/>
      <c r="T504" s="7"/>
    </row>
    <row r="505" spans="2:20" x14ac:dyDescent="0.3">
      <c r="B505" s="18" t="s">
        <v>1304</v>
      </c>
      <c r="C505" s="13">
        <v>93</v>
      </c>
      <c r="D505" s="21" t="s">
        <v>1305</v>
      </c>
      <c r="E505" s="24">
        <v>91</v>
      </c>
      <c r="G505" s="2">
        <f t="shared" si="69"/>
        <v>486</v>
      </c>
      <c r="H505" s="5">
        <v>0</v>
      </c>
      <c r="I505" s="13">
        <v>32</v>
      </c>
      <c r="L505" s="4"/>
      <c r="M505" s="7"/>
      <c r="O505" s="7"/>
      <c r="T505" s="7"/>
    </row>
    <row r="506" spans="2:20" x14ac:dyDescent="0.3">
      <c r="B506" s="18" t="s">
        <v>1306</v>
      </c>
      <c r="C506" s="13">
        <v>92</v>
      </c>
      <c r="D506" s="21" t="s">
        <v>1307</v>
      </c>
      <c r="E506" s="24">
        <v>65</v>
      </c>
      <c r="G506" s="2">
        <f t="shared" si="69"/>
        <v>487</v>
      </c>
      <c r="H506" s="5">
        <v>0</v>
      </c>
      <c r="I506" s="13">
        <v>32</v>
      </c>
      <c r="L506" s="4"/>
      <c r="M506" s="7"/>
      <c r="O506" s="7"/>
      <c r="T506" s="7"/>
    </row>
    <row r="507" spans="2:20" x14ac:dyDescent="0.3">
      <c r="B507" s="18" t="s">
        <v>1308</v>
      </c>
      <c r="C507" s="13">
        <v>91</v>
      </c>
      <c r="D507" s="21" t="s">
        <v>1309</v>
      </c>
      <c r="E507" s="24">
        <v>66</v>
      </c>
      <c r="G507" s="2">
        <f t="shared" si="69"/>
        <v>488</v>
      </c>
      <c r="H507" s="5">
        <v>0</v>
      </c>
      <c r="I507" s="13">
        <v>32</v>
      </c>
      <c r="L507" s="4"/>
      <c r="M507" s="7"/>
      <c r="O507" s="7"/>
      <c r="T507" s="7"/>
    </row>
    <row r="508" spans="2:20" x14ac:dyDescent="0.3">
      <c r="B508" s="18" t="s">
        <v>1310</v>
      </c>
      <c r="C508" s="13">
        <v>90</v>
      </c>
      <c r="D508" s="21" t="s">
        <v>1311</v>
      </c>
      <c r="E508" s="24">
        <v>67</v>
      </c>
      <c r="G508" s="2">
        <f t="shared" si="69"/>
        <v>489</v>
      </c>
      <c r="H508" s="5">
        <v>0</v>
      </c>
      <c r="I508" s="13">
        <v>32</v>
      </c>
      <c r="L508" s="4"/>
      <c r="M508" s="7"/>
      <c r="O508" s="7"/>
      <c r="T508" s="7"/>
    </row>
    <row r="509" spans="2:20" x14ac:dyDescent="0.3">
      <c r="B509" s="18" t="s">
        <v>1312</v>
      </c>
      <c r="C509" s="13">
        <v>89</v>
      </c>
      <c r="D509" s="21" t="s">
        <v>1313</v>
      </c>
      <c r="E509" s="24">
        <v>68</v>
      </c>
      <c r="G509" s="2">
        <f t="shared" si="69"/>
        <v>490</v>
      </c>
      <c r="H509" s="5">
        <v>0</v>
      </c>
      <c r="I509" s="13">
        <v>32</v>
      </c>
      <c r="L509" s="4"/>
      <c r="M509" s="7"/>
      <c r="O509" s="7"/>
      <c r="T509" s="7"/>
    </row>
    <row r="510" spans="2:20" x14ac:dyDescent="0.3">
      <c r="B510" s="18" t="s">
        <v>1314</v>
      </c>
      <c r="C510" s="13">
        <v>88</v>
      </c>
      <c r="D510" s="21" t="s">
        <v>1315</v>
      </c>
      <c r="E510" s="24">
        <v>69</v>
      </c>
      <c r="G510" s="2">
        <f t="shared" si="69"/>
        <v>491</v>
      </c>
      <c r="H510" s="5">
        <v>0</v>
      </c>
      <c r="I510" s="13">
        <v>32</v>
      </c>
      <c r="L510" s="4"/>
      <c r="M510" s="7"/>
      <c r="O510" s="7"/>
      <c r="T510" s="7"/>
    </row>
    <row r="511" spans="2:20" x14ac:dyDescent="0.3">
      <c r="B511" s="18" t="s">
        <v>1316</v>
      </c>
      <c r="C511" s="13">
        <v>87</v>
      </c>
      <c r="D511" s="21" t="s">
        <v>1317</v>
      </c>
      <c r="E511" s="24">
        <v>70</v>
      </c>
      <c r="G511" s="2">
        <f t="shared" si="69"/>
        <v>492</v>
      </c>
      <c r="H511" s="5">
        <v>0</v>
      </c>
      <c r="I511" s="13">
        <v>32</v>
      </c>
      <c r="L511" s="4"/>
      <c r="M511" s="7"/>
      <c r="O511" s="7"/>
    </row>
    <row r="512" spans="2:20" x14ac:dyDescent="0.3">
      <c r="B512" s="18" t="s">
        <v>1318</v>
      </c>
      <c r="C512" s="13">
        <v>86</v>
      </c>
      <c r="D512" s="21" t="s">
        <v>1319</v>
      </c>
      <c r="E512" s="24">
        <v>71</v>
      </c>
      <c r="G512" s="2">
        <f t="shared" si="69"/>
        <v>493</v>
      </c>
      <c r="H512" s="5">
        <v>0</v>
      </c>
      <c r="I512" s="13">
        <v>32</v>
      </c>
      <c r="L512" s="4"/>
      <c r="M512" s="7"/>
      <c r="O512" s="7"/>
      <c r="T512" s="7"/>
    </row>
    <row r="513" spans="2:20" x14ac:dyDescent="0.3">
      <c r="B513" s="18" t="s">
        <v>1320</v>
      </c>
      <c r="C513" s="13">
        <v>103</v>
      </c>
      <c r="D513" s="21" t="s">
        <v>1321</v>
      </c>
      <c r="E513" s="24">
        <v>72</v>
      </c>
      <c r="G513" s="2">
        <f t="shared" si="69"/>
        <v>494</v>
      </c>
      <c r="H513" s="5">
        <v>0</v>
      </c>
      <c r="I513" s="13">
        <v>32</v>
      </c>
      <c r="L513" s="4"/>
      <c r="M513" s="7"/>
      <c r="O513" s="7"/>
      <c r="T513" s="7"/>
    </row>
    <row r="514" spans="2:20" x14ac:dyDescent="0.3">
      <c r="B514" s="18" t="s">
        <v>1322</v>
      </c>
      <c r="C514" s="13">
        <v>85</v>
      </c>
      <c r="D514" s="21" t="s">
        <v>1323</v>
      </c>
      <c r="E514" s="24">
        <v>73</v>
      </c>
      <c r="G514" s="2">
        <f t="shared" si="69"/>
        <v>495</v>
      </c>
      <c r="H514" s="5">
        <v>0</v>
      </c>
      <c r="I514" s="13">
        <v>32</v>
      </c>
      <c r="L514" s="4"/>
      <c r="M514" s="7"/>
      <c r="O514" s="7"/>
      <c r="T514" s="7"/>
    </row>
    <row r="515" spans="2:20" x14ac:dyDescent="0.3">
      <c r="B515" s="18" t="s">
        <v>1324</v>
      </c>
      <c r="C515" s="13">
        <v>84</v>
      </c>
      <c r="D515" s="21" t="s">
        <v>1325</v>
      </c>
      <c r="E515" s="24">
        <v>74</v>
      </c>
      <c r="G515" s="2">
        <f t="shared" si="69"/>
        <v>496</v>
      </c>
      <c r="H515" s="5">
        <v>0</v>
      </c>
      <c r="I515" s="13">
        <v>32</v>
      </c>
      <c r="L515" s="4"/>
      <c r="M515" s="7"/>
      <c r="O515" s="7"/>
      <c r="T515" s="7"/>
    </row>
    <row r="516" spans="2:20" x14ac:dyDescent="0.3">
      <c r="B516" s="18" t="s">
        <v>1326</v>
      </c>
      <c r="C516" s="13">
        <v>83</v>
      </c>
      <c r="D516" s="21" t="s">
        <v>1327</v>
      </c>
      <c r="E516" s="24">
        <v>75</v>
      </c>
      <c r="G516" s="2">
        <f t="shared" si="69"/>
        <v>497</v>
      </c>
      <c r="H516" s="5">
        <v>0</v>
      </c>
      <c r="I516" s="13">
        <v>32</v>
      </c>
      <c r="L516" s="4"/>
      <c r="M516" s="7"/>
      <c r="O516" s="7"/>
      <c r="T516" s="7"/>
    </row>
    <row r="517" spans="2:20" x14ac:dyDescent="0.3">
      <c r="B517" s="18" t="s">
        <v>1328</v>
      </c>
      <c r="C517" s="13">
        <v>82</v>
      </c>
      <c r="D517" s="21" t="s">
        <v>1329</v>
      </c>
      <c r="E517" s="24">
        <v>76</v>
      </c>
      <c r="G517" s="2">
        <f t="shared" si="69"/>
        <v>498</v>
      </c>
      <c r="H517" s="5">
        <v>0</v>
      </c>
      <c r="I517" s="13">
        <v>32</v>
      </c>
      <c r="L517" s="4"/>
      <c r="M517" s="7"/>
      <c r="O517" s="7"/>
      <c r="T517" s="7"/>
    </row>
    <row r="518" spans="2:20" x14ac:dyDescent="0.3">
      <c r="B518" s="18" t="s">
        <v>1330</v>
      </c>
      <c r="C518" s="13">
        <v>81</v>
      </c>
      <c r="D518" s="21" t="s">
        <v>1331</v>
      </c>
      <c r="E518" s="24">
        <v>77</v>
      </c>
      <c r="G518" s="2">
        <f t="shared" si="69"/>
        <v>499</v>
      </c>
      <c r="H518" s="5">
        <v>0</v>
      </c>
      <c r="I518" s="13">
        <v>32</v>
      </c>
      <c r="L518" s="4"/>
      <c r="M518" s="7"/>
      <c r="O518" s="7"/>
      <c r="T518" s="7"/>
    </row>
    <row r="519" spans="2:20" x14ac:dyDescent="0.3">
      <c r="B519" s="18" t="s">
        <v>1332</v>
      </c>
      <c r="C519" s="13">
        <v>80</v>
      </c>
      <c r="D519" s="21" t="s">
        <v>1333</v>
      </c>
      <c r="E519" s="24">
        <v>78</v>
      </c>
      <c r="G519" s="2">
        <f t="shared" si="69"/>
        <v>500</v>
      </c>
      <c r="H519" s="5">
        <v>0</v>
      </c>
      <c r="I519" s="13">
        <v>32</v>
      </c>
      <c r="L519" s="4"/>
      <c r="M519" s="7"/>
      <c r="O519" s="7"/>
      <c r="T519" s="7"/>
    </row>
    <row r="520" spans="2:20" x14ac:dyDescent="0.3">
      <c r="B520" s="18" t="s">
        <v>1334</v>
      </c>
      <c r="C520" s="13">
        <v>79</v>
      </c>
      <c r="D520" s="21" t="s">
        <v>1335</v>
      </c>
      <c r="E520" s="24">
        <v>79</v>
      </c>
      <c r="G520" s="2">
        <f>G519+1</f>
        <v>501</v>
      </c>
      <c r="H520" s="5">
        <v>0</v>
      </c>
      <c r="I520" s="13">
        <v>32</v>
      </c>
      <c r="L520" s="4"/>
      <c r="M520" s="7"/>
      <c r="O520" s="7"/>
      <c r="T520" s="7"/>
    </row>
    <row r="521" spans="2:20" x14ac:dyDescent="0.3">
      <c r="B521" s="18" t="s">
        <v>1336</v>
      </c>
      <c r="C521" s="13">
        <v>102</v>
      </c>
      <c r="D521" s="21" t="s">
        <v>1337</v>
      </c>
      <c r="E521" s="24">
        <v>80</v>
      </c>
      <c r="G521" s="2">
        <f>G520+1</f>
        <v>502</v>
      </c>
      <c r="H521" s="5">
        <v>0</v>
      </c>
      <c r="I521" s="13">
        <v>32</v>
      </c>
      <c r="L521" s="4"/>
      <c r="M521" s="7"/>
      <c r="O521" s="7"/>
      <c r="T521" s="7"/>
    </row>
    <row r="522" spans="2:20" x14ac:dyDescent="0.3">
      <c r="B522" s="18" t="s">
        <v>1338</v>
      </c>
      <c r="C522" s="13">
        <v>101</v>
      </c>
      <c r="D522" s="21" t="s">
        <v>1339</v>
      </c>
      <c r="E522" s="24">
        <v>81</v>
      </c>
      <c r="G522" s="2">
        <f>G521+1</f>
        <v>503</v>
      </c>
      <c r="H522" s="5">
        <v>0</v>
      </c>
      <c r="I522" s="13">
        <v>32</v>
      </c>
      <c r="L522" s="4"/>
      <c r="M522" s="7"/>
      <c r="O522" s="7"/>
      <c r="T522" s="7"/>
    </row>
    <row r="523" spans="2:20" x14ac:dyDescent="0.3">
      <c r="B523" s="18" t="s">
        <v>1340</v>
      </c>
      <c r="C523" s="13">
        <v>100</v>
      </c>
      <c r="D523" s="21" t="s">
        <v>1341</v>
      </c>
      <c r="E523" s="24">
        <v>82</v>
      </c>
      <c r="G523" s="2">
        <f>G522+1</f>
        <v>504</v>
      </c>
      <c r="H523" s="5">
        <v>0</v>
      </c>
      <c r="I523" s="13">
        <v>32</v>
      </c>
      <c r="L523" s="4"/>
      <c r="M523" s="7"/>
      <c r="O523" s="7"/>
      <c r="T523" s="7"/>
    </row>
    <row r="524" spans="2:20" x14ac:dyDescent="0.3">
      <c r="B524" s="18" t="s">
        <v>1342</v>
      </c>
      <c r="C524" s="13">
        <v>99</v>
      </c>
      <c r="D524" s="21" t="s">
        <v>1343</v>
      </c>
      <c r="E524" s="24">
        <v>83</v>
      </c>
      <c r="G524" s="2">
        <f t="shared" ref="G524:G587" si="70">G523+1</f>
        <v>505</v>
      </c>
      <c r="H524" s="5">
        <v>0</v>
      </c>
      <c r="I524" s="13">
        <v>32</v>
      </c>
      <c r="L524" s="4"/>
      <c r="M524" s="7"/>
      <c r="O524" s="7"/>
      <c r="T524" s="7"/>
    </row>
    <row r="525" spans="2:20" x14ac:dyDescent="0.3">
      <c r="B525" s="18" t="s">
        <v>1344</v>
      </c>
      <c r="C525" s="13">
        <v>98</v>
      </c>
      <c r="D525" s="21" t="s">
        <v>1345</v>
      </c>
      <c r="E525" s="24">
        <v>84</v>
      </c>
      <c r="G525" s="2">
        <f t="shared" si="70"/>
        <v>506</v>
      </c>
      <c r="H525" s="5">
        <v>0</v>
      </c>
      <c r="I525" s="13">
        <v>32</v>
      </c>
      <c r="L525" s="4"/>
      <c r="M525" s="7"/>
      <c r="O525" s="7"/>
      <c r="T525" s="7"/>
    </row>
    <row r="526" spans="2:20" x14ac:dyDescent="0.3">
      <c r="B526" s="18" t="s">
        <v>1346</v>
      </c>
      <c r="C526" s="13">
        <v>97</v>
      </c>
      <c r="D526" s="21" t="s">
        <v>1347</v>
      </c>
      <c r="E526" s="24">
        <v>40</v>
      </c>
      <c r="G526" s="2">
        <f t="shared" si="70"/>
        <v>507</v>
      </c>
      <c r="H526" s="5">
        <v>0</v>
      </c>
      <c r="I526" s="13">
        <v>32</v>
      </c>
      <c r="L526" s="4"/>
      <c r="M526" s="7"/>
      <c r="O526" s="7"/>
      <c r="T526" s="7"/>
    </row>
    <row r="527" spans="2:20" x14ac:dyDescent="0.3">
      <c r="B527" s="18" t="s">
        <v>1348</v>
      </c>
      <c r="C527" s="13">
        <v>96</v>
      </c>
      <c r="D527" s="21" t="s">
        <v>1349</v>
      </c>
      <c r="E527" s="24">
        <v>39</v>
      </c>
      <c r="G527" s="2">
        <f t="shared" si="70"/>
        <v>508</v>
      </c>
      <c r="H527" s="5">
        <v>0</v>
      </c>
      <c r="I527" s="13">
        <v>32</v>
      </c>
      <c r="L527" s="4"/>
      <c r="M527" s="7"/>
      <c r="O527" s="7"/>
      <c r="T527" s="7"/>
    </row>
    <row r="528" spans="2:20" x14ac:dyDescent="0.3">
      <c r="B528" s="18" t="s">
        <v>1350</v>
      </c>
      <c r="C528" s="13">
        <v>1</v>
      </c>
      <c r="D528" s="21" t="s">
        <v>1351</v>
      </c>
      <c r="E528" s="24">
        <v>38</v>
      </c>
      <c r="G528" s="2">
        <f t="shared" si="70"/>
        <v>509</v>
      </c>
      <c r="H528" s="5">
        <v>0</v>
      </c>
      <c r="I528" s="13">
        <v>32</v>
      </c>
      <c r="L528" s="4"/>
      <c r="M528" s="7"/>
      <c r="O528" s="7"/>
      <c r="T528" s="7"/>
    </row>
    <row r="529" spans="2:20" x14ac:dyDescent="0.3">
      <c r="B529" s="18" t="s">
        <v>1352</v>
      </c>
      <c r="C529" s="13">
        <v>10</v>
      </c>
      <c r="D529" s="21" t="s">
        <v>1353</v>
      </c>
      <c r="E529" s="24">
        <v>37</v>
      </c>
      <c r="G529" s="2">
        <f t="shared" si="70"/>
        <v>510</v>
      </c>
      <c r="H529" s="5">
        <v>0</v>
      </c>
      <c r="I529" s="13">
        <v>32</v>
      </c>
      <c r="L529" s="4"/>
      <c r="M529" s="7"/>
      <c r="O529" s="7"/>
      <c r="T529" s="7"/>
    </row>
    <row r="530" spans="2:20" x14ac:dyDescent="0.3">
      <c r="B530" s="18" t="s">
        <v>1354</v>
      </c>
      <c r="C530" s="13">
        <v>11</v>
      </c>
      <c r="D530" s="21" t="s">
        <v>1355</v>
      </c>
      <c r="E530" s="24">
        <v>36</v>
      </c>
      <c r="G530" s="2">
        <f t="shared" si="70"/>
        <v>511</v>
      </c>
      <c r="H530" s="5">
        <v>0</v>
      </c>
      <c r="I530" s="13">
        <v>32</v>
      </c>
      <c r="L530" s="4"/>
      <c r="M530" s="7"/>
      <c r="O530" s="7"/>
      <c r="T530" s="7"/>
    </row>
    <row r="531" spans="2:20" x14ac:dyDescent="0.3">
      <c r="B531" s="18" t="s">
        <v>1356</v>
      </c>
      <c r="C531" s="13">
        <v>12</v>
      </c>
      <c r="D531" s="21" t="s">
        <v>1357</v>
      </c>
      <c r="E531" s="24">
        <v>35</v>
      </c>
      <c r="G531" s="2">
        <f t="shared" si="70"/>
        <v>512</v>
      </c>
      <c r="H531" s="5">
        <v>0</v>
      </c>
      <c r="I531" s="13">
        <v>32</v>
      </c>
      <c r="L531" s="4"/>
      <c r="M531" s="7"/>
      <c r="O531" s="7"/>
      <c r="T531" s="7"/>
    </row>
    <row r="532" spans="2:20" x14ac:dyDescent="0.3">
      <c r="B532" s="18" t="s">
        <v>1358</v>
      </c>
      <c r="C532" s="13">
        <v>13</v>
      </c>
      <c r="D532" s="21" t="s">
        <v>1359</v>
      </c>
      <c r="E532" s="24">
        <v>62</v>
      </c>
      <c r="G532" s="2">
        <f t="shared" si="70"/>
        <v>513</v>
      </c>
      <c r="H532" s="5">
        <v>0</v>
      </c>
      <c r="I532" s="13">
        <v>32</v>
      </c>
      <c r="L532" s="4"/>
      <c r="M532" s="7"/>
      <c r="O532" s="7"/>
      <c r="T532" s="7"/>
    </row>
    <row r="533" spans="2:20" x14ac:dyDescent="0.3">
      <c r="B533" s="18" t="s">
        <v>1360</v>
      </c>
      <c r="C533" s="13">
        <v>14</v>
      </c>
      <c r="D533" s="21" t="s">
        <v>1361</v>
      </c>
      <c r="E533" s="24">
        <v>61</v>
      </c>
      <c r="G533" s="2">
        <f t="shared" si="70"/>
        <v>514</v>
      </c>
      <c r="H533" s="5">
        <v>0</v>
      </c>
      <c r="I533" s="13">
        <v>32</v>
      </c>
      <c r="L533" s="4"/>
      <c r="M533" s="7"/>
      <c r="O533" s="7"/>
      <c r="T533" s="7"/>
    </row>
    <row r="534" spans="2:20" x14ac:dyDescent="0.3">
      <c r="B534" s="18" t="s">
        <v>1362</v>
      </c>
      <c r="C534" s="13">
        <v>15</v>
      </c>
      <c r="D534" s="21" t="s">
        <v>1363</v>
      </c>
      <c r="E534" s="24">
        <v>34</v>
      </c>
      <c r="G534" s="2">
        <f t="shared" si="70"/>
        <v>515</v>
      </c>
      <c r="H534" s="5">
        <v>0</v>
      </c>
      <c r="I534" s="13">
        <v>32</v>
      </c>
      <c r="L534" s="4"/>
      <c r="M534" s="7"/>
      <c r="O534" s="7"/>
      <c r="T534" s="7"/>
    </row>
    <row r="535" spans="2:20" x14ac:dyDescent="0.3">
      <c r="B535" s="18" t="s">
        <v>1364</v>
      </c>
      <c r="C535" s="13">
        <v>16</v>
      </c>
      <c r="D535" s="21" t="s">
        <v>1365</v>
      </c>
      <c r="E535" s="24">
        <v>60</v>
      </c>
      <c r="G535" s="2">
        <f t="shared" si="70"/>
        <v>516</v>
      </c>
      <c r="H535" s="5">
        <v>0</v>
      </c>
      <c r="I535" s="13">
        <v>32</v>
      </c>
      <c r="L535" s="4"/>
      <c r="M535" s="7"/>
      <c r="O535" s="7"/>
      <c r="T535" s="7"/>
    </row>
    <row r="536" spans="2:20" x14ac:dyDescent="0.3">
      <c r="B536" s="18" t="s">
        <v>1366</v>
      </c>
      <c r="C536" s="13">
        <v>17</v>
      </c>
      <c r="D536" s="21" t="s">
        <v>1367</v>
      </c>
      <c r="E536" s="24">
        <v>59</v>
      </c>
      <c r="G536" s="2">
        <f t="shared" si="70"/>
        <v>517</v>
      </c>
      <c r="H536" s="5">
        <v>0</v>
      </c>
      <c r="I536" s="13">
        <v>32</v>
      </c>
      <c r="L536" s="4"/>
      <c r="M536" s="7"/>
      <c r="O536" s="7"/>
      <c r="T536" s="7"/>
    </row>
    <row r="537" spans="2:20" x14ac:dyDescent="0.3">
      <c r="B537" s="18" t="s">
        <v>1368</v>
      </c>
      <c r="C537" s="13">
        <v>18</v>
      </c>
      <c r="D537" s="21" t="s">
        <v>1369</v>
      </c>
      <c r="E537" s="24">
        <v>58</v>
      </c>
      <c r="G537" s="2">
        <f t="shared" si="70"/>
        <v>518</v>
      </c>
      <c r="H537" s="5">
        <v>0</v>
      </c>
      <c r="I537" s="13">
        <v>32</v>
      </c>
      <c r="L537" s="4"/>
      <c r="M537" s="7"/>
      <c r="O537" s="7"/>
      <c r="T537" s="7"/>
    </row>
    <row r="538" spans="2:20" x14ac:dyDescent="0.3">
      <c r="B538" s="18" t="s">
        <v>1370</v>
      </c>
      <c r="C538" s="13">
        <v>19</v>
      </c>
      <c r="D538" s="21" t="s">
        <v>1371</v>
      </c>
      <c r="E538" s="24">
        <v>57</v>
      </c>
      <c r="G538" s="2">
        <f t="shared" si="70"/>
        <v>519</v>
      </c>
      <c r="H538" s="5">
        <v>0</v>
      </c>
      <c r="I538" s="13">
        <v>32</v>
      </c>
      <c r="L538" s="4"/>
      <c r="M538" s="7"/>
      <c r="O538" s="7"/>
      <c r="T538" s="7"/>
    </row>
    <row r="539" spans="2:20" x14ac:dyDescent="0.3">
      <c r="B539" s="18" t="s">
        <v>1372</v>
      </c>
      <c r="C539" s="13">
        <v>2</v>
      </c>
      <c r="D539" s="21" t="s">
        <v>1373</v>
      </c>
      <c r="E539" s="24">
        <v>56</v>
      </c>
      <c r="G539" s="2">
        <f t="shared" si="70"/>
        <v>520</v>
      </c>
      <c r="H539" s="5">
        <v>0</v>
      </c>
      <c r="I539" s="13">
        <v>32</v>
      </c>
      <c r="L539" s="4"/>
      <c r="M539" s="7"/>
      <c r="O539" s="7"/>
      <c r="T539" s="7"/>
    </row>
    <row r="540" spans="2:20" x14ac:dyDescent="0.3">
      <c r="B540" s="18" t="s">
        <v>1374</v>
      </c>
      <c r="C540" s="13">
        <v>20</v>
      </c>
      <c r="D540" s="21" t="s">
        <v>1375</v>
      </c>
      <c r="E540" s="24">
        <v>55</v>
      </c>
      <c r="G540" s="2">
        <f t="shared" si="70"/>
        <v>521</v>
      </c>
      <c r="H540" s="5">
        <v>0</v>
      </c>
      <c r="I540" s="13">
        <v>32</v>
      </c>
      <c r="L540" s="4"/>
      <c r="M540" s="7"/>
      <c r="O540" s="7"/>
      <c r="T540" s="7"/>
    </row>
    <row r="541" spans="2:20" x14ac:dyDescent="0.3">
      <c r="B541" s="18" t="s">
        <v>1376</v>
      </c>
      <c r="C541" s="13">
        <v>21</v>
      </c>
      <c r="D541" s="21" t="s">
        <v>1377</v>
      </c>
      <c r="E541" s="24">
        <v>54</v>
      </c>
      <c r="G541" s="2">
        <f t="shared" si="70"/>
        <v>522</v>
      </c>
      <c r="H541" s="5">
        <v>0</v>
      </c>
      <c r="I541" s="13">
        <v>32</v>
      </c>
      <c r="L541" s="4"/>
      <c r="M541" s="7"/>
      <c r="O541" s="7"/>
      <c r="T541" s="7"/>
    </row>
    <row r="542" spans="2:20" x14ac:dyDescent="0.3">
      <c r="B542" s="18" t="s">
        <v>1378</v>
      </c>
      <c r="C542" s="13">
        <v>22</v>
      </c>
      <c r="D542" s="21" t="s">
        <v>1379</v>
      </c>
      <c r="E542" s="24">
        <v>53</v>
      </c>
      <c r="G542" s="2">
        <f t="shared" si="70"/>
        <v>523</v>
      </c>
      <c r="H542" s="5">
        <v>0</v>
      </c>
      <c r="I542" s="13">
        <v>32</v>
      </c>
      <c r="L542" s="4"/>
      <c r="M542" s="7"/>
      <c r="O542" s="7"/>
      <c r="T542" s="7"/>
    </row>
    <row r="543" spans="2:20" x14ac:dyDescent="0.3">
      <c r="B543" s="18" t="s">
        <v>1380</v>
      </c>
      <c r="C543" s="13">
        <v>23</v>
      </c>
      <c r="D543" s="21" t="s">
        <v>1381</v>
      </c>
      <c r="E543" s="24">
        <v>52</v>
      </c>
      <c r="G543" s="2">
        <f t="shared" si="70"/>
        <v>524</v>
      </c>
      <c r="H543" s="5">
        <v>0</v>
      </c>
      <c r="I543" s="13">
        <v>32</v>
      </c>
      <c r="L543" s="4"/>
      <c r="M543" s="7"/>
      <c r="O543" s="7"/>
      <c r="T543" s="7"/>
    </row>
    <row r="544" spans="2:20" x14ac:dyDescent="0.3">
      <c r="B544" s="18" t="s">
        <v>1382</v>
      </c>
      <c r="C544" s="13">
        <v>24</v>
      </c>
      <c r="D544" s="21" t="s">
        <v>1383</v>
      </c>
      <c r="E544" s="24">
        <v>51</v>
      </c>
      <c r="G544" s="2">
        <f t="shared" si="70"/>
        <v>525</v>
      </c>
      <c r="H544" s="5">
        <v>0</v>
      </c>
      <c r="I544" s="13">
        <v>32</v>
      </c>
      <c r="L544" s="4"/>
      <c r="M544" s="7"/>
      <c r="O544" s="7"/>
      <c r="T544" s="7"/>
    </row>
    <row r="545" spans="2:20" x14ac:dyDescent="0.3">
      <c r="B545" s="18" t="s">
        <v>1384</v>
      </c>
      <c r="C545" s="13">
        <v>25</v>
      </c>
      <c r="D545" s="21" t="s">
        <v>1385</v>
      </c>
      <c r="E545" s="24">
        <v>33</v>
      </c>
      <c r="G545" s="2">
        <f t="shared" si="70"/>
        <v>526</v>
      </c>
      <c r="H545" s="5">
        <v>0</v>
      </c>
      <c r="I545" s="13">
        <v>32</v>
      </c>
      <c r="L545" s="4"/>
      <c r="M545" s="7"/>
      <c r="O545" s="7"/>
      <c r="T545" s="7"/>
    </row>
    <row r="546" spans="2:20" x14ac:dyDescent="0.3">
      <c r="B546" s="18" t="s">
        <v>1386</v>
      </c>
      <c r="C546" s="13">
        <v>26</v>
      </c>
      <c r="D546" s="21" t="s">
        <v>1387</v>
      </c>
      <c r="E546" s="24">
        <v>50</v>
      </c>
      <c r="G546" s="2">
        <f t="shared" si="70"/>
        <v>527</v>
      </c>
      <c r="H546" s="5">
        <v>0</v>
      </c>
      <c r="I546" s="13">
        <v>32</v>
      </c>
      <c r="L546" s="4"/>
      <c r="M546" s="7"/>
      <c r="O546" s="7"/>
      <c r="T546" s="7"/>
    </row>
    <row r="547" spans="2:20" x14ac:dyDescent="0.3">
      <c r="B547" s="18" t="s">
        <v>1388</v>
      </c>
      <c r="C547" s="13">
        <v>27</v>
      </c>
      <c r="D547" s="21" t="s">
        <v>1389</v>
      </c>
      <c r="E547" s="24">
        <v>49</v>
      </c>
      <c r="G547" s="2">
        <f t="shared" si="70"/>
        <v>528</v>
      </c>
      <c r="H547" s="5">
        <v>0</v>
      </c>
      <c r="I547" s="13">
        <v>32</v>
      </c>
      <c r="L547" s="4"/>
      <c r="M547" s="7"/>
      <c r="O547" s="7"/>
      <c r="T547" s="7"/>
    </row>
    <row r="548" spans="2:20" x14ac:dyDescent="0.3">
      <c r="B548" s="18" t="s">
        <v>1390</v>
      </c>
      <c r="C548" s="13">
        <v>3</v>
      </c>
      <c r="D548" s="21" t="s">
        <v>1391</v>
      </c>
      <c r="E548" s="24">
        <v>48</v>
      </c>
      <c r="G548" s="2">
        <f t="shared" si="70"/>
        <v>529</v>
      </c>
      <c r="H548" s="5">
        <v>0</v>
      </c>
      <c r="I548" s="13">
        <v>32</v>
      </c>
      <c r="L548" s="4"/>
      <c r="M548" s="7"/>
      <c r="O548" s="7"/>
      <c r="T548" s="7"/>
    </row>
    <row r="549" spans="2:20" x14ac:dyDescent="0.3">
      <c r="B549" s="18" t="s">
        <v>1392</v>
      </c>
      <c r="C549" s="13">
        <v>4</v>
      </c>
      <c r="D549" s="21" t="s">
        <v>1393</v>
      </c>
      <c r="E549" s="24">
        <v>47</v>
      </c>
      <c r="G549" s="2">
        <f t="shared" si="70"/>
        <v>530</v>
      </c>
      <c r="H549" s="5">
        <v>0</v>
      </c>
      <c r="I549" s="13">
        <v>32</v>
      </c>
      <c r="L549" s="4"/>
      <c r="M549" s="7"/>
      <c r="O549" s="7"/>
      <c r="T549" s="7"/>
    </row>
    <row r="550" spans="2:20" x14ac:dyDescent="0.3">
      <c r="B550" s="18" t="s">
        <v>1394</v>
      </c>
      <c r="C550" s="13">
        <v>5</v>
      </c>
      <c r="D550" s="21" t="s">
        <v>1395</v>
      </c>
      <c r="E550" s="24">
        <v>46</v>
      </c>
      <c r="G550" s="2">
        <f t="shared" si="70"/>
        <v>531</v>
      </c>
      <c r="H550" s="5">
        <v>0</v>
      </c>
      <c r="I550" s="13">
        <v>32</v>
      </c>
      <c r="L550" s="4"/>
      <c r="M550" s="7"/>
      <c r="O550" s="7"/>
      <c r="T550" s="7"/>
    </row>
    <row r="551" spans="2:20" x14ac:dyDescent="0.3">
      <c r="B551" s="18" t="s">
        <v>1396</v>
      </c>
      <c r="C551" s="13">
        <v>6</v>
      </c>
      <c r="D551" s="21" t="s">
        <v>1397</v>
      </c>
      <c r="E551" s="24">
        <v>45</v>
      </c>
      <c r="G551" s="2">
        <f t="shared" si="70"/>
        <v>532</v>
      </c>
      <c r="H551" s="5">
        <v>0</v>
      </c>
      <c r="I551" s="13">
        <v>32</v>
      </c>
      <c r="L551" s="4"/>
      <c r="M551" s="7"/>
      <c r="O551" s="7"/>
      <c r="T551" s="7"/>
    </row>
    <row r="552" spans="2:20" x14ac:dyDescent="0.3">
      <c r="B552" s="18" t="s">
        <v>1398</v>
      </c>
      <c r="C552" s="13">
        <v>7</v>
      </c>
      <c r="D552" s="21" t="s">
        <v>1399</v>
      </c>
      <c r="E552" s="24">
        <v>44</v>
      </c>
      <c r="G552" s="2">
        <f t="shared" si="70"/>
        <v>533</v>
      </c>
      <c r="H552" s="5">
        <v>0</v>
      </c>
      <c r="I552" s="13">
        <v>32</v>
      </c>
      <c r="L552" s="4"/>
      <c r="M552" s="7"/>
      <c r="O552" s="7"/>
      <c r="T552" s="7"/>
    </row>
    <row r="553" spans="2:20" x14ac:dyDescent="0.3">
      <c r="B553" s="18" t="s">
        <v>1400</v>
      </c>
      <c r="C553" s="13">
        <v>8</v>
      </c>
      <c r="D553" s="21" t="s">
        <v>1401</v>
      </c>
      <c r="E553" s="24">
        <v>43</v>
      </c>
      <c r="G553" s="2">
        <f t="shared" si="70"/>
        <v>534</v>
      </c>
      <c r="H553" s="5">
        <v>0</v>
      </c>
      <c r="I553" s="13">
        <v>32</v>
      </c>
      <c r="L553" s="4"/>
      <c r="M553" s="7"/>
      <c r="O553" s="7"/>
      <c r="T553" s="7"/>
    </row>
    <row r="554" spans="2:20" x14ac:dyDescent="0.3">
      <c r="B554" s="18" t="s">
        <v>1402</v>
      </c>
      <c r="C554" s="13">
        <v>9</v>
      </c>
      <c r="D554" s="21" t="s">
        <v>1403</v>
      </c>
      <c r="E554" s="24">
        <v>42</v>
      </c>
      <c r="G554" s="2">
        <f t="shared" si="70"/>
        <v>535</v>
      </c>
      <c r="H554" s="5">
        <v>0</v>
      </c>
      <c r="I554" s="13">
        <v>32</v>
      </c>
      <c r="L554" s="4"/>
      <c r="M554" s="7"/>
      <c r="O554" s="7"/>
      <c r="T554" s="7"/>
    </row>
    <row r="555" spans="2:20" x14ac:dyDescent="0.3">
      <c r="B555" s="18" t="s">
        <v>1404</v>
      </c>
      <c r="C555" s="13">
        <v>54</v>
      </c>
      <c r="D555" s="21" t="s">
        <v>1405</v>
      </c>
      <c r="E555" s="24">
        <v>41</v>
      </c>
      <c r="G555" s="2">
        <f t="shared" si="70"/>
        <v>536</v>
      </c>
      <c r="H555" s="5">
        <v>0</v>
      </c>
      <c r="I555" s="13">
        <v>32</v>
      </c>
      <c r="L555" s="4"/>
      <c r="M555" s="7"/>
      <c r="O555" s="7"/>
      <c r="T555" s="7"/>
    </row>
    <row r="556" spans="2:20" x14ac:dyDescent="0.3">
      <c r="B556" s="18" t="s">
        <v>1406</v>
      </c>
      <c r="C556" s="13">
        <v>45</v>
      </c>
      <c r="D556" s="21" t="s">
        <v>1407</v>
      </c>
      <c r="E556" s="24">
        <v>32</v>
      </c>
      <c r="G556" s="2">
        <f t="shared" si="70"/>
        <v>537</v>
      </c>
      <c r="H556" s="5">
        <v>0</v>
      </c>
      <c r="I556" s="13">
        <v>32</v>
      </c>
      <c r="L556" s="4"/>
      <c r="M556" s="7"/>
      <c r="O556" s="7"/>
      <c r="T556" s="7"/>
    </row>
    <row r="557" spans="2:20" x14ac:dyDescent="0.3">
      <c r="B557" s="18" t="s">
        <v>1408</v>
      </c>
      <c r="C557" s="13">
        <v>44</v>
      </c>
      <c r="D557" s="21" t="s">
        <v>1409</v>
      </c>
      <c r="E557" s="24">
        <v>9</v>
      </c>
      <c r="G557" s="2">
        <f t="shared" si="70"/>
        <v>538</v>
      </c>
      <c r="H557" s="5">
        <v>0</v>
      </c>
      <c r="I557" s="13">
        <v>32</v>
      </c>
      <c r="L557" s="4"/>
      <c r="M557" s="7"/>
      <c r="O557" s="7"/>
      <c r="T557" s="7"/>
    </row>
    <row r="558" spans="2:20" x14ac:dyDescent="0.3">
      <c r="B558" s="18" t="s">
        <v>1410</v>
      </c>
      <c r="C558" s="13">
        <v>43</v>
      </c>
      <c r="D558" s="21" t="s">
        <v>1411</v>
      </c>
      <c r="E558" s="24">
        <v>8</v>
      </c>
      <c r="G558" s="2">
        <f t="shared" si="70"/>
        <v>539</v>
      </c>
      <c r="H558" s="5">
        <v>0</v>
      </c>
      <c r="I558" s="13">
        <v>32</v>
      </c>
      <c r="L558" s="4"/>
      <c r="M558" s="7"/>
      <c r="O558" s="7"/>
      <c r="T558" s="7"/>
    </row>
    <row r="559" spans="2:20" x14ac:dyDescent="0.3">
      <c r="B559" s="18" t="s">
        <v>1412</v>
      </c>
      <c r="C559" s="13">
        <v>42</v>
      </c>
      <c r="D559" s="21" t="s">
        <v>1413</v>
      </c>
      <c r="E559" s="24">
        <v>7</v>
      </c>
      <c r="G559" s="2">
        <f t="shared" si="70"/>
        <v>540</v>
      </c>
      <c r="H559" s="5">
        <v>0</v>
      </c>
      <c r="I559" s="13">
        <v>32</v>
      </c>
      <c r="L559" s="4"/>
      <c r="M559" s="7"/>
      <c r="O559" s="7"/>
      <c r="T559" s="7"/>
    </row>
    <row r="560" spans="2:20" x14ac:dyDescent="0.3">
      <c r="B560" s="18" t="s">
        <v>1414</v>
      </c>
      <c r="C560" s="13">
        <v>41</v>
      </c>
      <c r="D560" s="21" t="s">
        <v>1415</v>
      </c>
      <c r="E560" s="24">
        <v>6</v>
      </c>
      <c r="G560" s="2">
        <f t="shared" si="70"/>
        <v>541</v>
      </c>
      <c r="H560" s="5">
        <v>0</v>
      </c>
      <c r="I560" s="13">
        <v>32</v>
      </c>
      <c r="L560" s="4"/>
      <c r="M560" s="7"/>
      <c r="O560" s="7"/>
      <c r="T560" s="7"/>
    </row>
    <row r="561" spans="2:20" x14ac:dyDescent="0.3">
      <c r="B561" s="18" t="s">
        <v>1416</v>
      </c>
      <c r="C561" s="13">
        <v>40</v>
      </c>
      <c r="D561" s="21" t="s">
        <v>1417</v>
      </c>
      <c r="E561" s="24">
        <v>5</v>
      </c>
      <c r="G561" s="2">
        <f t="shared" si="70"/>
        <v>542</v>
      </c>
      <c r="H561" s="5">
        <v>0</v>
      </c>
      <c r="I561" s="13">
        <v>32</v>
      </c>
      <c r="L561" s="4"/>
      <c r="M561" s="7"/>
      <c r="O561" s="7"/>
      <c r="T561" s="7"/>
    </row>
    <row r="562" spans="2:20" x14ac:dyDescent="0.3">
      <c r="B562" s="18" t="s">
        <v>1418</v>
      </c>
      <c r="C562" s="13">
        <v>39</v>
      </c>
      <c r="D562" s="21" t="s">
        <v>1419</v>
      </c>
      <c r="E562" s="24">
        <v>4</v>
      </c>
      <c r="G562" s="2">
        <f t="shared" si="70"/>
        <v>543</v>
      </c>
      <c r="H562" s="5">
        <v>0</v>
      </c>
      <c r="I562" s="13">
        <v>32</v>
      </c>
      <c r="L562" s="4"/>
      <c r="M562" s="7"/>
      <c r="O562" s="7"/>
      <c r="T562" s="7"/>
    </row>
    <row r="563" spans="2:20" x14ac:dyDescent="0.3">
      <c r="B563" s="18" t="s">
        <v>1420</v>
      </c>
      <c r="C563" s="13">
        <v>38</v>
      </c>
      <c r="D563" s="21" t="s">
        <v>1421</v>
      </c>
      <c r="E563" s="24">
        <v>31</v>
      </c>
      <c r="G563" s="2">
        <f t="shared" si="70"/>
        <v>544</v>
      </c>
      <c r="H563" s="5">
        <v>0</v>
      </c>
      <c r="I563" s="13">
        <v>32</v>
      </c>
      <c r="L563" s="4"/>
      <c r="M563" s="7"/>
      <c r="O563" s="7"/>
      <c r="T563" s="7"/>
    </row>
    <row r="564" spans="2:20" x14ac:dyDescent="0.3">
      <c r="B564" s="18" t="s">
        <v>1422</v>
      </c>
      <c r="C564" s="13">
        <v>37</v>
      </c>
      <c r="D564" s="21" t="s">
        <v>1423</v>
      </c>
      <c r="E564" s="24">
        <v>30</v>
      </c>
      <c r="G564" s="2">
        <f t="shared" si="70"/>
        <v>545</v>
      </c>
      <c r="H564" s="5">
        <v>0</v>
      </c>
      <c r="I564" s="13">
        <v>32</v>
      </c>
      <c r="L564" s="4"/>
      <c r="M564" s="7"/>
      <c r="O564" s="7"/>
      <c r="T564" s="7"/>
    </row>
    <row r="565" spans="2:20" x14ac:dyDescent="0.3">
      <c r="B565" s="18" t="s">
        <v>1424</v>
      </c>
      <c r="C565" s="13">
        <v>36</v>
      </c>
      <c r="D565" s="21" t="s">
        <v>1425</v>
      </c>
      <c r="E565" s="24">
        <v>3</v>
      </c>
      <c r="G565" s="2">
        <f t="shared" si="70"/>
        <v>546</v>
      </c>
      <c r="H565" s="5">
        <v>0</v>
      </c>
      <c r="I565" s="13">
        <v>32</v>
      </c>
      <c r="L565" s="4"/>
      <c r="M565" s="7"/>
      <c r="O565" s="7"/>
      <c r="T565" s="7"/>
    </row>
    <row r="566" spans="2:20" x14ac:dyDescent="0.3">
      <c r="B566" s="18" t="s">
        <v>1426</v>
      </c>
      <c r="C566" s="13">
        <v>53</v>
      </c>
      <c r="D566" s="21" t="s">
        <v>1427</v>
      </c>
      <c r="E566" s="24">
        <v>29</v>
      </c>
      <c r="G566" s="2">
        <f t="shared" si="70"/>
        <v>547</v>
      </c>
      <c r="H566" s="5">
        <v>0</v>
      </c>
      <c r="I566" s="13">
        <v>32</v>
      </c>
      <c r="L566" s="4"/>
      <c r="M566" s="7"/>
      <c r="O566" s="7"/>
      <c r="T566" s="7"/>
    </row>
    <row r="567" spans="2:20" x14ac:dyDescent="0.3">
      <c r="B567" s="18" t="s">
        <v>1428</v>
      </c>
      <c r="C567" s="13">
        <v>35</v>
      </c>
      <c r="D567" s="21" t="s">
        <v>1429</v>
      </c>
      <c r="E567" s="24">
        <v>28</v>
      </c>
      <c r="G567" s="2">
        <f t="shared" si="70"/>
        <v>548</v>
      </c>
      <c r="H567" s="5">
        <v>0</v>
      </c>
      <c r="I567" s="13">
        <v>32</v>
      </c>
      <c r="L567" s="4"/>
      <c r="M567" s="7"/>
      <c r="O567" s="7"/>
      <c r="T567" s="7"/>
    </row>
    <row r="568" spans="2:20" x14ac:dyDescent="0.3">
      <c r="B568" s="18" t="s">
        <v>1430</v>
      </c>
      <c r="C568" s="13">
        <v>34</v>
      </c>
      <c r="D568" s="21" t="s">
        <v>1431</v>
      </c>
      <c r="E568" s="24">
        <v>27</v>
      </c>
      <c r="G568" s="2">
        <f t="shared" si="70"/>
        <v>549</v>
      </c>
      <c r="H568" s="5">
        <v>0</v>
      </c>
      <c r="I568" s="13">
        <v>32</v>
      </c>
      <c r="L568" s="4"/>
      <c r="M568" s="7"/>
      <c r="O568" s="7"/>
      <c r="T568" s="7"/>
    </row>
    <row r="569" spans="2:20" x14ac:dyDescent="0.3">
      <c r="B569" s="18" t="s">
        <v>1432</v>
      </c>
      <c r="C569" s="13">
        <v>33</v>
      </c>
      <c r="D569" s="21" t="s">
        <v>1433</v>
      </c>
      <c r="E569" s="24">
        <v>26</v>
      </c>
      <c r="G569" s="2">
        <f t="shared" si="70"/>
        <v>550</v>
      </c>
      <c r="H569" s="5">
        <v>0</v>
      </c>
      <c r="I569" s="13">
        <v>32</v>
      </c>
      <c r="L569" s="4"/>
      <c r="M569" s="7"/>
      <c r="O569" s="7"/>
      <c r="T569" s="7"/>
    </row>
    <row r="570" spans="2:20" x14ac:dyDescent="0.3">
      <c r="B570" s="18" t="s">
        <v>1434</v>
      </c>
      <c r="C570" s="13">
        <v>32</v>
      </c>
      <c r="D570" s="21" t="s">
        <v>1435</v>
      </c>
      <c r="E570" s="24">
        <v>25</v>
      </c>
      <c r="G570" s="2">
        <f t="shared" si="70"/>
        <v>551</v>
      </c>
      <c r="H570" s="5">
        <v>0</v>
      </c>
      <c r="I570" s="13">
        <v>32</v>
      </c>
      <c r="L570" s="4"/>
      <c r="M570" s="7"/>
      <c r="O570" s="7"/>
      <c r="T570" s="7"/>
    </row>
    <row r="571" spans="2:20" x14ac:dyDescent="0.3">
      <c r="B571" s="18" t="s">
        <v>1436</v>
      </c>
      <c r="C571" s="13">
        <v>31</v>
      </c>
      <c r="D571" s="21" t="s">
        <v>1437</v>
      </c>
      <c r="E571" s="24">
        <v>24</v>
      </c>
      <c r="G571" s="2">
        <f t="shared" si="70"/>
        <v>552</v>
      </c>
      <c r="H571" s="5">
        <v>0</v>
      </c>
      <c r="I571" s="13">
        <v>32</v>
      </c>
      <c r="L571" s="4"/>
      <c r="M571" s="7"/>
      <c r="O571" s="7"/>
      <c r="T571" s="7"/>
    </row>
    <row r="572" spans="2:20" x14ac:dyDescent="0.3">
      <c r="B572" s="18" t="s">
        <v>1438</v>
      </c>
      <c r="C572" s="13">
        <v>30</v>
      </c>
      <c r="D572" s="21" t="s">
        <v>1439</v>
      </c>
      <c r="E572" s="24">
        <v>23</v>
      </c>
      <c r="G572" s="2">
        <f t="shared" si="70"/>
        <v>553</v>
      </c>
      <c r="H572" s="5">
        <v>0</v>
      </c>
      <c r="I572" s="13">
        <v>32</v>
      </c>
      <c r="L572" s="4"/>
      <c r="M572" s="7"/>
      <c r="O572" s="7"/>
      <c r="T572" s="7"/>
    </row>
    <row r="573" spans="2:20" x14ac:dyDescent="0.3">
      <c r="B573" s="18" t="s">
        <v>1440</v>
      </c>
      <c r="C573" s="13">
        <v>29</v>
      </c>
      <c r="D573" s="21" t="s">
        <v>1441</v>
      </c>
      <c r="E573" s="24">
        <v>22</v>
      </c>
      <c r="G573" s="2">
        <f t="shared" si="70"/>
        <v>554</v>
      </c>
      <c r="H573" s="5">
        <v>0</v>
      </c>
      <c r="I573" s="13">
        <v>32</v>
      </c>
      <c r="L573" s="4"/>
      <c r="M573" s="7"/>
      <c r="O573" s="7"/>
      <c r="T573" s="7"/>
    </row>
    <row r="574" spans="2:20" x14ac:dyDescent="0.3">
      <c r="B574" s="18" t="s">
        <v>1442</v>
      </c>
      <c r="C574" s="13">
        <v>28</v>
      </c>
      <c r="D574" s="21" t="s">
        <v>1443</v>
      </c>
      <c r="E574" s="24">
        <v>21</v>
      </c>
      <c r="G574" s="2">
        <f t="shared" si="70"/>
        <v>555</v>
      </c>
      <c r="H574" s="5">
        <v>0</v>
      </c>
      <c r="I574" s="13">
        <v>32</v>
      </c>
      <c r="L574" s="4"/>
      <c r="M574" s="7"/>
      <c r="O574" s="7"/>
      <c r="T574" s="7"/>
    </row>
    <row r="575" spans="2:20" x14ac:dyDescent="0.3">
      <c r="B575" s="18" t="s">
        <v>1444</v>
      </c>
      <c r="C575" s="13">
        <v>52</v>
      </c>
      <c r="D575" s="21" t="s">
        <v>1445</v>
      </c>
      <c r="E575" s="24">
        <v>20</v>
      </c>
      <c r="G575" s="2">
        <f t="shared" si="70"/>
        <v>556</v>
      </c>
      <c r="H575" s="5">
        <v>0</v>
      </c>
      <c r="I575" s="13">
        <v>32</v>
      </c>
      <c r="L575" s="4"/>
      <c r="M575" s="7"/>
      <c r="O575" s="7"/>
      <c r="T575" s="7"/>
    </row>
    <row r="576" spans="2:20" x14ac:dyDescent="0.3">
      <c r="B576" s="18" t="s">
        <v>1446</v>
      </c>
      <c r="C576" s="13">
        <v>51</v>
      </c>
      <c r="D576" s="21" t="s">
        <v>1447</v>
      </c>
      <c r="E576" s="24">
        <v>2</v>
      </c>
      <c r="G576" s="2">
        <f t="shared" si="70"/>
        <v>557</v>
      </c>
      <c r="H576" s="5">
        <v>0</v>
      </c>
      <c r="I576" s="13">
        <v>32</v>
      </c>
      <c r="L576" s="4"/>
      <c r="M576" s="7"/>
      <c r="O576" s="7"/>
      <c r="T576" s="7"/>
    </row>
    <row r="577" spans="2:20" x14ac:dyDescent="0.3">
      <c r="B577" s="18" t="s">
        <v>1448</v>
      </c>
      <c r="C577" s="13">
        <v>50</v>
      </c>
      <c r="D577" s="21" t="s">
        <v>1449</v>
      </c>
      <c r="E577" s="24">
        <v>19</v>
      </c>
      <c r="G577" s="2">
        <f t="shared" si="70"/>
        <v>558</v>
      </c>
      <c r="H577" s="5">
        <v>0</v>
      </c>
      <c r="I577" s="13">
        <v>32</v>
      </c>
      <c r="L577" s="4"/>
      <c r="M577" s="7"/>
      <c r="O577" s="7"/>
      <c r="T577" s="7"/>
    </row>
    <row r="578" spans="2:20" x14ac:dyDescent="0.3">
      <c r="B578" s="18" t="s">
        <v>1450</v>
      </c>
      <c r="C578" s="13">
        <v>49</v>
      </c>
      <c r="D578" s="21" t="s">
        <v>1451</v>
      </c>
      <c r="E578" s="24">
        <v>18</v>
      </c>
      <c r="G578" s="2">
        <f t="shared" si="70"/>
        <v>559</v>
      </c>
      <c r="H578" s="5">
        <v>0</v>
      </c>
      <c r="I578" s="13">
        <v>32</v>
      </c>
      <c r="L578" s="4"/>
      <c r="M578" s="7"/>
      <c r="O578" s="7"/>
      <c r="T578" s="7"/>
    </row>
    <row r="579" spans="2:20" x14ac:dyDescent="0.3">
      <c r="B579" s="18" t="s">
        <v>1452</v>
      </c>
      <c r="C579" s="13">
        <v>48</v>
      </c>
      <c r="D579" s="21" t="s">
        <v>1453</v>
      </c>
      <c r="E579" s="24">
        <v>17</v>
      </c>
      <c r="G579" s="2">
        <f t="shared" si="70"/>
        <v>560</v>
      </c>
      <c r="H579" s="5">
        <v>0</v>
      </c>
      <c r="I579" s="13">
        <v>32</v>
      </c>
      <c r="L579" s="4"/>
      <c r="M579" s="7"/>
      <c r="O579" s="7"/>
      <c r="T579" s="7"/>
    </row>
    <row r="580" spans="2:20" x14ac:dyDescent="0.3">
      <c r="B580" s="18" t="s">
        <v>1454</v>
      </c>
      <c r="C580" s="13">
        <v>47</v>
      </c>
      <c r="D580" s="21" t="s">
        <v>1455</v>
      </c>
      <c r="E580" s="24">
        <v>16</v>
      </c>
      <c r="G580" s="2">
        <f t="shared" si="70"/>
        <v>561</v>
      </c>
      <c r="H580" s="5">
        <v>0</v>
      </c>
      <c r="I580" s="13">
        <v>32</v>
      </c>
      <c r="L580" s="4"/>
      <c r="M580" s="7"/>
      <c r="O580" s="7"/>
      <c r="T580" s="7"/>
    </row>
    <row r="581" spans="2:20" x14ac:dyDescent="0.3">
      <c r="B581" s="18" t="s">
        <v>1456</v>
      </c>
      <c r="C581" s="13">
        <v>46</v>
      </c>
      <c r="D581" s="21" t="s">
        <v>1457</v>
      </c>
      <c r="E581" s="24">
        <v>15</v>
      </c>
      <c r="G581" s="2">
        <f t="shared" si="70"/>
        <v>562</v>
      </c>
      <c r="H581" s="5">
        <v>0</v>
      </c>
      <c r="I581" s="13">
        <v>32</v>
      </c>
      <c r="L581" s="4"/>
      <c r="M581" s="7"/>
      <c r="O581" s="7"/>
      <c r="T581" s="7"/>
    </row>
    <row r="582" spans="2:20" x14ac:dyDescent="0.3">
      <c r="B582" s="18" t="s">
        <v>1458</v>
      </c>
      <c r="C582" s="13">
        <v>55</v>
      </c>
      <c r="D582" s="21" t="s">
        <v>1459</v>
      </c>
      <c r="E582" s="24">
        <v>14</v>
      </c>
      <c r="G582" s="2">
        <f t="shared" si="70"/>
        <v>563</v>
      </c>
      <c r="H582" s="5">
        <v>0</v>
      </c>
      <c r="I582" s="13">
        <v>32</v>
      </c>
      <c r="L582" s="4"/>
      <c r="M582" s="7"/>
      <c r="O582" s="7"/>
      <c r="T582" s="7"/>
    </row>
    <row r="583" spans="2:20" x14ac:dyDescent="0.3">
      <c r="B583" s="18" t="s">
        <v>1460</v>
      </c>
      <c r="C583" s="13">
        <v>64</v>
      </c>
      <c r="D583" s="21" t="s">
        <v>1461</v>
      </c>
      <c r="E583" s="24">
        <v>13</v>
      </c>
      <c r="G583" s="2">
        <f t="shared" si="70"/>
        <v>564</v>
      </c>
      <c r="H583" s="5">
        <v>0</v>
      </c>
      <c r="I583" s="13">
        <v>32</v>
      </c>
      <c r="L583" s="4"/>
      <c r="M583" s="7"/>
      <c r="O583" s="7"/>
      <c r="T583" s="7"/>
    </row>
    <row r="584" spans="2:20" x14ac:dyDescent="0.3">
      <c r="B584" s="18" t="s">
        <v>1462</v>
      </c>
      <c r="C584" s="13">
        <v>65</v>
      </c>
      <c r="D584" s="21" t="s">
        <v>1463</v>
      </c>
      <c r="E584" s="24">
        <v>12</v>
      </c>
      <c r="G584" s="2">
        <f t="shared" si="70"/>
        <v>565</v>
      </c>
      <c r="H584" s="5">
        <v>0</v>
      </c>
      <c r="I584" s="13">
        <v>32</v>
      </c>
      <c r="L584" s="4"/>
      <c r="M584" s="7"/>
      <c r="O584" s="7"/>
      <c r="T584" s="7"/>
    </row>
    <row r="585" spans="2:20" x14ac:dyDescent="0.3">
      <c r="B585" s="18" t="s">
        <v>1464</v>
      </c>
      <c r="C585" s="13">
        <v>66</v>
      </c>
      <c r="D585" s="21" t="s">
        <v>1465</v>
      </c>
      <c r="E585" s="24">
        <v>11</v>
      </c>
      <c r="G585" s="2">
        <f t="shared" si="70"/>
        <v>566</v>
      </c>
      <c r="H585" s="5">
        <v>0</v>
      </c>
      <c r="I585" s="13">
        <v>32</v>
      </c>
      <c r="L585" s="4"/>
      <c r="M585" s="7"/>
      <c r="O585" s="7"/>
      <c r="T585" s="7"/>
    </row>
    <row r="586" spans="2:20" x14ac:dyDescent="0.3">
      <c r="B586" s="18" t="s">
        <v>1466</v>
      </c>
      <c r="C586" s="13">
        <v>67</v>
      </c>
      <c r="D586" s="21" t="s">
        <v>1467</v>
      </c>
      <c r="E586" s="24">
        <v>10</v>
      </c>
      <c r="G586" s="2">
        <f t="shared" si="70"/>
        <v>567</v>
      </c>
      <c r="H586" s="5">
        <v>0</v>
      </c>
      <c r="I586" s="13">
        <v>32</v>
      </c>
      <c r="L586" s="4"/>
      <c r="M586" s="7"/>
      <c r="O586" s="7"/>
      <c r="T586" s="7"/>
    </row>
    <row r="587" spans="2:20" x14ac:dyDescent="0.3">
      <c r="B587" s="18" t="s">
        <v>1468</v>
      </c>
      <c r="C587" s="13">
        <v>68</v>
      </c>
      <c r="D587" s="21" t="s">
        <v>1469</v>
      </c>
      <c r="E587" s="24">
        <v>1</v>
      </c>
      <c r="G587" s="2">
        <f t="shared" si="70"/>
        <v>568</v>
      </c>
      <c r="H587" s="5">
        <v>0</v>
      </c>
      <c r="I587" s="13">
        <v>32</v>
      </c>
      <c r="L587" s="4"/>
      <c r="M587" s="7"/>
      <c r="O587" s="7"/>
      <c r="T587" s="7"/>
    </row>
    <row r="588" spans="2:20" x14ac:dyDescent="0.3">
      <c r="B588" s="18" t="s">
        <v>1470</v>
      </c>
      <c r="C588" s="13">
        <v>69</v>
      </c>
      <c r="D588" s="21" t="s">
        <v>1471</v>
      </c>
      <c r="E588" s="24">
        <v>82</v>
      </c>
      <c r="G588" s="2">
        <f t="shared" ref="G588:G651" si="71">G587+1</f>
        <v>569</v>
      </c>
      <c r="H588" s="5">
        <v>0</v>
      </c>
      <c r="I588" s="13">
        <v>32</v>
      </c>
      <c r="L588" s="4"/>
      <c r="M588" s="7"/>
      <c r="O588" s="7"/>
      <c r="T588" s="7"/>
    </row>
    <row r="589" spans="2:20" x14ac:dyDescent="0.3">
      <c r="B589" s="18" t="s">
        <v>1472</v>
      </c>
      <c r="C589" s="13">
        <v>70</v>
      </c>
      <c r="D589" s="21" t="s">
        <v>1473</v>
      </c>
      <c r="E589" s="24">
        <v>83</v>
      </c>
      <c r="G589" s="2">
        <f t="shared" si="71"/>
        <v>570</v>
      </c>
      <c r="H589" s="5">
        <v>0</v>
      </c>
      <c r="I589" s="13">
        <v>32</v>
      </c>
      <c r="L589" s="4"/>
      <c r="M589" s="7"/>
      <c r="O589" s="7"/>
      <c r="T589" s="7"/>
    </row>
    <row r="590" spans="2:20" x14ac:dyDescent="0.3">
      <c r="B590" s="18" t="s">
        <v>1474</v>
      </c>
      <c r="C590" s="13">
        <v>71</v>
      </c>
      <c r="D590" s="21" t="s">
        <v>1475</v>
      </c>
      <c r="E590" s="24">
        <v>84</v>
      </c>
      <c r="G590" s="2">
        <f t="shared" si="71"/>
        <v>571</v>
      </c>
      <c r="H590" s="5">
        <v>0</v>
      </c>
      <c r="I590" s="13">
        <v>32</v>
      </c>
      <c r="L590" s="4"/>
      <c r="M590" s="7"/>
      <c r="O590" s="7"/>
      <c r="T590" s="7"/>
    </row>
    <row r="591" spans="2:20" x14ac:dyDescent="0.3">
      <c r="B591" s="18" t="s">
        <v>1476</v>
      </c>
      <c r="C591" s="13">
        <v>72</v>
      </c>
      <c r="D591" s="21" t="s">
        <v>1477</v>
      </c>
      <c r="E591" s="24">
        <v>85</v>
      </c>
      <c r="G591" s="2">
        <f t="shared" si="71"/>
        <v>572</v>
      </c>
      <c r="H591" s="5">
        <v>0</v>
      </c>
      <c r="I591" s="13">
        <v>32</v>
      </c>
      <c r="L591" s="4"/>
      <c r="M591" s="7"/>
      <c r="O591" s="7"/>
      <c r="T591" s="7"/>
    </row>
    <row r="592" spans="2:20" x14ac:dyDescent="0.3">
      <c r="B592" s="18" t="s">
        <v>1478</v>
      </c>
      <c r="C592" s="13">
        <v>73</v>
      </c>
      <c r="D592" s="21" t="s">
        <v>1479</v>
      </c>
      <c r="E592" s="24">
        <v>86</v>
      </c>
      <c r="G592" s="2">
        <f t="shared" si="71"/>
        <v>573</v>
      </c>
      <c r="H592" s="5">
        <v>0</v>
      </c>
      <c r="I592" s="13">
        <v>32</v>
      </c>
      <c r="L592" s="4"/>
      <c r="M592" s="7"/>
      <c r="O592" s="7"/>
      <c r="T592" s="7"/>
    </row>
    <row r="593" spans="2:20" x14ac:dyDescent="0.3">
      <c r="B593" s="18" t="s">
        <v>1480</v>
      </c>
      <c r="C593" s="13">
        <v>56</v>
      </c>
      <c r="D593" s="21" t="s">
        <v>1481</v>
      </c>
      <c r="E593" s="24">
        <v>87</v>
      </c>
      <c r="G593" s="2">
        <f t="shared" si="71"/>
        <v>574</v>
      </c>
      <c r="H593" s="5">
        <v>0</v>
      </c>
      <c r="I593" s="13">
        <v>32</v>
      </c>
      <c r="L593" s="4"/>
      <c r="M593" s="7"/>
      <c r="O593" s="7"/>
      <c r="T593" s="7"/>
    </row>
    <row r="594" spans="2:20" x14ac:dyDescent="0.3">
      <c r="B594" s="18" t="s">
        <v>1482</v>
      </c>
      <c r="C594" s="13">
        <v>74</v>
      </c>
      <c r="D594" s="21" t="s">
        <v>1483</v>
      </c>
      <c r="E594" s="24">
        <v>61</v>
      </c>
      <c r="G594" s="2">
        <f t="shared" si="71"/>
        <v>575</v>
      </c>
      <c r="H594" s="5">
        <v>0</v>
      </c>
      <c r="I594" s="13">
        <v>32</v>
      </c>
      <c r="L594" s="4"/>
      <c r="M594" s="7"/>
      <c r="O594" s="7"/>
      <c r="T594" s="7"/>
    </row>
    <row r="595" spans="2:20" x14ac:dyDescent="0.3">
      <c r="B595" s="18" t="s">
        <v>1484</v>
      </c>
      <c r="C595" s="13">
        <v>75</v>
      </c>
      <c r="D595" s="21" t="s">
        <v>1485</v>
      </c>
      <c r="E595" s="24">
        <v>88</v>
      </c>
      <c r="G595" s="2">
        <f t="shared" si="71"/>
        <v>576</v>
      </c>
      <c r="H595" s="5">
        <v>0</v>
      </c>
      <c r="I595" s="13">
        <v>32</v>
      </c>
      <c r="L595" s="4"/>
      <c r="M595" s="7"/>
      <c r="O595" s="7"/>
      <c r="T595" s="7"/>
    </row>
    <row r="596" spans="2:20" x14ac:dyDescent="0.3">
      <c r="B596" s="18" t="s">
        <v>1486</v>
      </c>
      <c r="C596" s="13">
        <v>76</v>
      </c>
      <c r="D596" s="21" t="s">
        <v>1487</v>
      </c>
      <c r="E596" s="24">
        <v>62</v>
      </c>
      <c r="G596" s="2">
        <f t="shared" si="71"/>
        <v>577</v>
      </c>
      <c r="H596" s="5">
        <v>0</v>
      </c>
      <c r="I596" s="13">
        <v>32</v>
      </c>
      <c r="L596" s="4"/>
      <c r="M596" s="7"/>
      <c r="O596" s="7"/>
      <c r="T596" s="7"/>
    </row>
    <row r="597" spans="2:20" x14ac:dyDescent="0.3">
      <c r="B597" s="18" t="s">
        <v>1488</v>
      </c>
      <c r="C597" s="13">
        <v>77</v>
      </c>
      <c r="D597" s="21" t="s">
        <v>1489</v>
      </c>
      <c r="E597" s="24">
        <v>63</v>
      </c>
      <c r="G597" s="2">
        <f t="shared" si="71"/>
        <v>578</v>
      </c>
      <c r="H597" s="5">
        <v>0</v>
      </c>
      <c r="I597" s="13">
        <v>32</v>
      </c>
      <c r="L597" s="4"/>
      <c r="M597" s="7"/>
      <c r="O597" s="7"/>
      <c r="T597" s="7"/>
    </row>
    <row r="598" spans="2:20" x14ac:dyDescent="0.3">
      <c r="B598" s="18" t="s">
        <v>1490</v>
      </c>
      <c r="C598" s="13">
        <v>78</v>
      </c>
      <c r="D598" s="21" t="s">
        <v>1491</v>
      </c>
      <c r="E598" s="24">
        <v>64</v>
      </c>
      <c r="G598" s="2">
        <f t="shared" si="71"/>
        <v>579</v>
      </c>
      <c r="H598" s="5">
        <v>0</v>
      </c>
      <c r="I598" s="13">
        <v>32</v>
      </c>
      <c r="L598" s="4"/>
      <c r="M598" s="7"/>
      <c r="O598" s="7"/>
      <c r="T598" s="7"/>
    </row>
    <row r="599" spans="2:20" x14ac:dyDescent="0.3">
      <c r="B599" s="18" t="s">
        <v>1492</v>
      </c>
      <c r="C599" s="13">
        <v>79</v>
      </c>
      <c r="D599" s="21" t="s">
        <v>1493</v>
      </c>
      <c r="E599" s="24">
        <v>65</v>
      </c>
      <c r="G599" s="2">
        <f t="shared" si="71"/>
        <v>580</v>
      </c>
      <c r="H599" s="5">
        <v>0</v>
      </c>
      <c r="I599" s="13">
        <v>32</v>
      </c>
      <c r="L599" s="4"/>
      <c r="M599" s="7"/>
      <c r="O599" s="7"/>
      <c r="T599" s="7"/>
    </row>
    <row r="600" spans="2:20" x14ac:dyDescent="0.3">
      <c r="B600" s="18" t="s">
        <v>1494</v>
      </c>
      <c r="C600" s="13">
        <v>80</v>
      </c>
      <c r="D600" s="21" t="s">
        <v>1495</v>
      </c>
      <c r="E600" s="24">
        <v>66</v>
      </c>
      <c r="G600" s="2">
        <f t="shared" si="71"/>
        <v>581</v>
      </c>
      <c r="H600" s="5">
        <v>0</v>
      </c>
      <c r="I600" s="13">
        <v>32</v>
      </c>
      <c r="L600" s="4"/>
      <c r="M600" s="7"/>
      <c r="O600" s="7"/>
      <c r="T600" s="7"/>
    </row>
    <row r="601" spans="2:20" x14ac:dyDescent="0.3">
      <c r="B601" s="18" t="s">
        <v>1496</v>
      </c>
      <c r="C601" s="13">
        <v>81</v>
      </c>
      <c r="D601" s="21" t="s">
        <v>1497</v>
      </c>
      <c r="E601" s="24">
        <v>67</v>
      </c>
      <c r="G601" s="2">
        <f t="shared" si="71"/>
        <v>582</v>
      </c>
      <c r="H601" s="5">
        <v>0</v>
      </c>
      <c r="I601" s="13">
        <v>32</v>
      </c>
      <c r="L601" s="4"/>
      <c r="M601" s="7"/>
      <c r="O601" s="7"/>
      <c r="T601" s="7"/>
    </row>
    <row r="602" spans="2:20" x14ac:dyDescent="0.3">
      <c r="B602" s="18" t="s">
        <v>1498</v>
      </c>
      <c r="C602" s="13">
        <v>57</v>
      </c>
      <c r="D602" s="21" t="s">
        <v>1499</v>
      </c>
      <c r="E602" s="24">
        <v>68</v>
      </c>
      <c r="G602" s="2">
        <f t="shared" si="71"/>
        <v>583</v>
      </c>
      <c r="H602" s="5">
        <v>0</v>
      </c>
      <c r="I602" s="13">
        <v>32</v>
      </c>
      <c r="L602" s="4"/>
      <c r="M602" s="7"/>
      <c r="O602" s="7"/>
      <c r="T602" s="7"/>
    </row>
    <row r="603" spans="2:20" x14ac:dyDescent="0.3">
      <c r="B603" s="18" t="s">
        <v>1500</v>
      </c>
      <c r="C603" s="13">
        <v>58</v>
      </c>
      <c r="D603" s="21" t="s">
        <v>1501</v>
      </c>
      <c r="E603" s="24">
        <v>69</v>
      </c>
      <c r="G603" s="2">
        <f t="shared" si="71"/>
        <v>584</v>
      </c>
      <c r="H603" s="5">
        <v>0</v>
      </c>
      <c r="I603" s="13">
        <v>32</v>
      </c>
      <c r="L603" s="4"/>
      <c r="M603" s="7"/>
      <c r="O603" s="7"/>
      <c r="T603" s="7"/>
    </row>
    <row r="604" spans="2:20" x14ac:dyDescent="0.3">
      <c r="B604" s="18" t="s">
        <v>1502</v>
      </c>
      <c r="C604" s="13">
        <v>59</v>
      </c>
      <c r="D604" s="21" t="s">
        <v>1503</v>
      </c>
      <c r="E604" s="24">
        <v>70</v>
      </c>
      <c r="G604" s="2">
        <f t="shared" si="71"/>
        <v>585</v>
      </c>
      <c r="H604" s="5">
        <v>0</v>
      </c>
      <c r="I604" s="13">
        <v>32</v>
      </c>
      <c r="L604" s="4"/>
      <c r="M604" s="7"/>
      <c r="O604" s="7"/>
      <c r="T604" s="7"/>
    </row>
    <row r="605" spans="2:20" x14ac:dyDescent="0.3">
      <c r="B605" s="18" t="s">
        <v>1504</v>
      </c>
      <c r="C605" s="13">
        <v>60</v>
      </c>
      <c r="D605" s="21" t="s">
        <v>1505</v>
      </c>
      <c r="E605" s="24">
        <v>71</v>
      </c>
      <c r="G605" s="2">
        <f t="shared" si="71"/>
        <v>586</v>
      </c>
      <c r="H605" s="5">
        <v>0</v>
      </c>
      <c r="I605" s="13">
        <v>32</v>
      </c>
      <c r="L605" s="4"/>
      <c r="M605" s="7"/>
      <c r="O605" s="7"/>
      <c r="T605" s="7"/>
    </row>
    <row r="606" spans="2:20" x14ac:dyDescent="0.3">
      <c r="B606" s="18" t="s">
        <v>1506</v>
      </c>
      <c r="C606" s="13">
        <v>61</v>
      </c>
      <c r="D606" s="21" t="s">
        <v>1507</v>
      </c>
      <c r="E606" s="24">
        <v>89</v>
      </c>
      <c r="G606" s="2">
        <f t="shared" si="71"/>
        <v>587</v>
      </c>
      <c r="H606" s="5">
        <v>0</v>
      </c>
      <c r="I606" s="13">
        <v>32</v>
      </c>
      <c r="L606" s="4"/>
      <c r="M606" s="7"/>
      <c r="O606" s="7"/>
      <c r="T606" s="7"/>
    </row>
    <row r="607" spans="2:20" x14ac:dyDescent="0.3">
      <c r="B607" s="18" t="s">
        <v>1508</v>
      </c>
      <c r="C607" s="13">
        <v>62</v>
      </c>
      <c r="D607" s="21" t="s">
        <v>1509</v>
      </c>
      <c r="E607" s="24">
        <v>72</v>
      </c>
      <c r="G607" s="2">
        <f t="shared" si="71"/>
        <v>588</v>
      </c>
      <c r="H607" s="5">
        <v>0</v>
      </c>
      <c r="I607" s="13">
        <v>32</v>
      </c>
      <c r="L607" s="4"/>
      <c r="M607" s="7"/>
      <c r="O607" s="7"/>
      <c r="T607" s="7"/>
    </row>
    <row r="608" spans="2:20" x14ac:dyDescent="0.3">
      <c r="B608" s="18" t="s">
        <v>1510</v>
      </c>
      <c r="C608" s="13">
        <v>63</v>
      </c>
      <c r="D608" s="21" t="s">
        <v>1511</v>
      </c>
      <c r="E608" s="24">
        <v>73</v>
      </c>
      <c r="G608" s="2">
        <f t="shared" si="71"/>
        <v>589</v>
      </c>
      <c r="H608" s="5">
        <v>0</v>
      </c>
      <c r="I608" s="13">
        <v>32</v>
      </c>
      <c r="L608" s="4"/>
      <c r="M608" s="7"/>
      <c r="O608" s="7"/>
      <c r="T608" s="7"/>
    </row>
    <row r="609" spans="2:20" x14ac:dyDescent="0.3">
      <c r="B609" s="18" t="s">
        <v>1512</v>
      </c>
      <c r="C609" s="13">
        <v>99</v>
      </c>
      <c r="D609" s="21" t="s">
        <v>1513</v>
      </c>
      <c r="E609" s="24">
        <v>74</v>
      </c>
      <c r="G609" s="2">
        <f t="shared" si="71"/>
        <v>590</v>
      </c>
      <c r="H609" s="5">
        <v>0</v>
      </c>
      <c r="I609" s="13">
        <v>32</v>
      </c>
      <c r="L609" s="4"/>
      <c r="M609" s="7"/>
      <c r="O609" s="7"/>
      <c r="T609" s="7"/>
    </row>
    <row r="610" spans="2:20" x14ac:dyDescent="0.3">
      <c r="B610" s="18" t="s">
        <v>1514</v>
      </c>
      <c r="C610" s="13">
        <v>98</v>
      </c>
      <c r="D610" s="21" t="s">
        <v>1515</v>
      </c>
      <c r="E610" s="24">
        <v>75</v>
      </c>
      <c r="G610" s="2">
        <f t="shared" si="71"/>
        <v>591</v>
      </c>
      <c r="H610" s="5">
        <v>0</v>
      </c>
      <c r="I610" s="13">
        <v>32</v>
      </c>
      <c r="L610" s="4"/>
      <c r="M610" s="7"/>
      <c r="O610" s="7"/>
      <c r="T610" s="7"/>
    </row>
    <row r="611" spans="2:20" x14ac:dyDescent="0.3">
      <c r="B611" s="18" t="s">
        <v>1516</v>
      </c>
      <c r="C611" s="13">
        <v>97</v>
      </c>
      <c r="D611" s="21" t="s">
        <v>1517</v>
      </c>
      <c r="E611" s="24">
        <v>76</v>
      </c>
      <c r="G611" s="2">
        <f t="shared" si="71"/>
        <v>592</v>
      </c>
      <c r="H611" s="5">
        <v>0</v>
      </c>
      <c r="I611" s="13">
        <v>32</v>
      </c>
      <c r="L611" s="4"/>
      <c r="M611" s="7"/>
      <c r="O611" s="7"/>
      <c r="T611" s="7"/>
    </row>
    <row r="612" spans="2:20" x14ac:dyDescent="0.3">
      <c r="B612" s="18" t="s">
        <v>1518</v>
      </c>
      <c r="C612" s="13">
        <v>96</v>
      </c>
      <c r="D612" s="21" t="s">
        <v>1519</v>
      </c>
      <c r="E612" s="24">
        <v>77</v>
      </c>
      <c r="G612" s="2">
        <f t="shared" si="71"/>
        <v>593</v>
      </c>
      <c r="H612" s="5">
        <v>0</v>
      </c>
      <c r="I612" s="13">
        <v>32</v>
      </c>
      <c r="L612" s="4"/>
      <c r="M612" s="7"/>
      <c r="O612" s="7"/>
      <c r="T612" s="7"/>
    </row>
    <row r="613" spans="2:20" x14ac:dyDescent="0.3">
      <c r="B613" s="18" t="s">
        <v>1520</v>
      </c>
      <c r="C613" s="13">
        <v>95</v>
      </c>
      <c r="D613" s="21" t="s">
        <v>1521</v>
      </c>
      <c r="E613" s="24">
        <v>78</v>
      </c>
      <c r="G613" s="2">
        <f t="shared" si="71"/>
        <v>594</v>
      </c>
      <c r="H613" s="5">
        <v>0</v>
      </c>
      <c r="I613" s="13">
        <v>32</v>
      </c>
      <c r="L613" s="4"/>
      <c r="M613" s="7"/>
      <c r="O613" s="7"/>
      <c r="T613" s="7"/>
    </row>
    <row r="614" spans="2:20" x14ac:dyDescent="0.3">
      <c r="B614" s="18" t="s">
        <v>1522</v>
      </c>
      <c r="C614" s="13">
        <v>94</v>
      </c>
      <c r="D614" s="21" t="s">
        <v>1523</v>
      </c>
      <c r="E614" s="24">
        <v>79</v>
      </c>
      <c r="G614" s="2">
        <f t="shared" si="71"/>
        <v>595</v>
      </c>
      <c r="H614" s="5">
        <v>0</v>
      </c>
      <c r="I614" s="13">
        <v>32</v>
      </c>
      <c r="L614" s="4"/>
      <c r="M614" s="7"/>
      <c r="O614" s="7"/>
      <c r="T614" s="7"/>
    </row>
    <row r="615" spans="2:20" x14ac:dyDescent="0.3">
      <c r="B615" s="18" t="s">
        <v>1524</v>
      </c>
      <c r="C615" s="13">
        <v>93</v>
      </c>
      <c r="D615" s="21" t="s">
        <v>1525</v>
      </c>
      <c r="E615" s="24">
        <v>80</v>
      </c>
      <c r="G615" s="2">
        <f t="shared" si="71"/>
        <v>596</v>
      </c>
      <c r="H615" s="5">
        <v>0</v>
      </c>
      <c r="I615" s="13">
        <v>32</v>
      </c>
      <c r="L615" s="4"/>
      <c r="M615" s="7"/>
      <c r="O615" s="7"/>
      <c r="T615" s="7"/>
    </row>
    <row r="616" spans="2:20" x14ac:dyDescent="0.3">
      <c r="B616" s="18" t="s">
        <v>1526</v>
      </c>
      <c r="C616" s="13">
        <v>92</v>
      </c>
      <c r="D616" s="21" t="s">
        <v>1527</v>
      </c>
      <c r="E616" s="24">
        <v>81</v>
      </c>
      <c r="G616" s="2">
        <f t="shared" si="71"/>
        <v>597</v>
      </c>
      <c r="H616" s="5">
        <v>0</v>
      </c>
      <c r="I616" s="13">
        <v>32</v>
      </c>
      <c r="L616" s="4"/>
      <c r="M616" s="7"/>
      <c r="O616" s="7"/>
      <c r="T616" s="7"/>
    </row>
    <row r="617" spans="2:20" x14ac:dyDescent="0.3">
      <c r="B617" s="18" t="s">
        <v>1528</v>
      </c>
      <c r="C617" s="13">
        <v>91</v>
      </c>
      <c r="D617" s="21" t="s">
        <v>1529</v>
      </c>
      <c r="E617" s="24">
        <v>90</v>
      </c>
      <c r="G617" s="2">
        <f t="shared" si="71"/>
        <v>598</v>
      </c>
      <c r="H617" s="5">
        <v>0</v>
      </c>
      <c r="I617" s="13">
        <v>32</v>
      </c>
      <c r="L617" s="4"/>
      <c r="M617" s="7"/>
      <c r="O617" s="7"/>
      <c r="T617" s="7"/>
    </row>
    <row r="618" spans="2:20" x14ac:dyDescent="0.3">
      <c r="B618" s="18" t="s">
        <v>1530</v>
      </c>
      <c r="C618" s="13">
        <v>90</v>
      </c>
      <c r="D618" s="21" t="s">
        <v>1531</v>
      </c>
      <c r="E618" s="24">
        <v>39</v>
      </c>
      <c r="G618" s="2">
        <f t="shared" si="71"/>
        <v>599</v>
      </c>
      <c r="H618" s="5">
        <v>0</v>
      </c>
      <c r="I618" s="13">
        <v>32</v>
      </c>
      <c r="L618" s="4"/>
      <c r="M618" s="7"/>
      <c r="O618" s="7"/>
      <c r="T618" s="7"/>
    </row>
    <row r="619" spans="2:20" x14ac:dyDescent="0.3">
      <c r="B619" s="18" t="s">
        <v>1532</v>
      </c>
      <c r="C619" s="13">
        <v>89</v>
      </c>
      <c r="D619" s="21" t="s">
        <v>1533</v>
      </c>
      <c r="E619" s="24">
        <v>38</v>
      </c>
      <c r="G619" s="2">
        <f t="shared" si="71"/>
        <v>600</v>
      </c>
      <c r="H619" s="5">
        <v>0</v>
      </c>
      <c r="I619" s="13">
        <v>32</v>
      </c>
      <c r="L619" s="4"/>
      <c r="M619" s="7"/>
      <c r="O619" s="7"/>
      <c r="T619" s="7"/>
    </row>
    <row r="620" spans="2:20" x14ac:dyDescent="0.3">
      <c r="B620" s="18" t="s">
        <v>1534</v>
      </c>
      <c r="C620" s="13">
        <v>88</v>
      </c>
      <c r="D620" s="21" t="s">
        <v>1535</v>
      </c>
      <c r="E620" s="24">
        <v>37</v>
      </c>
      <c r="G620" s="2">
        <f t="shared" si="71"/>
        <v>601</v>
      </c>
      <c r="H620" s="5">
        <v>0</v>
      </c>
      <c r="I620" s="13">
        <v>32</v>
      </c>
      <c r="L620" s="4"/>
      <c r="M620" s="7"/>
      <c r="O620" s="7"/>
      <c r="T620" s="7"/>
    </row>
    <row r="621" spans="2:20" x14ac:dyDescent="0.3">
      <c r="B621" s="18" t="s">
        <v>1536</v>
      </c>
      <c r="C621" s="13">
        <v>87</v>
      </c>
      <c r="D621" s="21" t="s">
        <v>1537</v>
      </c>
      <c r="E621" s="24">
        <v>36</v>
      </c>
      <c r="G621" s="2">
        <f t="shared" si="71"/>
        <v>602</v>
      </c>
      <c r="H621" s="5">
        <v>0</v>
      </c>
      <c r="I621" s="13">
        <v>32</v>
      </c>
      <c r="L621" s="4"/>
      <c r="M621" s="7"/>
      <c r="O621" s="7"/>
      <c r="T621" s="7"/>
    </row>
    <row r="622" spans="2:20" x14ac:dyDescent="0.3">
      <c r="B622" s="18" t="s">
        <v>1538</v>
      </c>
      <c r="C622" s="13">
        <v>86</v>
      </c>
      <c r="D622" s="21" t="s">
        <v>1539</v>
      </c>
      <c r="E622" s="24">
        <v>35</v>
      </c>
      <c r="G622" s="2">
        <f t="shared" si="71"/>
        <v>603</v>
      </c>
      <c r="H622" s="5">
        <v>0</v>
      </c>
      <c r="I622" s="13">
        <v>32</v>
      </c>
      <c r="L622" s="4"/>
      <c r="M622" s="7"/>
      <c r="O622" s="7"/>
      <c r="T622" s="7"/>
    </row>
    <row r="623" spans="2:20" x14ac:dyDescent="0.3">
      <c r="B623" s="18" t="s">
        <v>1540</v>
      </c>
      <c r="C623" s="13">
        <v>85</v>
      </c>
      <c r="D623" s="21" t="s">
        <v>1541</v>
      </c>
      <c r="E623" s="24">
        <v>34</v>
      </c>
      <c r="G623" s="2">
        <f t="shared" si="71"/>
        <v>604</v>
      </c>
      <c r="H623" s="5">
        <v>0</v>
      </c>
      <c r="I623" s="13">
        <v>32</v>
      </c>
      <c r="L623" s="4"/>
      <c r="M623" s="7"/>
      <c r="O623" s="7"/>
      <c r="T623" s="7"/>
    </row>
    <row r="624" spans="2:20" x14ac:dyDescent="0.3">
      <c r="B624" s="18" t="s">
        <v>1542</v>
      </c>
      <c r="C624" s="13">
        <v>84</v>
      </c>
      <c r="D624" s="21" t="s">
        <v>1543</v>
      </c>
      <c r="E624" s="24">
        <v>60</v>
      </c>
      <c r="G624" s="2">
        <f t="shared" si="71"/>
        <v>605</v>
      </c>
      <c r="H624" s="5">
        <v>0</v>
      </c>
      <c r="I624" s="13">
        <v>32</v>
      </c>
      <c r="L624" s="4"/>
      <c r="M624" s="7"/>
      <c r="O624" s="7"/>
      <c r="T624" s="7"/>
    </row>
    <row r="625" spans="2:20" x14ac:dyDescent="0.3">
      <c r="B625" s="18" t="s">
        <v>1544</v>
      </c>
      <c r="C625" s="13">
        <v>83</v>
      </c>
      <c r="D625" s="21" t="s">
        <v>1545</v>
      </c>
      <c r="E625" s="24">
        <v>33</v>
      </c>
      <c r="G625" s="2">
        <f t="shared" si="71"/>
        <v>606</v>
      </c>
      <c r="H625" s="5">
        <v>0</v>
      </c>
      <c r="I625" s="13">
        <v>32</v>
      </c>
      <c r="L625" s="4"/>
      <c r="M625" s="7"/>
      <c r="O625" s="7"/>
      <c r="T625" s="7"/>
    </row>
    <row r="626" spans="2:20" x14ac:dyDescent="0.3">
      <c r="B626" s="18" t="s">
        <v>1546</v>
      </c>
      <c r="C626" s="13">
        <v>82</v>
      </c>
      <c r="D626" s="21" t="s">
        <v>1547</v>
      </c>
      <c r="E626" s="24">
        <v>59</v>
      </c>
      <c r="G626" s="2">
        <f t="shared" si="71"/>
        <v>607</v>
      </c>
      <c r="H626" s="5">
        <v>0</v>
      </c>
      <c r="I626" s="13">
        <v>32</v>
      </c>
      <c r="L626" s="4"/>
      <c r="M626" s="7"/>
      <c r="O626" s="7"/>
      <c r="T626" s="7"/>
    </row>
    <row r="627" spans="2:20" x14ac:dyDescent="0.3">
      <c r="B627" s="18" t="s">
        <v>1548</v>
      </c>
      <c r="C627" s="13">
        <v>105</v>
      </c>
      <c r="D627" s="21" t="s">
        <v>1549</v>
      </c>
      <c r="E627" s="24">
        <v>58</v>
      </c>
      <c r="G627" s="2">
        <f t="shared" si="71"/>
        <v>608</v>
      </c>
      <c r="H627" s="5">
        <v>0</v>
      </c>
      <c r="I627" s="13">
        <v>32</v>
      </c>
      <c r="L627" s="4"/>
      <c r="M627" s="7"/>
      <c r="O627" s="7"/>
      <c r="T627" s="7"/>
    </row>
    <row r="628" spans="2:20" x14ac:dyDescent="0.3">
      <c r="B628" s="18" t="s">
        <v>1550</v>
      </c>
      <c r="C628" s="13">
        <v>104</v>
      </c>
      <c r="D628" s="21" t="s">
        <v>1551</v>
      </c>
      <c r="E628" s="24">
        <v>57</v>
      </c>
      <c r="G628" s="2">
        <f t="shared" si="71"/>
        <v>609</v>
      </c>
      <c r="H628" s="5">
        <v>0</v>
      </c>
      <c r="I628" s="13">
        <v>32</v>
      </c>
      <c r="L628" s="4"/>
      <c r="M628" s="7"/>
      <c r="O628" s="7"/>
      <c r="T628" s="7"/>
    </row>
    <row r="629" spans="2:20" x14ac:dyDescent="0.3">
      <c r="B629" s="18" t="s">
        <v>1552</v>
      </c>
      <c r="C629" s="13">
        <v>103</v>
      </c>
      <c r="D629" s="21" t="s">
        <v>1553</v>
      </c>
      <c r="E629" s="24">
        <v>56</v>
      </c>
      <c r="G629" s="2">
        <f t="shared" si="71"/>
        <v>610</v>
      </c>
      <c r="H629" s="5">
        <v>0</v>
      </c>
      <c r="I629" s="13">
        <v>32</v>
      </c>
      <c r="L629" s="4"/>
      <c r="M629" s="7"/>
      <c r="O629" s="7"/>
      <c r="T629" s="7"/>
    </row>
    <row r="630" spans="2:20" x14ac:dyDescent="0.3">
      <c r="B630" s="18" t="s">
        <v>1554</v>
      </c>
      <c r="C630" s="13">
        <v>102</v>
      </c>
      <c r="D630" s="21" t="s">
        <v>1555</v>
      </c>
      <c r="E630" s="24">
        <v>55</v>
      </c>
      <c r="G630" s="2">
        <f t="shared" si="71"/>
        <v>611</v>
      </c>
      <c r="H630" s="5">
        <v>0</v>
      </c>
      <c r="I630" s="13">
        <v>32</v>
      </c>
      <c r="L630" s="4"/>
      <c r="M630" s="7"/>
      <c r="O630" s="7"/>
      <c r="T630" s="7"/>
    </row>
    <row r="631" spans="2:20" x14ac:dyDescent="0.3">
      <c r="B631" s="18" t="s">
        <v>1556</v>
      </c>
      <c r="C631" s="13">
        <v>101</v>
      </c>
      <c r="D631" s="21" t="s">
        <v>1557</v>
      </c>
      <c r="E631" s="24">
        <v>54</v>
      </c>
      <c r="G631" s="2">
        <f t="shared" si="71"/>
        <v>612</v>
      </c>
      <c r="H631" s="5">
        <v>0</v>
      </c>
      <c r="I631" s="13">
        <v>32</v>
      </c>
      <c r="L631" s="4"/>
      <c r="M631" s="7"/>
      <c r="O631" s="7"/>
      <c r="T631" s="7"/>
    </row>
    <row r="632" spans="2:20" x14ac:dyDescent="0.3">
      <c r="B632" s="18" t="s">
        <v>1558</v>
      </c>
      <c r="C632" s="13">
        <v>100</v>
      </c>
      <c r="D632" s="21" t="s">
        <v>1559</v>
      </c>
      <c r="E632" s="24">
        <v>53</v>
      </c>
      <c r="G632" s="2">
        <f t="shared" si="71"/>
        <v>613</v>
      </c>
      <c r="H632" s="5">
        <v>0</v>
      </c>
      <c r="I632" s="13">
        <v>32</v>
      </c>
      <c r="L632" s="4"/>
      <c r="M632" s="7"/>
      <c r="O632" s="7"/>
      <c r="T632" s="7"/>
    </row>
    <row r="633" spans="2:20" x14ac:dyDescent="0.3">
      <c r="B633" s="18" t="s">
        <v>1560</v>
      </c>
      <c r="C633" s="13">
        <v>1</v>
      </c>
      <c r="D633" s="21" t="s">
        <v>1561</v>
      </c>
      <c r="E633" s="24">
        <v>52</v>
      </c>
      <c r="G633" s="2">
        <f t="shared" si="71"/>
        <v>614</v>
      </c>
      <c r="H633" s="5">
        <v>0</v>
      </c>
      <c r="I633" s="13">
        <v>32</v>
      </c>
      <c r="L633" s="4"/>
      <c r="M633" s="7"/>
      <c r="O633" s="7"/>
      <c r="T633" s="7"/>
    </row>
    <row r="634" spans="2:20" x14ac:dyDescent="0.3">
      <c r="B634" s="18" t="s">
        <v>1562</v>
      </c>
      <c r="C634" s="13">
        <v>10</v>
      </c>
      <c r="D634" s="21" t="s">
        <v>1563</v>
      </c>
      <c r="E634" s="24">
        <v>51</v>
      </c>
      <c r="G634" s="2">
        <f t="shared" si="71"/>
        <v>615</v>
      </c>
      <c r="H634" s="5">
        <v>0</v>
      </c>
      <c r="I634" s="13">
        <v>32</v>
      </c>
      <c r="L634" s="4"/>
      <c r="M634" s="7"/>
      <c r="O634" s="7"/>
      <c r="T634" s="7"/>
    </row>
    <row r="635" spans="2:20" x14ac:dyDescent="0.3">
      <c r="B635" s="18" t="s">
        <v>1564</v>
      </c>
      <c r="C635" s="13">
        <v>11</v>
      </c>
      <c r="D635" s="21" t="s">
        <v>1565</v>
      </c>
      <c r="E635" s="24">
        <v>50</v>
      </c>
      <c r="G635" s="2">
        <f t="shared" si="71"/>
        <v>616</v>
      </c>
      <c r="H635" s="5">
        <v>0</v>
      </c>
      <c r="I635" s="13">
        <v>32</v>
      </c>
      <c r="L635" s="4"/>
      <c r="M635" s="7"/>
      <c r="O635" s="7"/>
      <c r="T635" s="7"/>
    </row>
    <row r="636" spans="2:20" x14ac:dyDescent="0.3">
      <c r="B636" s="18" t="s">
        <v>1566</v>
      </c>
      <c r="C636" s="13">
        <v>12</v>
      </c>
      <c r="D636" s="21" t="s">
        <v>1567</v>
      </c>
      <c r="E636" s="24">
        <v>32</v>
      </c>
      <c r="G636" s="2">
        <f t="shared" si="71"/>
        <v>617</v>
      </c>
      <c r="H636" s="5">
        <v>0</v>
      </c>
      <c r="I636" s="13">
        <v>32</v>
      </c>
      <c r="L636" s="4"/>
      <c r="M636" s="7"/>
      <c r="O636" s="7"/>
      <c r="T636" s="7"/>
    </row>
    <row r="637" spans="2:20" x14ac:dyDescent="0.3">
      <c r="B637" s="18" t="s">
        <v>1568</v>
      </c>
      <c r="C637" s="13">
        <v>13</v>
      </c>
      <c r="D637" s="21" t="s">
        <v>1569</v>
      </c>
      <c r="E637" s="24">
        <v>49</v>
      </c>
      <c r="G637" s="2">
        <f t="shared" si="71"/>
        <v>618</v>
      </c>
      <c r="H637" s="5">
        <v>0</v>
      </c>
      <c r="I637" s="13">
        <v>32</v>
      </c>
      <c r="L637" s="4"/>
      <c r="M637" s="7"/>
      <c r="O637" s="7"/>
      <c r="T637" s="7"/>
    </row>
    <row r="638" spans="2:20" x14ac:dyDescent="0.3">
      <c r="B638" s="18" t="s">
        <v>1570</v>
      </c>
      <c r="C638" s="13">
        <v>14</v>
      </c>
      <c r="D638" s="21" t="s">
        <v>1571</v>
      </c>
      <c r="E638" s="24">
        <v>48</v>
      </c>
      <c r="G638" s="2">
        <f t="shared" si="71"/>
        <v>619</v>
      </c>
      <c r="H638" s="5">
        <v>0</v>
      </c>
      <c r="I638" s="13">
        <v>32</v>
      </c>
      <c r="L638" s="4"/>
      <c r="M638" s="7"/>
      <c r="O638" s="7"/>
      <c r="T638" s="7"/>
    </row>
    <row r="639" spans="2:20" x14ac:dyDescent="0.3">
      <c r="B639" s="18" t="s">
        <v>1572</v>
      </c>
      <c r="C639" s="13">
        <v>15</v>
      </c>
      <c r="D639" s="21" t="s">
        <v>1573</v>
      </c>
      <c r="E639" s="24">
        <v>47</v>
      </c>
      <c r="G639" s="2">
        <f t="shared" si="71"/>
        <v>620</v>
      </c>
      <c r="H639" s="5">
        <v>0</v>
      </c>
      <c r="I639" s="13">
        <v>32</v>
      </c>
      <c r="L639" s="4"/>
      <c r="M639" s="7"/>
      <c r="O639" s="7"/>
      <c r="T639" s="7"/>
    </row>
    <row r="640" spans="2:20" x14ac:dyDescent="0.3">
      <c r="B640" s="18" t="s">
        <v>1574</v>
      </c>
      <c r="C640" s="13">
        <v>16</v>
      </c>
      <c r="D640" s="21" t="s">
        <v>1575</v>
      </c>
      <c r="E640" s="24">
        <v>46</v>
      </c>
      <c r="G640" s="2">
        <f t="shared" si="71"/>
        <v>621</v>
      </c>
      <c r="H640" s="5">
        <v>0</v>
      </c>
      <c r="I640" s="13">
        <v>32</v>
      </c>
      <c r="L640" s="4"/>
      <c r="M640" s="7"/>
      <c r="O640" s="7"/>
      <c r="T640" s="7"/>
    </row>
    <row r="641" spans="2:20" x14ac:dyDescent="0.3">
      <c r="B641" s="18" t="s">
        <v>1576</v>
      </c>
      <c r="C641" s="13">
        <v>17</v>
      </c>
      <c r="D641" s="21" t="s">
        <v>1577</v>
      </c>
      <c r="E641" s="24">
        <v>45</v>
      </c>
      <c r="G641" s="2">
        <f t="shared" si="71"/>
        <v>622</v>
      </c>
      <c r="H641" s="5">
        <v>0</v>
      </c>
      <c r="I641" s="13">
        <v>32</v>
      </c>
      <c r="L641" s="4"/>
      <c r="M641" s="7"/>
      <c r="O641" s="7"/>
      <c r="T641" s="7"/>
    </row>
    <row r="642" spans="2:20" x14ac:dyDescent="0.3">
      <c r="B642" s="18" t="s">
        <v>1578</v>
      </c>
      <c r="C642" s="13">
        <v>18</v>
      </c>
      <c r="D642" s="21" t="s">
        <v>1579</v>
      </c>
      <c r="E642" s="24">
        <v>44</v>
      </c>
      <c r="G642" s="2">
        <f t="shared" si="71"/>
        <v>623</v>
      </c>
      <c r="H642" s="5">
        <v>0</v>
      </c>
      <c r="I642" s="13">
        <v>32</v>
      </c>
      <c r="L642" s="4"/>
      <c r="M642" s="7"/>
      <c r="O642" s="7"/>
      <c r="T642" s="7"/>
    </row>
    <row r="643" spans="2:20" x14ac:dyDescent="0.3">
      <c r="B643" s="18" t="s">
        <v>1580</v>
      </c>
      <c r="C643" s="13">
        <v>19</v>
      </c>
      <c r="D643" s="21" t="s">
        <v>1581</v>
      </c>
      <c r="E643" s="24">
        <v>43</v>
      </c>
      <c r="G643" s="2">
        <f t="shared" si="71"/>
        <v>624</v>
      </c>
      <c r="H643" s="5">
        <v>0</v>
      </c>
      <c r="I643" s="13">
        <v>32</v>
      </c>
      <c r="L643" s="4"/>
      <c r="M643" s="7"/>
      <c r="O643" s="7"/>
      <c r="T643" s="7"/>
    </row>
    <row r="644" spans="2:20" x14ac:dyDescent="0.3">
      <c r="B644" s="18" t="s">
        <v>1582</v>
      </c>
      <c r="C644" s="13">
        <v>2</v>
      </c>
      <c r="D644" s="21" t="s">
        <v>1583</v>
      </c>
      <c r="E644" s="24">
        <v>42</v>
      </c>
      <c r="G644" s="2">
        <f t="shared" si="71"/>
        <v>625</v>
      </c>
      <c r="H644" s="5">
        <v>0</v>
      </c>
      <c r="I644" s="13">
        <v>32</v>
      </c>
      <c r="L644" s="4"/>
      <c r="M644" s="7"/>
      <c r="O644" s="7"/>
      <c r="T644" s="7"/>
    </row>
    <row r="645" spans="2:20" x14ac:dyDescent="0.3">
      <c r="B645" s="18" t="s">
        <v>1584</v>
      </c>
      <c r="C645" s="13">
        <v>20</v>
      </c>
      <c r="D645" s="21" t="s">
        <v>1585</v>
      </c>
      <c r="E645" s="24">
        <v>41</v>
      </c>
      <c r="G645" s="2">
        <f t="shared" si="71"/>
        <v>626</v>
      </c>
      <c r="H645" s="5">
        <v>0</v>
      </c>
      <c r="I645" s="13">
        <v>32</v>
      </c>
      <c r="L645" s="4"/>
      <c r="M645" s="7"/>
      <c r="O645" s="7"/>
      <c r="T645" s="7"/>
    </row>
    <row r="646" spans="2:20" x14ac:dyDescent="0.3">
      <c r="B646" s="18" t="s">
        <v>1586</v>
      </c>
      <c r="C646" s="13">
        <v>21</v>
      </c>
      <c r="D646" s="21" t="s">
        <v>1587</v>
      </c>
      <c r="E646" s="24">
        <v>40</v>
      </c>
      <c r="G646" s="2">
        <f t="shared" si="71"/>
        <v>627</v>
      </c>
      <c r="H646" s="5">
        <v>0</v>
      </c>
      <c r="I646" s="13">
        <v>32</v>
      </c>
      <c r="L646" s="4"/>
      <c r="M646" s="7"/>
      <c r="O646" s="7"/>
      <c r="T646" s="7"/>
    </row>
    <row r="647" spans="2:20" x14ac:dyDescent="0.3">
      <c r="B647" s="18" t="s">
        <v>1588</v>
      </c>
      <c r="C647" s="13">
        <v>22</v>
      </c>
      <c r="D647" s="21" t="s">
        <v>1589</v>
      </c>
      <c r="E647" s="24">
        <v>31</v>
      </c>
      <c r="G647" s="2">
        <f t="shared" si="71"/>
        <v>628</v>
      </c>
      <c r="H647" s="5">
        <v>0</v>
      </c>
      <c r="I647" s="13">
        <v>32</v>
      </c>
      <c r="L647" s="4"/>
      <c r="M647" s="7"/>
      <c r="O647" s="7"/>
      <c r="T647" s="7"/>
    </row>
    <row r="648" spans="2:20" x14ac:dyDescent="0.3">
      <c r="B648" s="18" t="s">
        <v>1590</v>
      </c>
      <c r="C648" s="13">
        <v>23</v>
      </c>
      <c r="D648" s="21" t="s">
        <v>1591</v>
      </c>
      <c r="E648" s="24">
        <v>9</v>
      </c>
      <c r="G648" s="2">
        <f t="shared" si="71"/>
        <v>629</v>
      </c>
      <c r="H648" s="5">
        <v>0</v>
      </c>
      <c r="I648" s="13">
        <v>32</v>
      </c>
      <c r="L648" s="4"/>
      <c r="M648" s="7"/>
      <c r="O648" s="7"/>
      <c r="T648" s="7"/>
    </row>
    <row r="649" spans="2:20" x14ac:dyDescent="0.3">
      <c r="B649" s="18" t="s">
        <v>1592</v>
      </c>
      <c r="C649" s="13">
        <v>24</v>
      </c>
      <c r="D649" s="21" t="s">
        <v>1593</v>
      </c>
      <c r="E649" s="24">
        <v>8</v>
      </c>
      <c r="G649" s="2">
        <f t="shared" si="71"/>
        <v>630</v>
      </c>
      <c r="H649" s="5">
        <v>0</v>
      </c>
      <c r="I649" s="13">
        <v>32</v>
      </c>
      <c r="L649" s="4"/>
      <c r="M649" s="7"/>
      <c r="O649" s="7"/>
      <c r="T649" s="7"/>
    </row>
    <row r="650" spans="2:20" x14ac:dyDescent="0.3">
      <c r="B650" s="18" t="s">
        <v>1594</v>
      </c>
      <c r="C650" s="13">
        <v>25</v>
      </c>
      <c r="D650" s="21" t="s">
        <v>1595</v>
      </c>
      <c r="E650" s="24">
        <v>7</v>
      </c>
      <c r="G650" s="2">
        <f t="shared" si="71"/>
        <v>631</v>
      </c>
      <c r="H650" s="5">
        <v>0</v>
      </c>
      <c r="I650" s="13">
        <v>32</v>
      </c>
      <c r="L650" s="4"/>
      <c r="M650" s="7"/>
      <c r="O650" s="7"/>
      <c r="T650" s="7"/>
    </row>
    <row r="651" spans="2:20" x14ac:dyDescent="0.3">
      <c r="B651" s="18" t="s">
        <v>1596</v>
      </c>
      <c r="C651" s="13">
        <v>26</v>
      </c>
      <c r="D651" s="21" t="s">
        <v>1597</v>
      </c>
      <c r="E651" s="24">
        <v>6</v>
      </c>
      <c r="G651" s="2">
        <f t="shared" si="71"/>
        <v>632</v>
      </c>
      <c r="H651" s="5">
        <v>0</v>
      </c>
      <c r="I651" s="13">
        <v>32</v>
      </c>
      <c r="L651" s="4"/>
      <c r="M651" s="7"/>
      <c r="O651" s="7"/>
      <c r="T651" s="7"/>
    </row>
    <row r="652" spans="2:20" x14ac:dyDescent="0.3">
      <c r="B652" s="18" t="s">
        <v>1598</v>
      </c>
      <c r="C652" s="13">
        <v>27</v>
      </c>
      <c r="D652" s="21" t="s">
        <v>1599</v>
      </c>
      <c r="E652" s="24">
        <v>5</v>
      </c>
      <c r="G652" s="2">
        <f t="shared" ref="G652:G715" si="72">G651+1</f>
        <v>633</v>
      </c>
      <c r="H652" s="5">
        <v>0</v>
      </c>
      <c r="I652" s="13">
        <v>32</v>
      </c>
      <c r="L652" s="4"/>
      <c r="M652" s="7"/>
      <c r="O652" s="7"/>
      <c r="T652" s="7"/>
    </row>
    <row r="653" spans="2:20" x14ac:dyDescent="0.3">
      <c r="B653" s="18" t="s">
        <v>1600</v>
      </c>
      <c r="C653" s="13">
        <v>3</v>
      </c>
      <c r="D653" s="21" t="s">
        <v>1601</v>
      </c>
      <c r="E653" s="24">
        <v>4</v>
      </c>
      <c r="G653" s="2">
        <f t="shared" si="72"/>
        <v>634</v>
      </c>
      <c r="H653" s="5">
        <v>0</v>
      </c>
      <c r="I653" s="13">
        <v>32</v>
      </c>
      <c r="L653" s="4"/>
      <c r="M653" s="7"/>
      <c r="O653" s="7"/>
      <c r="T653" s="7"/>
    </row>
    <row r="654" spans="2:20" x14ac:dyDescent="0.3">
      <c r="B654" s="18" t="s">
        <v>1602</v>
      </c>
      <c r="C654" s="13">
        <v>4</v>
      </c>
      <c r="D654" s="21" t="s">
        <v>1603</v>
      </c>
      <c r="E654" s="24">
        <v>30</v>
      </c>
      <c r="G654" s="2">
        <f t="shared" si="72"/>
        <v>635</v>
      </c>
      <c r="H654" s="5">
        <v>0</v>
      </c>
      <c r="I654" s="13">
        <v>32</v>
      </c>
      <c r="L654" s="4"/>
      <c r="M654" s="7"/>
      <c r="O654" s="7"/>
      <c r="T654" s="7"/>
    </row>
    <row r="655" spans="2:20" x14ac:dyDescent="0.3">
      <c r="B655" s="18" t="s">
        <v>1604</v>
      </c>
      <c r="C655" s="13">
        <v>5</v>
      </c>
      <c r="D655" s="21" t="s">
        <v>1605</v>
      </c>
      <c r="E655" s="24">
        <v>3</v>
      </c>
      <c r="G655" s="2">
        <f t="shared" si="72"/>
        <v>636</v>
      </c>
      <c r="H655" s="5">
        <v>0</v>
      </c>
      <c r="I655" s="13">
        <v>32</v>
      </c>
      <c r="L655" s="4"/>
      <c r="M655" s="7"/>
      <c r="O655" s="7"/>
      <c r="T655" s="7"/>
    </row>
    <row r="656" spans="2:20" x14ac:dyDescent="0.3">
      <c r="B656" s="18" t="s">
        <v>1606</v>
      </c>
      <c r="C656" s="13">
        <v>6</v>
      </c>
      <c r="D656" s="21" t="s">
        <v>1607</v>
      </c>
      <c r="E656" s="24">
        <v>29</v>
      </c>
      <c r="G656" s="2">
        <f t="shared" si="72"/>
        <v>637</v>
      </c>
      <c r="H656" s="5">
        <v>0</v>
      </c>
      <c r="I656" s="13">
        <v>32</v>
      </c>
      <c r="L656" s="4"/>
      <c r="M656" s="7"/>
      <c r="O656" s="7"/>
      <c r="T656" s="7"/>
    </row>
    <row r="657" spans="2:20" x14ac:dyDescent="0.3">
      <c r="B657" s="18" t="s">
        <v>1608</v>
      </c>
      <c r="C657" s="13">
        <v>7</v>
      </c>
      <c r="D657" s="21" t="s">
        <v>1609</v>
      </c>
      <c r="E657" s="24">
        <v>28</v>
      </c>
      <c r="G657" s="2">
        <f t="shared" si="72"/>
        <v>638</v>
      </c>
      <c r="H657" s="5">
        <v>0</v>
      </c>
      <c r="I657" s="13">
        <v>32</v>
      </c>
      <c r="L657" s="4"/>
      <c r="M657" s="7"/>
      <c r="O657" s="7"/>
      <c r="T657" s="7"/>
    </row>
    <row r="658" spans="2:20" x14ac:dyDescent="0.3">
      <c r="B658" s="18" t="s">
        <v>1610</v>
      </c>
      <c r="C658" s="13">
        <v>8</v>
      </c>
      <c r="D658" s="21" t="s">
        <v>1611</v>
      </c>
      <c r="E658" s="24">
        <v>27</v>
      </c>
      <c r="G658" s="2">
        <f t="shared" si="72"/>
        <v>639</v>
      </c>
      <c r="H658" s="5">
        <v>0</v>
      </c>
      <c r="I658" s="13">
        <v>32</v>
      </c>
      <c r="L658" s="4"/>
      <c r="M658" s="7"/>
      <c r="O658" s="7"/>
      <c r="T658" s="7"/>
    </row>
    <row r="659" spans="2:20" x14ac:dyDescent="0.3">
      <c r="B659" s="18" t="s">
        <v>1612</v>
      </c>
      <c r="C659" s="13">
        <v>9</v>
      </c>
      <c r="D659" s="21" t="s">
        <v>1613</v>
      </c>
      <c r="E659" s="24">
        <v>26</v>
      </c>
      <c r="G659" s="2">
        <f t="shared" si="72"/>
        <v>640</v>
      </c>
      <c r="H659" s="5">
        <v>0</v>
      </c>
      <c r="I659" s="13">
        <v>32</v>
      </c>
      <c r="L659" s="4"/>
      <c r="M659" s="7"/>
      <c r="O659" s="7"/>
      <c r="T659" s="7"/>
    </row>
    <row r="660" spans="2:20" x14ac:dyDescent="0.3">
      <c r="B660" s="18" t="s">
        <v>1614</v>
      </c>
      <c r="C660" s="13">
        <v>54</v>
      </c>
      <c r="D660" s="21" t="s">
        <v>1615</v>
      </c>
      <c r="E660" s="24">
        <v>25</v>
      </c>
      <c r="G660" s="2">
        <f t="shared" si="72"/>
        <v>641</v>
      </c>
      <c r="H660" s="5">
        <v>0</v>
      </c>
      <c r="I660" s="13">
        <v>32</v>
      </c>
      <c r="L660" s="4"/>
      <c r="M660" s="7"/>
      <c r="O660" s="7"/>
      <c r="T660" s="7"/>
    </row>
    <row r="661" spans="2:20" x14ac:dyDescent="0.3">
      <c r="B661" s="18" t="s">
        <v>1616</v>
      </c>
      <c r="C661" s="13">
        <v>45</v>
      </c>
      <c r="D661" s="21" t="s">
        <v>1617</v>
      </c>
      <c r="E661" s="24">
        <v>24</v>
      </c>
      <c r="G661" s="2">
        <f t="shared" si="72"/>
        <v>642</v>
      </c>
      <c r="H661" s="5">
        <v>0</v>
      </c>
      <c r="I661" s="13">
        <v>32</v>
      </c>
      <c r="L661" s="4"/>
      <c r="M661" s="7"/>
      <c r="O661" s="7"/>
      <c r="T661" s="7"/>
    </row>
    <row r="662" spans="2:20" x14ac:dyDescent="0.3">
      <c r="B662" s="18" t="s">
        <v>1618</v>
      </c>
      <c r="C662" s="13">
        <v>44</v>
      </c>
      <c r="D662" s="21" t="s">
        <v>1619</v>
      </c>
      <c r="E662" s="24">
        <v>23</v>
      </c>
      <c r="G662" s="2">
        <f t="shared" si="72"/>
        <v>643</v>
      </c>
      <c r="H662" s="5">
        <v>0</v>
      </c>
      <c r="I662" s="13">
        <v>32</v>
      </c>
      <c r="L662" s="4"/>
      <c r="M662" s="7"/>
      <c r="O662" s="7"/>
      <c r="T662" s="7"/>
    </row>
    <row r="663" spans="2:20" x14ac:dyDescent="0.3">
      <c r="B663" s="18" t="s">
        <v>1620</v>
      </c>
      <c r="C663" s="13">
        <v>43</v>
      </c>
      <c r="D663" s="21" t="s">
        <v>1621</v>
      </c>
      <c r="E663" s="24">
        <v>22</v>
      </c>
      <c r="G663" s="2">
        <f t="shared" si="72"/>
        <v>644</v>
      </c>
      <c r="H663" s="5">
        <v>0</v>
      </c>
      <c r="I663" s="13">
        <v>32</v>
      </c>
      <c r="L663" s="4"/>
      <c r="M663" s="7"/>
      <c r="O663" s="7"/>
      <c r="T663" s="7"/>
    </row>
    <row r="664" spans="2:20" x14ac:dyDescent="0.3">
      <c r="B664" s="18" t="s">
        <v>1622</v>
      </c>
      <c r="C664" s="13">
        <v>42</v>
      </c>
      <c r="D664" s="21" t="s">
        <v>1623</v>
      </c>
      <c r="E664" s="24">
        <v>21</v>
      </c>
      <c r="G664" s="2">
        <f t="shared" si="72"/>
        <v>645</v>
      </c>
      <c r="H664" s="5">
        <v>0</v>
      </c>
      <c r="I664" s="13">
        <v>32</v>
      </c>
      <c r="L664" s="4"/>
      <c r="M664" s="7"/>
      <c r="O664" s="7"/>
      <c r="T664" s="7"/>
    </row>
    <row r="665" spans="2:20" x14ac:dyDescent="0.3">
      <c r="B665" s="18" t="s">
        <v>1624</v>
      </c>
      <c r="C665" s="13">
        <v>41</v>
      </c>
      <c r="D665" s="21" t="s">
        <v>1625</v>
      </c>
      <c r="E665" s="24">
        <v>20</v>
      </c>
      <c r="G665" s="2">
        <f t="shared" si="72"/>
        <v>646</v>
      </c>
      <c r="H665" s="5">
        <v>0</v>
      </c>
      <c r="I665" s="13">
        <v>32</v>
      </c>
      <c r="L665" s="4"/>
      <c r="M665" s="7"/>
      <c r="O665" s="7"/>
      <c r="T665" s="7"/>
    </row>
    <row r="666" spans="2:20" x14ac:dyDescent="0.3">
      <c r="B666" s="18" t="s">
        <v>1626</v>
      </c>
      <c r="C666" s="13">
        <v>40</v>
      </c>
      <c r="D666" s="21" t="s">
        <v>1627</v>
      </c>
      <c r="E666" s="24">
        <v>2</v>
      </c>
      <c r="G666" s="2">
        <f t="shared" si="72"/>
        <v>647</v>
      </c>
      <c r="H666" s="5">
        <v>0</v>
      </c>
      <c r="I666" s="13">
        <v>32</v>
      </c>
      <c r="L666" s="4"/>
      <c r="M666" s="7"/>
      <c r="O666" s="7"/>
      <c r="T666" s="7"/>
    </row>
    <row r="667" spans="2:20" x14ac:dyDescent="0.3">
      <c r="B667" s="18" t="s">
        <v>1628</v>
      </c>
      <c r="C667" s="13">
        <v>39</v>
      </c>
      <c r="D667" s="21" t="s">
        <v>1629</v>
      </c>
      <c r="E667" s="24">
        <v>19</v>
      </c>
      <c r="G667" s="2">
        <f t="shared" si="72"/>
        <v>648</v>
      </c>
      <c r="H667" s="5">
        <v>0</v>
      </c>
      <c r="I667" s="13">
        <v>32</v>
      </c>
      <c r="L667" s="4"/>
      <c r="M667" s="7"/>
      <c r="O667" s="7"/>
      <c r="T667" s="7"/>
    </row>
    <row r="668" spans="2:20" x14ac:dyDescent="0.3">
      <c r="B668" s="18" t="s">
        <v>1630</v>
      </c>
      <c r="C668" s="13">
        <v>38</v>
      </c>
      <c r="D668" s="21" t="s">
        <v>1631</v>
      </c>
      <c r="E668" s="24">
        <v>18</v>
      </c>
      <c r="G668" s="2">
        <f t="shared" si="72"/>
        <v>649</v>
      </c>
      <c r="H668" s="5">
        <v>0</v>
      </c>
      <c r="I668" s="13">
        <v>32</v>
      </c>
      <c r="L668" s="4"/>
      <c r="M668" s="7"/>
      <c r="O668" s="7"/>
      <c r="T668" s="7"/>
    </row>
    <row r="669" spans="2:20" x14ac:dyDescent="0.3">
      <c r="B669" s="18" t="s">
        <v>1632</v>
      </c>
      <c r="C669" s="13">
        <v>37</v>
      </c>
      <c r="D669" s="21" t="s">
        <v>1633</v>
      </c>
      <c r="E669" s="24">
        <v>17</v>
      </c>
      <c r="G669" s="2">
        <f t="shared" si="72"/>
        <v>650</v>
      </c>
      <c r="H669" s="5">
        <v>0</v>
      </c>
      <c r="I669" s="13">
        <v>32</v>
      </c>
      <c r="L669" s="4"/>
      <c r="M669" s="7"/>
      <c r="O669" s="7"/>
      <c r="T669" s="7"/>
    </row>
    <row r="670" spans="2:20" x14ac:dyDescent="0.3">
      <c r="B670" s="18" t="s">
        <v>1634</v>
      </c>
      <c r="C670" s="13">
        <v>36</v>
      </c>
      <c r="D670" s="21" t="s">
        <v>1635</v>
      </c>
      <c r="E670" s="24">
        <v>16</v>
      </c>
      <c r="G670" s="2">
        <f t="shared" si="72"/>
        <v>651</v>
      </c>
      <c r="H670" s="5">
        <v>0</v>
      </c>
      <c r="I670" s="13">
        <v>32</v>
      </c>
      <c r="L670" s="4"/>
      <c r="M670" s="7"/>
      <c r="O670" s="7"/>
      <c r="T670" s="7"/>
    </row>
    <row r="671" spans="2:20" x14ac:dyDescent="0.3">
      <c r="B671" s="18" t="s">
        <v>1636</v>
      </c>
      <c r="C671" s="13">
        <v>53</v>
      </c>
      <c r="D671" s="21" t="s">
        <v>1637</v>
      </c>
      <c r="E671" s="24">
        <v>15</v>
      </c>
      <c r="G671" s="2">
        <f t="shared" si="72"/>
        <v>652</v>
      </c>
      <c r="H671" s="5">
        <v>0</v>
      </c>
      <c r="I671" s="13">
        <v>32</v>
      </c>
      <c r="L671" s="4"/>
      <c r="M671" s="7"/>
      <c r="O671" s="7"/>
      <c r="T671" s="7"/>
    </row>
    <row r="672" spans="2:20" x14ac:dyDescent="0.3">
      <c r="B672" s="18" t="s">
        <v>1638</v>
      </c>
      <c r="C672" s="13">
        <v>35</v>
      </c>
      <c r="D672" s="21" t="s">
        <v>1639</v>
      </c>
      <c r="E672" s="24">
        <v>14</v>
      </c>
      <c r="G672" s="2">
        <f t="shared" si="72"/>
        <v>653</v>
      </c>
      <c r="H672" s="5">
        <v>0</v>
      </c>
      <c r="I672" s="13">
        <v>32</v>
      </c>
      <c r="L672" s="4"/>
      <c r="M672" s="7"/>
      <c r="O672" s="7"/>
      <c r="T672" s="7"/>
    </row>
    <row r="673" spans="2:20" x14ac:dyDescent="0.3">
      <c r="B673" s="18" t="s">
        <v>1640</v>
      </c>
      <c r="C673" s="13">
        <v>34</v>
      </c>
      <c r="D673" s="21" t="s">
        <v>1641</v>
      </c>
      <c r="E673" s="24">
        <v>13</v>
      </c>
      <c r="G673" s="2">
        <f t="shared" si="72"/>
        <v>654</v>
      </c>
      <c r="H673" s="5">
        <v>0</v>
      </c>
      <c r="I673" s="13">
        <v>32</v>
      </c>
      <c r="L673" s="4"/>
      <c r="M673" s="7"/>
      <c r="O673" s="7"/>
      <c r="T673" s="7"/>
    </row>
    <row r="674" spans="2:20" x14ac:dyDescent="0.3">
      <c r="B674" s="18" t="s">
        <v>1642</v>
      </c>
      <c r="C674" s="13">
        <v>33</v>
      </c>
      <c r="D674" s="21" t="s">
        <v>1643</v>
      </c>
      <c r="E674" s="24">
        <v>12</v>
      </c>
      <c r="G674" s="2">
        <f t="shared" si="72"/>
        <v>655</v>
      </c>
      <c r="H674" s="5">
        <v>0</v>
      </c>
      <c r="I674" s="13">
        <v>32</v>
      </c>
      <c r="L674" s="4"/>
      <c r="M674" s="7"/>
      <c r="O674" s="7"/>
      <c r="T674" s="7"/>
    </row>
    <row r="675" spans="2:20" x14ac:dyDescent="0.3">
      <c r="B675" s="18" t="s">
        <v>1644</v>
      </c>
      <c r="C675" s="13">
        <v>32</v>
      </c>
      <c r="D675" s="21" t="s">
        <v>1645</v>
      </c>
      <c r="E675" s="24">
        <v>11</v>
      </c>
      <c r="G675" s="2">
        <f t="shared" si="72"/>
        <v>656</v>
      </c>
      <c r="H675" s="5">
        <v>0</v>
      </c>
      <c r="I675" s="13">
        <v>32</v>
      </c>
      <c r="L675" s="4"/>
      <c r="M675" s="7"/>
      <c r="O675" s="7"/>
      <c r="T675" s="7"/>
    </row>
    <row r="676" spans="2:20" x14ac:dyDescent="0.3">
      <c r="B676" s="18" t="s">
        <v>1646</v>
      </c>
      <c r="C676" s="13">
        <v>31</v>
      </c>
      <c r="D676" s="21" t="s">
        <v>1647</v>
      </c>
      <c r="E676" s="24">
        <v>10</v>
      </c>
      <c r="G676" s="2">
        <f t="shared" si="72"/>
        <v>657</v>
      </c>
      <c r="H676" s="5">
        <v>0</v>
      </c>
      <c r="I676" s="13">
        <v>32</v>
      </c>
      <c r="L676" s="4"/>
      <c r="M676" s="7"/>
      <c r="O676" s="7"/>
      <c r="T676" s="7"/>
    </row>
    <row r="677" spans="2:20" x14ac:dyDescent="0.3">
      <c r="B677" s="18" t="s">
        <v>1648</v>
      </c>
      <c r="C677" s="13">
        <v>30</v>
      </c>
      <c r="D677" s="21" t="s">
        <v>1649</v>
      </c>
      <c r="E677" s="24">
        <v>1</v>
      </c>
      <c r="G677" s="2">
        <f t="shared" si="72"/>
        <v>658</v>
      </c>
      <c r="H677" s="5">
        <v>0</v>
      </c>
      <c r="I677" s="13">
        <v>32</v>
      </c>
      <c r="L677" s="4"/>
      <c r="M677" s="7"/>
      <c r="O677" s="7"/>
      <c r="T677" s="7"/>
    </row>
    <row r="678" spans="2:20" x14ac:dyDescent="0.3">
      <c r="B678" s="18" t="s">
        <v>1650</v>
      </c>
      <c r="C678" s="13">
        <v>29</v>
      </c>
      <c r="D678" s="21" t="s">
        <v>1651</v>
      </c>
      <c r="E678" s="24">
        <v>7</v>
      </c>
      <c r="G678" s="2">
        <f t="shared" si="72"/>
        <v>659</v>
      </c>
      <c r="H678" s="5">
        <v>0</v>
      </c>
      <c r="I678" s="13">
        <v>32</v>
      </c>
      <c r="L678" s="4"/>
      <c r="M678" s="7"/>
      <c r="O678" s="7"/>
      <c r="T678" s="7"/>
    </row>
    <row r="679" spans="2:20" x14ac:dyDescent="0.3">
      <c r="B679" s="18" t="s">
        <v>1652</v>
      </c>
      <c r="C679" s="13">
        <v>28</v>
      </c>
      <c r="D679" s="21" t="s">
        <v>1653</v>
      </c>
      <c r="E679" s="24">
        <v>8</v>
      </c>
      <c r="G679" s="2">
        <f t="shared" si="72"/>
        <v>660</v>
      </c>
      <c r="H679" s="5">
        <v>0</v>
      </c>
      <c r="I679" s="13">
        <v>32</v>
      </c>
      <c r="L679" s="4"/>
      <c r="M679" s="7"/>
      <c r="O679" s="7"/>
      <c r="T679" s="7"/>
    </row>
    <row r="680" spans="2:20" x14ac:dyDescent="0.3">
      <c r="B680" s="18" t="s">
        <v>1654</v>
      </c>
      <c r="C680" s="13">
        <v>52</v>
      </c>
      <c r="D680" s="21" t="s">
        <v>1655</v>
      </c>
      <c r="E680" s="24">
        <v>6</v>
      </c>
      <c r="G680" s="2">
        <f t="shared" si="72"/>
        <v>661</v>
      </c>
      <c r="H680" s="5">
        <v>0</v>
      </c>
      <c r="I680" s="13">
        <v>32</v>
      </c>
      <c r="L680" s="4"/>
      <c r="M680" s="7"/>
      <c r="O680" s="7"/>
      <c r="T680" s="7"/>
    </row>
    <row r="681" spans="2:20" x14ac:dyDescent="0.3">
      <c r="B681" s="18" t="s">
        <v>1656</v>
      </c>
      <c r="C681" s="13">
        <v>51</v>
      </c>
      <c r="D681" s="21" t="s">
        <v>1657</v>
      </c>
      <c r="E681" s="24">
        <v>5</v>
      </c>
      <c r="G681" s="2">
        <f t="shared" si="72"/>
        <v>662</v>
      </c>
      <c r="H681" s="5">
        <v>0</v>
      </c>
      <c r="I681" s="13">
        <v>32</v>
      </c>
      <c r="L681" s="4"/>
      <c r="M681" s="7"/>
      <c r="O681" s="7"/>
      <c r="T681" s="7"/>
    </row>
    <row r="682" spans="2:20" x14ac:dyDescent="0.3">
      <c r="B682" s="18" t="s">
        <v>1658</v>
      </c>
      <c r="C682" s="13">
        <v>50</v>
      </c>
      <c r="D682" s="21" t="s">
        <v>1659</v>
      </c>
      <c r="E682" s="24">
        <v>4</v>
      </c>
      <c r="G682" s="2">
        <f t="shared" si="72"/>
        <v>663</v>
      </c>
      <c r="H682" s="5">
        <v>0</v>
      </c>
      <c r="I682" s="13">
        <v>32</v>
      </c>
      <c r="L682" s="4"/>
      <c r="M682" s="7"/>
      <c r="O682" s="7"/>
      <c r="T682" s="7"/>
    </row>
    <row r="683" spans="2:20" x14ac:dyDescent="0.3">
      <c r="B683" s="18" t="s">
        <v>1660</v>
      </c>
      <c r="C683" s="13">
        <v>49</v>
      </c>
      <c r="D683" s="21" t="s">
        <v>1661</v>
      </c>
      <c r="E683" s="24">
        <v>3</v>
      </c>
      <c r="G683" s="2">
        <f t="shared" si="72"/>
        <v>664</v>
      </c>
      <c r="H683" s="5">
        <v>0</v>
      </c>
      <c r="I683" s="13">
        <v>32</v>
      </c>
      <c r="L683" s="4"/>
      <c r="M683" s="7"/>
      <c r="O683" s="7"/>
      <c r="T683" s="7"/>
    </row>
    <row r="684" spans="2:20" x14ac:dyDescent="0.3">
      <c r="B684" s="18" t="s">
        <v>1662</v>
      </c>
      <c r="C684" s="13">
        <v>48</v>
      </c>
      <c r="D684" s="21" t="s">
        <v>1663</v>
      </c>
      <c r="E684" s="24">
        <v>2</v>
      </c>
      <c r="G684" s="2">
        <f t="shared" si="72"/>
        <v>665</v>
      </c>
      <c r="H684" s="5">
        <v>0</v>
      </c>
      <c r="I684" s="13">
        <v>32</v>
      </c>
      <c r="L684" s="4"/>
      <c r="M684" s="7"/>
      <c r="O684" s="7"/>
      <c r="T684" s="7"/>
    </row>
    <row r="685" spans="2:20" x14ac:dyDescent="0.3">
      <c r="B685" s="18" t="s">
        <v>1664</v>
      </c>
      <c r="C685" s="13">
        <v>47</v>
      </c>
      <c r="D685" s="21" t="s">
        <v>1665</v>
      </c>
      <c r="E685" s="24">
        <v>1</v>
      </c>
      <c r="G685" s="2">
        <f t="shared" si="72"/>
        <v>666</v>
      </c>
      <c r="H685" s="5">
        <v>0</v>
      </c>
      <c r="I685" s="13">
        <v>32</v>
      </c>
      <c r="L685" s="4"/>
      <c r="M685" s="7"/>
      <c r="O685" s="7"/>
      <c r="T685" s="7"/>
    </row>
    <row r="686" spans="2:20" x14ac:dyDescent="0.3">
      <c r="B686" s="18" t="s">
        <v>1666</v>
      </c>
      <c r="C686" s="13">
        <v>46</v>
      </c>
      <c r="D686" s="21" t="s">
        <v>1667</v>
      </c>
      <c r="E686" s="24">
        <v>82</v>
      </c>
      <c r="G686" s="2">
        <f t="shared" si="72"/>
        <v>667</v>
      </c>
      <c r="H686" s="5">
        <v>0</v>
      </c>
      <c r="I686" s="13">
        <v>32</v>
      </c>
      <c r="L686" s="4"/>
      <c r="M686" s="7"/>
      <c r="O686" s="7"/>
      <c r="T686" s="7"/>
    </row>
    <row r="687" spans="2:20" x14ac:dyDescent="0.3">
      <c r="B687" s="18" t="s">
        <v>1668</v>
      </c>
      <c r="C687" s="13">
        <v>55</v>
      </c>
      <c r="D687" s="21" t="s">
        <v>1669</v>
      </c>
      <c r="E687" s="24">
        <v>83</v>
      </c>
      <c r="G687" s="2">
        <f t="shared" si="72"/>
        <v>668</v>
      </c>
      <c r="H687" s="5">
        <v>0</v>
      </c>
      <c r="I687" s="13">
        <v>32</v>
      </c>
      <c r="L687" s="4"/>
      <c r="M687" s="7"/>
      <c r="O687" s="7"/>
      <c r="T687" s="7"/>
    </row>
    <row r="688" spans="2:20" x14ac:dyDescent="0.3">
      <c r="B688" s="18" t="s">
        <v>1670</v>
      </c>
      <c r="C688" s="13">
        <v>64</v>
      </c>
      <c r="D688" s="21" t="s">
        <v>1671</v>
      </c>
      <c r="E688" s="24">
        <v>84</v>
      </c>
      <c r="G688" s="2">
        <f t="shared" si="72"/>
        <v>669</v>
      </c>
      <c r="H688" s="5">
        <v>0</v>
      </c>
      <c r="I688" s="13">
        <v>32</v>
      </c>
      <c r="L688" s="4"/>
      <c r="M688" s="7"/>
      <c r="O688" s="7"/>
      <c r="T688" s="7"/>
    </row>
    <row r="689" spans="2:20" x14ac:dyDescent="0.3">
      <c r="B689" s="18" t="s">
        <v>1672</v>
      </c>
      <c r="C689" s="13">
        <v>65</v>
      </c>
      <c r="D689" s="21" t="s">
        <v>1673</v>
      </c>
      <c r="E689" s="24">
        <v>85</v>
      </c>
      <c r="G689" s="2">
        <f t="shared" si="72"/>
        <v>670</v>
      </c>
      <c r="H689" s="5">
        <v>0</v>
      </c>
      <c r="I689" s="13">
        <v>32</v>
      </c>
      <c r="L689" s="4"/>
      <c r="M689" s="7"/>
      <c r="O689" s="7"/>
      <c r="T689" s="7"/>
    </row>
    <row r="690" spans="2:20" x14ac:dyDescent="0.3">
      <c r="B690" s="18" t="s">
        <v>1674</v>
      </c>
      <c r="C690" s="13">
        <v>66</v>
      </c>
      <c r="D690" s="21" t="s">
        <v>1675</v>
      </c>
      <c r="E690" s="24">
        <v>86</v>
      </c>
      <c r="G690" s="2">
        <f t="shared" si="72"/>
        <v>671</v>
      </c>
      <c r="H690" s="5">
        <v>0</v>
      </c>
      <c r="I690" s="13">
        <v>32</v>
      </c>
      <c r="L690" s="4"/>
      <c r="M690" s="7"/>
      <c r="O690" s="7"/>
      <c r="T690" s="7"/>
    </row>
    <row r="691" spans="2:20" x14ac:dyDescent="0.3">
      <c r="B691" s="18" t="s">
        <v>1676</v>
      </c>
      <c r="C691" s="13">
        <v>67</v>
      </c>
      <c r="D691" s="21" t="s">
        <v>1677</v>
      </c>
      <c r="E691" s="24">
        <v>87</v>
      </c>
      <c r="G691" s="2">
        <f t="shared" si="72"/>
        <v>672</v>
      </c>
      <c r="H691" s="5">
        <v>0</v>
      </c>
      <c r="I691" s="13">
        <v>32</v>
      </c>
      <c r="L691" s="4"/>
      <c r="M691" s="7"/>
      <c r="O691" s="7"/>
      <c r="T691" s="7"/>
    </row>
    <row r="692" spans="2:20" x14ac:dyDescent="0.3">
      <c r="B692" s="18" t="s">
        <v>1678</v>
      </c>
      <c r="C692" s="13">
        <v>68</v>
      </c>
      <c r="D692" s="21" t="s">
        <v>1679</v>
      </c>
      <c r="E692" s="24">
        <v>61</v>
      </c>
      <c r="G692" s="2">
        <f t="shared" si="72"/>
        <v>673</v>
      </c>
      <c r="H692" s="5">
        <v>0</v>
      </c>
      <c r="I692" s="13">
        <v>32</v>
      </c>
      <c r="L692" s="4"/>
      <c r="M692" s="7"/>
      <c r="O692" s="7"/>
      <c r="T692" s="7"/>
    </row>
    <row r="693" spans="2:20" x14ac:dyDescent="0.3">
      <c r="B693" s="18" t="s">
        <v>1680</v>
      </c>
      <c r="C693" s="13">
        <v>69</v>
      </c>
      <c r="D693" s="21" t="s">
        <v>1681</v>
      </c>
      <c r="E693" s="24">
        <v>88</v>
      </c>
      <c r="G693" s="2">
        <f t="shared" si="72"/>
        <v>674</v>
      </c>
      <c r="H693" s="5">
        <v>0</v>
      </c>
      <c r="I693" s="13">
        <v>32</v>
      </c>
      <c r="L693" s="4"/>
      <c r="M693" s="7"/>
      <c r="O693" s="7"/>
      <c r="T693" s="7"/>
    </row>
    <row r="694" spans="2:20" x14ac:dyDescent="0.3">
      <c r="B694" s="18" t="s">
        <v>1682</v>
      </c>
      <c r="C694" s="13">
        <v>70</v>
      </c>
      <c r="D694" s="21" t="s">
        <v>1683</v>
      </c>
      <c r="E694" s="24">
        <v>62</v>
      </c>
      <c r="G694" s="2">
        <f t="shared" si="72"/>
        <v>675</v>
      </c>
      <c r="H694" s="5">
        <v>0</v>
      </c>
      <c r="I694" s="13">
        <v>32</v>
      </c>
      <c r="L694" s="4"/>
      <c r="M694" s="7"/>
      <c r="O694" s="7"/>
      <c r="T694" s="7"/>
    </row>
    <row r="695" spans="2:20" x14ac:dyDescent="0.3">
      <c r="B695" s="18" t="s">
        <v>1684</v>
      </c>
      <c r="C695" s="13">
        <v>71</v>
      </c>
      <c r="D695" s="21" t="s">
        <v>1685</v>
      </c>
      <c r="E695" s="24">
        <v>63</v>
      </c>
      <c r="G695" s="2">
        <f t="shared" si="72"/>
        <v>676</v>
      </c>
      <c r="H695" s="5">
        <v>0</v>
      </c>
      <c r="I695" s="13">
        <v>32</v>
      </c>
      <c r="L695" s="4"/>
      <c r="M695" s="7"/>
      <c r="O695" s="7"/>
      <c r="T695" s="7"/>
    </row>
    <row r="696" spans="2:20" x14ac:dyDescent="0.3">
      <c r="B696" s="18" t="s">
        <v>1686</v>
      </c>
      <c r="C696" s="13">
        <v>72</v>
      </c>
      <c r="D696" s="21" t="s">
        <v>1687</v>
      </c>
      <c r="E696" s="24">
        <v>64</v>
      </c>
      <c r="G696" s="2">
        <f t="shared" si="72"/>
        <v>677</v>
      </c>
      <c r="H696" s="5">
        <v>0</v>
      </c>
      <c r="I696" s="13">
        <v>32</v>
      </c>
      <c r="L696" s="4"/>
      <c r="M696" s="7"/>
      <c r="O696" s="7"/>
      <c r="T696" s="7"/>
    </row>
    <row r="697" spans="2:20" x14ac:dyDescent="0.3">
      <c r="B697" s="18" t="s">
        <v>1688</v>
      </c>
      <c r="C697" s="13">
        <v>73</v>
      </c>
      <c r="D697" s="21" t="s">
        <v>1689</v>
      </c>
      <c r="E697" s="24">
        <v>65</v>
      </c>
      <c r="G697" s="2">
        <f t="shared" si="72"/>
        <v>678</v>
      </c>
      <c r="H697" s="5">
        <v>0</v>
      </c>
      <c r="I697" s="13">
        <v>32</v>
      </c>
      <c r="L697" s="4"/>
      <c r="M697" s="7"/>
      <c r="O697" s="7"/>
      <c r="T697" s="7"/>
    </row>
    <row r="698" spans="2:20" x14ac:dyDescent="0.3">
      <c r="B698" s="18" t="s">
        <v>1690</v>
      </c>
      <c r="C698" s="13">
        <v>56</v>
      </c>
      <c r="D698" s="21" t="s">
        <v>1691</v>
      </c>
      <c r="E698" s="24">
        <v>66</v>
      </c>
      <c r="G698" s="2">
        <f t="shared" si="72"/>
        <v>679</v>
      </c>
      <c r="H698" s="5">
        <v>0</v>
      </c>
      <c r="I698" s="13">
        <v>32</v>
      </c>
      <c r="L698" s="4"/>
      <c r="M698" s="7"/>
      <c r="O698" s="7"/>
      <c r="T698" s="7"/>
    </row>
    <row r="699" spans="2:20" x14ac:dyDescent="0.3">
      <c r="B699" s="18" t="s">
        <v>1692</v>
      </c>
      <c r="C699" s="13">
        <v>74</v>
      </c>
      <c r="D699" s="21" t="s">
        <v>1693</v>
      </c>
      <c r="E699" s="24">
        <v>67</v>
      </c>
      <c r="G699" s="2">
        <f t="shared" si="72"/>
        <v>680</v>
      </c>
      <c r="H699" s="5">
        <v>0</v>
      </c>
      <c r="I699" s="13">
        <v>32</v>
      </c>
      <c r="L699" s="4"/>
      <c r="M699" s="7"/>
      <c r="O699" s="7"/>
      <c r="T699" s="7"/>
    </row>
    <row r="700" spans="2:20" x14ac:dyDescent="0.3">
      <c r="B700" s="18" t="s">
        <v>1694</v>
      </c>
      <c r="C700" s="13">
        <v>75</v>
      </c>
      <c r="D700" s="21" t="s">
        <v>1695</v>
      </c>
      <c r="E700" s="24">
        <v>68</v>
      </c>
      <c r="G700" s="2">
        <f t="shared" si="72"/>
        <v>681</v>
      </c>
      <c r="H700" s="5">
        <v>0</v>
      </c>
      <c r="I700" s="13">
        <v>32</v>
      </c>
      <c r="L700" s="4"/>
      <c r="M700" s="7"/>
      <c r="O700" s="7"/>
      <c r="T700" s="7"/>
    </row>
    <row r="701" spans="2:20" x14ac:dyDescent="0.3">
      <c r="B701" s="18" t="s">
        <v>1696</v>
      </c>
      <c r="C701" s="13">
        <v>76</v>
      </c>
      <c r="D701" s="21" t="s">
        <v>1697</v>
      </c>
      <c r="E701" s="24">
        <v>69</v>
      </c>
      <c r="G701" s="2">
        <f t="shared" si="72"/>
        <v>682</v>
      </c>
      <c r="H701" s="5">
        <v>0</v>
      </c>
      <c r="I701" s="13">
        <v>32</v>
      </c>
      <c r="L701" s="4"/>
      <c r="M701" s="7"/>
      <c r="O701" s="7"/>
      <c r="T701" s="7"/>
    </row>
    <row r="702" spans="2:20" x14ac:dyDescent="0.3">
      <c r="B702" s="18" t="s">
        <v>1698</v>
      </c>
      <c r="C702" s="13">
        <v>77</v>
      </c>
      <c r="D702" s="21" t="s">
        <v>1699</v>
      </c>
      <c r="E702" s="24">
        <v>70</v>
      </c>
      <c r="G702" s="2">
        <f t="shared" si="72"/>
        <v>683</v>
      </c>
      <c r="H702" s="5">
        <v>0</v>
      </c>
      <c r="I702" s="13">
        <v>32</v>
      </c>
      <c r="L702" s="4"/>
      <c r="M702" s="7"/>
      <c r="O702" s="7"/>
      <c r="T702" s="7"/>
    </row>
    <row r="703" spans="2:20" x14ac:dyDescent="0.3">
      <c r="B703" s="18" t="s">
        <v>1700</v>
      </c>
      <c r="C703" s="13">
        <v>78</v>
      </c>
      <c r="D703" s="21" t="s">
        <v>1701</v>
      </c>
      <c r="E703" s="24">
        <v>71</v>
      </c>
      <c r="G703" s="2">
        <f t="shared" si="72"/>
        <v>684</v>
      </c>
      <c r="H703" s="5">
        <v>0</v>
      </c>
      <c r="I703" s="13">
        <v>32</v>
      </c>
      <c r="L703" s="4"/>
      <c r="M703" s="7"/>
      <c r="O703" s="7"/>
      <c r="T703" s="7"/>
    </row>
    <row r="704" spans="2:20" x14ac:dyDescent="0.3">
      <c r="B704" s="18" t="s">
        <v>1702</v>
      </c>
      <c r="C704" s="13">
        <v>79</v>
      </c>
      <c r="D704" s="21" t="s">
        <v>1703</v>
      </c>
      <c r="E704" s="24">
        <v>89</v>
      </c>
      <c r="G704" s="2">
        <f t="shared" si="72"/>
        <v>685</v>
      </c>
      <c r="H704" s="5">
        <v>0</v>
      </c>
      <c r="I704" s="13">
        <v>32</v>
      </c>
      <c r="L704" s="4"/>
      <c r="M704" s="7"/>
      <c r="O704" s="7"/>
      <c r="T704" s="7"/>
    </row>
    <row r="705" spans="2:20" x14ac:dyDescent="0.3">
      <c r="B705" s="18" t="s">
        <v>1704</v>
      </c>
      <c r="C705" s="13">
        <v>80</v>
      </c>
      <c r="D705" s="21" t="s">
        <v>1705</v>
      </c>
      <c r="E705" s="24">
        <v>72</v>
      </c>
      <c r="G705" s="2">
        <f t="shared" si="72"/>
        <v>686</v>
      </c>
      <c r="H705" s="5">
        <v>0</v>
      </c>
      <c r="I705" s="13">
        <v>32</v>
      </c>
      <c r="L705" s="4"/>
      <c r="M705" s="7"/>
      <c r="O705" s="7"/>
      <c r="T705" s="7"/>
    </row>
    <row r="706" spans="2:20" x14ac:dyDescent="0.3">
      <c r="B706" s="18" t="s">
        <v>1706</v>
      </c>
      <c r="C706" s="13">
        <v>81</v>
      </c>
      <c r="D706" s="21" t="s">
        <v>1707</v>
      </c>
      <c r="E706" s="24">
        <v>73</v>
      </c>
      <c r="G706" s="2">
        <f t="shared" si="72"/>
        <v>687</v>
      </c>
      <c r="H706" s="5">
        <v>0</v>
      </c>
      <c r="I706" s="13">
        <v>32</v>
      </c>
      <c r="L706" s="4"/>
      <c r="M706" s="7"/>
      <c r="O706" s="7"/>
      <c r="T706" s="7"/>
    </row>
    <row r="707" spans="2:20" x14ac:dyDescent="0.3">
      <c r="B707" s="18" t="s">
        <v>1708</v>
      </c>
      <c r="C707" s="13">
        <v>57</v>
      </c>
      <c r="D707" s="21" t="s">
        <v>1709</v>
      </c>
      <c r="E707" s="24">
        <v>74</v>
      </c>
      <c r="G707" s="2">
        <f t="shared" si="72"/>
        <v>688</v>
      </c>
      <c r="H707" s="5">
        <v>0</v>
      </c>
      <c r="I707" s="13">
        <v>32</v>
      </c>
      <c r="L707" s="4"/>
      <c r="M707" s="7"/>
      <c r="O707" s="7"/>
      <c r="T707" s="7"/>
    </row>
    <row r="708" spans="2:20" x14ac:dyDescent="0.3">
      <c r="B708" s="18" t="s">
        <v>1710</v>
      </c>
      <c r="C708" s="13">
        <v>58</v>
      </c>
      <c r="D708" s="21" t="s">
        <v>1711</v>
      </c>
      <c r="E708" s="24">
        <v>75</v>
      </c>
      <c r="G708" s="2">
        <f t="shared" si="72"/>
        <v>689</v>
      </c>
      <c r="H708" s="5">
        <v>0</v>
      </c>
      <c r="I708" s="13">
        <v>32</v>
      </c>
      <c r="L708" s="4"/>
      <c r="M708" s="7"/>
      <c r="O708" s="7"/>
      <c r="T708" s="7"/>
    </row>
    <row r="709" spans="2:20" x14ac:dyDescent="0.3">
      <c r="B709" s="18" t="s">
        <v>1712</v>
      </c>
      <c r="C709" s="13">
        <v>59</v>
      </c>
      <c r="D709" s="21" t="s">
        <v>1713</v>
      </c>
      <c r="E709" s="24">
        <v>76</v>
      </c>
      <c r="G709" s="2">
        <f t="shared" si="72"/>
        <v>690</v>
      </c>
      <c r="H709" s="5">
        <v>0</v>
      </c>
      <c r="I709" s="13">
        <v>32</v>
      </c>
      <c r="L709" s="4"/>
      <c r="M709" s="7"/>
      <c r="O709" s="7"/>
      <c r="T709" s="7"/>
    </row>
    <row r="710" spans="2:20" x14ac:dyDescent="0.3">
      <c r="B710" s="18" t="s">
        <v>1714</v>
      </c>
      <c r="C710" s="13">
        <v>60</v>
      </c>
      <c r="D710" s="21" t="s">
        <v>1715</v>
      </c>
      <c r="E710" s="24">
        <v>77</v>
      </c>
      <c r="G710" s="2">
        <f t="shared" si="72"/>
        <v>691</v>
      </c>
      <c r="H710" s="5">
        <v>0</v>
      </c>
      <c r="I710" s="13">
        <v>32</v>
      </c>
      <c r="L710" s="4"/>
      <c r="M710" s="7"/>
      <c r="O710" s="7"/>
      <c r="T710" s="7"/>
    </row>
    <row r="711" spans="2:20" x14ac:dyDescent="0.3">
      <c r="B711" s="18" t="s">
        <v>1716</v>
      </c>
      <c r="C711" s="13">
        <v>61</v>
      </c>
      <c r="D711" s="21" t="s">
        <v>1717</v>
      </c>
      <c r="E711" s="24">
        <v>78</v>
      </c>
      <c r="G711" s="2">
        <f t="shared" si="72"/>
        <v>692</v>
      </c>
      <c r="H711" s="5">
        <v>0</v>
      </c>
      <c r="I711" s="13">
        <v>32</v>
      </c>
      <c r="L711" s="4"/>
      <c r="M711" s="7"/>
      <c r="O711" s="7"/>
      <c r="T711" s="7"/>
    </row>
    <row r="712" spans="2:20" x14ac:dyDescent="0.3">
      <c r="B712" s="18" t="s">
        <v>1718</v>
      </c>
      <c r="C712" s="13">
        <v>62</v>
      </c>
      <c r="D712" s="21" t="s">
        <v>1719</v>
      </c>
      <c r="E712" s="24">
        <v>79</v>
      </c>
      <c r="G712" s="2">
        <f t="shared" si="72"/>
        <v>693</v>
      </c>
      <c r="H712" s="5">
        <v>0</v>
      </c>
      <c r="I712" s="13">
        <v>32</v>
      </c>
      <c r="L712" s="4"/>
      <c r="M712" s="7"/>
      <c r="O712" s="7"/>
      <c r="T712" s="7"/>
    </row>
    <row r="713" spans="2:20" x14ac:dyDescent="0.3">
      <c r="B713" s="18" t="s">
        <v>1720</v>
      </c>
      <c r="C713" s="13">
        <v>63</v>
      </c>
      <c r="D713" s="21" t="s">
        <v>1721</v>
      </c>
      <c r="E713" s="24">
        <v>80</v>
      </c>
      <c r="G713" s="2">
        <f t="shared" si="72"/>
        <v>694</v>
      </c>
      <c r="H713" s="5">
        <v>0</v>
      </c>
      <c r="I713" s="13">
        <v>32</v>
      </c>
      <c r="L713" s="4"/>
      <c r="M713" s="7"/>
      <c r="O713" s="7"/>
      <c r="T713" s="7"/>
    </row>
    <row r="714" spans="2:20" x14ac:dyDescent="0.3">
      <c r="B714" s="18" t="s">
        <v>1722</v>
      </c>
      <c r="C714" s="13">
        <v>99</v>
      </c>
      <c r="D714" s="21" t="s">
        <v>1723</v>
      </c>
      <c r="E714" s="24">
        <v>81</v>
      </c>
      <c r="G714" s="2">
        <f t="shared" si="72"/>
        <v>695</v>
      </c>
      <c r="H714" s="5">
        <v>0</v>
      </c>
      <c r="I714" s="13">
        <v>32</v>
      </c>
      <c r="L714" s="4"/>
      <c r="M714" s="7"/>
      <c r="O714" s="7"/>
      <c r="T714" s="7"/>
    </row>
    <row r="715" spans="2:20" x14ac:dyDescent="0.3">
      <c r="B715" s="18" t="s">
        <v>1724</v>
      </c>
      <c r="C715" s="13">
        <v>98</v>
      </c>
      <c r="D715" s="21" t="s">
        <v>1725</v>
      </c>
      <c r="E715" s="24">
        <v>39</v>
      </c>
      <c r="G715" s="2">
        <f t="shared" si="72"/>
        <v>696</v>
      </c>
      <c r="H715" s="5">
        <v>0</v>
      </c>
      <c r="I715" s="13">
        <v>32</v>
      </c>
      <c r="L715" s="4"/>
      <c r="M715" s="7"/>
      <c r="O715" s="7"/>
      <c r="T715" s="7"/>
    </row>
    <row r="716" spans="2:20" x14ac:dyDescent="0.3">
      <c r="B716" s="18" t="s">
        <v>1726</v>
      </c>
      <c r="C716" s="13">
        <v>97</v>
      </c>
      <c r="D716" s="21" t="s">
        <v>1727</v>
      </c>
      <c r="E716" s="24">
        <v>38</v>
      </c>
      <c r="G716" s="2">
        <f t="shared" ref="G716:G779" si="73">G715+1</f>
        <v>697</v>
      </c>
      <c r="H716" s="5">
        <v>0</v>
      </c>
      <c r="I716" s="13">
        <v>32</v>
      </c>
      <c r="L716" s="4"/>
      <c r="M716" s="7"/>
      <c r="O716" s="7"/>
      <c r="T716" s="7"/>
    </row>
    <row r="717" spans="2:20" x14ac:dyDescent="0.3">
      <c r="B717" s="18" t="s">
        <v>1728</v>
      </c>
      <c r="C717" s="13">
        <v>96</v>
      </c>
      <c r="D717" s="21" t="s">
        <v>1729</v>
      </c>
      <c r="E717" s="24">
        <v>37</v>
      </c>
      <c r="G717" s="2">
        <f t="shared" si="73"/>
        <v>698</v>
      </c>
      <c r="H717" s="5">
        <v>0</v>
      </c>
      <c r="I717" s="13">
        <v>32</v>
      </c>
      <c r="L717" s="4"/>
      <c r="M717" s="7"/>
      <c r="O717" s="7"/>
      <c r="T717" s="7"/>
    </row>
    <row r="718" spans="2:20" x14ac:dyDescent="0.3">
      <c r="B718" s="18" t="s">
        <v>1730</v>
      </c>
      <c r="C718" s="13">
        <v>95</v>
      </c>
      <c r="D718" s="21" t="s">
        <v>1731</v>
      </c>
      <c r="E718" s="24">
        <v>36</v>
      </c>
      <c r="G718" s="2">
        <f t="shared" si="73"/>
        <v>699</v>
      </c>
      <c r="H718" s="5">
        <v>0</v>
      </c>
      <c r="I718" s="13">
        <v>32</v>
      </c>
      <c r="L718" s="4"/>
      <c r="M718" s="7"/>
      <c r="O718" s="7"/>
      <c r="T718" s="7"/>
    </row>
    <row r="719" spans="2:20" x14ac:dyDescent="0.3">
      <c r="B719" s="18" t="s">
        <v>1732</v>
      </c>
      <c r="C719" s="13">
        <v>94</v>
      </c>
      <c r="D719" s="21" t="s">
        <v>1733</v>
      </c>
      <c r="E719" s="24">
        <v>35</v>
      </c>
      <c r="G719" s="2">
        <f t="shared" si="73"/>
        <v>700</v>
      </c>
      <c r="H719" s="5">
        <v>0</v>
      </c>
      <c r="I719" s="13">
        <v>32</v>
      </c>
      <c r="L719" s="4"/>
      <c r="M719" s="7"/>
      <c r="O719" s="7"/>
      <c r="T719" s="7"/>
    </row>
    <row r="720" spans="2:20" x14ac:dyDescent="0.3">
      <c r="B720" s="18" t="s">
        <v>1734</v>
      </c>
      <c r="C720" s="13">
        <v>93</v>
      </c>
      <c r="D720" s="21" t="s">
        <v>1735</v>
      </c>
      <c r="E720" s="24">
        <v>34</v>
      </c>
      <c r="G720" s="2">
        <f t="shared" si="73"/>
        <v>701</v>
      </c>
      <c r="H720" s="5">
        <v>0</v>
      </c>
      <c r="I720" s="13">
        <v>32</v>
      </c>
      <c r="L720" s="4"/>
      <c r="M720" s="7"/>
      <c r="O720" s="7"/>
      <c r="T720" s="7"/>
    </row>
    <row r="721" spans="2:20" x14ac:dyDescent="0.3">
      <c r="B721" s="18" t="s">
        <v>1736</v>
      </c>
      <c r="C721" s="13">
        <v>92</v>
      </c>
      <c r="D721" s="21" t="s">
        <v>1737</v>
      </c>
      <c r="E721" s="24">
        <v>60</v>
      </c>
      <c r="G721" s="2">
        <f t="shared" si="73"/>
        <v>702</v>
      </c>
      <c r="H721" s="5">
        <v>0</v>
      </c>
      <c r="I721" s="13">
        <v>32</v>
      </c>
      <c r="L721" s="4"/>
      <c r="M721" s="7"/>
      <c r="O721" s="7"/>
      <c r="T721" s="7"/>
    </row>
    <row r="722" spans="2:20" x14ac:dyDescent="0.3">
      <c r="B722" s="18" t="s">
        <v>1738</v>
      </c>
      <c r="C722" s="13">
        <v>91</v>
      </c>
      <c r="D722" s="21" t="s">
        <v>1739</v>
      </c>
      <c r="E722" s="24">
        <v>33</v>
      </c>
      <c r="G722" s="2">
        <f t="shared" si="73"/>
        <v>703</v>
      </c>
      <c r="H722" s="5">
        <v>0</v>
      </c>
      <c r="I722" s="13">
        <v>32</v>
      </c>
      <c r="L722" s="4"/>
      <c r="M722" s="7"/>
      <c r="O722" s="7"/>
      <c r="T722" s="7"/>
    </row>
    <row r="723" spans="2:20" x14ac:dyDescent="0.3">
      <c r="B723" s="18" t="s">
        <v>1740</v>
      </c>
      <c r="C723" s="13">
        <v>90</v>
      </c>
      <c r="D723" s="21" t="s">
        <v>1741</v>
      </c>
      <c r="E723" s="24">
        <v>59</v>
      </c>
      <c r="G723" s="2">
        <f t="shared" si="73"/>
        <v>704</v>
      </c>
      <c r="H723" s="5">
        <v>0</v>
      </c>
      <c r="I723" s="13">
        <v>32</v>
      </c>
      <c r="L723" s="4"/>
      <c r="M723" s="7"/>
      <c r="O723" s="7"/>
      <c r="T723" s="7"/>
    </row>
    <row r="724" spans="2:20" x14ac:dyDescent="0.3">
      <c r="B724" s="18" t="s">
        <v>1742</v>
      </c>
      <c r="C724" s="13">
        <v>89</v>
      </c>
      <c r="D724" s="21" t="s">
        <v>1743</v>
      </c>
      <c r="E724" s="24">
        <v>58</v>
      </c>
      <c r="G724" s="2">
        <f t="shared" si="73"/>
        <v>705</v>
      </c>
      <c r="H724" s="5">
        <v>0</v>
      </c>
      <c r="I724" s="13">
        <v>32</v>
      </c>
      <c r="L724" s="4"/>
      <c r="M724" s="7"/>
      <c r="O724" s="7"/>
      <c r="T724" s="7"/>
    </row>
    <row r="725" spans="2:20" x14ac:dyDescent="0.3">
      <c r="B725" s="18" t="s">
        <v>1744</v>
      </c>
      <c r="C725" s="13">
        <v>88</v>
      </c>
      <c r="D725" s="21" t="s">
        <v>1745</v>
      </c>
      <c r="E725" s="24">
        <v>57</v>
      </c>
      <c r="G725" s="2">
        <f t="shared" si="73"/>
        <v>706</v>
      </c>
      <c r="H725" s="5">
        <v>0</v>
      </c>
      <c r="I725" s="13">
        <v>32</v>
      </c>
      <c r="L725" s="4"/>
      <c r="M725" s="7"/>
      <c r="O725" s="7"/>
      <c r="T725" s="7"/>
    </row>
    <row r="726" spans="2:20" x14ac:dyDescent="0.3">
      <c r="B726" s="18" t="s">
        <v>1746</v>
      </c>
      <c r="C726" s="13">
        <v>87</v>
      </c>
      <c r="D726" s="21" t="s">
        <v>1747</v>
      </c>
      <c r="E726" s="24">
        <v>56</v>
      </c>
      <c r="G726" s="2">
        <f t="shared" si="73"/>
        <v>707</v>
      </c>
      <c r="H726" s="5">
        <v>0</v>
      </c>
      <c r="I726" s="13">
        <v>32</v>
      </c>
      <c r="L726" s="4"/>
      <c r="M726" s="7"/>
      <c r="O726" s="7"/>
      <c r="T726" s="7"/>
    </row>
    <row r="727" spans="2:20" x14ac:dyDescent="0.3">
      <c r="B727" s="18" t="s">
        <v>1748</v>
      </c>
      <c r="C727" s="13">
        <v>86</v>
      </c>
      <c r="D727" s="21" t="s">
        <v>1749</v>
      </c>
      <c r="E727" s="24">
        <v>55</v>
      </c>
      <c r="G727" s="2">
        <f t="shared" si="73"/>
        <v>708</v>
      </c>
      <c r="H727" s="5">
        <v>0</v>
      </c>
      <c r="I727" s="13">
        <v>32</v>
      </c>
      <c r="L727" s="4"/>
      <c r="M727" s="7"/>
      <c r="O727" s="7"/>
      <c r="T727" s="7"/>
    </row>
    <row r="728" spans="2:20" x14ac:dyDescent="0.3">
      <c r="B728" s="18" t="s">
        <v>1750</v>
      </c>
      <c r="C728" s="13">
        <v>85</v>
      </c>
      <c r="D728" s="21" t="s">
        <v>1751</v>
      </c>
      <c r="E728" s="24">
        <v>54</v>
      </c>
      <c r="G728" s="2">
        <f t="shared" si="73"/>
        <v>709</v>
      </c>
      <c r="H728" s="5">
        <v>0</v>
      </c>
      <c r="I728" s="13">
        <v>32</v>
      </c>
      <c r="L728" s="4"/>
      <c r="M728" s="7"/>
      <c r="O728" s="7"/>
      <c r="T728" s="7"/>
    </row>
    <row r="729" spans="2:20" x14ac:dyDescent="0.3">
      <c r="B729" s="18" t="s">
        <v>1752</v>
      </c>
      <c r="C729" s="13">
        <v>84</v>
      </c>
      <c r="D729" s="21" t="s">
        <v>1753</v>
      </c>
      <c r="E729" s="24">
        <v>53</v>
      </c>
      <c r="G729" s="2">
        <f t="shared" si="73"/>
        <v>710</v>
      </c>
      <c r="H729" s="5">
        <v>0</v>
      </c>
      <c r="I729" s="13">
        <v>32</v>
      </c>
      <c r="L729" s="4"/>
      <c r="M729" s="7"/>
      <c r="O729" s="7"/>
      <c r="T729" s="7"/>
    </row>
    <row r="730" spans="2:20" x14ac:dyDescent="0.3">
      <c r="B730" s="18" t="s">
        <v>1754</v>
      </c>
      <c r="C730" s="13">
        <v>83</v>
      </c>
      <c r="D730" s="21" t="s">
        <v>1755</v>
      </c>
      <c r="E730" s="24">
        <v>52</v>
      </c>
      <c r="G730" s="2">
        <f t="shared" si="73"/>
        <v>711</v>
      </c>
      <c r="H730" s="5">
        <v>0</v>
      </c>
      <c r="I730" s="13">
        <v>32</v>
      </c>
      <c r="L730" s="4"/>
      <c r="M730" s="7"/>
      <c r="O730" s="7"/>
      <c r="T730" s="7"/>
    </row>
    <row r="731" spans="2:20" x14ac:dyDescent="0.3">
      <c r="B731" s="18" t="s">
        <v>1756</v>
      </c>
      <c r="C731" s="13">
        <v>82</v>
      </c>
      <c r="D731" s="21" t="s">
        <v>1757</v>
      </c>
      <c r="E731" s="24">
        <v>51</v>
      </c>
      <c r="G731" s="2">
        <f t="shared" si="73"/>
        <v>712</v>
      </c>
      <c r="H731" s="5">
        <v>0</v>
      </c>
      <c r="I731" s="13">
        <v>32</v>
      </c>
      <c r="L731" s="4"/>
      <c r="M731" s="7"/>
      <c r="O731" s="7"/>
      <c r="T731" s="7"/>
    </row>
    <row r="732" spans="2:20" x14ac:dyDescent="0.3">
      <c r="B732" s="18" t="s">
        <v>1758</v>
      </c>
      <c r="C732" s="13">
        <v>106</v>
      </c>
      <c r="D732" s="21" t="s">
        <v>1759</v>
      </c>
      <c r="E732" s="24">
        <v>50</v>
      </c>
      <c r="G732" s="2">
        <f t="shared" si="73"/>
        <v>713</v>
      </c>
      <c r="H732" s="5">
        <v>0</v>
      </c>
      <c r="I732" s="13">
        <v>32</v>
      </c>
      <c r="L732" s="4"/>
      <c r="M732" s="7"/>
      <c r="O732" s="7"/>
      <c r="T732" s="7"/>
    </row>
    <row r="733" spans="2:20" x14ac:dyDescent="0.3">
      <c r="B733" s="18" t="s">
        <v>1760</v>
      </c>
      <c r="C733" s="13">
        <v>105</v>
      </c>
      <c r="D733" s="21" t="s">
        <v>1761</v>
      </c>
      <c r="E733" s="24">
        <v>32</v>
      </c>
      <c r="G733" s="2">
        <f t="shared" si="73"/>
        <v>714</v>
      </c>
      <c r="H733" s="5">
        <v>0</v>
      </c>
      <c r="I733" s="13">
        <v>32</v>
      </c>
      <c r="L733" s="4"/>
      <c r="M733" s="7"/>
      <c r="O733" s="7"/>
      <c r="T733" s="7"/>
    </row>
    <row r="734" spans="2:20" x14ac:dyDescent="0.3">
      <c r="B734" s="18" t="s">
        <v>1762</v>
      </c>
      <c r="C734" s="13">
        <v>104</v>
      </c>
      <c r="D734" s="21" t="s">
        <v>1763</v>
      </c>
      <c r="E734" s="24">
        <v>49</v>
      </c>
      <c r="G734" s="2">
        <f t="shared" si="73"/>
        <v>715</v>
      </c>
      <c r="H734" s="5">
        <v>0</v>
      </c>
      <c r="I734" s="13">
        <v>32</v>
      </c>
      <c r="L734" s="4"/>
      <c r="M734" s="7"/>
      <c r="O734" s="7"/>
      <c r="T734" s="7"/>
    </row>
    <row r="735" spans="2:20" x14ac:dyDescent="0.3">
      <c r="B735" s="18" t="s">
        <v>1764</v>
      </c>
      <c r="C735" s="13">
        <v>103</v>
      </c>
      <c r="D735" s="21" t="s">
        <v>1765</v>
      </c>
      <c r="E735" s="24">
        <v>48</v>
      </c>
      <c r="G735" s="2">
        <f t="shared" si="73"/>
        <v>716</v>
      </c>
      <c r="H735" s="5">
        <v>0</v>
      </c>
      <c r="I735" s="13">
        <v>32</v>
      </c>
      <c r="L735" s="4"/>
      <c r="M735" s="7"/>
      <c r="O735" s="7"/>
      <c r="T735" s="7"/>
    </row>
    <row r="736" spans="2:20" x14ac:dyDescent="0.3">
      <c r="B736" s="18" t="s">
        <v>1766</v>
      </c>
      <c r="C736" s="13">
        <v>102</v>
      </c>
      <c r="D736" s="21" t="s">
        <v>1767</v>
      </c>
      <c r="E736" s="24">
        <v>47</v>
      </c>
      <c r="G736" s="2">
        <f t="shared" si="73"/>
        <v>717</v>
      </c>
      <c r="H736" s="5">
        <v>0</v>
      </c>
      <c r="I736" s="13">
        <v>32</v>
      </c>
      <c r="L736" s="4"/>
      <c r="M736" s="7"/>
      <c r="O736" s="7"/>
      <c r="T736" s="7"/>
    </row>
    <row r="737" spans="2:20" x14ac:dyDescent="0.3">
      <c r="B737" s="18" t="s">
        <v>1768</v>
      </c>
      <c r="C737" s="13">
        <v>101</v>
      </c>
      <c r="D737" s="21" t="s">
        <v>1769</v>
      </c>
      <c r="E737" s="24">
        <v>46</v>
      </c>
      <c r="G737" s="2">
        <f t="shared" si="73"/>
        <v>718</v>
      </c>
      <c r="H737" s="5">
        <v>0</v>
      </c>
      <c r="I737" s="13">
        <v>32</v>
      </c>
      <c r="L737" s="4"/>
      <c r="M737" s="7"/>
      <c r="O737" s="7"/>
      <c r="T737" s="7"/>
    </row>
    <row r="738" spans="2:20" x14ac:dyDescent="0.3">
      <c r="B738" s="18" t="s">
        <v>1770</v>
      </c>
      <c r="C738" s="13">
        <v>100</v>
      </c>
      <c r="D738" s="21" t="s">
        <v>1771</v>
      </c>
      <c r="E738" s="24">
        <v>45</v>
      </c>
      <c r="G738" s="2">
        <f t="shared" si="73"/>
        <v>719</v>
      </c>
      <c r="H738" s="5">
        <v>0</v>
      </c>
      <c r="I738" s="13">
        <v>32</v>
      </c>
      <c r="L738" s="4"/>
      <c r="M738" s="7"/>
      <c r="O738" s="7"/>
      <c r="T738" s="7"/>
    </row>
    <row r="739" spans="2:20" x14ac:dyDescent="0.3">
      <c r="B739" s="18" t="s">
        <v>1772</v>
      </c>
      <c r="C739" s="13">
        <v>1</v>
      </c>
      <c r="D739" s="21" t="s">
        <v>1773</v>
      </c>
      <c r="E739" s="24">
        <v>44</v>
      </c>
      <c r="G739" s="2">
        <f t="shared" si="73"/>
        <v>720</v>
      </c>
      <c r="H739" s="5">
        <v>0</v>
      </c>
      <c r="I739" s="13">
        <v>32</v>
      </c>
      <c r="L739" s="4"/>
      <c r="M739" s="7"/>
      <c r="O739" s="7"/>
      <c r="T739" s="7"/>
    </row>
    <row r="740" spans="2:20" x14ac:dyDescent="0.3">
      <c r="B740" s="18" t="s">
        <v>1774</v>
      </c>
      <c r="C740" s="13">
        <v>10</v>
      </c>
      <c r="D740" s="21" t="s">
        <v>1775</v>
      </c>
      <c r="E740" s="24">
        <v>43</v>
      </c>
      <c r="G740" s="2">
        <f t="shared" si="73"/>
        <v>721</v>
      </c>
      <c r="H740" s="5">
        <v>0</v>
      </c>
      <c r="I740" s="13">
        <v>32</v>
      </c>
      <c r="L740" s="4"/>
      <c r="M740" s="7"/>
      <c r="O740" s="7"/>
      <c r="T740" s="7"/>
    </row>
    <row r="741" spans="2:20" x14ac:dyDescent="0.3">
      <c r="B741" s="18" t="s">
        <v>1776</v>
      </c>
      <c r="C741" s="13">
        <v>11</v>
      </c>
      <c r="D741" s="21" t="s">
        <v>1777</v>
      </c>
      <c r="E741" s="24">
        <v>42</v>
      </c>
      <c r="G741" s="2">
        <f t="shared" si="73"/>
        <v>722</v>
      </c>
      <c r="H741" s="5">
        <v>0</v>
      </c>
      <c r="I741" s="13">
        <v>32</v>
      </c>
      <c r="L741" s="4"/>
      <c r="M741" s="7"/>
      <c r="O741" s="7"/>
      <c r="T741" s="7"/>
    </row>
    <row r="742" spans="2:20" x14ac:dyDescent="0.3">
      <c r="B742" s="18" t="s">
        <v>1778</v>
      </c>
      <c r="C742" s="13">
        <v>12</v>
      </c>
      <c r="D742" s="21" t="s">
        <v>1779</v>
      </c>
      <c r="E742" s="24">
        <v>41</v>
      </c>
      <c r="G742" s="2">
        <f t="shared" si="73"/>
        <v>723</v>
      </c>
      <c r="H742" s="5">
        <v>0</v>
      </c>
      <c r="I742" s="13">
        <v>32</v>
      </c>
      <c r="L742" s="4"/>
      <c r="M742" s="7"/>
      <c r="O742" s="7"/>
      <c r="T742" s="7"/>
    </row>
    <row r="743" spans="2:20" x14ac:dyDescent="0.3">
      <c r="B743" s="18" t="s">
        <v>1780</v>
      </c>
      <c r="C743" s="13">
        <v>13</v>
      </c>
      <c r="D743" s="21" t="s">
        <v>1781</v>
      </c>
      <c r="E743" s="24">
        <v>40</v>
      </c>
      <c r="G743" s="2">
        <f t="shared" si="73"/>
        <v>724</v>
      </c>
      <c r="H743" s="5">
        <v>0</v>
      </c>
      <c r="I743" s="13">
        <v>32</v>
      </c>
      <c r="L743" s="4"/>
      <c r="M743" s="7"/>
      <c r="O743" s="7"/>
      <c r="T743" s="7"/>
    </row>
    <row r="744" spans="2:20" x14ac:dyDescent="0.3">
      <c r="B744" s="18" t="s">
        <v>1782</v>
      </c>
      <c r="C744" s="13">
        <v>14</v>
      </c>
      <c r="D744" s="21" t="s">
        <v>1783</v>
      </c>
      <c r="E744" s="24">
        <v>31</v>
      </c>
      <c r="G744" s="2">
        <f t="shared" si="73"/>
        <v>725</v>
      </c>
      <c r="H744" s="5">
        <v>0</v>
      </c>
      <c r="I744" s="13">
        <v>32</v>
      </c>
      <c r="L744" s="4"/>
      <c r="M744" s="7"/>
      <c r="O744" s="7"/>
      <c r="T744" s="7"/>
    </row>
    <row r="745" spans="2:20" x14ac:dyDescent="0.3">
      <c r="B745" s="18" t="s">
        <v>1784</v>
      </c>
      <c r="C745" s="13">
        <v>15</v>
      </c>
      <c r="D745" s="21" t="s">
        <v>1785</v>
      </c>
      <c r="E745" s="24">
        <v>9</v>
      </c>
      <c r="G745" s="2">
        <f t="shared" si="73"/>
        <v>726</v>
      </c>
      <c r="H745" s="5">
        <v>0</v>
      </c>
      <c r="I745" s="13">
        <v>32</v>
      </c>
      <c r="L745" s="4"/>
      <c r="M745" s="7"/>
      <c r="O745" s="7"/>
      <c r="T745" s="7"/>
    </row>
    <row r="746" spans="2:20" x14ac:dyDescent="0.3">
      <c r="B746" s="18" t="s">
        <v>1786</v>
      </c>
      <c r="C746" s="13">
        <v>16</v>
      </c>
      <c r="D746" s="21" t="s">
        <v>1787</v>
      </c>
      <c r="E746" s="24">
        <v>8</v>
      </c>
      <c r="G746" s="2">
        <f t="shared" si="73"/>
        <v>727</v>
      </c>
      <c r="H746" s="5">
        <v>0</v>
      </c>
      <c r="I746" s="13">
        <v>32</v>
      </c>
      <c r="L746" s="4"/>
      <c r="M746" s="7"/>
      <c r="O746" s="7"/>
      <c r="T746" s="7"/>
    </row>
    <row r="747" spans="2:20" x14ac:dyDescent="0.3">
      <c r="B747" s="18" t="s">
        <v>1788</v>
      </c>
      <c r="C747" s="13">
        <v>17</v>
      </c>
      <c r="D747" s="21" t="s">
        <v>1789</v>
      </c>
      <c r="E747" s="24">
        <v>7</v>
      </c>
      <c r="G747" s="2">
        <f t="shared" si="73"/>
        <v>728</v>
      </c>
      <c r="H747" s="5">
        <v>0</v>
      </c>
      <c r="I747" s="13">
        <v>32</v>
      </c>
      <c r="L747" s="4"/>
      <c r="M747" s="7"/>
      <c r="O747" s="7"/>
      <c r="T747" s="7"/>
    </row>
    <row r="748" spans="2:20" x14ac:dyDescent="0.3">
      <c r="B748" s="18" t="s">
        <v>1790</v>
      </c>
      <c r="C748" s="13">
        <v>18</v>
      </c>
      <c r="D748" s="21" t="s">
        <v>1791</v>
      </c>
      <c r="E748" s="24">
        <v>6</v>
      </c>
      <c r="G748" s="2">
        <f t="shared" si="73"/>
        <v>729</v>
      </c>
      <c r="H748" s="5">
        <v>0</v>
      </c>
      <c r="I748" s="13">
        <v>32</v>
      </c>
      <c r="L748" s="4"/>
      <c r="M748" s="7"/>
      <c r="O748" s="7"/>
      <c r="T748" s="7"/>
    </row>
    <row r="749" spans="2:20" x14ac:dyDescent="0.3">
      <c r="B749" s="18" t="s">
        <v>1792</v>
      </c>
      <c r="C749" s="13">
        <v>19</v>
      </c>
      <c r="D749" s="21" t="s">
        <v>1793</v>
      </c>
      <c r="E749" s="24">
        <v>5</v>
      </c>
      <c r="G749" s="2">
        <f t="shared" si="73"/>
        <v>730</v>
      </c>
      <c r="H749" s="5">
        <v>0</v>
      </c>
      <c r="I749" s="13">
        <v>32</v>
      </c>
      <c r="L749" s="4"/>
      <c r="M749" s="7"/>
      <c r="O749" s="7"/>
      <c r="T749" s="7"/>
    </row>
    <row r="750" spans="2:20" x14ac:dyDescent="0.3">
      <c r="B750" s="18" t="s">
        <v>1794</v>
      </c>
      <c r="C750" s="13">
        <v>2</v>
      </c>
      <c r="D750" s="21" t="s">
        <v>1795</v>
      </c>
      <c r="E750" s="24">
        <v>4</v>
      </c>
      <c r="G750" s="2">
        <f t="shared" si="73"/>
        <v>731</v>
      </c>
      <c r="H750" s="5">
        <v>0</v>
      </c>
      <c r="I750" s="13">
        <v>32</v>
      </c>
      <c r="L750" s="4"/>
      <c r="M750" s="7"/>
      <c r="O750" s="7"/>
      <c r="T750" s="7"/>
    </row>
    <row r="751" spans="2:20" x14ac:dyDescent="0.3">
      <c r="B751" s="18" t="s">
        <v>1796</v>
      </c>
      <c r="C751" s="13">
        <v>20</v>
      </c>
      <c r="D751" s="21" t="s">
        <v>1797</v>
      </c>
      <c r="E751" s="24">
        <v>30</v>
      </c>
      <c r="G751" s="2">
        <f t="shared" si="73"/>
        <v>732</v>
      </c>
      <c r="H751" s="5">
        <v>0</v>
      </c>
      <c r="I751" s="13">
        <v>32</v>
      </c>
      <c r="L751" s="4"/>
      <c r="M751" s="7"/>
      <c r="O751" s="7"/>
      <c r="T751" s="7"/>
    </row>
    <row r="752" spans="2:20" x14ac:dyDescent="0.3">
      <c r="B752" s="18" t="s">
        <v>1798</v>
      </c>
      <c r="C752" s="13">
        <v>21</v>
      </c>
      <c r="D752" s="21" t="s">
        <v>1799</v>
      </c>
      <c r="E752" s="24">
        <v>3</v>
      </c>
      <c r="G752" s="2">
        <f t="shared" si="73"/>
        <v>733</v>
      </c>
      <c r="H752" s="5">
        <v>0</v>
      </c>
      <c r="I752" s="13">
        <v>32</v>
      </c>
      <c r="L752" s="4"/>
      <c r="M752" s="7"/>
      <c r="O752" s="7"/>
      <c r="T752" s="7"/>
    </row>
    <row r="753" spans="2:20" x14ac:dyDescent="0.3">
      <c r="B753" s="18" t="s">
        <v>1800</v>
      </c>
      <c r="C753" s="13">
        <v>22</v>
      </c>
      <c r="D753" s="21" t="s">
        <v>1801</v>
      </c>
      <c r="E753" s="24">
        <v>29</v>
      </c>
      <c r="G753" s="2">
        <f t="shared" si="73"/>
        <v>734</v>
      </c>
      <c r="H753" s="5">
        <v>0</v>
      </c>
      <c r="I753" s="13">
        <v>32</v>
      </c>
      <c r="L753" s="4"/>
      <c r="M753" s="7"/>
      <c r="O753" s="7"/>
      <c r="T753" s="7"/>
    </row>
    <row r="754" spans="2:20" x14ac:dyDescent="0.3">
      <c r="B754" s="18" t="s">
        <v>1802</v>
      </c>
      <c r="C754" s="13">
        <v>23</v>
      </c>
      <c r="D754" s="21" t="s">
        <v>1803</v>
      </c>
      <c r="E754" s="24">
        <v>28</v>
      </c>
      <c r="G754" s="2">
        <f t="shared" si="73"/>
        <v>735</v>
      </c>
      <c r="H754" s="5">
        <v>0</v>
      </c>
      <c r="I754" s="13">
        <v>32</v>
      </c>
      <c r="L754" s="4"/>
      <c r="M754" s="7"/>
      <c r="O754" s="7"/>
      <c r="T754" s="7"/>
    </row>
    <row r="755" spans="2:20" x14ac:dyDescent="0.3">
      <c r="B755" s="18" t="s">
        <v>1804</v>
      </c>
      <c r="C755" s="13">
        <v>24</v>
      </c>
      <c r="D755" s="21" t="s">
        <v>1805</v>
      </c>
      <c r="E755" s="24">
        <v>27</v>
      </c>
      <c r="G755" s="2">
        <f t="shared" si="73"/>
        <v>736</v>
      </c>
      <c r="H755" s="5">
        <v>0</v>
      </c>
      <c r="I755" s="13">
        <v>32</v>
      </c>
      <c r="L755" s="4"/>
      <c r="M755" s="7"/>
      <c r="O755" s="7"/>
      <c r="T755" s="7"/>
    </row>
    <row r="756" spans="2:20" x14ac:dyDescent="0.3">
      <c r="B756" s="18" t="s">
        <v>1806</v>
      </c>
      <c r="C756" s="13">
        <v>25</v>
      </c>
      <c r="D756" s="21" t="s">
        <v>1807</v>
      </c>
      <c r="E756" s="24">
        <v>26</v>
      </c>
      <c r="G756" s="2">
        <f t="shared" si="73"/>
        <v>737</v>
      </c>
      <c r="H756" s="5">
        <v>0</v>
      </c>
      <c r="I756" s="13">
        <v>32</v>
      </c>
      <c r="L756" s="4"/>
      <c r="M756" s="7"/>
      <c r="O756" s="7"/>
      <c r="T756" s="7"/>
    </row>
    <row r="757" spans="2:20" x14ac:dyDescent="0.3">
      <c r="B757" s="18" t="s">
        <v>1808</v>
      </c>
      <c r="C757" s="13">
        <v>26</v>
      </c>
      <c r="D757" s="21" t="s">
        <v>1809</v>
      </c>
      <c r="E757" s="24">
        <v>25</v>
      </c>
      <c r="G757" s="2">
        <f t="shared" si="73"/>
        <v>738</v>
      </c>
      <c r="H757" s="5">
        <v>0</v>
      </c>
      <c r="I757" s="13">
        <v>32</v>
      </c>
      <c r="L757" s="4"/>
      <c r="M757" s="7"/>
      <c r="O757" s="7"/>
      <c r="T757" s="7"/>
    </row>
    <row r="758" spans="2:20" x14ac:dyDescent="0.3">
      <c r="B758" s="18" t="s">
        <v>1810</v>
      </c>
      <c r="C758" s="13">
        <v>27</v>
      </c>
      <c r="D758" s="21" t="s">
        <v>1811</v>
      </c>
      <c r="E758" s="24">
        <v>24</v>
      </c>
      <c r="G758" s="2">
        <f t="shared" si="73"/>
        <v>739</v>
      </c>
      <c r="H758" s="5">
        <v>0</v>
      </c>
      <c r="I758" s="13">
        <v>32</v>
      </c>
      <c r="L758" s="4"/>
      <c r="M758" s="7"/>
      <c r="O758" s="7"/>
      <c r="T758" s="7"/>
    </row>
    <row r="759" spans="2:20" x14ac:dyDescent="0.3">
      <c r="B759" s="18" t="s">
        <v>1812</v>
      </c>
      <c r="C759" s="13">
        <v>3</v>
      </c>
      <c r="D759" s="21" t="s">
        <v>1813</v>
      </c>
      <c r="E759" s="24">
        <v>23</v>
      </c>
      <c r="G759" s="2">
        <f t="shared" si="73"/>
        <v>740</v>
      </c>
      <c r="H759" s="5">
        <v>0</v>
      </c>
      <c r="I759" s="13">
        <v>32</v>
      </c>
      <c r="L759" s="4"/>
      <c r="M759" s="7"/>
      <c r="O759" s="7"/>
      <c r="T759" s="7"/>
    </row>
    <row r="760" spans="2:20" x14ac:dyDescent="0.3">
      <c r="B760" s="18" t="s">
        <v>1814</v>
      </c>
      <c r="C760" s="13">
        <v>4</v>
      </c>
      <c r="D760" s="21" t="s">
        <v>1815</v>
      </c>
      <c r="E760" s="24">
        <v>22</v>
      </c>
      <c r="G760" s="2">
        <f t="shared" si="73"/>
        <v>741</v>
      </c>
      <c r="H760" s="5">
        <v>0</v>
      </c>
      <c r="I760" s="13">
        <v>32</v>
      </c>
      <c r="L760" s="4"/>
      <c r="M760" s="7"/>
      <c r="O760" s="7"/>
      <c r="T760" s="7"/>
    </row>
    <row r="761" spans="2:20" x14ac:dyDescent="0.3">
      <c r="B761" s="18" t="s">
        <v>1816</v>
      </c>
      <c r="C761" s="13">
        <v>5</v>
      </c>
      <c r="D761" s="21" t="s">
        <v>1817</v>
      </c>
      <c r="E761" s="24">
        <v>21</v>
      </c>
      <c r="G761" s="2">
        <f t="shared" si="73"/>
        <v>742</v>
      </c>
      <c r="H761" s="5">
        <v>0</v>
      </c>
      <c r="I761" s="13">
        <v>32</v>
      </c>
      <c r="L761" s="4"/>
      <c r="M761" s="7"/>
      <c r="O761" s="7"/>
      <c r="T761" s="7"/>
    </row>
    <row r="762" spans="2:20" x14ac:dyDescent="0.3">
      <c r="B762" s="18" t="s">
        <v>1818</v>
      </c>
      <c r="C762" s="13">
        <v>6</v>
      </c>
      <c r="D762" s="21" t="s">
        <v>1819</v>
      </c>
      <c r="E762" s="24">
        <v>20</v>
      </c>
      <c r="G762" s="2">
        <f t="shared" si="73"/>
        <v>743</v>
      </c>
      <c r="H762" s="5">
        <v>0</v>
      </c>
      <c r="I762" s="13">
        <v>32</v>
      </c>
      <c r="L762" s="4"/>
      <c r="M762" s="7"/>
      <c r="O762" s="7"/>
      <c r="T762" s="7"/>
    </row>
    <row r="763" spans="2:20" x14ac:dyDescent="0.3">
      <c r="B763" s="18" t="s">
        <v>1820</v>
      </c>
      <c r="C763" s="13">
        <v>7</v>
      </c>
      <c r="D763" s="21" t="s">
        <v>1821</v>
      </c>
      <c r="E763" s="24">
        <v>2</v>
      </c>
      <c r="G763" s="2">
        <f t="shared" si="73"/>
        <v>744</v>
      </c>
      <c r="H763" s="5">
        <v>0</v>
      </c>
      <c r="I763" s="13">
        <v>32</v>
      </c>
      <c r="L763" s="4"/>
      <c r="M763" s="7"/>
      <c r="O763" s="7"/>
      <c r="T763" s="7"/>
    </row>
    <row r="764" spans="2:20" x14ac:dyDescent="0.3">
      <c r="B764" s="18" t="s">
        <v>1822</v>
      </c>
      <c r="C764" s="13">
        <v>8</v>
      </c>
      <c r="D764" s="21" t="s">
        <v>1823</v>
      </c>
      <c r="E764" s="24">
        <v>19</v>
      </c>
      <c r="G764" s="2">
        <f t="shared" si="73"/>
        <v>745</v>
      </c>
      <c r="H764" s="5">
        <v>0</v>
      </c>
      <c r="I764" s="13">
        <v>32</v>
      </c>
      <c r="L764" s="4"/>
      <c r="M764" s="7"/>
      <c r="O764" s="7"/>
      <c r="T764" s="7"/>
    </row>
    <row r="765" spans="2:20" x14ac:dyDescent="0.3">
      <c r="B765" s="18" t="s">
        <v>1824</v>
      </c>
      <c r="C765" s="13">
        <v>9</v>
      </c>
      <c r="D765" s="21" t="s">
        <v>1825</v>
      </c>
      <c r="E765" s="24">
        <v>18</v>
      </c>
      <c r="G765" s="2">
        <f t="shared" si="73"/>
        <v>746</v>
      </c>
      <c r="H765" s="5">
        <v>0</v>
      </c>
      <c r="I765" s="13">
        <v>32</v>
      </c>
      <c r="L765" s="4"/>
      <c r="M765" s="7"/>
      <c r="O765" s="7"/>
      <c r="T765" s="7"/>
    </row>
    <row r="766" spans="2:20" x14ac:dyDescent="0.3">
      <c r="B766" s="18" t="s">
        <v>1826</v>
      </c>
      <c r="C766" s="13">
        <v>54</v>
      </c>
      <c r="D766" s="21" t="s">
        <v>1827</v>
      </c>
      <c r="E766" s="24">
        <v>17</v>
      </c>
      <c r="G766" s="2">
        <f t="shared" si="73"/>
        <v>747</v>
      </c>
      <c r="H766" s="5">
        <v>0</v>
      </c>
      <c r="I766" s="13">
        <v>32</v>
      </c>
      <c r="L766" s="4"/>
      <c r="M766" s="7"/>
      <c r="O766" s="7"/>
      <c r="T766" s="7"/>
    </row>
    <row r="767" spans="2:20" x14ac:dyDescent="0.3">
      <c r="B767" s="18" t="s">
        <v>1828</v>
      </c>
      <c r="C767" s="13">
        <v>45</v>
      </c>
      <c r="D767" s="21" t="s">
        <v>1829</v>
      </c>
      <c r="E767" s="24">
        <v>16</v>
      </c>
      <c r="G767" s="2">
        <f t="shared" si="73"/>
        <v>748</v>
      </c>
      <c r="H767" s="5">
        <v>0</v>
      </c>
      <c r="I767" s="13">
        <v>32</v>
      </c>
      <c r="L767" s="4"/>
      <c r="M767" s="7"/>
      <c r="O767" s="7"/>
      <c r="T767" s="7"/>
    </row>
    <row r="768" spans="2:20" x14ac:dyDescent="0.3">
      <c r="B768" s="18" t="s">
        <v>1830</v>
      </c>
      <c r="C768" s="13">
        <v>44</v>
      </c>
      <c r="D768" s="21" t="s">
        <v>1831</v>
      </c>
      <c r="E768" s="24">
        <v>15</v>
      </c>
      <c r="G768" s="2">
        <f t="shared" si="73"/>
        <v>749</v>
      </c>
      <c r="H768" s="5">
        <v>0</v>
      </c>
      <c r="I768" s="13">
        <v>32</v>
      </c>
      <c r="L768" s="4"/>
      <c r="M768" s="7"/>
      <c r="O768" s="7"/>
      <c r="T768" s="7"/>
    </row>
    <row r="769" spans="2:20" x14ac:dyDescent="0.3">
      <c r="B769" s="18" t="s">
        <v>1832</v>
      </c>
      <c r="C769" s="13">
        <v>43</v>
      </c>
      <c r="D769" s="21" t="s">
        <v>1833</v>
      </c>
      <c r="E769" s="24">
        <v>14</v>
      </c>
      <c r="G769" s="2">
        <f t="shared" si="73"/>
        <v>750</v>
      </c>
      <c r="H769" s="5">
        <v>0</v>
      </c>
      <c r="I769" s="13">
        <v>32</v>
      </c>
      <c r="L769" s="4"/>
      <c r="M769" s="7"/>
      <c r="O769" s="7"/>
      <c r="T769" s="7"/>
    </row>
    <row r="770" spans="2:20" x14ac:dyDescent="0.3">
      <c r="B770" s="18" t="s">
        <v>1834</v>
      </c>
      <c r="C770" s="13">
        <v>42</v>
      </c>
      <c r="D770" s="21" t="s">
        <v>1835</v>
      </c>
      <c r="E770" s="24">
        <v>13</v>
      </c>
      <c r="G770" s="2">
        <f t="shared" si="73"/>
        <v>751</v>
      </c>
      <c r="H770" s="5">
        <v>0</v>
      </c>
      <c r="I770" s="13">
        <v>32</v>
      </c>
      <c r="L770" s="4"/>
      <c r="M770" s="7"/>
      <c r="O770" s="7"/>
      <c r="T770" s="7"/>
    </row>
    <row r="771" spans="2:20" x14ac:dyDescent="0.3">
      <c r="B771" s="18" t="s">
        <v>1836</v>
      </c>
      <c r="C771" s="13">
        <v>41</v>
      </c>
      <c r="D771" s="21" t="s">
        <v>1837</v>
      </c>
      <c r="E771" s="24">
        <v>12</v>
      </c>
      <c r="G771" s="2">
        <f t="shared" si="73"/>
        <v>752</v>
      </c>
      <c r="H771" s="5">
        <v>0</v>
      </c>
      <c r="I771" s="13">
        <v>32</v>
      </c>
      <c r="L771" s="4"/>
      <c r="M771" s="7"/>
      <c r="O771" s="7"/>
      <c r="T771" s="7"/>
    </row>
    <row r="772" spans="2:20" x14ac:dyDescent="0.3">
      <c r="B772" s="18" t="s">
        <v>1838</v>
      </c>
      <c r="C772" s="13">
        <v>40</v>
      </c>
      <c r="D772" s="21" t="s">
        <v>1839</v>
      </c>
      <c r="E772" s="24">
        <v>11</v>
      </c>
      <c r="G772" s="2">
        <f t="shared" si="73"/>
        <v>753</v>
      </c>
      <c r="H772" s="5">
        <v>0</v>
      </c>
      <c r="I772" s="13">
        <v>32</v>
      </c>
      <c r="L772" s="4"/>
      <c r="M772" s="7"/>
      <c r="O772" s="7"/>
      <c r="T772" s="7"/>
    </row>
    <row r="773" spans="2:20" x14ac:dyDescent="0.3">
      <c r="B773" s="18" t="s">
        <v>1840</v>
      </c>
      <c r="C773" s="13">
        <v>39</v>
      </c>
      <c r="D773" s="21" t="s">
        <v>1841</v>
      </c>
      <c r="E773" s="24">
        <v>10</v>
      </c>
      <c r="G773" s="2">
        <f t="shared" si="73"/>
        <v>754</v>
      </c>
      <c r="H773" s="5">
        <v>0</v>
      </c>
      <c r="I773" s="13">
        <v>32</v>
      </c>
      <c r="L773" s="4"/>
      <c r="M773" s="7"/>
      <c r="O773" s="7"/>
      <c r="T773" s="7"/>
    </row>
    <row r="774" spans="2:20" x14ac:dyDescent="0.3">
      <c r="B774" s="18" t="s">
        <v>1842</v>
      </c>
      <c r="C774" s="13">
        <v>38</v>
      </c>
      <c r="D774" s="21" t="s">
        <v>1843</v>
      </c>
      <c r="E774" s="24">
        <v>1</v>
      </c>
      <c r="G774" s="2">
        <f t="shared" si="73"/>
        <v>755</v>
      </c>
      <c r="H774" s="5">
        <v>0</v>
      </c>
      <c r="I774" s="13">
        <v>32</v>
      </c>
      <c r="L774" s="4"/>
      <c r="M774" s="7"/>
      <c r="O774" s="7"/>
      <c r="T774" s="7"/>
    </row>
    <row r="775" spans="2:20" x14ac:dyDescent="0.3">
      <c r="B775" s="18" t="s">
        <v>1844</v>
      </c>
      <c r="C775" s="13">
        <v>37</v>
      </c>
      <c r="D775" s="21" t="s">
        <v>1845</v>
      </c>
      <c r="E775" s="24">
        <v>82</v>
      </c>
      <c r="G775" s="2">
        <f t="shared" si="73"/>
        <v>756</v>
      </c>
      <c r="H775" s="5">
        <v>0</v>
      </c>
      <c r="I775" s="13">
        <v>32</v>
      </c>
      <c r="L775" s="4"/>
      <c r="M775" s="7"/>
      <c r="O775" s="7"/>
      <c r="T775" s="7"/>
    </row>
    <row r="776" spans="2:20" x14ac:dyDescent="0.3">
      <c r="B776" s="18" t="s">
        <v>1846</v>
      </c>
      <c r="C776" s="13">
        <v>36</v>
      </c>
      <c r="D776" s="21" t="s">
        <v>1847</v>
      </c>
      <c r="E776" s="24">
        <v>83</v>
      </c>
      <c r="G776" s="2">
        <f t="shared" si="73"/>
        <v>757</v>
      </c>
      <c r="H776" s="5">
        <v>0</v>
      </c>
      <c r="I776" s="13">
        <v>32</v>
      </c>
      <c r="L776" s="4"/>
      <c r="M776" s="7"/>
      <c r="O776" s="7"/>
      <c r="T776" s="7"/>
    </row>
    <row r="777" spans="2:20" x14ac:dyDescent="0.3">
      <c r="B777" s="18" t="s">
        <v>1848</v>
      </c>
      <c r="C777" s="13">
        <v>53</v>
      </c>
      <c r="D777" s="21" t="s">
        <v>1849</v>
      </c>
      <c r="E777" s="24">
        <v>84</v>
      </c>
      <c r="G777" s="2">
        <f t="shared" si="73"/>
        <v>758</v>
      </c>
      <c r="H777" s="5">
        <v>0</v>
      </c>
      <c r="I777" s="13">
        <v>32</v>
      </c>
      <c r="L777" s="4"/>
      <c r="M777" s="7"/>
      <c r="O777" s="7"/>
      <c r="T777" s="7"/>
    </row>
    <row r="778" spans="2:20" x14ac:dyDescent="0.3">
      <c r="B778" s="18" t="s">
        <v>1850</v>
      </c>
      <c r="C778" s="13">
        <v>35</v>
      </c>
      <c r="D778" s="21" t="s">
        <v>1851</v>
      </c>
      <c r="E778" s="24">
        <v>85</v>
      </c>
      <c r="G778" s="2">
        <f t="shared" si="73"/>
        <v>759</v>
      </c>
      <c r="H778" s="5">
        <v>0</v>
      </c>
      <c r="I778" s="13">
        <v>32</v>
      </c>
      <c r="L778" s="4"/>
      <c r="M778" s="7"/>
      <c r="O778" s="7"/>
      <c r="T778" s="7"/>
    </row>
    <row r="779" spans="2:20" x14ac:dyDescent="0.3">
      <c r="B779" s="18" t="s">
        <v>1852</v>
      </c>
      <c r="C779" s="13">
        <v>34</v>
      </c>
      <c r="D779" s="21" t="s">
        <v>1853</v>
      </c>
      <c r="E779" s="24">
        <v>86</v>
      </c>
      <c r="G779" s="2">
        <f t="shared" si="73"/>
        <v>760</v>
      </c>
      <c r="H779" s="5">
        <v>0</v>
      </c>
      <c r="I779" s="13">
        <v>32</v>
      </c>
      <c r="L779" s="4"/>
      <c r="M779" s="7"/>
      <c r="O779" s="7"/>
      <c r="T779" s="7"/>
    </row>
    <row r="780" spans="2:20" x14ac:dyDescent="0.3">
      <c r="B780" s="18" t="s">
        <v>1854</v>
      </c>
      <c r="C780" s="13">
        <v>33</v>
      </c>
      <c r="D780" s="21" t="s">
        <v>1855</v>
      </c>
      <c r="E780" s="24">
        <v>87</v>
      </c>
      <c r="G780" s="2">
        <f t="shared" ref="G780:G843" si="74">G779+1</f>
        <v>761</v>
      </c>
      <c r="H780" s="5">
        <v>0</v>
      </c>
      <c r="I780" s="13">
        <v>32</v>
      </c>
      <c r="L780" s="4"/>
      <c r="M780" s="7"/>
      <c r="O780" s="7"/>
      <c r="T780" s="7"/>
    </row>
    <row r="781" spans="2:20" x14ac:dyDescent="0.3">
      <c r="B781" s="18" t="s">
        <v>1856</v>
      </c>
      <c r="C781" s="13">
        <v>32</v>
      </c>
      <c r="D781" s="21" t="s">
        <v>1857</v>
      </c>
      <c r="E781" s="24">
        <v>61</v>
      </c>
      <c r="G781" s="2">
        <f t="shared" si="74"/>
        <v>762</v>
      </c>
      <c r="H781" s="5">
        <v>0</v>
      </c>
      <c r="I781" s="13">
        <v>32</v>
      </c>
      <c r="L781" s="4"/>
      <c r="M781" s="7"/>
      <c r="O781" s="7"/>
      <c r="T781" s="7"/>
    </row>
    <row r="782" spans="2:20" x14ac:dyDescent="0.3">
      <c r="B782" s="18" t="s">
        <v>1858</v>
      </c>
      <c r="C782" s="13">
        <v>31</v>
      </c>
      <c r="D782" s="21" t="s">
        <v>1859</v>
      </c>
      <c r="E782" s="24">
        <v>88</v>
      </c>
      <c r="G782" s="2">
        <f t="shared" si="74"/>
        <v>763</v>
      </c>
      <c r="H782" s="5">
        <v>0</v>
      </c>
      <c r="I782" s="13">
        <v>32</v>
      </c>
      <c r="L782" s="4"/>
      <c r="M782" s="7"/>
      <c r="O782" s="7"/>
      <c r="T782" s="7"/>
    </row>
    <row r="783" spans="2:20" x14ac:dyDescent="0.3">
      <c r="B783" s="18" t="s">
        <v>1860</v>
      </c>
      <c r="C783" s="13">
        <v>30</v>
      </c>
      <c r="D783" s="21" t="s">
        <v>1861</v>
      </c>
      <c r="E783" s="24">
        <v>62</v>
      </c>
      <c r="G783" s="2">
        <f t="shared" si="74"/>
        <v>764</v>
      </c>
      <c r="H783" s="5">
        <v>0</v>
      </c>
      <c r="I783" s="13">
        <v>32</v>
      </c>
      <c r="L783" s="4"/>
      <c r="M783" s="7"/>
      <c r="O783" s="7"/>
      <c r="T783" s="7"/>
    </row>
    <row r="784" spans="2:20" x14ac:dyDescent="0.3">
      <c r="B784" s="18" t="s">
        <v>1862</v>
      </c>
      <c r="C784" s="13">
        <v>29</v>
      </c>
      <c r="D784" s="21" t="s">
        <v>1863</v>
      </c>
      <c r="E784" s="24">
        <v>63</v>
      </c>
      <c r="G784" s="2">
        <f t="shared" si="74"/>
        <v>765</v>
      </c>
      <c r="H784" s="5">
        <v>0</v>
      </c>
      <c r="I784" s="13">
        <v>32</v>
      </c>
      <c r="L784" s="4"/>
      <c r="M784" s="7"/>
      <c r="O784" s="7"/>
      <c r="T784" s="7"/>
    </row>
    <row r="785" spans="2:20" x14ac:dyDescent="0.3">
      <c r="B785" s="18" t="s">
        <v>1864</v>
      </c>
      <c r="C785" s="13">
        <v>28</v>
      </c>
      <c r="D785" s="21" t="s">
        <v>1865</v>
      </c>
      <c r="E785" s="24">
        <v>64</v>
      </c>
      <c r="G785" s="2">
        <f t="shared" si="74"/>
        <v>766</v>
      </c>
      <c r="H785" s="5">
        <v>0</v>
      </c>
      <c r="I785" s="13">
        <v>32</v>
      </c>
      <c r="L785" s="4"/>
      <c r="M785" s="7"/>
      <c r="O785" s="7"/>
      <c r="T785" s="7"/>
    </row>
    <row r="786" spans="2:20" x14ac:dyDescent="0.3">
      <c r="B786" s="18" t="s">
        <v>1866</v>
      </c>
      <c r="C786" s="13">
        <v>52</v>
      </c>
      <c r="D786" s="21" t="s">
        <v>1867</v>
      </c>
      <c r="E786" s="24">
        <v>65</v>
      </c>
      <c r="G786" s="2">
        <f t="shared" si="74"/>
        <v>767</v>
      </c>
      <c r="H786" s="5">
        <v>0</v>
      </c>
      <c r="I786" s="13">
        <v>32</v>
      </c>
      <c r="L786" s="4"/>
      <c r="M786" s="7"/>
      <c r="O786" s="7"/>
      <c r="T786" s="7"/>
    </row>
    <row r="787" spans="2:20" x14ac:dyDescent="0.3">
      <c r="B787" s="18" t="s">
        <v>1868</v>
      </c>
      <c r="C787" s="13">
        <v>51</v>
      </c>
      <c r="D787" s="21" t="s">
        <v>1869</v>
      </c>
      <c r="E787" s="24">
        <v>66</v>
      </c>
      <c r="G787" s="2">
        <f t="shared" si="74"/>
        <v>768</v>
      </c>
      <c r="H787" s="5">
        <v>0</v>
      </c>
      <c r="I787" s="13">
        <v>32</v>
      </c>
      <c r="L787" s="4"/>
      <c r="M787" s="7"/>
      <c r="O787" s="7"/>
      <c r="T787" s="7"/>
    </row>
    <row r="788" spans="2:20" x14ac:dyDescent="0.3">
      <c r="B788" s="18" t="s">
        <v>1870</v>
      </c>
      <c r="C788" s="13">
        <v>50</v>
      </c>
      <c r="D788" s="21" t="s">
        <v>1871</v>
      </c>
      <c r="E788" s="24">
        <v>67</v>
      </c>
      <c r="G788" s="2">
        <f t="shared" si="74"/>
        <v>769</v>
      </c>
      <c r="H788" s="5">
        <v>0</v>
      </c>
      <c r="I788" s="13">
        <v>32</v>
      </c>
      <c r="L788" s="4"/>
      <c r="M788" s="7"/>
      <c r="O788" s="7"/>
      <c r="T788" s="7"/>
    </row>
    <row r="789" spans="2:20" x14ac:dyDescent="0.3">
      <c r="B789" s="18" t="s">
        <v>1872</v>
      </c>
      <c r="C789" s="13">
        <v>49</v>
      </c>
      <c r="D789" s="21" t="s">
        <v>1873</v>
      </c>
      <c r="E789" s="24">
        <v>68</v>
      </c>
      <c r="G789" s="2">
        <f t="shared" si="74"/>
        <v>770</v>
      </c>
      <c r="H789" s="5">
        <v>0</v>
      </c>
      <c r="I789" s="13">
        <v>32</v>
      </c>
      <c r="L789" s="4"/>
      <c r="M789" s="7"/>
      <c r="O789" s="7"/>
      <c r="T789" s="7"/>
    </row>
    <row r="790" spans="2:20" x14ac:dyDescent="0.3">
      <c r="B790" s="18" t="s">
        <v>1874</v>
      </c>
      <c r="C790" s="13">
        <v>48</v>
      </c>
      <c r="D790" s="21" t="s">
        <v>1875</v>
      </c>
      <c r="E790" s="24">
        <v>69</v>
      </c>
      <c r="G790" s="2">
        <f t="shared" si="74"/>
        <v>771</v>
      </c>
      <c r="H790" s="5">
        <v>0</v>
      </c>
      <c r="I790" s="13">
        <v>32</v>
      </c>
      <c r="L790" s="4"/>
      <c r="M790" s="7"/>
      <c r="O790" s="7"/>
      <c r="T790" s="7"/>
    </row>
    <row r="791" spans="2:20" x14ac:dyDescent="0.3">
      <c r="B791" s="18" t="s">
        <v>1876</v>
      </c>
      <c r="C791" s="13">
        <v>47</v>
      </c>
      <c r="D791" s="21" t="s">
        <v>1877</v>
      </c>
      <c r="E791" s="24">
        <v>70</v>
      </c>
      <c r="G791" s="2">
        <f t="shared" si="74"/>
        <v>772</v>
      </c>
      <c r="H791" s="5">
        <v>0</v>
      </c>
      <c r="I791" s="13">
        <v>32</v>
      </c>
      <c r="L791" s="4"/>
      <c r="M791" s="7"/>
      <c r="O791" s="7"/>
      <c r="T791" s="7"/>
    </row>
    <row r="792" spans="2:20" x14ac:dyDescent="0.3">
      <c r="B792" s="18" t="s">
        <v>1878</v>
      </c>
      <c r="C792" s="13">
        <v>46</v>
      </c>
      <c r="D792" s="21" t="s">
        <v>1879</v>
      </c>
      <c r="E792" s="24">
        <v>71</v>
      </c>
      <c r="G792" s="2">
        <f t="shared" si="74"/>
        <v>773</v>
      </c>
      <c r="H792" s="5">
        <v>0</v>
      </c>
      <c r="I792" s="13">
        <v>32</v>
      </c>
      <c r="L792" s="4"/>
      <c r="M792" s="7"/>
      <c r="O792" s="7"/>
      <c r="T792" s="7"/>
    </row>
    <row r="793" spans="2:20" x14ac:dyDescent="0.3">
      <c r="B793" s="18" t="s">
        <v>1880</v>
      </c>
      <c r="C793" s="13">
        <v>55</v>
      </c>
      <c r="D793" s="21" t="s">
        <v>1881</v>
      </c>
      <c r="E793" s="24">
        <v>72</v>
      </c>
      <c r="G793" s="2">
        <f t="shared" si="74"/>
        <v>774</v>
      </c>
      <c r="H793" s="5">
        <v>0</v>
      </c>
      <c r="I793" s="13">
        <v>32</v>
      </c>
      <c r="L793" s="4"/>
      <c r="M793" s="7"/>
      <c r="O793" s="7"/>
      <c r="T793" s="7"/>
    </row>
    <row r="794" spans="2:20" x14ac:dyDescent="0.3">
      <c r="B794" s="18" t="s">
        <v>1882</v>
      </c>
      <c r="C794" s="13">
        <v>64</v>
      </c>
      <c r="D794" s="21" t="s">
        <v>1883</v>
      </c>
      <c r="E794" s="24">
        <v>73</v>
      </c>
      <c r="G794" s="2">
        <f t="shared" si="74"/>
        <v>775</v>
      </c>
      <c r="H794" s="5">
        <v>0</v>
      </c>
      <c r="I794" s="13">
        <v>32</v>
      </c>
      <c r="L794" s="4"/>
      <c r="M794" s="7"/>
      <c r="O794" s="7"/>
      <c r="T794" s="7"/>
    </row>
    <row r="795" spans="2:20" x14ac:dyDescent="0.3">
      <c r="B795" s="18" t="s">
        <v>1884</v>
      </c>
      <c r="C795" s="13">
        <v>65</v>
      </c>
      <c r="D795" s="21" t="s">
        <v>1885</v>
      </c>
      <c r="E795" s="24">
        <v>74</v>
      </c>
      <c r="G795" s="2">
        <f t="shared" si="74"/>
        <v>776</v>
      </c>
      <c r="H795" s="5">
        <v>0</v>
      </c>
      <c r="I795" s="13">
        <v>32</v>
      </c>
      <c r="L795" s="4"/>
      <c r="M795" s="7"/>
      <c r="O795" s="7"/>
      <c r="T795" s="7"/>
    </row>
    <row r="796" spans="2:20" x14ac:dyDescent="0.3">
      <c r="B796" s="18" t="s">
        <v>1886</v>
      </c>
      <c r="C796" s="13">
        <v>66</v>
      </c>
      <c r="D796" s="21" t="s">
        <v>1887</v>
      </c>
      <c r="E796" s="24">
        <v>75</v>
      </c>
      <c r="G796" s="2">
        <f t="shared" si="74"/>
        <v>777</v>
      </c>
      <c r="H796" s="5">
        <v>0</v>
      </c>
      <c r="I796" s="13">
        <v>32</v>
      </c>
      <c r="L796" s="4"/>
      <c r="M796" s="7"/>
      <c r="O796" s="7"/>
      <c r="T796" s="7"/>
    </row>
    <row r="797" spans="2:20" x14ac:dyDescent="0.3">
      <c r="B797" s="18" t="s">
        <v>1888</v>
      </c>
      <c r="C797" s="13">
        <v>67</v>
      </c>
      <c r="D797" s="21" t="s">
        <v>1889</v>
      </c>
      <c r="E797" s="24">
        <v>76</v>
      </c>
      <c r="G797" s="2">
        <f t="shared" si="74"/>
        <v>778</v>
      </c>
      <c r="H797" s="5">
        <v>0</v>
      </c>
      <c r="I797" s="13">
        <v>32</v>
      </c>
      <c r="L797" s="4"/>
      <c r="M797" s="7"/>
      <c r="O797" s="7"/>
      <c r="T797" s="7"/>
    </row>
    <row r="798" spans="2:20" x14ac:dyDescent="0.3">
      <c r="B798" s="18" t="s">
        <v>1890</v>
      </c>
      <c r="C798" s="13">
        <v>68</v>
      </c>
      <c r="D798" s="21" t="s">
        <v>1891</v>
      </c>
      <c r="E798" s="24">
        <v>77</v>
      </c>
      <c r="G798" s="2">
        <f t="shared" si="74"/>
        <v>779</v>
      </c>
      <c r="H798" s="5">
        <v>0</v>
      </c>
      <c r="I798" s="13">
        <v>32</v>
      </c>
      <c r="L798" s="4"/>
      <c r="M798" s="7"/>
      <c r="O798" s="7"/>
      <c r="T798" s="7"/>
    </row>
    <row r="799" spans="2:20" x14ac:dyDescent="0.3">
      <c r="B799" s="18" t="s">
        <v>1892</v>
      </c>
      <c r="C799" s="13">
        <v>69</v>
      </c>
      <c r="D799" s="21" t="s">
        <v>1893</v>
      </c>
      <c r="E799" s="24">
        <v>78</v>
      </c>
      <c r="G799" s="2">
        <f t="shared" si="74"/>
        <v>780</v>
      </c>
      <c r="H799" s="5">
        <v>0</v>
      </c>
      <c r="I799" s="13">
        <v>32</v>
      </c>
      <c r="L799" s="4"/>
      <c r="M799" s="7"/>
      <c r="O799" s="7"/>
      <c r="T799" s="7"/>
    </row>
    <row r="800" spans="2:20" x14ac:dyDescent="0.3">
      <c r="B800" s="18" t="s">
        <v>1894</v>
      </c>
      <c r="C800" s="13">
        <v>70</v>
      </c>
      <c r="D800" s="21" t="s">
        <v>1895</v>
      </c>
      <c r="E800" s="24">
        <v>79</v>
      </c>
      <c r="G800" s="2">
        <f t="shared" si="74"/>
        <v>781</v>
      </c>
      <c r="H800" s="5">
        <v>0</v>
      </c>
      <c r="I800" s="13">
        <v>32</v>
      </c>
      <c r="L800" s="4"/>
      <c r="M800" s="7"/>
      <c r="O800" s="7"/>
      <c r="T800" s="7"/>
    </row>
    <row r="801" spans="2:20" x14ac:dyDescent="0.3">
      <c r="B801" s="18" t="s">
        <v>1896</v>
      </c>
      <c r="C801" s="13">
        <v>71</v>
      </c>
      <c r="D801" s="21" t="s">
        <v>1897</v>
      </c>
      <c r="E801" s="24">
        <v>80</v>
      </c>
      <c r="G801" s="2">
        <f t="shared" si="74"/>
        <v>782</v>
      </c>
      <c r="H801" s="5">
        <v>0</v>
      </c>
      <c r="I801" s="13">
        <v>32</v>
      </c>
      <c r="L801" s="4"/>
      <c r="M801" s="7"/>
      <c r="O801" s="7"/>
      <c r="T801" s="7"/>
    </row>
    <row r="802" spans="2:20" x14ac:dyDescent="0.3">
      <c r="B802" s="18" t="s">
        <v>1898</v>
      </c>
      <c r="C802" s="13">
        <v>72</v>
      </c>
      <c r="D802" s="21" t="s">
        <v>1899</v>
      </c>
      <c r="E802" s="24">
        <v>81</v>
      </c>
      <c r="G802" s="2">
        <f t="shared" si="74"/>
        <v>783</v>
      </c>
      <c r="H802" s="5">
        <v>0</v>
      </c>
      <c r="I802" s="13">
        <v>32</v>
      </c>
      <c r="L802" s="4"/>
      <c r="M802" s="7"/>
      <c r="O802" s="7"/>
      <c r="T802" s="7"/>
    </row>
    <row r="803" spans="2:20" x14ac:dyDescent="0.3">
      <c r="B803" s="18" t="s">
        <v>1900</v>
      </c>
      <c r="C803" s="13">
        <v>73</v>
      </c>
      <c r="D803" s="21" t="s">
        <v>1901</v>
      </c>
      <c r="E803" s="24">
        <v>39</v>
      </c>
      <c r="G803" s="2">
        <f t="shared" si="74"/>
        <v>784</v>
      </c>
      <c r="H803" s="5">
        <v>0</v>
      </c>
      <c r="I803" s="13">
        <v>32</v>
      </c>
      <c r="L803" s="4"/>
      <c r="M803" s="7"/>
      <c r="O803" s="7"/>
      <c r="T803" s="7"/>
    </row>
    <row r="804" spans="2:20" x14ac:dyDescent="0.3">
      <c r="B804" s="18" t="s">
        <v>1902</v>
      </c>
      <c r="C804" s="13">
        <v>56</v>
      </c>
      <c r="D804" s="21" t="s">
        <v>1903</v>
      </c>
      <c r="E804" s="24">
        <v>38</v>
      </c>
      <c r="G804" s="2">
        <f t="shared" si="74"/>
        <v>785</v>
      </c>
      <c r="H804" s="5">
        <v>0</v>
      </c>
      <c r="I804" s="13">
        <v>32</v>
      </c>
      <c r="L804" s="4"/>
      <c r="M804" s="7"/>
      <c r="O804" s="7"/>
      <c r="T804" s="7"/>
    </row>
    <row r="805" spans="2:20" x14ac:dyDescent="0.3">
      <c r="B805" s="18" t="s">
        <v>1904</v>
      </c>
      <c r="C805" s="13">
        <v>74</v>
      </c>
      <c r="D805" s="21" t="s">
        <v>1905</v>
      </c>
      <c r="E805" s="24">
        <v>37</v>
      </c>
      <c r="G805" s="2">
        <f t="shared" si="74"/>
        <v>786</v>
      </c>
      <c r="H805" s="5">
        <v>0</v>
      </c>
      <c r="I805" s="13">
        <v>32</v>
      </c>
      <c r="L805" s="4"/>
      <c r="M805" s="7"/>
      <c r="O805" s="7"/>
      <c r="T805" s="7"/>
    </row>
    <row r="806" spans="2:20" x14ac:dyDescent="0.3">
      <c r="B806" s="18" t="s">
        <v>1906</v>
      </c>
      <c r="C806" s="13">
        <v>75</v>
      </c>
      <c r="D806" s="21" t="s">
        <v>1907</v>
      </c>
      <c r="E806" s="24">
        <v>36</v>
      </c>
      <c r="G806" s="2">
        <f t="shared" si="74"/>
        <v>787</v>
      </c>
      <c r="H806" s="5">
        <v>0</v>
      </c>
      <c r="I806" s="13">
        <v>32</v>
      </c>
      <c r="L806" s="4"/>
      <c r="M806" s="7"/>
      <c r="O806" s="7"/>
      <c r="T806" s="7"/>
    </row>
    <row r="807" spans="2:20" x14ac:dyDescent="0.3">
      <c r="B807" s="18" t="s">
        <v>1908</v>
      </c>
      <c r="C807" s="13">
        <v>76</v>
      </c>
      <c r="D807" s="21" t="s">
        <v>1909</v>
      </c>
      <c r="E807" s="24">
        <v>35</v>
      </c>
      <c r="G807" s="2">
        <f t="shared" si="74"/>
        <v>788</v>
      </c>
      <c r="H807" s="5">
        <v>0</v>
      </c>
      <c r="I807" s="13">
        <v>32</v>
      </c>
      <c r="L807" s="4"/>
      <c r="M807" s="7"/>
      <c r="O807" s="7"/>
      <c r="T807" s="7"/>
    </row>
    <row r="808" spans="2:20" x14ac:dyDescent="0.3">
      <c r="B808" s="18" t="s">
        <v>1910</v>
      </c>
      <c r="C808" s="13">
        <v>77</v>
      </c>
      <c r="D808" s="21" t="s">
        <v>1911</v>
      </c>
      <c r="E808" s="24">
        <v>34</v>
      </c>
      <c r="G808" s="2">
        <f t="shared" si="74"/>
        <v>789</v>
      </c>
      <c r="H808" s="5">
        <v>0</v>
      </c>
      <c r="I808" s="13">
        <v>32</v>
      </c>
      <c r="L808" s="4"/>
      <c r="M808" s="7"/>
      <c r="O808" s="7"/>
      <c r="T808" s="7"/>
    </row>
    <row r="809" spans="2:20" x14ac:dyDescent="0.3">
      <c r="B809" s="18" t="s">
        <v>1912</v>
      </c>
      <c r="C809" s="13">
        <v>78</v>
      </c>
      <c r="D809" s="21" t="s">
        <v>1913</v>
      </c>
      <c r="E809" s="24">
        <v>60</v>
      </c>
      <c r="G809" s="2">
        <f t="shared" si="74"/>
        <v>790</v>
      </c>
      <c r="H809" s="5">
        <v>0</v>
      </c>
      <c r="I809" s="13">
        <v>32</v>
      </c>
      <c r="L809" s="4"/>
      <c r="M809" s="7"/>
      <c r="O809" s="7"/>
      <c r="T809" s="7"/>
    </row>
    <row r="810" spans="2:20" x14ac:dyDescent="0.3">
      <c r="B810" s="18" t="s">
        <v>1914</v>
      </c>
      <c r="C810" s="13">
        <v>79</v>
      </c>
      <c r="D810" s="21" t="s">
        <v>1915</v>
      </c>
      <c r="E810" s="24">
        <v>33</v>
      </c>
      <c r="G810" s="2">
        <f t="shared" si="74"/>
        <v>791</v>
      </c>
      <c r="H810" s="5">
        <v>0</v>
      </c>
      <c r="I810" s="13">
        <v>32</v>
      </c>
      <c r="L810" s="4"/>
      <c r="M810" s="7"/>
      <c r="O810" s="7"/>
      <c r="T810" s="7"/>
    </row>
    <row r="811" spans="2:20" x14ac:dyDescent="0.3">
      <c r="B811" s="18" t="s">
        <v>1916</v>
      </c>
      <c r="C811" s="13">
        <v>80</v>
      </c>
      <c r="D811" s="21" t="s">
        <v>1917</v>
      </c>
      <c r="E811" s="24">
        <v>59</v>
      </c>
      <c r="G811" s="2">
        <f t="shared" si="74"/>
        <v>792</v>
      </c>
      <c r="H811" s="5">
        <v>0</v>
      </c>
      <c r="I811" s="13">
        <v>32</v>
      </c>
      <c r="L811" s="4"/>
      <c r="M811" s="7"/>
      <c r="O811" s="7"/>
      <c r="T811" s="7"/>
    </row>
    <row r="812" spans="2:20" x14ac:dyDescent="0.3">
      <c r="B812" s="18" t="s">
        <v>1918</v>
      </c>
      <c r="C812" s="13">
        <v>81</v>
      </c>
      <c r="D812" s="21" t="s">
        <v>1919</v>
      </c>
      <c r="E812" s="24">
        <v>58</v>
      </c>
      <c r="G812" s="2">
        <f t="shared" si="74"/>
        <v>793</v>
      </c>
      <c r="H812" s="5">
        <v>0</v>
      </c>
      <c r="I812" s="13">
        <v>32</v>
      </c>
      <c r="L812" s="4"/>
      <c r="M812" s="7"/>
      <c r="O812" s="7"/>
      <c r="T812" s="7"/>
    </row>
    <row r="813" spans="2:20" x14ac:dyDescent="0.3">
      <c r="B813" s="18" t="s">
        <v>1920</v>
      </c>
      <c r="C813" s="13">
        <v>57</v>
      </c>
      <c r="D813" s="21" t="s">
        <v>1921</v>
      </c>
      <c r="E813" s="24">
        <v>57</v>
      </c>
      <c r="G813" s="2">
        <f t="shared" si="74"/>
        <v>794</v>
      </c>
      <c r="H813" s="5">
        <v>0</v>
      </c>
      <c r="I813" s="13">
        <v>32</v>
      </c>
      <c r="L813" s="4"/>
      <c r="M813" s="7"/>
      <c r="O813" s="7"/>
      <c r="T813" s="7"/>
    </row>
    <row r="814" spans="2:20" x14ac:dyDescent="0.3">
      <c r="B814" s="18" t="s">
        <v>1922</v>
      </c>
      <c r="C814" s="13">
        <v>58</v>
      </c>
      <c r="D814" s="21" t="s">
        <v>1923</v>
      </c>
      <c r="E814" s="24">
        <v>56</v>
      </c>
      <c r="G814" s="2">
        <f t="shared" si="74"/>
        <v>795</v>
      </c>
      <c r="H814" s="5">
        <v>0</v>
      </c>
      <c r="I814" s="13">
        <v>32</v>
      </c>
      <c r="L814" s="4"/>
      <c r="M814" s="7"/>
      <c r="O814" s="7"/>
      <c r="T814" s="7"/>
    </row>
    <row r="815" spans="2:20" x14ac:dyDescent="0.3">
      <c r="B815" s="18" t="s">
        <v>1924</v>
      </c>
      <c r="C815" s="13">
        <v>59</v>
      </c>
      <c r="D815" s="21" t="s">
        <v>1925</v>
      </c>
      <c r="E815" s="24">
        <v>55</v>
      </c>
      <c r="G815" s="2">
        <f t="shared" si="74"/>
        <v>796</v>
      </c>
      <c r="H815" s="5">
        <v>0</v>
      </c>
      <c r="I815" s="13">
        <v>32</v>
      </c>
      <c r="L815" s="4"/>
      <c r="M815" s="7"/>
      <c r="O815" s="7"/>
      <c r="T815" s="7"/>
    </row>
    <row r="816" spans="2:20" x14ac:dyDescent="0.3">
      <c r="B816" s="18" t="s">
        <v>1926</v>
      </c>
      <c r="C816" s="13">
        <v>60</v>
      </c>
      <c r="D816" s="21" t="s">
        <v>1927</v>
      </c>
      <c r="E816" s="24">
        <v>54</v>
      </c>
      <c r="G816" s="2">
        <f t="shared" si="74"/>
        <v>797</v>
      </c>
      <c r="H816" s="5">
        <v>0</v>
      </c>
      <c r="I816" s="13">
        <v>32</v>
      </c>
      <c r="L816" s="4"/>
      <c r="M816" s="7"/>
      <c r="O816" s="7"/>
      <c r="T816" s="7"/>
    </row>
    <row r="817" spans="2:20" x14ac:dyDescent="0.3">
      <c r="B817" s="18" t="s">
        <v>1928</v>
      </c>
      <c r="C817" s="13">
        <v>61</v>
      </c>
      <c r="D817" s="21" t="s">
        <v>1929</v>
      </c>
      <c r="E817" s="24">
        <v>53</v>
      </c>
      <c r="G817" s="2">
        <f t="shared" si="74"/>
        <v>798</v>
      </c>
      <c r="H817" s="5">
        <v>0</v>
      </c>
      <c r="I817" s="13">
        <v>32</v>
      </c>
      <c r="L817" s="4"/>
      <c r="M817" s="7"/>
      <c r="O817" s="7"/>
      <c r="T817" s="7"/>
    </row>
    <row r="818" spans="2:20" x14ac:dyDescent="0.3">
      <c r="B818" s="18" t="s">
        <v>1930</v>
      </c>
      <c r="C818" s="13">
        <v>62</v>
      </c>
      <c r="D818" s="21" t="s">
        <v>1931</v>
      </c>
      <c r="E818" s="24">
        <v>52</v>
      </c>
      <c r="G818" s="2">
        <f t="shared" si="74"/>
        <v>799</v>
      </c>
      <c r="H818" s="5">
        <v>0</v>
      </c>
      <c r="I818" s="13">
        <v>32</v>
      </c>
      <c r="L818" s="4"/>
      <c r="M818" s="7"/>
      <c r="O818" s="7"/>
      <c r="T818" s="7"/>
    </row>
    <row r="819" spans="2:20" x14ac:dyDescent="0.3">
      <c r="B819" s="18" t="s">
        <v>1932</v>
      </c>
      <c r="C819" s="13">
        <v>63</v>
      </c>
      <c r="D819" s="21" t="s">
        <v>1933</v>
      </c>
      <c r="E819" s="24">
        <v>51</v>
      </c>
      <c r="G819" s="2">
        <f t="shared" si="74"/>
        <v>800</v>
      </c>
      <c r="H819" s="5">
        <v>0</v>
      </c>
      <c r="I819" s="13">
        <v>32</v>
      </c>
      <c r="L819" s="4"/>
      <c r="M819" s="7"/>
      <c r="O819" s="7"/>
      <c r="T819" s="7"/>
    </row>
    <row r="820" spans="2:20" x14ac:dyDescent="0.3">
      <c r="B820" s="18" t="s">
        <v>1934</v>
      </c>
      <c r="C820" s="13">
        <v>99</v>
      </c>
      <c r="D820" s="21" t="s">
        <v>1935</v>
      </c>
      <c r="E820" s="24">
        <v>50</v>
      </c>
      <c r="G820" s="2">
        <f t="shared" si="74"/>
        <v>801</v>
      </c>
      <c r="H820" s="5">
        <v>0</v>
      </c>
      <c r="I820" s="13">
        <v>32</v>
      </c>
      <c r="L820" s="4"/>
      <c r="M820" s="7"/>
      <c r="O820" s="7"/>
      <c r="T820" s="7"/>
    </row>
    <row r="821" spans="2:20" x14ac:dyDescent="0.3">
      <c r="B821" s="18" t="s">
        <v>1936</v>
      </c>
      <c r="C821" s="13">
        <v>98</v>
      </c>
      <c r="D821" s="21" t="s">
        <v>1937</v>
      </c>
      <c r="E821" s="24">
        <v>32</v>
      </c>
      <c r="G821" s="2">
        <f t="shared" si="74"/>
        <v>802</v>
      </c>
      <c r="H821" s="5">
        <v>0</v>
      </c>
      <c r="I821" s="13">
        <v>32</v>
      </c>
      <c r="L821" s="4"/>
      <c r="M821" s="7"/>
      <c r="O821" s="7"/>
      <c r="T821" s="7"/>
    </row>
    <row r="822" spans="2:20" x14ac:dyDescent="0.3">
      <c r="B822" s="18" t="s">
        <v>1938</v>
      </c>
      <c r="C822" s="13">
        <v>97</v>
      </c>
      <c r="D822" s="21" t="s">
        <v>1939</v>
      </c>
      <c r="E822" s="24">
        <v>49</v>
      </c>
      <c r="G822" s="2">
        <f t="shared" si="74"/>
        <v>803</v>
      </c>
      <c r="H822" s="5">
        <v>0</v>
      </c>
      <c r="I822" s="13">
        <v>32</v>
      </c>
      <c r="L822" s="4"/>
      <c r="M822" s="7"/>
      <c r="O822" s="7"/>
      <c r="T822" s="7"/>
    </row>
    <row r="823" spans="2:20" x14ac:dyDescent="0.3">
      <c r="B823" s="18" t="s">
        <v>1940</v>
      </c>
      <c r="C823" s="13">
        <v>96</v>
      </c>
      <c r="D823" s="21" t="s">
        <v>1941</v>
      </c>
      <c r="E823" s="24">
        <v>48</v>
      </c>
      <c r="G823" s="2">
        <f t="shared" si="74"/>
        <v>804</v>
      </c>
      <c r="H823" s="5">
        <v>0</v>
      </c>
      <c r="I823" s="13">
        <v>32</v>
      </c>
      <c r="L823" s="4"/>
      <c r="M823" s="7"/>
      <c r="O823" s="7"/>
      <c r="T823" s="7"/>
    </row>
    <row r="824" spans="2:20" x14ac:dyDescent="0.3">
      <c r="B824" s="18" t="s">
        <v>1942</v>
      </c>
      <c r="C824" s="13">
        <v>95</v>
      </c>
      <c r="D824" s="21" t="s">
        <v>1943</v>
      </c>
      <c r="E824" s="24">
        <v>47</v>
      </c>
      <c r="G824" s="2">
        <f t="shared" si="74"/>
        <v>805</v>
      </c>
      <c r="H824" s="5">
        <v>0</v>
      </c>
      <c r="I824" s="13">
        <v>32</v>
      </c>
      <c r="L824" s="4"/>
      <c r="M824" s="7"/>
      <c r="O824" s="7"/>
      <c r="T824" s="7"/>
    </row>
    <row r="825" spans="2:20" x14ac:dyDescent="0.3">
      <c r="B825" s="18" t="s">
        <v>1944</v>
      </c>
      <c r="C825" s="13">
        <v>94</v>
      </c>
      <c r="D825" s="21" t="s">
        <v>1945</v>
      </c>
      <c r="E825" s="24">
        <v>46</v>
      </c>
      <c r="G825" s="2">
        <f t="shared" si="74"/>
        <v>806</v>
      </c>
      <c r="H825" s="5">
        <v>0</v>
      </c>
      <c r="I825" s="13">
        <v>32</v>
      </c>
      <c r="L825" s="4"/>
      <c r="M825" s="7"/>
      <c r="O825" s="7"/>
      <c r="T825" s="7"/>
    </row>
    <row r="826" spans="2:20" x14ac:dyDescent="0.3">
      <c r="B826" s="18" t="s">
        <v>1946</v>
      </c>
      <c r="C826" s="13">
        <v>93</v>
      </c>
      <c r="D826" s="21" t="s">
        <v>1947</v>
      </c>
      <c r="E826" s="24">
        <v>45</v>
      </c>
      <c r="G826" s="2">
        <f t="shared" si="74"/>
        <v>807</v>
      </c>
      <c r="H826" s="5">
        <v>0</v>
      </c>
      <c r="I826" s="13">
        <v>32</v>
      </c>
      <c r="L826" s="4"/>
      <c r="M826" s="7"/>
      <c r="O826" s="7"/>
      <c r="T826" s="7"/>
    </row>
    <row r="827" spans="2:20" x14ac:dyDescent="0.3">
      <c r="B827" s="18" t="s">
        <v>1948</v>
      </c>
      <c r="C827" s="13">
        <v>92</v>
      </c>
      <c r="D827" s="21" t="s">
        <v>1949</v>
      </c>
      <c r="E827" s="24">
        <v>44</v>
      </c>
      <c r="G827" s="2">
        <f t="shared" si="74"/>
        <v>808</v>
      </c>
      <c r="H827" s="5">
        <v>0</v>
      </c>
      <c r="I827" s="13">
        <v>32</v>
      </c>
      <c r="L827" s="4"/>
      <c r="M827" s="7"/>
      <c r="O827" s="7"/>
      <c r="T827" s="7"/>
    </row>
    <row r="828" spans="2:20" x14ac:dyDescent="0.3">
      <c r="B828" s="18" t="s">
        <v>1950</v>
      </c>
      <c r="C828" s="13">
        <v>91</v>
      </c>
      <c r="D828" s="21" t="s">
        <v>1951</v>
      </c>
      <c r="E828" s="24">
        <v>43</v>
      </c>
      <c r="G828" s="2">
        <f t="shared" si="74"/>
        <v>809</v>
      </c>
      <c r="H828" s="5">
        <v>0</v>
      </c>
      <c r="I828" s="13">
        <v>32</v>
      </c>
      <c r="L828" s="4"/>
      <c r="M828" s="7"/>
      <c r="O828" s="7"/>
      <c r="T828" s="7"/>
    </row>
    <row r="829" spans="2:20" x14ac:dyDescent="0.3">
      <c r="B829" s="18" t="s">
        <v>1952</v>
      </c>
      <c r="C829" s="13">
        <v>90</v>
      </c>
      <c r="D829" s="21" t="s">
        <v>1953</v>
      </c>
      <c r="E829" s="24">
        <v>42</v>
      </c>
      <c r="G829" s="2">
        <f t="shared" si="74"/>
        <v>810</v>
      </c>
      <c r="H829" s="5">
        <v>0</v>
      </c>
      <c r="I829" s="13">
        <v>32</v>
      </c>
      <c r="L829" s="4"/>
      <c r="M829" s="7"/>
      <c r="O829" s="7"/>
      <c r="T829" s="7"/>
    </row>
    <row r="830" spans="2:20" x14ac:dyDescent="0.3">
      <c r="B830" s="18" t="s">
        <v>1954</v>
      </c>
      <c r="C830" s="13">
        <v>107</v>
      </c>
      <c r="D830" s="21" t="s">
        <v>1955</v>
      </c>
      <c r="E830" s="24">
        <v>41</v>
      </c>
      <c r="G830" s="2">
        <f t="shared" si="74"/>
        <v>811</v>
      </c>
      <c r="H830" s="5">
        <v>0</v>
      </c>
      <c r="I830" s="13">
        <v>32</v>
      </c>
      <c r="L830" s="4"/>
      <c r="M830" s="7"/>
      <c r="O830" s="7"/>
      <c r="T830" s="7"/>
    </row>
    <row r="831" spans="2:20" x14ac:dyDescent="0.3">
      <c r="B831" s="18" t="s">
        <v>1956</v>
      </c>
      <c r="C831" s="13">
        <v>89</v>
      </c>
      <c r="D831" s="21" t="s">
        <v>1957</v>
      </c>
      <c r="E831" s="24">
        <v>40</v>
      </c>
      <c r="G831" s="2">
        <f t="shared" si="74"/>
        <v>812</v>
      </c>
      <c r="H831" s="5">
        <v>0</v>
      </c>
      <c r="I831" s="13">
        <v>32</v>
      </c>
      <c r="L831" s="4"/>
      <c r="M831" s="7"/>
      <c r="O831" s="7"/>
      <c r="T831" s="7"/>
    </row>
    <row r="832" spans="2:20" x14ac:dyDescent="0.3">
      <c r="B832" s="18" t="s">
        <v>1958</v>
      </c>
      <c r="C832" s="13">
        <v>88</v>
      </c>
      <c r="D832" s="21" t="s">
        <v>1959</v>
      </c>
      <c r="E832" s="24">
        <v>31</v>
      </c>
      <c r="G832" s="2">
        <f t="shared" si="74"/>
        <v>813</v>
      </c>
      <c r="H832" s="5">
        <v>0</v>
      </c>
      <c r="I832" s="13">
        <v>32</v>
      </c>
      <c r="L832" s="4"/>
      <c r="M832" s="7"/>
      <c r="O832" s="7"/>
      <c r="T832" s="7"/>
    </row>
    <row r="833" spans="2:20" x14ac:dyDescent="0.3">
      <c r="B833" s="18" t="s">
        <v>1960</v>
      </c>
      <c r="C833" s="13">
        <v>87</v>
      </c>
      <c r="D833" s="21" t="s">
        <v>1961</v>
      </c>
      <c r="E833" s="24">
        <v>9</v>
      </c>
      <c r="G833" s="2">
        <f t="shared" si="74"/>
        <v>814</v>
      </c>
      <c r="H833" s="5">
        <v>0</v>
      </c>
      <c r="I833" s="13">
        <v>32</v>
      </c>
      <c r="L833" s="4"/>
      <c r="M833" s="7"/>
      <c r="O833" s="7"/>
      <c r="T833" s="7"/>
    </row>
    <row r="834" spans="2:20" x14ac:dyDescent="0.3">
      <c r="B834" s="18" t="s">
        <v>1962</v>
      </c>
      <c r="C834" s="13">
        <v>86</v>
      </c>
      <c r="D834" s="21" t="s">
        <v>1963</v>
      </c>
      <c r="E834" s="24">
        <v>8</v>
      </c>
      <c r="G834" s="2">
        <f t="shared" si="74"/>
        <v>815</v>
      </c>
      <c r="H834" s="5">
        <v>0</v>
      </c>
      <c r="I834" s="13">
        <v>32</v>
      </c>
      <c r="L834" s="4"/>
      <c r="M834" s="7"/>
      <c r="O834" s="7"/>
      <c r="T834" s="7"/>
    </row>
    <row r="835" spans="2:20" x14ac:dyDescent="0.3">
      <c r="B835" s="18" t="s">
        <v>1964</v>
      </c>
      <c r="C835" s="13">
        <v>85</v>
      </c>
      <c r="D835" s="21" t="s">
        <v>1965</v>
      </c>
      <c r="E835" s="24">
        <v>7</v>
      </c>
      <c r="G835" s="2">
        <f t="shared" si="74"/>
        <v>816</v>
      </c>
      <c r="H835" s="5">
        <v>0</v>
      </c>
      <c r="I835" s="13">
        <v>32</v>
      </c>
      <c r="L835" s="4"/>
      <c r="M835" s="7"/>
      <c r="O835" s="7"/>
      <c r="T835" s="7"/>
    </row>
    <row r="836" spans="2:20" x14ac:dyDescent="0.3">
      <c r="B836" s="18" t="s">
        <v>1966</v>
      </c>
      <c r="C836" s="13">
        <v>84</v>
      </c>
      <c r="D836" s="21" t="s">
        <v>1967</v>
      </c>
      <c r="E836" s="24">
        <v>6</v>
      </c>
      <c r="G836" s="2">
        <f t="shared" si="74"/>
        <v>817</v>
      </c>
      <c r="H836" s="5">
        <v>0</v>
      </c>
      <c r="I836" s="13">
        <v>32</v>
      </c>
      <c r="L836" s="4"/>
      <c r="M836" s="7"/>
      <c r="O836" s="7"/>
      <c r="T836" s="7"/>
    </row>
    <row r="837" spans="2:20" x14ac:dyDescent="0.3">
      <c r="B837" s="18" t="s">
        <v>1968</v>
      </c>
      <c r="C837" s="13">
        <v>83</v>
      </c>
      <c r="D837" s="21" t="s">
        <v>1969</v>
      </c>
      <c r="E837" s="24">
        <v>5</v>
      </c>
      <c r="G837" s="2">
        <f t="shared" si="74"/>
        <v>818</v>
      </c>
      <c r="H837" s="5">
        <v>0</v>
      </c>
      <c r="I837" s="13">
        <v>32</v>
      </c>
      <c r="L837" s="4"/>
      <c r="M837" s="7"/>
      <c r="O837" s="7"/>
      <c r="T837" s="7"/>
    </row>
    <row r="838" spans="2:20" x14ac:dyDescent="0.3">
      <c r="B838" s="18" t="s">
        <v>1970</v>
      </c>
      <c r="C838" s="13">
        <v>82</v>
      </c>
      <c r="D838" s="21" t="s">
        <v>1971</v>
      </c>
      <c r="E838" s="24">
        <v>4</v>
      </c>
      <c r="G838" s="2">
        <f t="shared" si="74"/>
        <v>819</v>
      </c>
      <c r="H838" s="5">
        <v>0</v>
      </c>
      <c r="I838" s="13">
        <v>32</v>
      </c>
      <c r="L838" s="4"/>
      <c r="M838" s="7"/>
      <c r="O838" s="7"/>
      <c r="T838" s="7"/>
    </row>
    <row r="839" spans="2:20" x14ac:dyDescent="0.3">
      <c r="B839" s="18" t="s">
        <v>1972</v>
      </c>
      <c r="C839" s="13">
        <v>106</v>
      </c>
      <c r="D839" s="21" t="s">
        <v>1973</v>
      </c>
      <c r="E839" s="24">
        <v>30</v>
      </c>
      <c r="G839" s="2">
        <f t="shared" si="74"/>
        <v>820</v>
      </c>
      <c r="H839" s="5">
        <v>0</v>
      </c>
      <c r="I839" s="13">
        <v>32</v>
      </c>
      <c r="L839" s="4"/>
      <c r="M839" s="7"/>
      <c r="O839" s="7"/>
      <c r="T839" s="7"/>
    </row>
    <row r="840" spans="2:20" x14ac:dyDescent="0.3">
      <c r="B840" s="18" t="s">
        <v>1974</v>
      </c>
      <c r="C840" s="13">
        <v>105</v>
      </c>
      <c r="D840" s="21" t="s">
        <v>1975</v>
      </c>
      <c r="E840" s="24">
        <v>3</v>
      </c>
      <c r="G840" s="2">
        <f t="shared" si="74"/>
        <v>821</v>
      </c>
      <c r="H840" s="5">
        <v>0</v>
      </c>
      <c r="I840" s="13">
        <v>32</v>
      </c>
      <c r="L840" s="4"/>
      <c r="M840" s="7"/>
      <c r="O840" s="7"/>
      <c r="T840" s="7"/>
    </row>
    <row r="841" spans="2:20" x14ac:dyDescent="0.3">
      <c r="B841" s="18" t="s">
        <v>1976</v>
      </c>
      <c r="C841" s="13">
        <v>104</v>
      </c>
      <c r="D841" s="21" t="s">
        <v>1977</v>
      </c>
      <c r="E841" s="24">
        <v>29</v>
      </c>
      <c r="G841" s="2">
        <f t="shared" si="74"/>
        <v>822</v>
      </c>
      <c r="H841" s="5">
        <v>0</v>
      </c>
      <c r="I841" s="13">
        <v>32</v>
      </c>
      <c r="L841" s="4"/>
      <c r="M841" s="7"/>
      <c r="O841" s="7"/>
      <c r="T841" s="7"/>
    </row>
    <row r="842" spans="2:20" x14ac:dyDescent="0.3">
      <c r="B842" s="18" t="s">
        <v>1978</v>
      </c>
      <c r="C842" s="13">
        <v>103</v>
      </c>
      <c r="D842" s="21" t="s">
        <v>1979</v>
      </c>
      <c r="E842" s="24">
        <v>28</v>
      </c>
      <c r="G842" s="2">
        <f t="shared" si="74"/>
        <v>823</v>
      </c>
      <c r="H842" s="5">
        <v>0</v>
      </c>
      <c r="I842" s="13">
        <v>32</v>
      </c>
      <c r="L842" s="4"/>
      <c r="M842" s="7"/>
      <c r="O842" s="7"/>
      <c r="T842" s="7"/>
    </row>
    <row r="843" spans="2:20" x14ac:dyDescent="0.3">
      <c r="B843" s="18" t="s">
        <v>1980</v>
      </c>
      <c r="C843" s="13">
        <v>102</v>
      </c>
      <c r="D843" s="21" t="s">
        <v>1981</v>
      </c>
      <c r="E843" s="24">
        <v>27</v>
      </c>
      <c r="G843" s="2">
        <f t="shared" si="74"/>
        <v>824</v>
      </c>
      <c r="H843" s="5">
        <v>0</v>
      </c>
      <c r="I843" s="13">
        <v>32</v>
      </c>
      <c r="L843" s="4"/>
      <c r="M843" s="7"/>
      <c r="O843" s="7"/>
      <c r="T843" s="7"/>
    </row>
    <row r="844" spans="2:20" x14ac:dyDescent="0.3">
      <c r="B844" s="18" t="s">
        <v>1982</v>
      </c>
      <c r="C844" s="13">
        <v>101</v>
      </c>
      <c r="D844" s="21" t="s">
        <v>1983</v>
      </c>
      <c r="E844" s="24">
        <v>26</v>
      </c>
      <c r="G844" s="2">
        <f t="shared" ref="G844:G907" si="75">G843+1</f>
        <v>825</v>
      </c>
      <c r="H844" s="5">
        <v>0</v>
      </c>
      <c r="I844" s="13">
        <v>32</v>
      </c>
      <c r="L844" s="4"/>
      <c r="M844" s="7"/>
      <c r="O844" s="7"/>
      <c r="T844" s="7"/>
    </row>
    <row r="845" spans="2:20" x14ac:dyDescent="0.3">
      <c r="B845" s="18" t="s">
        <v>1984</v>
      </c>
      <c r="C845" s="13">
        <v>100</v>
      </c>
      <c r="D845" s="21" t="s">
        <v>1985</v>
      </c>
      <c r="E845" s="24">
        <v>25</v>
      </c>
      <c r="G845" s="2">
        <f t="shared" si="75"/>
        <v>826</v>
      </c>
      <c r="H845" s="5">
        <v>0</v>
      </c>
      <c r="I845" s="13">
        <v>32</v>
      </c>
      <c r="L845" s="4"/>
      <c r="M845" s="7"/>
      <c r="O845" s="7"/>
      <c r="T845" s="7"/>
    </row>
    <row r="846" spans="2:20" x14ac:dyDescent="0.3">
      <c r="B846" s="18" t="s">
        <v>1986</v>
      </c>
      <c r="C846" s="13">
        <v>1</v>
      </c>
      <c r="D846" s="21" t="s">
        <v>1987</v>
      </c>
      <c r="E846" s="24">
        <v>24</v>
      </c>
      <c r="G846" s="2">
        <f t="shared" si="75"/>
        <v>827</v>
      </c>
      <c r="H846" s="5">
        <v>0</v>
      </c>
      <c r="I846" s="13">
        <v>32</v>
      </c>
      <c r="L846" s="4"/>
      <c r="M846" s="7"/>
      <c r="O846" s="7"/>
      <c r="T846" s="7"/>
    </row>
    <row r="847" spans="2:20" x14ac:dyDescent="0.3">
      <c r="B847" s="18" t="s">
        <v>1988</v>
      </c>
      <c r="C847" s="13">
        <v>10</v>
      </c>
      <c r="D847" s="21" t="s">
        <v>1989</v>
      </c>
      <c r="E847" s="24">
        <v>23</v>
      </c>
      <c r="G847" s="2">
        <f t="shared" si="75"/>
        <v>828</v>
      </c>
      <c r="H847" s="5">
        <v>0</v>
      </c>
      <c r="I847" s="13">
        <v>32</v>
      </c>
      <c r="L847" s="4"/>
      <c r="M847" s="7"/>
      <c r="O847" s="7"/>
      <c r="T847" s="7"/>
    </row>
    <row r="848" spans="2:20" x14ac:dyDescent="0.3">
      <c r="B848" s="18" t="s">
        <v>1990</v>
      </c>
      <c r="C848" s="13">
        <v>11</v>
      </c>
      <c r="D848" s="21" t="s">
        <v>1991</v>
      </c>
      <c r="E848" s="24">
        <v>22</v>
      </c>
      <c r="G848" s="2">
        <f t="shared" si="75"/>
        <v>829</v>
      </c>
      <c r="H848" s="5">
        <v>0</v>
      </c>
      <c r="I848" s="13">
        <v>32</v>
      </c>
      <c r="L848" s="4"/>
      <c r="M848" s="7"/>
      <c r="O848" s="7"/>
      <c r="T848" s="7"/>
    </row>
    <row r="849" spans="2:20" x14ac:dyDescent="0.3">
      <c r="B849" s="18" t="s">
        <v>1992</v>
      </c>
      <c r="C849" s="13">
        <v>12</v>
      </c>
      <c r="D849" s="21" t="s">
        <v>1993</v>
      </c>
      <c r="E849" s="24">
        <v>21</v>
      </c>
      <c r="G849" s="2">
        <f t="shared" si="75"/>
        <v>830</v>
      </c>
      <c r="H849" s="5">
        <v>0</v>
      </c>
      <c r="I849" s="13">
        <v>32</v>
      </c>
      <c r="L849" s="4"/>
      <c r="M849" s="7"/>
      <c r="O849" s="7"/>
      <c r="T849" s="7"/>
    </row>
    <row r="850" spans="2:20" x14ac:dyDescent="0.3">
      <c r="B850" s="18" t="s">
        <v>1994</v>
      </c>
      <c r="C850" s="13">
        <v>13</v>
      </c>
      <c r="D850" s="21" t="s">
        <v>1995</v>
      </c>
      <c r="E850" s="24">
        <v>20</v>
      </c>
      <c r="G850" s="2">
        <f t="shared" si="75"/>
        <v>831</v>
      </c>
      <c r="H850" s="5">
        <v>0</v>
      </c>
      <c r="I850" s="13">
        <v>32</v>
      </c>
      <c r="L850" s="4"/>
      <c r="M850" s="7"/>
      <c r="O850" s="7"/>
      <c r="T850" s="7"/>
    </row>
    <row r="851" spans="2:20" x14ac:dyDescent="0.3">
      <c r="B851" s="18" t="s">
        <v>1996</v>
      </c>
      <c r="C851" s="13">
        <v>14</v>
      </c>
      <c r="D851" s="21" t="s">
        <v>1997</v>
      </c>
      <c r="E851" s="24">
        <v>2</v>
      </c>
      <c r="G851" s="2">
        <f t="shared" si="75"/>
        <v>832</v>
      </c>
      <c r="H851" s="5">
        <v>0</v>
      </c>
      <c r="I851" s="13">
        <v>32</v>
      </c>
      <c r="L851" s="4"/>
      <c r="M851" s="7"/>
      <c r="O851" s="7"/>
      <c r="T851" s="7"/>
    </row>
    <row r="852" spans="2:20" x14ac:dyDescent="0.3">
      <c r="B852" s="18" t="s">
        <v>1998</v>
      </c>
      <c r="C852" s="13">
        <v>15</v>
      </c>
      <c r="D852" s="21" t="s">
        <v>1999</v>
      </c>
      <c r="E852" s="24">
        <v>19</v>
      </c>
      <c r="G852" s="2">
        <f t="shared" si="75"/>
        <v>833</v>
      </c>
      <c r="H852" s="5">
        <v>0</v>
      </c>
      <c r="I852" s="13">
        <v>32</v>
      </c>
      <c r="L852" s="4"/>
      <c r="M852" s="7"/>
      <c r="O852" s="7"/>
      <c r="T852" s="7"/>
    </row>
    <row r="853" spans="2:20" x14ac:dyDescent="0.3">
      <c r="B853" s="18" t="s">
        <v>2000</v>
      </c>
      <c r="C853" s="13">
        <v>16</v>
      </c>
      <c r="D853" s="21" t="s">
        <v>2001</v>
      </c>
      <c r="E853" s="24">
        <v>18</v>
      </c>
      <c r="G853" s="2">
        <f t="shared" si="75"/>
        <v>834</v>
      </c>
      <c r="H853" s="5">
        <v>0</v>
      </c>
      <c r="I853" s="13">
        <v>32</v>
      </c>
      <c r="L853" s="4"/>
      <c r="M853" s="7"/>
      <c r="O853" s="7"/>
      <c r="T853" s="7"/>
    </row>
    <row r="854" spans="2:20" x14ac:dyDescent="0.3">
      <c r="B854" s="18" t="s">
        <v>2002</v>
      </c>
      <c r="C854" s="13">
        <v>17</v>
      </c>
      <c r="D854" s="21" t="s">
        <v>2003</v>
      </c>
      <c r="E854" s="24">
        <v>17</v>
      </c>
      <c r="G854" s="2">
        <f t="shared" si="75"/>
        <v>835</v>
      </c>
      <c r="H854" s="5">
        <v>0</v>
      </c>
      <c r="I854" s="13">
        <v>32</v>
      </c>
      <c r="L854" s="4"/>
      <c r="M854" s="7"/>
      <c r="O854" s="7"/>
      <c r="T854" s="7"/>
    </row>
    <row r="855" spans="2:20" x14ac:dyDescent="0.3">
      <c r="B855" s="18" t="s">
        <v>2004</v>
      </c>
      <c r="C855" s="13">
        <v>18</v>
      </c>
      <c r="D855" s="21" t="s">
        <v>2005</v>
      </c>
      <c r="E855" s="24">
        <v>16</v>
      </c>
      <c r="G855" s="2">
        <f t="shared" si="75"/>
        <v>836</v>
      </c>
      <c r="H855" s="5">
        <v>0</v>
      </c>
      <c r="I855" s="13">
        <v>32</v>
      </c>
      <c r="L855" s="4"/>
      <c r="M855" s="7"/>
      <c r="O855" s="7"/>
      <c r="T855" s="7"/>
    </row>
    <row r="856" spans="2:20" x14ac:dyDescent="0.3">
      <c r="B856" s="18" t="s">
        <v>2006</v>
      </c>
      <c r="C856" s="13">
        <v>19</v>
      </c>
      <c r="D856" s="21" t="s">
        <v>2007</v>
      </c>
      <c r="E856" s="24">
        <v>15</v>
      </c>
      <c r="G856" s="2">
        <f t="shared" si="75"/>
        <v>837</v>
      </c>
      <c r="H856" s="5">
        <v>0</v>
      </c>
      <c r="I856" s="13">
        <v>32</v>
      </c>
      <c r="L856" s="4"/>
      <c r="M856" s="7"/>
      <c r="O856" s="7"/>
      <c r="T856" s="7"/>
    </row>
    <row r="857" spans="2:20" x14ac:dyDescent="0.3">
      <c r="B857" s="18" t="s">
        <v>2008</v>
      </c>
      <c r="C857" s="13">
        <v>2</v>
      </c>
      <c r="D857" s="21" t="s">
        <v>2009</v>
      </c>
      <c r="E857" s="24">
        <v>14</v>
      </c>
      <c r="G857" s="2">
        <f t="shared" si="75"/>
        <v>838</v>
      </c>
      <c r="H857" s="5">
        <v>0</v>
      </c>
      <c r="I857" s="13">
        <v>32</v>
      </c>
      <c r="L857" s="4"/>
      <c r="M857" s="7"/>
      <c r="O857" s="7"/>
      <c r="T857" s="7"/>
    </row>
    <row r="858" spans="2:20" x14ac:dyDescent="0.3">
      <c r="B858" s="18" t="s">
        <v>2010</v>
      </c>
      <c r="C858" s="13">
        <v>20</v>
      </c>
      <c r="D858" s="21" t="s">
        <v>2011</v>
      </c>
      <c r="E858" s="24">
        <v>13</v>
      </c>
      <c r="G858" s="2">
        <f t="shared" si="75"/>
        <v>839</v>
      </c>
      <c r="H858" s="5">
        <v>0</v>
      </c>
      <c r="I858" s="13">
        <v>32</v>
      </c>
      <c r="L858" s="4"/>
      <c r="M858" s="7"/>
      <c r="O858" s="7"/>
      <c r="T858" s="7"/>
    </row>
    <row r="859" spans="2:20" x14ac:dyDescent="0.3">
      <c r="B859" s="18" t="s">
        <v>2012</v>
      </c>
      <c r="C859" s="13">
        <v>21</v>
      </c>
      <c r="D859" s="21" t="s">
        <v>2013</v>
      </c>
      <c r="E859" s="24">
        <v>12</v>
      </c>
      <c r="G859" s="2">
        <f t="shared" si="75"/>
        <v>840</v>
      </c>
      <c r="H859" s="5">
        <v>0</v>
      </c>
      <c r="I859" s="13">
        <v>32</v>
      </c>
      <c r="L859" s="4"/>
      <c r="M859" s="7"/>
      <c r="O859" s="7"/>
      <c r="T859" s="7"/>
    </row>
    <row r="860" spans="2:20" x14ac:dyDescent="0.3">
      <c r="B860" s="18" t="s">
        <v>2014</v>
      </c>
      <c r="C860" s="13">
        <v>22</v>
      </c>
      <c r="D860" s="21" t="s">
        <v>2015</v>
      </c>
      <c r="E860" s="24">
        <v>11</v>
      </c>
      <c r="G860" s="2">
        <f t="shared" si="75"/>
        <v>841</v>
      </c>
      <c r="H860" s="5">
        <v>0</v>
      </c>
      <c r="I860" s="13">
        <v>32</v>
      </c>
      <c r="L860" s="4"/>
      <c r="M860" s="7"/>
      <c r="O860" s="7"/>
      <c r="T860" s="7"/>
    </row>
    <row r="861" spans="2:20" x14ac:dyDescent="0.3">
      <c r="B861" s="18" t="s">
        <v>2016</v>
      </c>
      <c r="C861" s="13">
        <v>23</v>
      </c>
      <c r="D861" s="21" t="s">
        <v>2017</v>
      </c>
      <c r="E861" s="24">
        <v>10</v>
      </c>
      <c r="G861" s="2">
        <f t="shared" si="75"/>
        <v>842</v>
      </c>
      <c r="H861" s="5">
        <v>0</v>
      </c>
      <c r="I861" s="13">
        <v>32</v>
      </c>
      <c r="L861" s="4"/>
      <c r="M861" s="7"/>
      <c r="O861" s="7"/>
      <c r="T861" s="7"/>
    </row>
    <row r="862" spans="2:20" x14ac:dyDescent="0.3">
      <c r="B862" s="18" t="s">
        <v>2018</v>
      </c>
      <c r="C862" s="13">
        <v>24</v>
      </c>
      <c r="D862" s="21" t="s">
        <v>2019</v>
      </c>
      <c r="E862" s="24">
        <v>1</v>
      </c>
      <c r="G862" s="2">
        <f t="shared" si="75"/>
        <v>843</v>
      </c>
      <c r="H862" s="5">
        <v>0</v>
      </c>
      <c r="I862" s="13">
        <v>32</v>
      </c>
      <c r="L862" s="4"/>
      <c r="M862" s="7"/>
      <c r="O862" s="7"/>
      <c r="T862" s="7"/>
    </row>
    <row r="863" spans="2:20" x14ac:dyDescent="0.3">
      <c r="B863" s="18" t="s">
        <v>2020</v>
      </c>
      <c r="C863" s="13">
        <v>25</v>
      </c>
      <c r="D863" s="21" t="s">
        <v>2021</v>
      </c>
      <c r="E863" s="24">
        <v>79</v>
      </c>
      <c r="G863" s="2">
        <f t="shared" si="75"/>
        <v>844</v>
      </c>
      <c r="H863" s="5">
        <v>0</v>
      </c>
      <c r="I863" s="13">
        <v>32</v>
      </c>
      <c r="L863" s="4"/>
      <c r="M863" s="7"/>
      <c r="O863" s="7"/>
    </row>
    <row r="864" spans="2:20" x14ac:dyDescent="0.3">
      <c r="B864" s="18" t="s">
        <v>2022</v>
      </c>
      <c r="C864" s="13">
        <v>26</v>
      </c>
      <c r="D864" s="21" t="s">
        <v>2023</v>
      </c>
      <c r="E864" s="24">
        <v>80</v>
      </c>
      <c r="G864" s="2">
        <f t="shared" si="75"/>
        <v>845</v>
      </c>
      <c r="H864" s="5">
        <v>0</v>
      </c>
      <c r="I864" s="13">
        <v>32</v>
      </c>
      <c r="L864" s="4"/>
      <c r="M864" s="7"/>
      <c r="O864" s="7"/>
      <c r="T864" s="7"/>
    </row>
    <row r="865" spans="2:20" x14ac:dyDescent="0.3">
      <c r="B865" s="18" t="s">
        <v>2024</v>
      </c>
      <c r="C865" s="13">
        <v>27</v>
      </c>
      <c r="D865" s="21" t="s">
        <v>2025</v>
      </c>
      <c r="E865" s="24">
        <v>81</v>
      </c>
      <c r="G865" s="2">
        <f t="shared" si="75"/>
        <v>846</v>
      </c>
      <c r="H865" s="5">
        <v>0</v>
      </c>
      <c r="I865" s="13">
        <v>32</v>
      </c>
      <c r="L865" s="4"/>
      <c r="M865" s="7"/>
      <c r="O865" s="7"/>
      <c r="T865" s="7"/>
    </row>
    <row r="866" spans="2:20" x14ac:dyDescent="0.3">
      <c r="B866" s="18" t="s">
        <v>2026</v>
      </c>
      <c r="C866" s="13">
        <v>3</v>
      </c>
      <c r="D866" s="21" t="s">
        <v>2027</v>
      </c>
      <c r="E866" s="24">
        <v>82</v>
      </c>
      <c r="G866" s="2">
        <f t="shared" si="75"/>
        <v>847</v>
      </c>
      <c r="H866" s="5">
        <v>0</v>
      </c>
      <c r="I866" s="13">
        <v>32</v>
      </c>
      <c r="L866" s="4"/>
      <c r="M866" s="7"/>
      <c r="O866" s="7"/>
      <c r="T866" s="7"/>
    </row>
    <row r="867" spans="2:20" x14ac:dyDescent="0.3">
      <c r="B867" s="18" t="s">
        <v>2028</v>
      </c>
      <c r="C867" s="13">
        <v>4</v>
      </c>
      <c r="D867" s="21" t="s">
        <v>2029</v>
      </c>
      <c r="E867" s="24">
        <v>83</v>
      </c>
      <c r="G867" s="2">
        <f t="shared" si="75"/>
        <v>848</v>
      </c>
      <c r="H867" s="5">
        <v>0</v>
      </c>
      <c r="I867" s="13">
        <v>32</v>
      </c>
      <c r="L867" s="4"/>
      <c r="M867" s="7"/>
      <c r="O867" s="7"/>
    </row>
    <row r="868" spans="2:20" x14ac:dyDescent="0.3">
      <c r="B868" s="18" t="s">
        <v>2030</v>
      </c>
      <c r="C868" s="13">
        <v>5</v>
      </c>
      <c r="D868" s="21" t="s">
        <v>2031</v>
      </c>
      <c r="E868" s="24">
        <v>84</v>
      </c>
      <c r="G868" s="2">
        <f t="shared" si="75"/>
        <v>849</v>
      </c>
      <c r="H868" s="5">
        <v>0</v>
      </c>
      <c r="I868" s="13">
        <v>32</v>
      </c>
      <c r="L868" s="4"/>
      <c r="M868" s="7"/>
      <c r="O868" s="7"/>
      <c r="T868" s="7"/>
    </row>
    <row r="869" spans="2:20" x14ac:dyDescent="0.3">
      <c r="B869" s="18" t="s">
        <v>2032</v>
      </c>
      <c r="C869" s="13">
        <v>6</v>
      </c>
      <c r="D869" s="21" t="s">
        <v>2033</v>
      </c>
      <c r="E869" s="24">
        <v>85</v>
      </c>
      <c r="G869" s="2">
        <f t="shared" si="75"/>
        <v>850</v>
      </c>
      <c r="H869" s="5">
        <v>0</v>
      </c>
      <c r="I869" s="13">
        <v>32</v>
      </c>
      <c r="L869" s="4"/>
      <c r="M869" s="7"/>
      <c r="O869" s="7"/>
      <c r="T869" s="7"/>
    </row>
    <row r="870" spans="2:20" x14ac:dyDescent="0.3">
      <c r="B870" s="18" t="s">
        <v>2034</v>
      </c>
      <c r="C870" s="13">
        <v>7</v>
      </c>
      <c r="D870" s="21" t="s">
        <v>2035</v>
      </c>
      <c r="E870" s="24">
        <v>59</v>
      </c>
      <c r="G870" s="2">
        <f t="shared" si="75"/>
        <v>851</v>
      </c>
      <c r="H870" s="5">
        <v>0</v>
      </c>
      <c r="I870" s="13">
        <v>32</v>
      </c>
      <c r="L870" s="4"/>
      <c r="M870" s="7"/>
      <c r="O870" s="7"/>
      <c r="T870" s="7"/>
    </row>
    <row r="871" spans="2:20" x14ac:dyDescent="0.3">
      <c r="B871" s="18" t="s">
        <v>2036</v>
      </c>
      <c r="C871" s="13">
        <v>8</v>
      </c>
      <c r="D871" s="21" t="s">
        <v>2037</v>
      </c>
      <c r="E871" s="24">
        <v>60</v>
      </c>
      <c r="G871" s="2">
        <f t="shared" si="75"/>
        <v>852</v>
      </c>
      <c r="H871" s="5">
        <v>0</v>
      </c>
      <c r="I871" s="13">
        <v>32</v>
      </c>
      <c r="L871" s="4"/>
      <c r="M871" s="7"/>
      <c r="O871" s="7"/>
      <c r="T871" s="7"/>
    </row>
    <row r="872" spans="2:20" x14ac:dyDescent="0.3">
      <c r="B872" s="18" t="s">
        <v>2038</v>
      </c>
      <c r="C872" s="13">
        <v>9</v>
      </c>
      <c r="D872" s="21" t="s">
        <v>2039</v>
      </c>
      <c r="E872" s="24">
        <v>61</v>
      </c>
      <c r="G872" s="2">
        <f t="shared" si="75"/>
        <v>853</v>
      </c>
      <c r="H872" s="5">
        <v>0</v>
      </c>
      <c r="I872" s="13">
        <v>32</v>
      </c>
      <c r="L872" s="4"/>
      <c r="M872" s="7"/>
      <c r="O872" s="7"/>
      <c r="T872" s="7"/>
    </row>
    <row r="873" spans="2:20" x14ac:dyDescent="0.3">
      <c r="B873" s="18" t="s">
        <v>2040</v>
      </c>
      <c r="C873" s="13">
        <v>54</v>
      </c>
      <c r="D873" s="21" t="s">
        <v>2041</v>
      </c>
      <c r="E873" s="24">
        <v>62</v>
      </c>
      <c r="G873" s="2">
        <f t="shared" si="75"/>
        <v>854</v>
      </c>
      <c r="H873" s="5">
        <v>0</v>
      </c>
      <c r="I873" s="13">
        <v>32</v>
      </c>
      <c r="L873" s="4"/>
      <c r="M873" s="7"/>
      <c r="O873" s="7"/>
      <c r="T873" s="7"/>
    </row>
    <row r="874" spans="2:20" x14ac:dyDescent="0.3">
      <c r="B874" s="18" t="s">
        <v>2042</v>
      </c>
      <c r="C874" s="13">
        <v>45</v>
      </c>
      <c r="D874" s="21" t="s">
        <v>2043</v>
      </c>
      <c r="E874" s="24">
        <v>63</v>
      </c>
      <c r="G874" s="2">
        <f t="shared" si="75"/>
        <v>855</v>
      </c>
      <c r="H874" s="5">
        <v>0</v>
      </c>
      <c r="I874" s="13">
        <v>32</v>
      </c>
      <c r="L874" s="4"/>
      <c r="M874" s="7"/>
      <c r="O874" s="7"/>
      <c r="T874" s="7"/>
    </row>
    <row r="875" spans="2:20" x14ac:dyDescent="0.3">
      <c r="B875" s="18" t="s">
        <v>2044</v>
      </c>
      <c r="C875" s="13">
        <v>44</v>
      </c>
      <c r="D875" s="21" t="s">
        <v>2045</v>
      </c>
      <c r="E875" s="24">
        <v>64</v>
      </c>
      <c r="G875" s="2">
        <f t="shared" si="75"/>
        <v>856</v>
      </c>
      <c r="H875" s="5">
        <v>0</v>
      </c>
      <c r="I875" s="13">
        <v>32</v>
      </c>
      <c r="L875" s="4"/>
      <c r="M875" s="7"/>
      <c r="O875" s="7"/>
      <c r="T875" s="7"/>
    </row>
    <row r="876" spans="2:20" x14ac:dyDescent="0.3">
      <c r="B876" s="18" t="s">
        <v>2046</v>
      </c>
      <c r="C876" s="13">
        <v>43</v>
      </c>
      <c r="D876" s="21" t="s">
        <v>2047</v>
      </c>
      <c r="E876" s="24">
        <v>65</v>
      </c>
      <c r="G876" s="2">
        <f t="shared" si="75"/>
        <v>857</v>
      </c>
      <c r="H876" s="5">
        <v>0</v>
      </c>
      <c r="I876" s="13">
        <v>32</v>
      </c>
      <c r="L876" s="4"/>
      <c r="M876" s="7"/>
      <c r="O876" s="7"/>
      <c r="T876" s="7"/>
    </row>
    <row r="877" spans="2:20" x14ac:dyDescent="0.3">
      <c r="B877" s="18" t="s">
        <v>2048</v>
      </c>
      <c r="C877" s="13">
        <v>42</v>
      </c>
      <c r="D877" s="21" t="s">
        <v>2049</v>
      </c>
      <c r="E877" s="24">
        <v>66</v>
      </c>
      <c r="G877" s="2">
        <f t="shared" si="75"/>
        <v>858</v>
      </c>
      <c r="H877" s="5">
        <v>0</v>
      </c>
      <c r="I877" s="13">
        <v>32</v>
      </c>
      <c r="L877" s="4"/>
      <c r="M877" s="7"/>
      <c r="O877" s="7"/>
      <c r="T877" s="7"/>
    </row>
    <row r="878" spans="2:20" x14ac:dyDescent="0.3">
      <c r="B878" s="18" t="s">
        <v>2050</v>
      </c>
      <c r="C878" s="13">
        <v>41</v>
      </c>
      <c r="D878" s="21" t="s">
        <v>2051</v>
      </c>
      <c r="E878" s="24">
        <v>67</v>
      </c>
      <c r="G878" s="2">
        <f t="shared" si="75"/>
        <v>859</v>
      </c>
      <c r="H878" s="5">
        <v>0</v>
      </c>
      <c r="I878" s="13">
        <v>32</v>
      </c>
      <c r="L878" s="4"/>
      <c r="M878" s="7"/>
      <c r="O878" s="7"/>
      <c r="T878" s="7"/>
    </row>
    <row r="879" spans="2:20" x14ac:dyDescent="0.3">
      <c r="B879" s="18" t="s">
        <v>2052</v>
      </c>
      <c r="C879" s="13">
        <v>40</v>
      </c>
      <c r="D879" s="21" t="s">
        <v>2053</v>
      </c>
      <c r="E879" s="24">
        <v>68</v>
      </c>
      <c r="G879" s="2">
        <f t="shared" si="75"/>
        <v>860</v>
      </c>
      <c r="H879" s="5">
        <v>0</v>
      </c>
      <c r="I879" s="13">
        <v>32</v>
      </c>
      <c r="L879" s="4"/>
      <c r="M879" s="7"/>
      <c r="O879" s="7"/>
      <c r="T879" s="7"/>
    </row>
    <row r="880" spans="2:20" x14ac:dyDescent="0.3">
      <c r="B880" s="18" t="s">
        <v>2054</v>
      </c>
      <c r="C880" s="13">
        <v>39</v>
      </c>
      <c r="D880" s="21" t="s">
        <v>2055</v>
      </c>
      <c r="E880" s="24">
        <v>86</v>
      </c>
      <c r="G880" s="2">
        <f t="shared" si="75"/>
        <v>861</v>
      </c>
      <c r="H880" s="5">
        <v>0</v>
      </c>
      <c r="I880" s="13">
        <v>32</v>
      </c>
      <c r="L880" s="4"/>
      <c r="M880" s="7"/>
      <c r="O880" s="7"/>
      <c r="T880" s="7"/>
    </row>
    <row r="881" spans="2:20" x14ac:dyDescent="0.3">
      <c r="B881" s="18" t="s">
        <v>2056</v>
      </c>
      <c r="C881" s="13">
        <v>38</v>
      </c>
      <c r="D881" s="21" t="s">
        <v>2057</v>
      </c>
      <c r="E881" s="24">
        <v>69</v>
      </c>
      <c r="G881" s="2">
        <f t="shared" si="75"/>
        <v>862</v>
      </c>
      <c r="H881" s="5">
        <v>0</v>
      </c>
      <c r="I881" s="13">
        <v>32</v>
      </c>
      <c r="L881" s="4"/>
      <c r="M881" s="7"/>
      <c r="O881" s="7"/>
      <c r="T881" s="7"/>
    </row>
    <row r="882" spans="2:20" x14ac:dyDescent="0.3">
      <c r="B882" s="18" t="s">
        <v>2058</v>
      </c>
      <c r="C882" s="13">
        <v>37</v>
      </c>
      <c r="D882" s="21" t="s">
        <v>2059</v>
      </c>
      <c r="E882" s="24">
        <v>70</v>
      </c>
      <c r="G882" s="2">
        <f t="shared" si="75"/>
        <v>863</v>
      </c>
      <c r="H882" s="5">
        <v>0</v>
      </c>
      <c r="I882" s="13">
        <v>32</v>
      </c>
      <c r="L882" s="4"/>
      <c r="M882" s="7"/>
      <c r="O882" s="7"/>
      <c r="T882" s="7"/>
    </row>
    <row r="883" spans="2:20" x14ac:dyDescent="0.3">
      <c r="B883" s="18" t="s">
        <v>2060</v>
      </c>
      <c r="C883" s="13">
        <v>36</v>
      </c>
      <c r="D883" s="21" t="s">
        <v>2061</v>
      </c>
      <c r="E883" s="24">
        <v>71</v>
      </c>
      <c r="G883" s="2">
        <f t="shared" si="75"/>
        <v>864</v>
      </c>
      <c r="H883" s="5">
        <v>0</v>
      </c>
      <c r="I883" s="13">
        <v>32</v>
      </c>
      <c r="L883" s="4"/>
      <c r="M883" s="7"/>
      <c r="O883" s="7"/>
      <c r="T883" s="7"/>
    </row>
    <row r="884" spans="2:20" x14ac:dyDescent="0.3">
      <c r="B884" s="18" t="s">
        <v>2062</v>
      </c>
      <c r="C884" s="13">
        <v>53</v>
      </c>
      <c r="D884" s="21" t="s">
        <v>2063</v>
      </c>
      <c r="E884" s="24">
        <v>72</v>
      </c>
      <c r="G884" s="2">
        <f t="shared" si="75"/>
        <v>865</v>
      </c>
      <c r="H884" s="5">
        <v>0</v>
      </c>
      <c r="I884" s="13">
        <v>32</v>
      </c>
      <c r="L884" s="4"/>
      <c r="M884" s="7"/>
      <c r="O884" s="7"/>
      <c r="T884" s="7"/>
    </row>
    <row r="885" spans="2:20" x14ac:dyDescent="0.3">
      <c r="B885" s="18" t="s">
        <v>2064</v>
      </c>
      <c r="C885" s="13">
        <v>35</v>
      </c>
      <c r="D885" s="21" t="s">
        <v>2065</v>
      </c>
      <c r="E885" s="24">
        <v>73</v>
      </c>
      <c r="G885" s="2">
        <f t="shared" si="75"/>
        <v>866</v>
      </c>
      <c r="H885" s="5">
        <v>0</v>
      </c>
      <c r="I885" s="13">
        <v>32</v>
      </c>
      <c r="L885" s="4"/>
      <c r="M885" s="7"/>
      <c r="O885" s="7"/>
      <c r="T885" s="7"/>
    </row>
    <row r="886" spans="2:20" x14ac:dyDescent="0.3">
      <c r="B886" s="18" t="s">
        <v>2066</v>
      </c>
      <c r="C886" s="13">
        <v>34</v>
      </c>
      <c r="D886" s="21" t="s">
        <v>2067</v>
      </c>
      <c r="E886" s="24">
        <v>74</v>
      </c>
      <c r="G886" s="2">
        <f t="shared" si="75"/>
        <v>867</v>
      </c>
      <c r="H886" s="5">
        <v>0</v>
      </c>
      <c r="I886" s="13">
        <v>32</v>
      </c>
      <c r="L886" s="4"/>
      <c r="M886" s="7"/>
      <c r="O886" s="7"/>
      <c r="T886" s="7"/>
    </row>
    <row r="887" spans="2:20" x14ac:dyDescent="0.3">
      <c r="B887" s="18" t="s">
        <v>2068</v>
      </c>
      <c r="C887" s="13">
        <v>33</v>
      </c>
      <c r="D887" s="21" t="s">
        <v>2069</v>
      </c>
      <c r="E887" s="24">
        <v>75</v>
      </c>
      <c r="G887" s="2">
        <f t="shared" si="75"/>
        <v>868</v>
      </c>
      <c r="H887" s="5">
        <v>0</v>
      </c>
      <c r="I887" s="13">
        <v>32</v>
      </c>
      <c r="L887" s="4"/>
      <c r="M887" s="7"/>
      <c r="O887" s="7"/>
      <c r="T887" s="7"/>
    </row>
    <row r="888" spans="2:20" x14ac:dyDescent="0.3">
      <c r="B888" s="18" t="s">
        <v>2070</v>
      </c>
      <c r="C888" s="13">
        <v>32</v>
      </c>
      <c r="D888" s="21" t="s">
        <v>2071</v>
      </c>
      <c r="E888" s="24">
        <v>76</v>
      </c>
      <c r="G888" s="2">
        <f t="shared" si="75"/>
        <v>869</v>
      </c>
      <c r="H888" s="5">
        <v>0</v>
      </c>
      <c r="I888" s="13">
        <v>32</v>
      </c>
      <c r="L888" s="4"/>
      <c r="M888" s="7"/>
      <c r="O888" s="7"/>
      <c r="T888" s="7"/>
    </row>
    <row r="889" spans="2:20" x14ac:dyDescent="0.3">
      <c r="B889" s="18" t="s">
        <v>2072</v>
      </c>
      <c r="C889" s="13">
        <v>31</v>
      </c>
      <c r="D889" s="21" t="s">
        <v>2073</v>
      </c>
      <c r="E889" s="24">
        <v>77</v>
      </c>
      <c r="G889" s="2">
        <f t="shared" si="75"/>
        <v>870</v>
      </c>
      <c r="H889" s="5">
        <v>0</v>
      </c>
      <c r="I889" s="13">
        <v>32</v>
      </c>
      <c r="L889" s="4"/>
      <c r="M889" s="7"/>
      <c r="O889" s="7"/>
      <c r="T889" s="7"/>
    </row>
    <row r="890" spans="2:20" x14ac:dyDescent="0.3">
      <c r="B890" s="18" t="s">
        <v>2074</v>
      </c>
      <c r="C890" s="13">
        <v>30</v>
      </c>
      <c r="D890" s="21" t="s">
        <v>2075</v>
      </c>
      <c r="E890" s="24">
        <v>78</v>
      </c>
      <c r="G890" s="2">
        <f t="shared" si="75"/>
        <v>871</v>
      </c>
      <c r="H890" s="5">
        <v>0</v>
      </c>
      <c r="I890" s="13">
        <v>32</v>
      </c>
      <c r="L890" s="4"/>
      <c r="M890" s="7"/>
      <c r="O890" s="7"/>
      <c r="T890" s="7"/>
    </row>
    <row r="891" spans="2:20" x14ac:dyDescent="0.3">
      <c r="B891" s="18" t="s">
        <v>2076</v>
      </c>
      <c r="C891" s="13">
        <v>29</v>
      </c>
      <c r="D891" s="21" t="s">
        <v>2077</v>
      </c>
      <c r="E891" s="24">
        <v>87</v>
      </c>
      <c r="G891" s="2">
        <f t="shared" si="75"/>
        <v>872</v>
      </c>
      <c r="H891" s="5">
        <v>0</v>
      </c>
      <c r="I891" s="13">
        <v>32</v>
      </c>
      <c r="L891" s="4"/>
      <c r="M891" s="7"/>
      <c r="O891" s="7"/>
      <c r="T891" s="7"/>
    </row>
    <row r="892" spans="2:20" x14ac:dyDescent="0.3">
      <c r="B892" s="18" t="s">
        <v>2078</v>
      </c>
      <c r="C892" s="13">
        <v>28</v>
      </c>
      <c r="D892" s="21" t="s">
        <v>2079</v>
      </c>
      <c r="E892" s="24">
        <v>38</v>
      </c>
      <c r="G892" s="2">
        <f t="shared" si="75"/>
        <v>873</v>
      </c>
      <c r="H892" s="5">
        <v>0</v>
      </c>
      <c r="I892" s="13">
        <v>32</v>
      </c>
      <c r="L892" s="4"/>
      <c r="M892" s="7"/>
      <c r="O892" s="7"/>
      <c r="T892" s="7"/>
    </row>
    <row r="893" spans="2:20" x14ac:dyDescent="0.3">
      <c r="B893" s="18" t="s">
        <v>2080</v>
      </c>
      <c r="C893" s="13">
        <v>52</v>
      </c>
      <c r="D893" s="21" t="s">
        <v>2081</v>
      </c>
      <c r="E893" s="24">
        <v>37</v>
      </c>
      <c r="G893" s="2">
        <f t="shared" si="75"/>
        <v>874</v>
      </c>
      <c r="H893" s="5">
        <v>0</v>
      </c>
      <c r="I893" s="13">
        <v>32</v>
      </c>
      <c r="L893" s="4"/>
      <c r="M893" s="7"/>
      <c r="O893" s="7"/>
      <c r="T893" s="7"/>
    </row>
    <row r="894" spans="2:20" x14ac:dyDescent="0.3">
      <c r="B894" s="18" t="s">
        <v>2082</v>
      </c>
      <c r="C894" s="13">
        <v>51</v>
      </c>
      <c r="D894" s="21" t="s">
        <v>2083</v>
      </c>
      <c r="E894" s="24">
        <v>36</v>
      </c>
      <c r="G894" s="2">
        <f t="shared" si="75"/>
        <v>875</v>
      </c>
      <c r="H894" s="5">
        <v>0</v>
      </c>
      <c r="I894" s="13">
        <v>32</v>
      </c>
      <c r="L894" s="4"/>
      <c r="M894" s="7"/>
      <c r="O894" s="7"/>
      <c r="T894" s="7"/>
    </row>
    <row r="895" spans="2:20" x14ac:dyDescent="0.3">
      <c r="B895" s="18" t="s">
        <v>2084</v>
      </c>
      <c r="C895" s="13">
        <v>50</v>
      </c>
      <c r="D895" s="21" t="s">
        <v>2085</v>
      </c>
      <c r="E895" s="24">
        <v>35</v>
      </c>
      <c r="G895" s="2">
        <f t="shared" si="75"/>
        <v>876</v>
      </c>
      <c r="H895" s="5">
        <v>0</v>
      </c>
      <c r="I895" s="13">
        <v>32</v>
      </c>
      <c r="L895" s="4"/>
      <c r="M895" s="7"/>
      <c r="O895" s="7"/>
      <c r="T895" s="7"/>
    </row>
    <row r="896" spans="2:20" x14ac:dyDescent="0.3">
      <c r="B896" s="18" t="s">
        <v>2086</v>
      </c>
      <c r="C896" s="13">
        <v>49</v>
      </c>
      <c r="D896" s="21" t="s">
        <v>2087</v>
      </c>
      <c r="E896" s="24">
        <v>34</v>
      </c>
      <c r="G896" s="2">
        <f t="shared" si="75"/>
        <v>877</v>
      </c>
      <c r="H896" s="5">
        <v>0</v>
      </c>
      <c r="I896" s="13">
        <v>32</v>
      </c>
      <c r="L896" s="4"/>
      <c r="M896" s="7"/>
      <c r="O896" s="7"/>
      <c r="T896" s="7"/>
    </row>
    <row r="897" spans="2:20" x14ac:dyDescent="0.3">
      <c r="B897" s="18" t="s">
        <v>2088</v>
      </c>
      <c r="C897" s="13">
        <v>48</v>
      </c>
      <c r="D897" s="21" t="s">
        <v>2089</v>
      </c>
      <c r="E897" s="24">
        <v>33</v>
      </c>
      <c r="G897" s="2">
        <f t="shared" si="75"/>
        <v>878</v>
      </c>
      <c r="H897" s="5">
        <v>0</v>
      </c>
      <c r="I897" s="13">
        <v>32</v>
      </c>
      <c r="L897" s="4"/>
      <c r="M897" s="7"/>
      <c r="O897" s="7"/>
      <c r="T897" s="7"/>
    </row>
    <row r="898" spans="2:20" x14ac:dyDescent="0.3">
      <c r="B898" s="18" t="s">
        <v>2090</v>
      </c>
      <c r="C898" s="13">
        <v>47</v>
      </c>
      <c r="D898" s="21" t="s">
        <v>2091</v>
      </c>
      <c r="E898" s="24">
        <v>32</v>
      </c>
      <c r="G898" s="2">
        <f t="shared" si="75"/>
        <v>879</v>
      </c>
      <c r="H898" s="5">
        <v>0</v>
      </c>
      <c r="I898" s="13">
        <v>32</v>
      </c>
      <c r="L898" s="4"/>
      <c r="M898" s="7"/>
      <c r="O898" s="7"/>
      <c r="T898" s="7"/>
    </row>
    <row r="899" spans="2:20" x14ac:dyDescent="0.3">
      <c r="B899" s="18" t="s">
        <v>2092</v>
      </c>
      <c r="C899" s="13">
        <v>46</v>
      </c>
      <c r="D899" s="21" t="s">
        <v>2093</v>
      </c>
      <c r="E899" s="24">
        <v>58</v>
      </c>
      <c r="G899" s="2">
        <f t="shared" si="75"/>
        <v>880</v>
      </c>
      <c r="H899" s="5">
        <v>0</v>
      </c>
      <c r="I899" s="13">
        <v>32</v>
      </c>
      <c r="L899" s="4"/>
      <c r="M899" s="7"/>
      <c r="O899" s="7"/>
      <c r="T899" s="7"/>
    </row>
    <row r="900" spans="2:20" x14ac:dyDescent="0.3">
      <c r="B900" s="18" t="s">
        <v>2094</v>
      </c>
      <c r="C900" s="13">
        <v>55</v>
      </c>
      <c r="D900" s="21" t="s">
        <v>2095</v>
      </c>
      <c r="E900" s="24">
        <v>57</v>
      </c>
      <c r="G900" s="2">
        <f t="shared" si="75"/>
        <v>881</v>
      </c>
      <c r="H900" s="5">
        <v>0</v>
      </c>
      <c r="I900" s="13">
        <v>32</v>
      </c>
      <c r="L900" s="4"/>
      <c r="M900" s="7"/>
      <c r="O900" s="7"/>
    </row>
    <row r="901" spans="2:20" x14ac:dyDescent="0.3">
      <c r="B901" s="18" t="s">
        <v>2096</v>
      </c>
      <c r="C901" s="13">
        <v>64</v>
      </c>
      <c r="D901" s="21" t="s">
        <v>2097</v>
      </c>
      <c r="E901" s="24">
        <v>56</v>
      </c>
      <c r="G901" s="2">
        <f t="shared" si="75"/>
        <v>882</v>
      </c>
      <c r="H901" s="5">
        <v>0</v>
      </c>
      <c r="I901" s="13">
        <v>32</v>
      </c>
      <c r="L901" s="4"/>
      <c r="M901" s="7"/>
      <c r="O901" s="7"/>
      <c r="T901" s="7"/>
    </row>
    <row r="902" spans="2:20" x14ac:dyDescent="0.3">
      <c r="B902" s="18" t="s">
        <v>2098</v>
      </c>
      <c r="C902" s="13">
        <v>65</v>
      </c>
      <c r="D902" s="21" t="s">
        <v>2099</v>
      </c>
      <c r="E902" s="24">
        <v>55</v>
      </c>
      <c r="G902" s="2">
        <f t="shared" si="75"/>
        <v>883</v>
      </c>
      <c r="H902" s="5">
        <v>0</v>
      </c>
      <c r="I902" s="13">
        <v>32</v>
      </c>
      <c r="L902" s="4"/>
      <c r="M902" s="7"/>
      <c r="O902" s="7"/>
      <c r="T902" s="7"/>
    </row>
    <row r="903" spans="2:20" x14ac:dyDescent="0.3">
      <c r="B903" s="18" t="s">
        <v>2100</v>
      </c>
      <c r="C903" s="13">
        <v>66</v>
      </c>
      <c r="D903" s="21" t="s">
        <v>2101</v>
      </c>
      <c r="E903" s="24">
        <v>54</v>
      </c>
      <c r="G903" s="2">
        <f t="shared" si="75"/>
        <v>884</v>
      </c>
      <c r="H903" s="5">
        <v>0</v>
      </c>
      <c r="I903" s="13">
        <v>32</v>
      </c>
      <c r="L903" s="4"/>
      <c r="M903" s="7"/>
      <c r="O903" s="7"/>
      <c r="T903" s="7"/>
    </row>
    <row r="904" spans="2:20" x14ac:dyDescent="0.3">
      <c r="B904" s="18" t="s">
        <v>2102</v>
      </c>
      <c r="C904" s="13">
        <v>67</v>
      </c>
      <c r="D904" s="21" t="s">
        <v>2103</v>
      </c>
      <c r="E904" s="24">
        <v>53</v>
      </c>
      <c r="G904" s="2">
        <f t="shared" si="75"/>
        <v>885</v>
      </c>
      <c r="H904" s="5">
        <v>0</v>
      </c>
      <c r="I904" s="13">
        <v>32</v>
      </c>
      <c r="L904" s="4"/>
      <c r="M904" s="7"/>
      <c r="O904" s="7"/>
      <c r="T904" s="7"/>
    </row>
    <row r="905" spans="2:20" x14ac:dyDescent="0.3">
      <c r="B905" s="18" t="s">
        <v>2104</v>
      </c>
      <c r="C905" s="13">
        <v>68</v>
      </c>
      <c r="D905" s="21" t="s">
        <v>2105</v>
      </c>
      <c r="E905" s="24">
        <v>52</v>
      </c>
      <c r="G905" s="2">
        <f t="shared" si="75"/>
        <v>886</v>
      </c>
      <c r="H905" s="5">
        <v>0</v>
      </c>
      <c r="I905" s="13">
        <v>32</v>
      </c>
      <c r="L905" s="4"/>
      <c r="M905" s="7"/>
      <c r="O905" s="7"/>
      <c r="T905" s="7"/>
    </row>
    <row r="906" spans="2:20" x14ac:dyDescent="0.3">
      <c r="B906" s="18" t="s">
        <v>2106</v>
      </c>
      <c r="C906" s="13">
        <v>69</v>
      </c>
      <c r="D906" s="21" t="s">
        <v>2107</v>
      </c>
      <c r="E906" s="24">
        <v>51</v>
      </c>
      <c r="G906" s="2">
        <f t="shared" si="75"/>
        <v>887</v>
      </c>
      <c r="H906" s="5">
        <v>0</v>
      </c>
      <c r="I906" s="13">
        <v>32</v>
      </c>
      <c r="L906" s="4"/>
      <c r="M906" s="7"/>
      <c r="O906" s="7"/>
      <c r="T906" s="7"/>
    </row>
    <row r="907" spans="2:20" x14ac:dyDescent="0.3">
      <c r="B907" s="18" t="s">
        <v>2108</v>
      </c>
      <c r="C907" s="13">
        <v>70</v>
      </c>
      <c r="D907" s="21" t="s">
        <v>2109</v>
      </c>
      <c r="E907" s="24">
        <v>50</v>
      </c>
      <c r="G907" s="2">
        <f t="shared" si="75"/>
        <v>888</v>
      </c>
      <c r="H907" s="5">
        <v>0</v>
      </c>
      <c r="I907" s="13">
        <v>32</v>
      </c>
      <c r="L907" s="4"/>
      <c r="M907" s="7"/>
      <c r="O907" s="7"/>
      <c r="T907" s="7"/>
    </row>
    <row r="908" spans="2:20" x14ac:dyDescent="0.3">
      <c r="B908" s="18" t="s">
        <v>2110</v>
      </c>
      <c r="C908" s="13">
        <v>71</v>
      </c>
      <c r="D908" s="21" t="s">
        <v>2111</v>
      </c>
      <c r="E908" s="24">
        <v>49</v>
      </c>
      <c r="G908" s="2">
        <f t="shared" ref="G908:G971" si="76">G907+1</f>
        <v>889</v>
      </c>
      <c r="H908" s="5">
        <v>0</v>
      </c>
      <c r="I908" s="13">
        <v>32</v>
      </c>
      <c r="L908" s="4"/>
      <c r="M908" s="7"/>
      <c r="O908" s="7"/>
      <c r="T908" s="7"/>
    </row>
    <row r="909" spans="2:20" x14ac:dyDescent="0.3">
      <c r="B909" s="18" t="s">
        <v>2112</v>
      </c>
      <c r="C909" s="13">
        <v>72</v>
      </c>
      <c r="D909" s="21" t="s">
        <v>2113</v>
      </c>
      <c r="E909" s="24">
        <v>31</v>
      </c>
      <c r="G909" s="2">
        <f t="shared" si="76"/>
        <v>890</v>
      </c>
      <c r="H909" s="5">
        <v>0</v>
      </c>
      <c r="I909" s="13">
        <v>32</v>
      </c>
      <c r="L909" s="4"/>
      <c r="M909" s="7"/>
      <c r="O909" s="7"/>
      <c r="T909" s="7"/>
    </row>
    <row r="910" spans="2:20" x14ac:dyDescent="0.3">
      <c r="B910" s="18" t="s">
        <v>2114</v>
      </c>
      <c r="C910" s="13">
        <v>73</v>
      </c>
      <c r="D910" s="21" t="s">
        <v>2115</v>
      </c>
      <c r="E910" s="24">
        <v>48</v>
      </c>
      <c r="G910" s="2">
        <f t="shared" si="76"/>
        <v>891</v>
      </c>
      <c r="H910" s="5">
        <v>0</v>
      </c>
      <c r="I910" s="13">
        <v>32</v>
      </c>
      <c r="L910" s="4"/>
      <c r="M910" s="7"/>
      <c r="O910" s="7"/>
      <c r="T910" s="7"/>
    </row>
    <row r="911" spans="2:20" x14ac:dyDescent="0.3">
      <c r="B911" s="18" t="s">
        <v>2116</v>
      </c>
      <c r="C911" s="13">
        <v>56</v>
      </c>
      <c r="D911" s="21" t="s">
        <v>2117</v>
      </c>
      <c r="E911" s="24">
        <v>47</v>
      </c>
      <c r="G911" s="2">
        <f t="shared" si="76"/>
        <v>892</v>
      </c>
      <c r="H911" s="5">
        <v>0</v>
      </c>
      <c r="I911" s="13">
        <v>32</v>
      </c>
      <c r="L911" s="4"/>
      <c r="M911" s="7"/>
      <c r="O911" s="7"/>
      <c r="T911" s="7"/>
    </row>
    <row r="912" spans="2:20" x14ac:dyDescent="0.3">
      <c r="B912" s="18" t="s">
        <v>2118</v>
      </c>
      <c r="C912" s="13">
        <v>74</v>
      </c>
      <c r="D912" s="21" t="s">
        <v>2119</v>
      </c>
      <c r="E912" s="24">
        <v>46</v>
      </c>
      <c r="G912" s="2">
        <f t="shared" si="76"/>
        <v>893</v>
      </c>
      <c r="H912" s="5">
        <v>0</v>
      </c>
      <c r="I912" s="13">
        <v>32</v>
      </c>
      <c r="L912" s="4"/>
      <c r="M912" s="7"/>
      <c r="O912" s="7"/>
      <c r="T912" s="7"/>
    </row>
    <row r="913" spans="2:20" x14ac:dyDescent="0.3">
      <c r="B913" s="18" t="s">
        <v>2120</v>
      </c>
      <c r="C913" s="13">
        <v>75</v>
      </c>
      <c r="D913" s="21" t="s">
        <v>2121</v>
      </c>
      <c r="E913" s="24">
        <v>45</v>
      </c>
      <c r="G913" s="2">
        <f t="shared" si="76"/>
        <v>894</v>
      </c>
      <c r="H913" s="5">
        <v>0</v>
      </c>
      <c r="I913" s="13">
        <v>32</v>
      </c>
      <c r="L913" s="4"/>
      <c r="M913" s="7"/>
      <c r="O913" s="7"/>
      <c r="T913" s="7"/>
    </row>
    <row r="914" spans="2:20" x14ac:dyDescent="0.3">
      <c r="B914" s="18" t="s">
        <v>2122</v>
      </c>
      <c r="C914" s="13">
        <v>76</v>
      </c>
      <c r="D914" s="21" t="s">
        <v>2123</v>
      </c>
      <c r="E914" s="24">
        <v>44</v>
      </c>
      <c r="G914" s="2">
        <f t="shared" si="76"/>
        <v>895</v>
      </c>
      <c r="H914" s="5">
        <v>0</v>
      </c>
      <c r="I914" s="13">
        <v>32</v>
      </c>
      <c r="L914" s="4"/>
      <c r="M914" s="7"/>
      <c r="O914" s="7"/>
      <c r="T914" s="7"/>
    </row>
    <row r="915" spans="2:20" x14ac:dyDescent="0.3">
      <c r="B915" s="18" t="s">
        <v>2124</v>
      </c>
      <c r="C915" s="13">
        <v>77</v>
      </c>
      <c r="D915" s="21" t="s">
        <v>2125</v>
      </c>
      <c r="E915" s="24">
        <v>43</v>
      </c>
      <c r="G915" s="2">
        <f t="shared" si="76"/>
        <v>896</v>
      </c>
      <c r="H915" s="5">
        <v>0</v>
      </c>
      <c r="I915" s="13">
        <v>32</v>
      </c>
      <c r="L915" s="4"/>
      <c r="M915" s="7"/>
      <c r="O915" s="7"/>
      <c r="T915" s="7"/>
    </row>
    <row r="916" spans="2:20" x14ac:dyDescent="0.3">
      <c r="B916" s="18" t="s">
        <v>2126</v>
      </c>
      <c r="C916" s="13">
        <v>78</v>
      </c>
      <c r="D916" s="21" t="s">
        <v>2127</v>
      </c>
      <c r="E916" s="24">
        <v>42</v>
      </c>
      <c r="G916" s="2">
        <f t="shared" si="76"/>
        <v>897</v>
      </c>
      <c r="H916" s="5">
        <v>0</v>
      </c>
      <c r="I916" s="13">
        <v>32</v>
      </c>
      <c r="L916" s="4"/>
      <c r="M916" s="7"/>
      <c r="O916" s="7"/>
      <c r="T916" s="7"/>
    </row>
    <row r="917" spans="2:20" x14ac:dyDescent="0.3">
      <c r="B917" s="18" t="s">
        <v>2128</v>
      </c>
      <c r="C917" s="13">
        <v>79</v>
      </c>
      <c r="D917" s="21" t="s">
        <v>2129</v>
      </c>
      <c r="E917" s="24">
        <v>41</v>
      </c>
      <c r="G917" s="2">
        <f t="shared" si="76"/>
        <v>898</v>
      </c>
      <c r="H917" s="5">
        <v>0</v>
      </c>
      <c r="I917" s="13">
        <v>32</v>
      </c>
      <c r="L917" s="4"/>
      <c r="M917" s="7"/>
      <c r="O917" s="7"/>
      <c r="T917" s="7"/>
    </row>
    <row r="918" spans="2:20" x14ac:dyDescent="0.3">
      <c r="B918" s="18" t="s">
        <v>2130</v>
      </c>
      <c r="C918" s="13">
        <v>80</v>
      </c>
      <c r="D918" s="21" t="s">
        <v>2131</v>
      </c>
      <c r="E918" s="24">
        <v>40</v>
      </c>
      <c r="G918" s="2">
        <f t="shared" si="76"/>
        <v>899</v>
      </c>
      <c r="H918" s="5">
        <v>0</v>
      </c>
      <c r="I918" s="13">
        <v>32</v>
      </c>
      <c r="L918" s="4"/>
      <c r="M918" s="7"/>
      <c r="O918" s="7"/>
      <c r="T918" s="7"/>
    </row>
    <row r="919" spans="2:20" x14ac:dyDescent="0.3">
      <c r="B919" s="18" t="s">
        <v>2132</v>
      </c>
      <c r="C919" s="13">
        <v>81</v>
      </c>
      <c r="D919" s="21" t="s">
        <v>2133</v>
      </c>
      <c r="E919" s="24">
        <v>39</v>
      </c>
      <c r="G919" s="2">
        <f t="shared" si="76"/>
        <v>900</v>
      </c>
      <c r="H919" s="5">
        <v>0</v>
      </c>
      <c r="I919" s="13">
        <v>32</v>
      </c>
      <c r="L919" s="4"/>
      <c r="M919" s="7"/>
      <c r="O919" s="7"/>
      <c r="T919" s="7"/>
    </row>
    <row r="920" spans="2:20" x14ac:dyDescent="0.3">
      <c r="B920" s="18" t="s">
        <v>2134</v>
      </c>
      <c r="C920" s="13">
        <v>57</v>
      </c>
      <c r="D920" s="21" t="s">
        <v>2135</v>
      </c>
      <c r="E920" s="24">
        <v>30</v>
      </c>
      <c r="G920" s="2">
        <f t="shared" si="76"/>
        <v>901</v>
      </c>
      <c r="H920" s="5">
        <v>0</v>
      </c>
      <c r="I920" s="13">
        <v>32</v>
      </c>
      <c r="L920" s="4"/>
      <c r="M920" s="7"/>
      <c r="O920" s="7"/>
      <c r="T920" s="7"/>
    </row>
    <row r="921" spans="2:20" x14ac:dyDescent="0.3">
      <c r="B921" s="18" t="s">
        <v>2136</v>
      </c>
      <c r="C921" s="13">
        <v>58</v>
      </c>
      <c r="D921" s="21" t="s">
        <v>2137</v>
      </c>
      <c r="E921" s="24">
        <v>9</v>
      </c>
      <c r="G921" s="2">
        <f t="shared" si="76"/>
        <v>902</v>
      </c>
      <c r="H921" s="5">
        <v>0</v>
      </c>
      <c r="I921" s="13">
        <v>32</v>
      </c>
      <c r="L921" s="4"/>
      <c r="M921" s="7"/>
      <c r="O921" s="7"/>
      <c r="T921" s="7"/>
    </row>
    <row r="922" spans="2:20" x14ac:dyDescent="0.3">
      <c r="B922" s="18" t="s">
        <v>2138</v>
      </c>
      <c r="C922" s="13">
        <v>59</v>
      </c>
      <c r="D922" s="21" t="s">
        <v>2139</v>
      </c>
      <c r="E922" s="24">
        <v>8</v>
      </c>
      <c r="G922" s="2">
        <f t="shared" si="76"/>
        <v>903</v>
      </c>
      <c r="H922" s="5">
        <v>0</v>
      </c>
      <c r="I922" s="13">
        <v>32</v>
      </c>
      <c r="L922" s="4"/>
      <c r="M922" s="7"/>
      <c r="O922" s="7"/>
      <c r="T922" s="7"/>
    </row>
    <row r="923" spans="2:20" x14ac:dyDescent="0.3">
      <c r="B923" s="18" t="s">
        <v>2140</v>
      </c>
      <c r="C923" s="13">
        <v>60</v>
      </c>
      <c r="D923" s="21" t="s">
        <v>2141</v>
      </c>
      <c r="E923" s="24">
        <v>7</v>
      </c>
      <c r="G923" s="2">
        <f t="shared" si="76"/>
        <v>904</v>
      </c>
      <c r="H923" s="5">
        <v>0</v>
      </c>
      <c r="I923" s="13">
        <v>32</v>
      </c>
      <c r="L923" s="4"/>
      <c r="M923" s="7"/>
      <c r="O923" s="7"/>
      <c r="T923" s="7"/>
    </row>
    <row r="924" spans="2:20" x14ac:dyDescent="0.3">
      <c r="B924" s="18" t="s">
        <v>2142</v>
      </c>
      <c r="C924" s="13">
        <v>61</v>
      </c>
      <c r="D924" s="21" t="s">
        <v>2143</v>
      </c>
      <c r="E924" s="24">
        <v>6</v>
      </c>
      <c r="G924" s="2">
        <f t="shared" si="76"/>
        <v>905</v>
      </c>
      <c r="H924" s="5">
        <v>0</v>
      </c>
      <c r="I924" s="13">
        <v>32</v>
      </c>
      <c r="L924" s="4"/>
      <c r="M924" s="7"/>
      <c r="O924" s="7"/>
      <c r="T924" s="7"/>
    </row>
    <row r="925" spans="2:20" x14ac:dyDescent="0.3">
      <c r="B925" s="18" t="s">
        <v>2144</v>
      </c>
      <c r="C925" s="13">
        <v>62</v>
      </c>
      <c r="D925" s="21" t="s">
        <v>2145</v>
      </c>
      <c r="E925" s="24">
        <v>5</v>
      </c>
      <c r="G925" s="2">
        <f t="shared" si="76"/>
        <v>906</v>
      </c>
      <c r="H925" s="5">
        <v>0</v>
      </c>
      <c r="I925" s="13">
        <v>32</v>
      </c>
      <c r="L925" s="4"/>
      <c r="M925" s="7"/>
      <c r="O925" s="7"/>
      <c r="T925" s="7"/>
    </row>
    <row r="926" spans="2:20" x14ac:dyDescent="0.3">
      <c r="B926" s="18" t="s">
        <v>2146</v>
      </c>
      <c r="C926" s="13">
        <v>63</v>
      </c>
      <c r="D926" s="21" t="s">
        <v>2147</v>
      </c>
      <c r="E926" s="24">
        <v>4</v>
      </c>
      <c r="G926" s="2">
        <f t="shared" si="76"/>
        <v>907</v>
      </c>
      <c r="H926" s="5">
        <v>0</v>
      </c>
      <c r="I926" s="13">
        <v>32</v>
      </c>
      <c r="L926" s="4"/>
      <c r="M926" s="7"/>
      <c r="O926" s="7"/>
      <c r="T926" s="7"/>
    </row>
    <row r="927" spans="2:20" x14ac:dyDescent="0.3">
      <c r="B927" s="18" t="s">
        <v>2148</v>
      </c>
      <c r="C927" s="13">
        <v>108</v>
      </c>
      <c r="D927" s="21" t="s">
        <v>2149</v>
      </c>
      <c r="E927" s="24">
        <v>3</v>
      </c>
      <c r="G927" s="2">
        <f t="shared" si="76"/>
        <v>908</v>
      </c>
      <c r="H927" s="5">
        <v>0</v>
      </c>
      <c r="I927" s="13">
        <v>32</v>
      </c>
      <c r="L927" s="4"/>
      <c r="M927" s="7"/>
      <c r="O927" s="7"/>
      <c r="T927" s="7"/>
    </row>
    <row r="928" spans="2:20" x14ac:dyDescent="0.3">
      <c r="B928" s="18" t="s">
        <v>2150</v>
      </c>
      <c r="C928" s="13">
        <v>99</v>
      </c>
      <c r="D928" s="21" t="s">
        <v>2151</v>
      </c>
      <c r="E928" s="24">
        <v>29</v>
      </c>
      <c r="G928" s="2">
        <f t="shared" si="76"/>
        <v>909</v>
      </c>
      <c r="H928" s="5">
        <v>0</v>
      </c>
      <c r="I928" s="13">
        <v>32</v>
      </c>
      <c r="L928" s="4"/>
      <c r="M928" s="7"/>
      <c r="O928" s="7"/>
      <c r="T928" s="7"/>
    </row>
    <row r="929" spans="2:20" x14ac:dyDescent="0.3">
      <c r="B929" s="18" t="s">
        <v>2152</v>
      </c>
      <c r="C929" s="13">
        <v>98</v>
      </c>
      <c r="D929" s="21" t="s">
        <v>2153</v>
      </c>
      <c r="E929" s="24">
        <v>28</v>
      </c>
      <c r="G929" s="2">
        <f t="shared" si="76"/>
        <v>910</v>
      </c>
      <c r="H929" s="5">
        <v>0</v>
      </c>
      <c r="I929" s="13">
        <v>32</v>
      </c>
      <c r="L929" s="4"/>
      <c r="M929" s="7"/>
      <c r="O929" s="7"/>
      <c r="T929" s="7"/>
    </row>
    <row r="930" spans="2:20" x14ac:dyDescent="0.3">
      <c r="B930" s="18" t="s">
        <v>2154</v>
      </c>
      <c r="C930" s="13">
        <v>97</v>
      </c>
      <c r="D930" s="21" t="s">
        <v>2155</v>
      </c>
      <c r="E930" s="24">
        <v>27</v>
      </c>
      <c r="G930" s="2">
        <f t="shared" si="76"/>
        <v>911</v>
      </c>
      <c r="H930" s="5">
        <v>0</v>
      </c>
      <c r="I930" s="13">
        <v>32</v>
      </c>
      <c r="L930" s="4"/>
      <c r="M930" s="7"/>
      <c r="O930" s="7"/>
      <c r="T930" s="7"/>
    </row>
    <row r="931" spans="2:20" x14ac:dyDescent="0.3">
      <c r="B931" s="18" t="s">
        <v>2156</v>
      </c>
      <c r="C931" s="13">
        <v>96</v>
      </c>
      <c r="D931" s="21" t="s">
        <v>2157</v>
      </c>
      <c r="E931" s="24">
        <v>26</v>
      </c>
      <c r="G931" s="2">
        <f t="shared" si="76"/>
        <v>912</v>
      </c>
      <c r="H931" s="5">
        <v>0</v>
      </c>
      <c r="I931" s="13">
        <v>32</v>
      </c>
      <c r="L931" s="4"/>
      <c r="M931" s="7"/>
      <c r="O931" s="7"/>
      <c r="T931" s="7"/>
    </row>
    <row r="932" spans="2:20" x14ac:dyDescent="0.3">
      <c r="B932" s="18" t="s">
        <v>2158</v>
      </c>
      <c r="C932" s="13">
        <v>95</v>
      </c>
      <c r="D932" s="21" t="s">
        <v>2159</v>
      </c>
      <c r="E932" s="24">
        <v>25</v>
      </c>
      <c r="G932" s="2">
        <f t="shared" si="76"/>
        <v>913</v>
      </c>
      <c r="H932" s="5">
        <v>0</v>
      </c>
      <c r="I932" s="13">
        <v>32</v>
      </c>
      <c r="L932" s="4"/>
      <c r="M932" s="7"/>
      <c r="O932" s="7"/>
      <c r="T932" s="7"/>
    </row>
    <row r="933" spans="2:20" x14ac:dyDescent="0.3">
      <c r="B933" s="18" t="s">
        <v>2160</v>
      </c>
      <c r="C933" s="13">
        <v>94</v>
      </c>
      <c r="D933" s="21" t="s">
        <v>2161</v>
      </c>
      <c r="E933" s="24">
        <v>24</v>
      </c>
      <c r="G933" s="2">
        <f t="shared" si="76"/>
        <v>914</v>
      </c>
      <c r="H933" s="5">
        <v>0</v>
      </c>
      <c r="I933" s="13">
        <v>32</v>
      </c>
      <c r="L933" s="4"/>
      <c r="M933" s="7"/>
      <c r="O933" s="7"/>
    </row>
    <row r="934" spans="2:20" x14ac:dyDescent="0.3">
      <c r="B934" s="18" t="s">
        <v>2162</v>
      </c>
      <c r="C934" s="13">
        <v>93</v>
      </c>
      <c r="D934" s="21" t="s">
        <v>2163</v>
      </c>
      <c r="E934" s="24">
        <v>23</v>
      </c>
      <c r="G934" s="2">
        <f t="shared" si="76"/>
        <v>915</v>
      </c>
      <c r="H934" s="5">
        <v>0</v>
      </c>
      <c r="I934" s="13">
        <v>32</v>
      </c>
      <c r="L934" s="4"/>
      <c r="M934" s="7"/>
      <c r="O934" s="7"/>
      <c r="T934" s="7"/>
    </row>
    <row r="935" spans="2:20" x14ac:dyDescent="0.3">
      <c r="B935" s="18" t="s">
        <v>2164</v>
      </c>
      <c r="C935" s="13">
        <v>92</v>
      </c>
      <c r="D935" s="21" t="s">
        <v>2165</v>
      </c>
      <c r="E935" s="24">
        <v>22</v>
      </c>
      <c r="G935" s="2">
        <f t="shared" si="76"/>
        <v>916</v>
      </c>
      <c r="H935" s="5">
        <v>0</v>
      </c>
      <c r="I935" s="13">
        <v>32</v>
      </c>
      <c r="L935" s="4"/>
      <c r="M935" s="7"/>
      <c r="O935" s="7"/>
      <c r="T935" s="7"/>
    </row>
    <row r="936" spans="2:20" x14ac:dyDescent="0.3">
      <c r="B936" s="18" t="s">
        <v>2166</v>
      </c>
      <c r="C936" s="13">
        <v>91</v>
      </c>
      <c r="D936" s="21" t="s">
        <v>2167</v>
      </c>
      <c r="E936" s="24">
        <v>21</v>
      </c>
      <c r="G936" s="2">
        <f t="shared" si="76"/>
        <v>917</v>
      </c>
      <c r="H936" s="5">
        <v>0</v>
      </c>
      <c r="I936" s="13">
        <v>32</v>
      </c>
      <c r="L936" s="4"/>
      <c r="M936" s="7"/>
      <c r="O936" s="7"/>
      <c r="T936" s="7"/>
    </row>
    <row r="937" spans="2:20" x14ac:dyDescent="0.3">
      <c r="B937" s="18" t="s">
        <v>2168</v>
      </c>
      <c r="C937" s="13">
        <v>90</v>
      </c>
      <c r="D937" s="21" t="s">
        <v>2169</v>
      </c>
      <c r="E937" s="24">
        <v>20</v>
      </c>
      <c r="G937" s="2">
        <f t="shared" si="76"/>
        <v>918</v>
      </c>
      <c r="H937" s="5">
        <v>0</v>
      </c>
      <c r="I937" s="13">
        <v>32</v>
      </c>
      <c r="L937" s="4"/>
      <c r="M937" s="7"/>
      <c r="O937" s="7"/>
      <c r="T937" s="7"/>
    </row>
    <row r="938" spans="2:20" x14ac:dyDescent="0.3">
      <c r="B938" s="18" t="s">
        <v>2170</v>
      </c>
      <c r="C938" s="13">
        <v>107</v>
      </c>
      <c r="D938" s="21" t="s">
        <v>2171</v>
      </c>
      <c r="E938" s="24">
        <v>2</v>
      </c>
      <c r="G938" s="2">
        <f t="shared" si="76"/>
        <v>919</v>
      </c>
      <c r="H938" s="5">
        <v>0</v>
      </c>
      <c r="I938" s="13">
        <v>32</v>
      </c>
      <c r="L938" s="4"/>
      <c r="M938" s="7"/>
      <c r="O938" s="7"/>
      <c r="T938" s="7"/>
    </row>
    <row r="939" spans="2:20" x14ac:dyDescent="0.3">
      <c r="B939" s="18" t="s">
        <v>2172</v>
      </c>
      <c r="C939" s="13">
        <v>89</v>
      </c>
      <c r="D939" s="21" t="s">
        <v>2173</v>
      </c>
      <c r="E939" s="24">
        <v>19</v>
      </c>
      <c r="G939" s="2">
        <f t="shared" si="76"/>
        <v>920</v>
      </c>
      <c r="H939" s="5">
        <v>0</v>
      </c>
      <c r="I939" s="13">
        <v>32</v>
      </c>
      <c r="L939" s="4"/>
      <c r="M939" s="7"/>
      <c r="O939" s="7"/>
      <c r="T939" s="7"/>
    </row>
    <row r="940" spans="2:20" x14ac:dyDescent="0.3">
      <c r="B940" s="18" t="s">
        <v>2174</v>
      </c>
      <c r="C940" s="13">
        <v>88</v>
      </c>
      <c r="D940" s="21" t="s">
        <v>2175</v>
      </c>
      <c r="E940" s="24">
        <v>18</v>
      </c>
      <c r="G940" s="2">
        <f t="shared" si="76"/>
        <v>921</v>
      </c>
      <c r="H940" s="5">
        <v>0</v>
      </c>
      <c r="I940" s="13">
        <v>32</v>
      </c>
      <c r="L940" s="4"/>
      <c r="M940" s="7"/>
      <c r="O940" s="7"/>
      <c r="T940" s="7"/>
    </row>
    <row r="941" spans="2:20" x14ac:dyDescent="0.3">
      <c r="B941" s="18" t="s">
        <v>2176</v>
      </c>
      <c r="C941" s="13">
        <v>87</v>
      </c>
      <c r="D941" s="21" t="s">
        <v>2177</v>
      </c>
      <c r="E941" s="24">
        <v>17</v>
      </c>
      <c r="G941" s="2">
        <f t="shared" si="76"/>
        <v>922</v>
      </c>
      <c r="H941" s="5">
        <v>0</v>
      </c>
      <c r="I941" s="13">
        <v>32</v>
      </c>
      <c r="L941" s="4"/>
      <c r="M941" s="7"/>
      <c r="O941" s="7"/>
      <c r="T941" s="7"/>
    </row>
    <row r="942" spans="2:20" x14ac:dyDescent="0.3">
      <c r="B942" s="18" t="s">
        <v>2178</v>
      </c>
      <c r="C942" s="13">
        <v>86</v>
      </c>
      <c r="D942" s="21" t="s">
        <v>2179</v>
      </c>
      <c r="E942" s="24">
        <v>16</v>
      </c>
      <c r="G942" s="2">
        <f t="shared" si="76"/>
        <v>923</v>
      </c>
      <c r="H942" s="5">
        <v>0</v>
      </c>
      <c r="I942" s="13">
        <v>32</v>
      </c>
      <c r="L942" s="4"/>
      <c r="M942" s="7"/>
      <c r="O942" s="7"/>
      <c r="T942" s="7"/>
    </row>
    <row r="943" spans="2:20" x14ac:dyDescent="0.3">
      <c r="B943" s="18" t="s">
        <v>2180</v>
      </c>
      <c r="C943" s="13">
        <v>85</v>
      </c>
      <c r="D943" s="21" t="s">
        <v>2181</v>
      </c>
      <c r="E943" s="24">
        <v>15</v>
      </c>
      <c r="G943" s="2">
        <f t="shared" si="76"/>
        <v>924</v>
      </c>
      <c r="H943" s="5">
        <v>0</v>
      </c>
      <c r="I943" s="13">
        <v>32</v>
      </c>
      <c r="L943" s="4"/>
      <c r="M943" s="7"/>
      <c r="O943" s="7"/>
      <c r="T943" s="7"/>
    </row>
    <row r="944" spans="2:20" x14ac:dyDescent="0.3">
      <c r="B944" s="18" t="s">
        <v>2182</v>
      </c>
      <c r="C944" s="13">
        <v>84</v>
      </c>
      <c r="D944" s="21" t="s">
        <v>2183</v>
      </c>
      <c r="E944" s="24">
        <v>14</v>
      </c>
      <c r="G944" s="2">
        <f t="shared" si="76"/>
        <v>925</v>
      </c>
      <c r="H944" s="5">
        <v>0</v>
      </c>
      <c r="I944" s="13">
        <v>32</v>
      </c>
      <c r="L944" s="4"/>
      <c r="M944" s="7"/>
      <c r="O944" s="7"/>
      <c r="T944" s="7"/>
    </row>
    <row r="945" spans="2:20" x14ac:dyDescent="0.3">
      <c r="B945" s="18" t="s">
        <v>2184</v>
      </c>
      <c r="C945" s="13">
        <v>83</v>
      </c>
      <c r="D945" s="21" t="s">
        <v>2185</v>
      </c>
      <c r="E945" s="24">
        <v>13</v>
      </c>
      <c r="G945" s="2">
        <f t="shared" si="76"/>
        <v>926</v>
      </c>
      <c r="H945" s="5">
        <v>0</v>
      </c>
      <c r="I945" s="13">
        <v>32</v>
      </c>
      <c r="L945" s="4"/>
      <c r="M945" s="7"/>
      <c r="O945" s="7"/>
      <c r="T945" s="7"/>
    </row>
    <row r="946" spans="2:20" x14ac:dyDescent="0.3">
      <c r="B946" s="18" t="s">
        <v>2186</v>
      </c>
      <c r="C946" s="13">
        <v>82</v>
      </c>
      <c r="D946" s="21" t="s">
        <v>2187</v>
      </c>
      <c r="E946" s="24">
        <v>12</v>
      </c>
      <c r="G946" s="2">
        <f t="shared" si="76"/>
        <v>927</v>
      </c>
      <c r="H946" s="5">
        <v>0</v>
      </c>
      <c r="I946" s="13">
        <v>32</v>
      </c>
      <c r="L946" s="4"/>
      <c r="M946" s="7"/>
      <c r="O946" s="7"/>
      <c r="T946" s="7"/>
    </row>
    <row r="947" spans="2:20" x14ac:dyDescent="0.3">
      <c r="B947" s="18" t="s">
        <v>2188</v>
      </c>
      <c r="C947" s="13">
        <v>106</v>
      </c>
      <c r="D947" s="21" t="s">
        <v>2189</v>
      </c>
      <c r="E947" s="24">
        <v>11</v>
      </c>
      <c r="G947" s="2">
        <f t="shared" si="76"/>
        <v>928</v>
      </c>
      <c r="H947" s="5">
        <v>0</v>
      </c>
      <c r="I947" s="13">
        <v>32</v>
      </c>
      <c r="L947" s="4"/>
      <c r="M947" s="7"/>
      <c r="O947" s="7"/>
      <c r="T947" s="7"/>
    </row>
    <row r="948" spans="2:20" x14ac:dyDescent="0.3">
      <c r="B948" s="18" t="s">
        <v>2190</v>
      </c>
      <c r="C948" s="13">
        <v>105</v>
      </c>
      <c r="D948" s="21" t="s">
        <v>2191</v>
      </c>
      <c r="E948" s="24">
        <v>10</v>
      </c>
      <c r="G948" s="2">
        <f t="shared" si="76"/>
        <v>929</v>
      </c>
      <c r="H948" s="5">
        <v>0</v>
      </c>
      <c r="I948" s="13">
        <v>32</v>
      </c>
      <c r="L948" s="4"/>
      <c r="M948" s="7"/>
      <c r="O948" s="7"/>
      <c r="T948" s="7"/>
    </row>
    <row r="949" spans="2:20" x14ac:dyDescent="0.3">
      <c r="B949" s="18" t="s">
        <v>2192</v>
      </c>
      <c r="C949" s="13">
        <v>104</v>
      </c>
      <c r="D949" s="21" t="s">
        <v>2193</v>
      </c>
      <c r="E949" s="24">
        <v>1</v>
      </c>
      <c r="G949" s="2">
        <f t="shared" si="76"/>
        <v>930</v>
      </c>
      <c r="H949" s="5">
        <v>0</v>
      </c>
      <c r="I949" s="13">
        <v>32</v>
      </c>
      <c r="L949" s="4"/>
      <c r="M949" s="7"/>
      <c r="O949" s="7"/>
      <c r="T949" s="7"/>
    </row>
    <row r="950" spans="2:20" x14ac:dyDescent="0.3">
      <c r="B950" s="18" t="s">
        <v>2194</v>
      </c>
      <c r="C950" s="13">
        <v>103</v>
      </c>
      <c r="D950" s="21" t="s">
        <v>2195</v>
      </c>
      <c r="E950" s="24">
        <v>79</v>
      </c>
      <c r="G950" s="2">
        <f t="shared" si="76"/>
        <v>931</v>
      </c>
      <c r="H950" s="5">
        <v>0</v>
      </c>
      <c r="I950" s="13">
        <v>32</v>
      </c>
      <c r="L950" s="4"/>
      <c r="M950" s="7"/>
      <c r="O950" s="7"/>
      <c r="T950" s="7"/>
    </row>
    <row r="951" spans="2:20" x14ac:dyDescent="0.3">
      <c r="B951" s="18" t="s">
        <v>2196</v>
      </c>
      <c r="C951" s="13">
        <v>102</v>
      </c>
      <c r="D951" s="21" t="s">
        <v>2197</v>
      </c>
      <c r="E951" s="24">
        <v>80</v>
      </c>
      <c r="G951" s="2">
        <f t="shared" si="76"/>
        <v>932</v>
      </c>
      <c r="H951" s="5">
        <v>0</v>
      </c>
      <c r="I951" s="13">
        <v>32</v>
      </c>
      <c r="L951" s="4"/>
      <c r="M951" s="7"/>
      <c r="O951" s="7"/>
      <c r="T951" s="7"/>
    </row>
    <row r="952" spans="2:20" x14ac:dyDescent="0.3">
      <c r="B952" s="18" t="s">
        <v>2198</v>
      </c>
      <c r="C952" s="13">
        <v>101</v>
      </c>
      <c r="D952" s="21" t="s">
        <v>2199</v>
      </c>
      <c r="E952" s="24">
        <v>81</v>
      </c>
      <c r="G952" s="2">
        <f t="shared" si="76"/>
        <v>933</v>
      </c>
      <c r="H952" s="5">
        <v>0</v>
      </c>
      <c r="I952" s="13">
        <v>32</v>
      </c>
      <c r="L952" s="4"/>
      <c r="M952" s="7"/>
      <c r="O952" s="7"/>
      <c r="T952" s="7"/>
    </row>
    <row r="953" spans="2:20" x14ac:dyDescent="0.3">
      <c r="B953" s="18" t="s">
        <v>2200</v>
      </c>
      <c r="C953" s="13">
        <v>100</v>
      </c>
      <c r="D953" s="21" t="s">
        <v>2201</v>
      </c>
      <c r="E953" s="24">
        <v>82</v>
      </c>
      <c r="G953" s="2">
        <f t="shared" si="76"/>
        <v>934</v>
      </c>
      <c r="H953" s="5">
        <v>0</v>
      </c>
      <c r="I953" s="13">
        <v>32</v>
      </c>
      <c r="L953" s="4"/>
      <c r="M953" s="7"/>
      <c r="O953" s="7"/>
      <c r="T953" s="7"/>
    </row>
    <row r="954" spans="2:20" x14ac:dyDescent="0.3">
      <c r="B954" s="18" t="s">
        <v>2202</v>
      </c>
      <c r="C954" s="13">
        <v>1</v>
      </c>
      <c r="D954" s="21" t="s">
        <v>2203</v>
      </c>
      <c r="E954" s="24">
        <v>83</v>
      </c>
      <c r="G954" s="2">
        <f t="shared" si="76"/>
        <v>935</v>
      </c>
      <c r="H954" s="5">
        <v>0</v>
      </c>
      <c r="I954" s="13">
        <v>32</v>
      </c>
      <c r="L954" s="4"/>
      <c r="M954" s="7"/>
      <c r="O954" s="7"/>
      <c r="T954" s="7"/>
    </row>
    <row r="955" spans="2:20" x14ac:dyDescent="0.3">
      <c r="B955" s="18" t="s">
        <v>2204</v>
      </c>
      <c r="C955" s="13">
        <v>10</v>
      </c>
      <c r="D955" s="21" t="s">
        <v>2205</v>
      </c>
      <c r="E955" s="24">
        <v>84</v>
      </c>
      <c r="G955" s="2">
        <f t="shared" si="76"/>
        <v>936</v>
      </c>
      <c r="H955" s="5">
        <v>0</v>
      </c>
      <c r="I955" s="13">
        <v>32</v>
      </c>
      <c r="L955" s="4"/>
      <c r="M955" s="7"/>
      <c r="O955" s="7"/>
      <c r="T955" s="7"/>
    </row>
    <row r="956" spans="2:20" x14ac:dyDescent="0.3">
      <c r="B956" s="18" t="s">
        <v>2206</v>
      </c>
      <c r="C956" s="13">
        <v>11</v>
      </c>
      <c r="D956" s="21" t="s">
        <v>2207</v>
      </c>
      <c r="E956" s="24">
        <v>85</v>
      </c>
      <c r="G956" s="2">
        <f t="shared" si="76"/>
        <v>937</v>
      </c>
      <c r="H956" s="5">
        <v>0</v>
      </c>
      <c r="I956" s="13">
        <v>32</v>
      </c>
      <c r="L956" s="4"/>
      <c r="M956" s="7"/>
      <c r="O956" s="7"/>
      <c r="T956" s="7"/>
    </row>
    <row r="957" spans="2:20" x14ac:dyDescent="0.3">
      <c r="B957" s="18" t="s">
        <v>2208</v>
      </c>
      <c r="C957" s="13">
        <v>12</v>
      </c>
      <c r="D957" s="21" t="s">
        <v>2209</v>
      </c>
      <c r="E957" s="24">
        <v>59</v>
      </c>
      <c r="G957" s="2">
        <f t="shared" si="76"/>
        <v>938</v>
      </c>
      <c r="H957" s="5">
        <v>0</v>
      </c>
      <c r="I957" s="13">
        <v>32</v>
      </c>
      <c r="L957" s="4"/>
      <c r="M957" s="7"/>
      <c r="O957" s="7"/>
      <c r="T957" s="7"/>
    </row>
    <row r="958" spans="2:20" x14ac:dyDescent="0.3">
      <c r="B958" s="18" t="s">
        <v>2210</v>
      </c>
      <c r="C958" s="13">
        <v>13</v>
      </c>
      <c r="D958" s="21" t="s">
        <v>2211</v>
      </c>
      <c r="E958" s="24">
        <v>60</v>
      </c>
      <c r="G958" s="2">
        <f t="shared" si="76"/>
        <v>939</v>
      </c>
      <c r="H958" s="5">
        <v>0</v>
      </c>
      <c r="I958" s="13">
        <v>32</v>
      </c>
      <c r="L958" s="4"/>
      <c r="M958" s="7"/>
      <c r="O958" s="7"/>
      <c r="T958" s="7"/>
    </row>
    <row r="959" spans="2:20" x14ac:dyDescent="0.3">
      <c r="B959" s="18" t="s">
        <v>2212</v>
      </c>
      <c r="C959" s="13">
        <v>14</v>
      </c>
      <c r="D959" s="21" t="s">
        <v>2213</v>
      </c>
      <c r="E959" s="24">
        <v>61</v>
      </c>
      <c r="G959" s="2">
        <f t="shared" si="76"/>
        <v>940</v>
      </c>
      <c r="H959" s="5">
        <v>0</v>
      </c>
      <c r="I959" s="13">
        <v>32</v>
      </c>
      <c r="L959" s="4"/>
      <c r="M959" s="7"/>
      <c r="O959" s="7"/>
      <c r="T959" s="7"/>
    </row>
    <row r="960" spans="2:20" x14ac:dyDescent="0.3">
      <c r="B960" s="18" t="s">
        <v>2214</v>
      </c>
      <c r="C960" s="13">
        <v>15</v>
      </c>
      <c r="D960" s="21" t="s">
        <v>2215</v>
      </c>
      <c r="E960" s="24">
        <v>62</v>
      </c>
      <c r="G960" s="2">
        <f t="shared" si="76"/>
        <v>941</v>
      </c>
      <c r="H960" s="5">
        <v>0</v>
      </c>
      <c r="I960" s="13">
        <v>32</v>
      </c>
      <c r="L960" s="4"/>
      <c r="M960" s="7"/>
      <c r="O960" s="7"/>
      <c r="T960" s="7"/>
    </row>
    <row r="961" spans="2:20" x14ac:dyDescent="0.3">
      <c r="B961" s="18" t="s">
        <v>2216</v>
      </c>
      <c r="C961" s="13">
        <v>16</v>
      </c>
      <c r="D961" s="21" t="s">
        <v>2217</v>
      </c>
      <c r="E961" s="24">
        <v>63</v>
      </c>
      <c r="G961" s="2">
        <f t="shared" si="76"/>
        <v>942</v>
      </c>
      <c r="H961" s="5">
        <v>0</v>
      </c>
      <c r="I961" s="13">
        <v>32</v>
      </c>
      <c r="L961" s="4"/>
      <c r="M961" s="7"/>
      <c r="O961" s="7"/>
      <c r="T961" s="7"/>
    </row>
    <row r="962" spans="2:20" x14ac:dyDescent="0.3">
      <c r="B962" s="18" t="s">
        <v>2218</v>
      </c>
      <c r="C962" s="13">
        <v>17</v>
      </c>
      <c r="D962" s="21" t="s">
        <v>2219</v>
      </c>
      <c r="E962" s="24">
        <v>64</v>
      </c>
      <c r="G962" s="2">
        <f t="shared" si="76"/>
        <v>943</v>
      </c>
      <c r="H962" s="5">
        <v>0</v>
      </c>
      <c r="I962" s="13">
        <v>32</v>
      </c>
      <c r="L962" s="4"/>
      <c r="M962" s="7"/>
      <c r="O962" s="7"/>
      <c r="T962" s="7"/>
    </row>
    <row r="963" spans="2:20" x14ac:dyDescent="0.3">
      <c r="B963" s="18" t="s">
        <v>2220</v>
      </c>
      <c r="C963" s="13">
        <v>18</v>
      </c>
      <c r="D963" s="21" t="s">
        <v>2221</v>
      </c>
      <c r="E963" s="24">
        <v>65</v>
      </c>
      <c r="G963" s="2">
        <f t="shared" si="76"/>
        <v>944</v>
      </c>
      <c r="H963" s="5">
        <v>0</v>
      </c>
      <c r="I963" s="13">
        <v>32</v>
      </c>
      <c r="L963" s="4"/>
      <c r="M963" s="7"/>
      <c r="O963" s="7"/>
      <c r="T963" s="7"/>
    </row>
    <row r="964" spans="2:20" x14ac:dyDescent="0.3">
      <c r="B964" s="18" t="s">
        <v>2222</v>
      </c>
      <c r="C964" s="13">
        <v>19</v>
      </c>
      <c r="D964" s="21" t="s">
        <v>2223</v>
      </c>
      <c r="E964" s="24">
        <v>66</v>
      </c>
      <c r="G964" s="2">
        <f t="shared" si="76"/>
        <v>945</v>
      </c>
      <c r="H964" s="5">
        <v>0</v>
      </c>
      <c r="I964" s="13">
        <v>32</v>
      </c>
      <c r="L964" s="4"/>
      <c r="M964" s="7"/>
      <c r="O964" s="7"/>
      <c r="T964" s="7"/>
    </row>
    <row r="965" spans="2:20" x14ac:dyDescent="0.3">
      <c r="B965" s="18" t="s">
        <v>2224</v>
      </c>
      <c r="C965" s="13">
        <v>2</v>
      </c>
      <c r="D965" s="21" t="s">
        <v>2225</v>
      </c>
      <c r="E965" s="24">
        <v>67</v>
      </c>
      <c r="G965" s="2">
        <f t="shared" si="76"/>
        <v>946</v>
      </c>
      <c r="H965" s="5">
        <v>0</v>
      </c>
      <c r="I965" s="13">
        <v>32</v>
      </c>
      <c r="L965" s="4"/>
      <c r="M965" s="7"/>
      <c r="O965" s="7"/>
      <c r="T965" s="7"/>
    </row>
    <row r="966" spans="2:20" x14ac:dyDescent="0.3">
      <c r="B966" s="18" t="s">
        <v>2226</v>
      </c>
      <c r="C966" s="13">
        <v>20</v>
      </c>
      <c r="D966" s="21" t="s">
        <v>2227</v>
      </c>
      <c r="E966" s="24">
        <v>68</v>
      </c>
      <c r="G966" s="2">
        <f t="shared" si="76"/>
        <v>947</v>
      </c>
      <c r="H966" s="5">
        <v>0</v>
      </c>
      <c r="I966" s="13">
        <v>32</v>
      </c>
      <c r="L966" s="4"/>
      <c r="M966" s="7"/>
      <c r="O966" s="7"/>
    </row>
    <row r="967" spans="2:20" x14ac:dyDescent="0.3">
      <c r="B967" s="18" t="s">
        <v>2228</v>
      </c>
      <c r="C967" s="13">
        <v>21</v>
      </c>
      <c r="D967" s="21" t="s">
        <v>2229</v>
      </c>
      <c r="E967" s="24">
        <v>86</v>
      </c>
      <c r="G967" s="2">
        <f t="shared" si="76"/>
        <v>948</v>
      </c>
      <c r="H967" s="5">
        <v>0</v>
      </c>
      <c r="I967" s="13">
        <v>32</v>
      </c>
      <c r="L967" s="4"/>
      <c r="M967" s="7"/>
      <c r="O967" s="7"/>
      <c r="T967" s="7"/>
    </row>
    <row r="968" spans="2:20" x14ac:dyDescent="0.3">
      <c r="B968" s="18" t="s">
        <v>2230</v>
      </c>
      <c r="C968" s="13">
        <v>22</v>
      </c>
      <c r="D968" s="21" t="s">
        <v>2231</v>
      </c>
      <c r="E968" s="24">
        <v>69</v>
      </c>
      <c r="G968" s="2">
        <f t="shared" si="76"/>
        <v>949</v>
      </c>
      <c r="H968" s="5">
        <v>0</v>
      </c>
      <c r="I968" s="13">
        <v>32</v>
      </c>
      <c r="L968" s="4"/>
      <c r="M968" s="7"/>
      <c r="O968" s="7"/>
      <c r="T968" s="7"/>
    </row>
    <row r="969" spans="2:20" x14ac:dyDescent="0.3">
      <c r="B969" s="18" t="s">
        <v>2232</v>
      </c>
      <c r="C969" s="13">
        <v>23</v>
      </c>
      <c r="D969" s="21" t="s">
        <v>2233</v>
      </c>
      <c r="E969" s="24">
        <v>70</v>
      </c>
      <c r="G969" s="2">
        <f t="shared" si="76"/>
        <v>950</v>
      </c>
      <c r="H969" s="5">
        <v>0</v>
      </c>
      <c r="I969" s="13">
        <v>32</v>
      </c>
      <c r="L969" s="4"/>
      <c r="M969" s="7"/>
      <c r="O969" s="7"/>
      <c r="T969" s="7"/>
    </row>
    <row r="970" spans="2:20" x14ac:dyDescent="0.3">
      <c r="B970" s="18" t="s">
        <v>2234</v>
      </c>
      <c r="C970" s="13">
        <v>24</v>
      </c>
      <c r="D970" s="21" t="s">
        <v>2235</v>
      </c>
      <c r="E970" s="24">
        <v>71</v>
      </c>
      <c r="G970" s="2">
        <f t="shared" si="76"/>
        <v>951</v>
      </c>
      <c r="H970" s="5">
        <v>0</v>
      </c>
      <c r="I970" s="13">
        <v>32</v>
      </c>
      <c r="L970" s="4"/>
      <c r="M970" s="7"/>
      <c r="O970" s="7"/>
      <c r="T970" s="7"/>
    </row>
    <row r="971" spans="2:20" x14ac:dyDescent="0.3">
      <c r="B971" s="18" t="s">
        <v>2236</v>
      </c>
      <c r="C971" s="13">
        <v>25</v>
      </c>
      <c r="D971" s="21" t="s">
        <v>2237</v>
      </c>
      <c r="E971" s="24">
        <v>72</v>
      </c>
      <c r="G971" s="2">
        <f t="shared" si="76"/>
        <v>952</v>
      </c>
      <c r="H971" s="5">
        <v>0</v>
      </c>
      <c r="I971" s="13">
        <v>32</v>
      </c>
      <c r="L971" s="4"/>
      <c r="M971" s="7"/>
      <c r="O971" s="7"/>
      <c r="T971" s="7"/>
    </row>
    <row r="972" spans="2:20" x14ac:dyDescent="0.3">
      <c r="B972" s="18" t="s">
        <v>2238</v>
      </c>
      <c r="C972" s="13">
        <v>26</v>
      </c>
      <c r="D972" s="21" t="s">
        <v>2239</v>
      </c>
      <c r="E972" s="24">
        <v>73</v>
      </c>
      <c r="G972" s="2">
        <f t="shared" ref="G972:G1035" si="77">G971+1</f>
        <v>953</v>
      </c>
      <c r="H972" s="5">
        <v>0</v>
      </c>
      <c r="I972" s="13">
        <v>32</v>
      </c>
      <c r="L972" s="4"/>
      <c r="M972" s="7"/>
      <c r="O972" s="7"/>
      <c r="T972" s="7"/>
    </row>
    <row r="973" spans="2:20" x14ac:dyDescent="0.3">
      <c r="B973" s="18" t="s">
        <v>2240</v>
      </c>
      <c r="C973" s="13">
        <v>27</v>
      </c>
      <c r="D973" s="21" t="s">
        <v>2241</v>
      </c>
      <c r="E973" s="24">
        <v>74</v>
      </c>
      <c r="G973" s="2">
        <f t="shared" si="77"/>
        <v>954</v>
      </c>
      <c r="H973" s="5">
        <v>0</v>
      </c>
      <c r="I973" s="13">
        <v>32</v>
      </c>
      <c r="L973" s="4"/>
      <c r="M973" s="7"/>
      <c r="O973" s="7"/>
      <c r="T973" s="7"/>
    </row>
    <row r="974" spans="2:20" x14ac:dyDescent="0.3">
      <c r="B974" s="18" t="s">
        <v>2242</v>
      </c>
      <c r="C974" s="13">
        <v>28</v>
      </c>
      <c r="D974" s="21" t="s">
        <v>2243</v>
      </c>
      <c r="E974" s="24">
        <v>75</v>
      </c>
      <c r="G974" s="2">
        <f t="shared" si="77"/>
        <v>955</v>
      </c>
      <c r="H974" s="5">
        <v>0</v>
      </c>
      <c r="I974" s="13">
        <v>32</v>
      </c>
      <c r="L974" s="4"/>
      <c r="M974" s="7"/>
      <c r="O974" s="7"/>
      <c r="T974" s="7"/>
    </row>
    <row r="975" spans="2:20" x14ac:dyDescent="0.3">
      <c r="B975" s="18" t="s">
        <v>2244</v>
      </c>
      <c r="C975" s="13">
        <v>3</v>
      </c>
      <c r="D975" s="21" t="s">
        <v>2245</v>
      </c>
      <c r="E975" s="24">
        <v>76</v>
      </c>
      <c r="G975" s="2">
        <f t="shared" si="77"/>
        <v>956</v>
      </c>
      <c r="H975" s="5">
        <v>0</v>
      </c>
      <c r="I975" s="13">
        <v>32</v>
      </c>
      <c r="L975" s="4"/>
      <c r="M975" s="7"/>
      <c r="O975" s="7"/>
      <c r="T975" s="7"/>
    </row>
    <row r="976" spans="2:20" x14ac:dyDescent="0.3">
      <c r="B976" s="18" t="s">
        <v>2246</v>
      </c>
      <c r="C976" s="13">
        <v>4</v>
      </c>
      <c r="D976" s="21" t="s">
        <v>2247</v>
      </c>
      <c r="E976" s="24">
        <v>77</v>
      </c>
      <c r="G976" s="2">
        <f t="shared" si="77"/>
        <v>957</v>
      </c>
      <c r="H976" s="5">
        <v>0</v>
      </c>
      <c r="I976" s="13">
        <v>32</v>
      </c>
      <c r="L976" s="4"/>
      <c r="M976" s="7"/>
      <c r="O976" s="7"/>
      <c r="T976" s="7"/>
    </row>
    <row r="977" spans="2:20" x14ac:dyDescent="0.3">
      <c r="B977" s="18" t="s">
        <v>2248</v>
      </c>
      <c r="C977" s="13">
        <v>5</v>
      </c>
      <c r="D977" s="21" t="s">
        <v>2249</v>
      </c>
      <c r="E977" s="24">
        <v>78</v>
      </c>
      <c r="G977" s="2">
        <f t="shared" si="77"/>
        <v>958</v>
      </c>
      <c r="H977" s="5">
        <v>0</v>
      </c>
      <c r="I977" s="13">
        <v>32</v>
      </c>
      <c r="L977" s="4"/>
      <c r="M977" s="7"/>
      <c r="O977" s="7"/>
      <c r="T977" s="7"/>
    </row>
    <row r="978" spans="2:20" x14ac:dyDescent="0.3">
      <c r="B978" s="18" t="s">
        <v>2250</v>
      </c>
      <c r="C978" s="13">
        <v>6</v>
      </c>
      <c r="D978" s="21" t="s">
        <v>2251</v>
      </c>
      <c r="E978" s="24">
        <v>38</v>
      </c>
      <c r="G978" s="2">
        <f t="shared" si="77"/>
        <v>959</v>
      </c>
      <c r="H978" s="5">
        <v>0</v>
      </c>
      <c r="I978" s="13">
        <v>32</v>
      </c>
      <c r="L978" s="4"/>
      <c r="M978" s="7"/>
      <c r="O978" s="7"/>
      <c r="T978" s="7"/>
    </row>
    <row r="979" spans="2:20" x14ac:dyDescent="0.3">
      <c r="B979" s="18" t="s">
        <v>2252</v>
      </c>
      <c r="C979" s="13">
        <v>7</v>
      </c>
      <c r="D979" s="21" t="s">
        <v>2253</v>
      </c>
      <c r="E979" s="24">
        <v>37</v>
      </c>
      <c r="G979" s="2">
        <f t="shared" si="77"/>
        <v>960</v>
      </c>
      <c r="H979" s="5">
        <v>0</v>
      </c>
      <c r="I979" s="13">
        <v>32</v>
      </c>
      <c r="L979" s="4"/>
      <c r="M979" s="7"/>
      <c r="O979" s="7"/>
      <c r="T979" s="7"/>
    </row>
    <row r="980" spans="2:20" x14ac:dyDescent="0.3">
      <c r="B980" s="18" t="s">
        <v>2254</v>
      </c>
      <c r="C980" s="13">
        <v>8</v>
      </c>
      <c r="D980" s="21" t="s">
        <v>2255</v>
      </c>
      <c r="E980" s="24">
        <v>36</v>
      </c>
      <c r="G980" s="2">
        <f t="shared" si="77"/>
        <v>961</v>
      </c>
      <c r="H980" s="5">
        <v>0</v>
      </c>
      <c r="I980" s="13">
        <v>32</v>
      </c>
      <c r="L980" s="4"/>
      <c r="M980" s="7"/>
      <c r="O980" s="7"/>
      <c r="T980" s="7"/>
    </row>
    <row r="981" spans="2:20" x14ac:dyDescent="0.3">
      <c r="B981" s="18" t="s">
        <v>2256</v>
      </c>
      <c r="C981" s="13">
        <v>9</v>
      </c>
      <c r="D981" s="21" t="s">
        <v>2257</v>
      </c>
      <c r="E981" s="24">
        <v>35</v>
      </c>
      <c r="G981" s="2">
        <f t="shared" si="77"/>
        <v>962</v>
      </c>
      <c r="H981" s="5">
        <v>0</v>
      </c>
      <c r="I981" s="13">
        <v>32</v>
      </c>
      <c r="L981" s="4"/>
      <c r="M981" s="7"/>
      <c r="O981" s="7"/>
      <c r="T981" s="7"/>
    </row>
    <row r="982" spans="2:20" x14ac:dyDescent="0.3">
      <c r="B982" s="18" t="s">
        <v>2258</v>
      </c>
      <c r="C982" s="13">
        <v>56</v>
      </c>
      <c r="D982" s="21" t="s">
        <v>2259</v>
      </c>
      <c r="E982" s="24">
        <v>34</v>
      </c>
      <c r="G982" s="2">
        <f t="shared" si="77"/>
        <v>963</v>
      </c>
      <c r="H982" s="5">
        <v>0</v>
      </c>
      <c r="I982" s="13">
        <v>32</v>
      </c>
      <c r="L982" s="4"/>
      <c r="M982" s="7"/>
      <c r="O982" s="7"/>
      <c r="T982" s="7"/>
    </row>
    <row r="983" spans="2:20" x14ac:dyDescent="0.3">
      <c r="B983" s="18" t="s">
        <v>2260</v>
      </c>
      <c r="C983" s="13">
        <v>47</v>
      </c>
      <c r="D983" s="21" t="s">
        <v>2261</v>
      </c>
      <c r="E983" s="24">
        <v>33</v>
      </c>
      <c r="G983" s="2">
        <f t="shared" si="77"/>
        <v>964</v>
      </c>
      <c r="H983" s="5">
        <v>0</v>
      </c>
      <c r="I983" s="13">
        <v>32</v>
      </c>
      <c r="L983" s="4"/>
      <c r="M983" s="7"/>
      <c r="O983" s="7"/>
      <c r="T983" s="7"/>
    </row>
    <row r="984" spans="2:20" x14ac:dyDescent="0.3">
      <c r="B984" s="18" t="s">
        <v>2262</v>
      </c>
      <c r="C984" s="13">
        <v>46</v>
      </c>
      <c r="D984" s="21" t="s">
        <v>2263</v>
      </c>
      <c r="E984" s="24">
        <v>32</v>
      </c>
      <c r="G984" s="2">
        <f t="shared" si="77"/>
        <v>965</v>
      </c>
      <c r="H984" s="5">
        <v>0</v>
      </c>
      <c r="I984" s="13">
        <v>32</v>
      </c>
      <c r="L984" s="4"/>
      <c r="M984" s="7"/>
      <c r="O984" s="7"/>
      <c r="T984" s="7"/>
    </row>
    <row r="985" spans="2:20" x14ac:dyDescent="0.3">
      <c r="B985" s="18" t="s">
        <v>2264</v>
      </c>
      <c r="C985" s="13">
        <v>45</v>
      </c>
      <c r="D985" s="21" t="s">
        <v>2265</v>
      </c>
      <c r="E985" s="24">
        <v>58</v>
      </c>
      <c r="G985" s="2">
        <f t="shared" si="77"/>
        <v>966</v>
      </c>
      <c r="H985" s="5">
        <v>0</v>
      </c>
      <c r="I985" s="13">
        <v>32</v>
      </c>
      <c r="L985" s="4"/>
      <c r="M985" s="7"/>
      <c r="O985" s="7"/>
      <c r="T985" s="7"/>
    </row>
    <row r="986" spans="2:20" x14ac:dyDescent="0.3">
      <c r="B986" s="18" t="s">
        <v>2266</v>
      </c>
      <c r="C986" s="13">
        <v>44</v>
      </c>
      <c r="D986" s="21" t="s">
        <v>2267</v>
      </c>
      <c r="E986" s="24">
        <v>57</v>
      </c>
      <c r="G986" s="2">
        <f t="shared" si="77"/>
        <v>967</v>
      </c>
      <c r="H986" s="5">
        <v>0</v>
      </c>
      <c r="I986" s="13">
        <v>32</v>
      </c>
      <c r="L986" s="4"/>
      <c r="M986" s="7"/>
      <c r="O986" s="7"/>
      <c r="T986" s="7"/>
    </row>
    <row r="987" spans="2:20" x14ac:dyDescent="0.3">
      <c r="B987" s="18" t="s">
        <v>2268</v>
      </c>
      <c r="C987" s="13">
        <v>43</v>
      </c>
      <c r="D987" s="21" t="s">
        <v>2269</v>
      </c>
      <c r="E987" s="24">
        <v>56</v>
      </c>
      <c r="G987" s="2">
        <f t="shared" si="77"/>
        <v>968</v>
      </c>
      <c r="H987" s="5">
        <v>0</v>
      </c>
      <c r="I987" s="13">
        <v>32</v>
      </c>
      <c r="L987" s="4"/>
      <c r="M987" s="7"/>
      <c r="O987" s="7"/>
      <c r="T987" s="7"/>
    </row>
    <row r="988" spans="2:20" x14ac:dyDescent="0.3">
      <c r="B988" s="18" t="s">
        <v>2270</v>
      </c>
      <c r="C988" s="13">
        <v>42</v>
      </c>
      <c r="D988" s="21" t="s">
        <v>2271</v>
      </c>
      <c r="E988" s="24">
        <v>55</v>
      </c>
      <c r="G988" s="2">
        <f t="shared" si="77"/>
        <v>969</v>
      </c>
      <c r="H988" s="5">
        <v>0</v>
      </c>
      <c r="I988" s="13">
        <v>32</v>
      </c>
      <c r="L988" s="4"/>
      <c r="M988" s="7"/>
      <c r="O988" s="7"/>
      <c r="T988" s="7"/>
    </row>
    <row r="989" spans="2:20" x14ac:dyDescent="0.3">
      <c r="B989" s="18" t="s">
        <v>2272</v>
      </c>
      <c r="C989" s="13">
        <v>41</v>
      </c>
      <c r="D989" s="21" t="s">
        <v>2273</v>
      </c>
      <c r="E989" s="24">
        <v>54</v>
      </c>
      <c r="G989" s="2">
        <f t="shared" si="77"/>
        <v>970</v>
      </c>
      <c r="H989" s="5">
        <v>0</v>
      </c>
      <c r="I989" s="13">
        <v>32</v>
      </c>
      <c r="L989" s="4"/>
      <c r="M989" s="7"/>
      <c r="O989" s="7"/>
      <c r="T989" s="7"/>
    </row>
    <row r="990" spans="2:20" x14ac:dyDescent="0.3">
      <c r="B990" s="18" t="s">
        <v>2274</v>
      </c>
      <c r="C990" s="13">
        <v>40</v>
      </c>
      <c r="D990" s="21" t="s">
        <v>2275</v>
      </c>
      <c r="E990" s="24">
        <v>53</v>
      </c>
      <c r="G990" s="2">
        <f t="shared" si="77"/>
        <v>971</v>
      </c>
      <c r="H990" s="5">
        <v>0</v>
      </c>
      <c r="I990" s="13">
        <v>32</v>
      </c>
      <c r="L990" s="4"/>
      <c r="M990" s="7"/>
      <c r="O990" s="7"/>
      <c r="T990" s="7"/>
    </row>
    <row r="991" spans="2:20" x14ac:dyDescent="0.3">
      <c r="B991" s="18" t="s">
        <v>2276</v>
      </c>
      <c r="C991" s="13">
        <v>39</v>
      </c>
      <c r="D991" s="21" t="s">
        <v>2277</v>
      </c>
      <c r="E991" s="24">
        <v>52</v>
      </c>
      <c r="G991" s="2">
        <f t="shared" si="77"/>
        <v>972</v>
      </c>
      <c r="H991" s="5">
        <v>0</v>
      </c>
      <c r="I991" s="13">
        <v>32</v>
      </c>
      <c r="L991" s="4"/>
      <c r="M991" s="7"/>
      <c r="O991" s="7"/>
      <c r="T991" s="7"/>
    </row>
    <row r="992" spans="2:20" x14ac:dyDescent="0.3">
      <c r="B992" s="18" t="s">
        <v>2278</v>
      </c>
      <c r="C992" s="13">
        <v>38</v>
      </c>
      <c r="D992" s="21" t="s">
        <v>2279</v>
      </c>
      <c r="E992" s="24">
        <v>51</v>
      </c>
      <c r="G992" s="2">
        <f t="shared" si="77"/>
        <v>973</v>
      </c>
      <c r="H992" s="5">
        <v>0</v>
      </c>
      <c r="I992" s="13">
        <v>32</v>
      </c>
      <c r="L992" s="4"/>
      <c r="M992" s="7"/>
      <c r="O992" s="7"/>
      <c r="T992" s="7"/>
    </row>
    <row r="993" spans="2:20" x14ac:dyDescent="0.3">
      <c r="B993" s="18" t="s">
        <v>2280</v>
      </c>
      <c r="C993" s="13">
        <v>55</v>
      </c>
      <c r="D993" s="21" t="s">
        <v>2281</v>
      </c>
      <c r="E993" s="24">
        <v>50</v>
      </c>
      <c r="G993" s="2">
        <f t="shared" si="77"/>
        <v>974</v>
      </c>
      <c r="H993" s="5">
        <v>0</v>
      </c>
      <c r="I993" s="13">
        <v>32</v>
      </c>
      <c r="L993" s="4"/>
      <c r="M993" s="7"/>
      <c r="O993" s="7"/>
      <c r="T993" s="7"/>
    </row>
    <row r="994" spans="2:20" x14ac:dyDescent="0.3">
      <c r="B994" s="18" t="s">
        <v>2282</v>
      </c>
      <c r="C994" s="13">
        <v>37</v>
      </c>
      <c r="D994" s="21" t="s">
        <v>2283</v>
      </c>
      <c r="E994" s="24">
        <v>49</v>
      </c>
      <c r="G994" s="2">
        <f t="shared" si="77"/>
        <v>975</v>
      </c>
      <c r="H994" s="5">
        <v>0</v>
      </c>
      <c r="I994" s="13">
        <v>32</v>
      </c>
      <c r="L994" s="4"/>
      <c r="M994" s="7"/>
      <c r="O994" s="7"/>
      <c r="T994" s="7"/>
    </row>
    <row r="995" spans="2:20" x14ac:dyDescent="0.3">
      <c r="B995" s="18" t="s">
        <v>2284</v>
      </c>
      <c r="C995" s="13">
        <v>36</v>
      </c>
      <c r="D995" s="21" t="s">
        <v>2285</v>
      </c>
      <c r="E995" s="24">
        <v>31</v>
      </c>
      <c r="G995" s="2">
        <f t="shared" si="77"/>
        <v>976</v>
      </c>
      <c r="H995" s="5">
        <v>0</v>
      </c>
      <c r="I995" s="13">
        <v>32</v>
      </c>
      <c r="L995" s="4"/>
      <c r="M995" s="7"/>
      <c r="O995" s="7"/>
      <c r="T995" s="7"/>
    </row>
    <row r="996" spans="2:20" x14ac:dyDescent="0.3">
      <c r="B996" s="18" t="s">
        <v>2286</v>
      </c>
      <c r="C996" s="13">
        <v>35</v>
      </c>
      <c r="D996" s="21" t="s">
        <v>2287</v>
      </c>
      <c r="E996" s="24">
        <v>48</v>
      </c>
      <c r="G996" s="2">
        <f t="shared" si="77"/>
        <v>977</v>
      </c>
      <c r="H996" s="5">
        <v>0</v>
      </c>
      <c r="I996" s="13">
        <v>32</v>
      </c>
      <c r="L996" s="4"/>
      <c r="M996" s="7"/>
      <c r="O996" s="7"/>
      <c r="T996" s="7"/>
    </row>
    <row r="997" spans="2:20" x14ac:dyDescent="0.3">
      <c r="B997" s="18" t="s">
        <v>2288</v>
      </c>
      <c r="C997" s="13">
        <v>34</v>
      </c>
      <c r="D997" s="21" t="s">
        <v>2289</v>
      </c>
      <c r="E997" s="24">
        <v>47</v>
      </c>
      <c r="G997" s="2">
        <f t="shared" si="77"/>
        <v>978</v>
      </c>
      <c r="H997" s="5">
        <v>0</v>
      </c>
      <c r="I997" s="13">
        <v>32</v>
      </c>
      <c r="L997" s="4"/>
      <c r="M997" s="7"/>
      <c r="O997" s="7"/>
      <c r="T997" s="7"/>
    </row>
    <row r="998" spans="2:20" x14ac:dyDescent="0.3">
      <c r="B998" s="18" t="s">
        <v>2290</v>
      </c>
      <c r="C998" s="13">
        <v>33</v>
      </c>
      <c r="D998" s="21" t="s">
        <v>2291</v>
      </c>
      <c r="E998" s="24">
        <v>46</v>
      </c>
      <c r="G998" s="2">
        <f t="shared" si="77"/>
        <v>979</v>
      </c>
      <c r="H998" s="5">
        <v>0</v>
      </c>
      <c r="I998" s="13">
        <v>32</v>
      </c>
      <c r="L998" s="4"/>
      <c r="M998" s="7"/>
      <c r="O998" s="7"/>
      <c r="T998" s="7"/>
    </row>
    <row r="999" spans="2:20" x14ac:dyDescent="0.3">
      <c r="B999" s="18" t="s">
        <v>2292</v>
      </c>
      <c r="C999" s="13">
        <v>32</v>
      </c>
      <c r="D999" s="21" t="s">
        <v>2293</v>
      </c>
      <c r="E999" s="24">
        <v>45</v>
      </c>
      <c r="G999" s="2">
        <f t="shared" si="77"/>
        <v>980</v>
      </c>
      <c r="H999" s="5">
        <v>0</v>
      </c>
      <c r="I999" s="13">
        <v>32</v>
      </c>
      <c r="L999" s="4"/>
      <c r="M999" s="7"/>
      <c r="O999" s="7"/>
    </row>
    <row r="1000" spans="2:20" x14ac:dyDescent="0.3">
      <c r="B1000" s="18" t="s">
        <v>2294</v>
      </c>
      <c r="C1000" s="13">
        <v>31</v>
      </c>
      <c r="D1000" s="21" t="s">
        <v>2295</v>
      </c>
      <c r="E1000" s="24">
        <v>44</v>
      </c>
      <c r="G1000" s="2">
        <f t="shared" si="77"/>
        <v>981</v>
      </c>
      <c r="H1000" s="5">
        <v>0</v>
      </c>
      <c r="I1000" s="13">
        <v>32</v>
      </c>
      <c r="L1000" s="4"/>
      <c r="M1000" s="7"/>
      <c r="O1000" s="7"/>
      <c r="T1000" s="7"/>
    </row>
    <row r="1001" spans="2:20" x14ac:dyDescent="0.3">
      <c r="B1001" s="18" t="s">
        <v>2296</v>
      </c>
      <c r="C1001" s="13">
        <v>30</v>
      </c>
      <c r="D1001" s="21" t="s">
        <v>2297</v>
      </c>
      <c r="E1001" s="24">
        <v>43</v>
      </c>
      <c r="G1001" s="2">
        <f t="shared" si="77"/>
        <v>982</v>
      </c>
      <c r="H1001" s="5">
        <v>0</v>
      </c>
      <c r="I1001" s="13">
        <v>32</v>
      </c>
      <c r="L1001" s="4"/>
      <c r="M1001" s="7"/>
      <c r="O1001" s="7"/>
      <c r="T1001" s="7"/>
    </row>
    <row r="1002" spans="2:20" x14ac:dyDescent="0.3">
      <c r="B1002" s="18" t="s">
        <v>2298</v>
      </c>
      <c r="C1002" s="13">
        <v>29</v>
      </c>
      <c r="D1002" s="21" t="s">
        <v>2299</v>
      </c>
      <c r="E1002" s="24">
        <v>42</v>
      </c>
      <c r="G1002" s="2">
        <f t="shared" si="77"/>
        <v>983</v>
      </c>
      <c r="H1002" s="5">
        <v>0</v>
      </c>
      <c r="I1002" s="13">
        <v>32</v>
      </c>
      <c r="L1002" s="4"/>
      <c r="M1002" s="7"/>
      <c r="O1002" s="7"/>
      <c r="T1002" s="7"/>
    </row>
    <row r="1003" spans="2:20" x14ac:dyDescent="0.3">
      <c r="B1003" s="18" t="s">
        <v>2300</v>
      </c>
      <c r="C1003" s="13">
        <v>54</v>
      </c>
      <c r="D1003" s="21" t="s">
        <v>2301</v>
      </c>
      <c r="E1003" s="24">
        <v>41</v>
      </c>
      <c r="G1003" s="2">
        <f t="shared" si="77"/>
        <v>984</v>
      </c>
      <c r="H1003" s="5">
        <v>0</v>
      </c>
      <c r="I1003" s="13">
        <v>32</v>
      </c>
      <c r="L1003" s="4"/>
      <c r="M1003" s="7"/>
      <c r="O1003" s="7"/>
      <c r="T1003" s="7"/>
    </row>
    <row r="1004" spans="2:20" x14ac:dyDescent="0.3">
      <c r="B1004" s="18" t="s">
        <v>2302</v>
      </c>
      <c r="C1004" s="13">
        <v>53</v>
      </c>
      <c r="D1004" s="21" t="s">
        <v>2303</v>
      </c>
      <c r="E1004" s="24">
        <v>40</v>
      </c>
      <c r="G1004" s="2">
        <f t="shared" si="77"/>
        <v>985</v>
      </c>
      <c r="H1004" s="5">
        <v>0</v>
      </c>
      <c r="I1004" s="13">
        <v>32</v>
      </c>
      <c r="L1004" s="4"/>
      <c r="M1004" s="7"/>
      <c r="O1004" s="7"/>
      <c r="T1004" s="7"/>
    </row>
    <row r="1005" spans="2:20" x14ac:dyDescent="0.3">
      <c r="B1005" s="18" t="s">
        <v>2304</v>
      </c>
      <c r="C1005" s="13">
        <v>52</v>
      </c>
      <c r="D1005" s="21" t="s">
        <v>2305</v>
      </c>
      <c r="E1005" s="24">
        <v>39</v>
      </c>
      <c r="G1005" s="2">
        <f t="shared" si="77"/>
        <v>986</v>
      </c>
      <c r="H1005" s="5">
        <v>0</v>
      </c>
      <c r="I1005" s="13">
        <v>32</v>
      </c>
      <c r="L1005" s="4"/>
      <c r="M1005" s="7"/>
      <c r="O1005" s="7"/>
      <c r="T1005" s="7"/>
    </row>
    <row r="1006" spans="2:20" x14ac:dyDescent="0.3">
      <c r="B1006" s="18" t="s">
        <v>2306</v>
      </c>
      <c r="C1006" s="13">
        <v>51</v>
      </c>
      <c r="D1006" s="21" t="s">
        <v>2307</v>
      </c>
      <c r="E1006" s="24">
        <v>30</v>
      </c>
      <c r="G1006" s="2">
        <f t="shared" si="77"/>
        <v>987</v>
      </c>
      <c r="H1006" s="5">
        <v>0</v>
      </c>
      <c r="I1006" s="13">
        <v>32</v>
      </c>
      <c r="L1006" s="4"/>
      <c r="M1006" s="7"/>
      <c r="O1006" s="7"/>
      <c r="T1006" s="7"/>
    </row>
    <row r="1007" spans="2:20" x14ac:dyDescent="0.3">
      <c r="B1007" s="18" t="s">
        <v>2308</v>
      </c>
      <c r="C1007" s="13">
        <v>50</v>
      </c>
      <c r="D1007" s="21" t="s">
        <v>2309</v>
      </c>
      <c r="E1007" s="24">
        <v>9</v>
      </c>
      <c r="G1007" s="2">
        <f t="shared" si="77"/>
        <v>988</v>
      </c>
      <c r="H1007" s="5">
        <v>0</v>
      </c>
      <c r="I1007" s="13">
        <v>32</v>
      </c>
      <c r="L1007" s="4"/>
      <c r="M1007" s="7"/>
      <c r="O1007" s="7"/>
      <c r="T1007" s="7"/>
    </row>
    <row r="1008" spans="2:20" x14ac:dyDescent="0.3">
      <c r="B1008" s="18" t="s">
        <v>2310</v>
      </c>
      <c r="C1008" s="13">
        <v>49</v>
      </c>
      <c r="D1008" s="21" t="s">
        <v>2311</v>
      </c>
      <c r="E1008" s="24">
        <v>8</v>
      </c>
      <c r="G1008" s="2">
        <f t="shared" si="77"/>
        <v>989</v>
      </c>
      <c r="H1008" s="5">
        <v>0</v>
      </c>
      <c r="I1008" s="13">
        <v>32</v>
      </c>
      <c r="L1008" s="4"/>
      <c r="M1008" s="7"/>
      <c r="O1008" s="7"/>
      <c r="T1008" s="7"/>
    </row>
    <row r="1009" spans="2:20" x14ac:dyDescent="0.3">
      <c r="B1009" s="18" t="s">
        <v>2312</v>
      </c>
      <c r="C1009" s="13">
        <v>48</v>
      </c>
      <c r="D1009" s="21" t="s">
        <v>2313</v>
      </c>
      <c r="E1009" s="24">
        <v>7</v>
      </c>
      <c r="G1009" s="2">
        <f t="shared" si="77"/>
        <v>990</v>
      </c>
      <c r="H1009" s="5">
        <v>0</v>
      </c>
      <c r="I1009" s="13">
        <v>32</v>
      </c>
      <c r="L1009" s="4"/>
      <c r="M1009" s="7"/>
      <c r="O1009" s="7"/>
      <c r="T1009" s="7"/>
    </row>
    <row r="1010" spans="2:20" x14ac:dyDescent="0.3">
      <c r="B1010" s="18" t="s">
        <v>2314</v>
      </c>
      <c r="C1010" s="13">
        <v>57</v>
      </c>
      <c r="D1010" s="21" t="s">
        <v>2315</v>
      </c>
      <c r="E1010" s="24">
        <v>6</v>
      </c>
      <c r="G1010" s="2">
        <f t="shared" si="77"/>
        <v>991</v>
      </c>
      <c r="H1010" s="5">
        <v>0</v>
      </c>
      <c r="I1010" s="13">
        <v>32</v>
      </c>
      <c r="L1010" s="4"/>
      <c r="M1010" s="7"/>
      <c r="O1010" s="7"/>
      <c r="T1010" s="7"/>
    </row>
    <row r="1011" spans="2:20" x14ac:dyDescent="0.3">
      <c r="B1011" s="18" t="s">
        <v>2316</v>
      </c>
      <c r="C1011" s="13">
        <v>66</v>
      </c>
      <c r="D1011" s="21" t="s">
        <v>2317</v>
      </c>
      <c r="E1011" s="24">
        <v>5</v>
      </c>
      <c r="G1011" s="2">
        <f t="shared" si="77"/>
        <v>992</v>
      </c>
      <c r="H1011" s="5">
        <v>0</v>
      </c>
      <c r="I1011" s="13">
        <v>32</v>
      </c>
      <c r="L1011" s="4"/>
      <c r="M1011" s="7"/>
      <c r="O1011" s="7"/>
      <c r="T1011" s="7"/>
    </row>
    <row r="1012" spans="2:20" x14ac:dyDescent="0.3">
      <c r="B1012" s="18" t="s">
        <v>2318</v>
      </c>
      <c r="C1012" s="13">
        <v>67</v>
      </c>
      <c r="D1012" s="21" t="s">
        <v>2319</v>
      </c>
      <c r="E1012" s="24">
        <v>4</v>
      </c>
      <c r="G1012" s="2">
        <f t="shared" si="77"/>
        <v>993</v>
      </c>
      <c r="H1012" s="5">
        <v>0</v>
      </c>
      <c r="I1012" s="13">
        <v>32</v>
      </c>
      <c r="L1012" s="4"/>
      <c r="M1012" s="7"/>
      <c r="O1012" s="7"/>
      <c r="T1012" s="7"/>
    </row>
    <row r="1013" spans="2:20" x14ac:dyDescent="0.3">
      <c r="B1013" s="18" t="s">
        <v>2320</v>
      </c>
      <c r="C1013" s="13">
        <v>68</v>
      </c>
      <c r="D1013" s="21" t="s">
        <v>2321</v>
      </c>
      <c r="E1013" s="24">
        <v>3</v>
      </c>
      <c r="G1013" s="2">
        <f t="shared" si="77"/>
        <v>994</v>
      </c>
      <c r="H1013" s="5">
        <v>0</v>
      </c>
      <c r="I1013" s="13">
        <v>32</v>
      </c>
      <c r="L1013" s="4"/>
      <c r="M1013" s="7"/>
      <c r="O1013" s="7"/>
      <c r="T1013" s="7"/>
    </row>
    <row r="1014" spans="2:20" x14ac:dyDescent="0.3">
      <c r="B1014" s="18" t="s">
        <v>2322</v>
      </c>
      <c r="C1014" s="13">
        <v>69</v>
      </c>
      <c r="D1014" s="21" t="s">
        <v>2323</v>
      </c>
      <c r="E1014" s="24">
        <v>29</v>
      </c>
      <c r="G1014" s="2">
        <f t="shared" si="77"/>
        <v>995</v>
      </c>
      <c r="H1014" s="5">
        <v>0</v>
      </c>
      <c r="I1014" s="13">
        <v>32</v>
      </c>
      <c r="L1014" s="4"/>
      <c r="M1014" s="7"/>
      <c r="O1014" s="7"/>
      <c r="T1014" s="7"/>
    </row>
    <row r="1015" spans="2:20" x14ac:dyDescent="0.3">
      <c r="B1015" s="18" t="s">
        <v>2324</v>
      </c>
      <c r="C1015" s="13">
        <v>70</v>
      </c>
      <c r="D1015" s="21" t="s">
        <v>2325</v>
      </c>
      <c r="E1015" s="24">
        <v>28</v>
      </c>
      <c r="G1015" s="2">
        <f t="shared" si="77"/>
        <v>996</v>
      </c>
      <c r="H1015" s="5">
        <v>0</v>
      </c>
      <c r="I1015" s="13">
        <v>32</v>
      </c>
      <c r="L1015" s="4"/>
      <c r="M1015" s="7"/>
      <c r="O1015" s="7"/>
      <c r="T1015" s="7"/>
    </row>
    <row r="1016" spans="2:20" x14ac:dyDescent="0.3">
      <c r="B1016" s="18" t="s">
        <v>2326</v>
      </c>
      <c r="C1016" s="13">
        <v>71</v>
      </c>
      <c r="D1016" s="21" t="s">
        <v>2327</v>
      </c>
      <c r="E1016" s="24">
        <v>27</v>
      </c>
      <c r="G1016" s="2">
        <f t="shared" si="77"/>
        <v>997</v>
      </c>
      <c r="H1016" s="5">
        <v>0</v>
      </c>
      <c r="I1016" s="13">
        <v>32</v>
      </c>
      <c r="L1016" s="4"/>
      <c r="M1016" s="7"/>
      <c r="O1016" s="7"/>
      <c r="T1016" s="7"/>
    </row>
    <row r="1017" spans="2:20" x14ac:dyDescent="0.3">
      <c r="B1017" s="18" t="s">
        <v>2328</v>
      </c>
      <c r="C1017" s="13">
        <v>72</v>
      </c>
      <c r="D1017" s="21" t="s">
        <v>2329</v>
      </c>
      <c r="E1017" s="24">
        <v>26</v>
      </c>
      <c r="G1017" s="2">
        <f t="shared" si="77"/>
        <v>998</v>
      </c>
      <c r="H1017" s="5">
        <v>0</v>
      </c>
      <c r="I1017" s="13">
        <v>32</v>
      </c>
      <c r="L1017" s="4"/>
      <c r="M1017" s="7"/>
      <c r="O1017" s="7"/>
      <c r="T1017" s="7"/>
    </row>
    <row r="1018" spans="2:20" x14ac:dyDescent="0.3">
      <c r="B1018" s="18" t="s">
        <v>2330</v>
      </c>
      <c r="C1018" s="13">
        <v>73</v>
      </c>
      <c r="D1018" s="21" t="s">
        <v>2331</v>
      </c>
      <c r="E1018" s="24">
        <v>25</v>
      </c>
      <c r="G1018" s="2">
        <f t="shared" si="77"/>
        <v>999</v>
      </c>
      <c r="H1018" s="5">
        <v>0</v>
      </c>
      <c r="I1018" s="13">
        <v>32</v>
      </c>
      <c r="L1018" s="4"/>
      <c r="M1018" s="7"/>
      <c r="O1018" s="7"/>
      <c r="T1018" s="7"/>
    </row>
    <row r="1019" spans="2:20" x14ac:dyDescent="0.3">
      <c r="B1019" s="18" t="s">
        <v>2332</v>
      </c>
      <c r="C1019" s="13">
        <v>74</v>
      </c>
      <c r="D1019" s="21" t="s">
        <v>2333</v>
      </c>
      <c r="E1019" s="24">
        <v>24</v>
      </c>
      <c r="G1019" s="2">
        <f t="shared" si="77"/>
        <v>1000</v>
      </c>
      <c r="H1019" s="5">
        <v>0</v>
      </c>
      <c r="I1019" s="13">
        <v>32</v>
      </c>
      <c r="L1019" s="4"/>
      <c r="M1019" s="7"/>
      <c r="O1019" s="7"/>
      <c r="T1019" s="7"/>
    </row>
    <row r="1020" spans="2:20" x14ac:dyDescent="0.3">
      <c r="B1020" s="18" t="s">
        <v>2334</v>
      </c>
      <c r="C1020" s="13">
        <v>75</v>
      </c>
      <c r="D1020" s="21" t="s">
        <v>2335</v>
      </c>
      <c r="E1020" s="24">
        <v>23</v>
      </c>
      <c r="G1020" s="2">
        <f t="shared" si="77"/>
        <v>1001</v>
      </c>
      <c r="H1020" s="5">
        <v>0</v>
      </c>
      <c r="I1020" s="13">
        <v>32</v>
      </c>
      <c r="L1020" s="4"/>
      <c r="M1020" s="7"/>
      <c r="O1020" s="7"/>
      <c r="T1020" s="7"/>
    </row>
    <row r="1021" spans="2:20" x14ac:dyDescent="0.3">
      <c r="B1021" s="18" t="s">
        <v>2336</v>
      </c>
      <c r="C1021" s="13">
        <v>58</v>
      </c>
      <c r="D1021" s="21" t="s">
        <v>2337</v>
      </c>
      <c r="E1021" s="24">
        <v>22</v>
      </c>
      <c r="G1021" s="2">
        <f t="shared" si="77"/>
        <v>1002</v>
      </c>
      <c r="H1021" s="5">
        <v>0</v>
      </c>
      <c r="I1021" s="13">
        <v>32</v>
      </c>
      <c r="L1021" s="4"/>
      <c r="M1021" s="7"/>
      <c r="O1021" s="7"/>
      <c r="T1021" s="7"/>
    </row>
    <row r="1022" spans="2:20" x14ac:dyDescent="0.3">
      <c r="B1022" s="18" t="s">
        <v>2338</v>
      </c>
      <c r="C1022" s="13">
        <v>76</v>
      </c>
      <c r="D1022" s="21" t="s">
        <v>2339</v>
      </c>
      <c r="E1022" s="24">
        <v>21</v>
      </c>
      <c r="G1022" s="2">
        <f t="shared" si="77"/>
        <v>1003</v>
      </c>
      <c r="H1022" s="5">
        <v>0</v>
      </c>
      <c r="I1022" s="13">
        <v>32</v>
      </c>
      <c r="L1022" s="4"/>
      <c r="M1022" s="7"/>
      <c r="O1022" s="7"/>
      <c r="T1022" s="7"/>
    </row>
    <row r="1023" spans="2:20" x14ac:dyDescent="0.3">
      <c r="B1023" s="18" t="s">
        <v>2340</v>
      </c>
      <c r="C1023" s="13">
        <v>77</v>
      </c>
      <c r="D1023" s="21" t="s">
        <v>2341</v>
      </c>
      <c r="E1023" s="24">
        <v>20</v>
      </c>
      <c r="G1023" s="2">
        <f t="shared" si="77"/>
        <v>1004</v>
      </c>
      <c r="H1023" s="5">
        <v>0</v>
      </c>
      <c r="I1023" s="13">
        <v>32</v>
      </c>
      <c r="L1023" s="4"/>
      <c r="M1023" s="7"/>
      <c r="O1023" s="7"/>
      <c r="T1023" s="7"/>
    </row>
    <row r="1024" spans="2:20" x14ac:dyDescent="0.3">
      <c r="B1024" s="18" t="s">
        <v>2342</v>
      </c>
      <c r="C1024" s="13">
        <v>78</v>
      </c>
      <c r="D1024" s="21" t="s">
        <v>2343</v>
      </c>
      <c r="E1024" s="24">
        <v>2</v>
      </c>
      <c r="G1024" s="2">
        <f t="shared" si="77"/>
        <v>1005</v>
      </c>
      <c r="H1024" s="5">
        <v>0</v>
      </c>
      <c r="I1024" s="13">
        <v>32</v>
      </c>
      <c r="L1024" s="4"/>
      <c r="M1024" s="7"/>
      <c r="O1024" s="7"/>
      <c r="T1024" s="7"/>
    </row>
    <row r="1025" spans="2:20" x14ac:dyDescent="0.3">
      <c r="B1025" s="18" t="s">
        <v>2344</v>
      </c>
      <c r="C1025" s="13">
        <v>79</v>
      </c>
      <c r="D1025" s="21" t="s">
        <v>2345</v>
      </c>
      <c r="E1025" s="24">
        <v>19</v>
      </c>
      <c r="G1025" s="2">
        <f t="shared" si="77"/>
        <v>1006</v>
      </c>
      <c r="H1025" s="5">
        <v>0</v>
      </c>
      <c r="I1025" s="13">
        <v>32</v>
      </c>
      <c r="L1025" s="4"/>
      <c r="M1025" s="7"/>
      <c r="O1025" s="7"/>
      <c r="T1025" s="7"/>
    </row>
    <row r="1026" spans="2:20" x14ac:dyDescent="0.3">
      <c r="B1026" s="18" t="s">
        <v>2346</v>
      </c>
      <c r="C1026" s="13">
        <v>80</v>
      </c>
      <c r="D1026" s="21" t="s">
        <v>2347</v>
      </c>
      <c r="E1026" s="24">
        <v>18</v>
      </c>
      <c r="G1026" s="2">
        <f t="shared" si="77"/>
        <v>1007</v>
      </c>
      <c r="H1026" s="5">
        <v>0</v>
      </c>
      <c r="I1026" s="13">
        <v>32</v>
      </c>
      <c r="L1026" s="4"/>
      <c r="M1026" s="7"/>
      <c r="O1026" s="7"/>
      <c r="T1026" s="7"/>
    </row>
    <row r="1027" spans="2:20" x14ac:dyDescent="0.3">
      <c r="B1027" s="18" t="s">
        <v>2348</v>
      </c>
      <c r="C1027" s="13">
        <v>81</v>
      </c>
      <c r="D1027" s="21" t="s">
        <v>2349</v>
      </c>
      <c r="E1027" s="24">
        <v>17</v>
      </c>
      <c r="G1027" s="2">
        <f t="shared" si="77"/>
        <v>1008</v>
      </c>
      <c r="H1027" s="5">
        <v>0</v>
      </c>
      <c r="I1027" s="13">
        <v>32</v>
      </c>
      <c r="L1027" s="4"/>
      <c r="M1027" s="7"/>
      <c r="O1027" s="7"/>
      <c r="T1027" s="7"/>
    </row>
    <row r="1028" spans="2:20" x14ac:dyDescent="0.3">
      <c r="B1028" s="18" t="s">
        <v>2350</v>
      </c>
      <c r="C1028" s="13">
        <v>82</v>
      </c>
      <c r="D1028" s="21" t="s">
        <v>2351</v>
      </c>
      <c r="E1028" s="24">
        <v>16</v>
      </c>
      <c r="G1028" s="2">
        <f t="shared" si="77"/>
        <v>1009</v>
      </c>
      <c r="H1028" s="5">
        <v>0</v>
      </c>
      <c r="I1028" s="13">
        <v>32</v>
      </c>
      <c r="L1028" s="4"/>
      <c r="M1028" s="7"/>
      <c r="O1028" s="7"/>
      <c r="T1028" s="7"/>
    </row>
    <row r="1029" spans="2:20" x14ac:dyDescent="0.3">
      <c r="B1029" s="18" t="s">
        <v>2352</v>
      </c>
      <c r="C1029" s="13">
        <v>83</v>
      </c>
      <c r="D1029" s="21" t="s">
        <v>2353</v>
      </c>
      <c r="E1029" s="24">
        <v>15</v>
      </c>
      <c r="G1029" s="2">
        <f t="shared" si="77"/>
        <v>1010</v>
      </c>
      <c r="H1029" s="5">
        <v>0</v>
      </c>
      <c r="I1029" s="13">
        <v>32</v>
      </c>
      <c r="L1029" s="4"/>
      <c r="M1029" s="7"/>
      <c r="O1029" s="7"/>
      <c r="T1029" s="7"/>
    </row>
    <row r="1030" spans="2:20" x14ac:dyDescent="0.3">
      <c r="B1030" s="18" t="s">
        <v>2354</v>
      </c>
      <c r="C1030" s="13">
        <v>84</v>
      </c>
      <c r="D1030" s="21" t="s">
        <v>2355</v>
      </c>
      <c r="E1030" s="24">
        <v>14</v>
      </c>
      <c r="G1030" s="2">
        <f t="shared" si="77"/>
        <v>1011</v>
      </c>
      <c r="H1030" s="5">
        <v>0</v>
      </c>
      <c r="I1030" s="13">
        <v>32</v>
      </c>
      <c r="L1030" s="4"/>
      <c r="M1030" s="7"/>
      <c r="O1030" s="7"/>
      <c r="T1030" s="7"/>
    </row>
    <row r="1031" spans="2:20" x14ac:dyDescent="0.3">
      <c r="B1031" s="18" t="s">
        <v>2356</v>
      </c>
      <c r="C1031" s="13">
        <v>59</v>
      </c>
      <c r="D1031" s="21" t="s">
        <v>2357</v>
      </c>
      <c r="E1031" s="24">
        <v>13</v>
      </c>
      <c r="G1031" s="2">
        <f t="shared" si="77"/>
        <v>1012</v>
      </c>
      <c r="H1031" s="5">
        <v>0</v>
      </c>
      <c r="I1031" s="13">
        <v>32</v>
      </c>
      <c r="L1031" s="4"/>
      <c r="M1031" s="7"/>
      <c r="O1031" s="7"/>
      <c r="T1031" s="7"/>
    </row>
    <row r="1032" spans="2:20" x14ac:dyDescent="0.3">
      <c r="B1032" s="18" t="s">
        <v>2358</v>
      </c>
      <c r="C1032" s="13">
        <v>60</v>
      </c>
      <c r="D1032" s="21" t="s">
        <v>2359</v>
      </c>
      <c r="E1032" s="24">
        <v>12</v>
      </c>
      <c r="G1032" s="2">
        <f t="shared" si="77"/>
        <v>1013</v>
      </c>
      <c r="H1032" s="5">
        <v>0</v>
      </c>
      <c r="I1032" s="13">
        <v>32</v>
      </c>
      <c r="L1032" s="4"/>
      <c r="M1032" s="7"/>
      <c r="O1032" s="7"/>
    </row>
    <row r="1033" spans="2:20" x14ac:dyDescent="0.3">
      <c r="B1033" s="18" t="s">
        <v>2360</v>
      </c>
      <c r="C1033" s="13">
        <v>61</v>
      </c>
      <c r="D1033" s="21" t="s">
        <v>2361</v>
      </c>
      <c r="E1033" s="24">
        <v>11</v>
      </c>
      <c r="G1033" s="2">
        <f t="shared" si="77"/>
        <v>1014</v>
      </c>
      <c r="H1033" s="5">
        <v>0</v>
      </c>
      <c r="I1033" s="13">
        <v>32</v>
      </c>
      <c r="L1033" s="4"/>
      <c r="M1033" s="7"/>
      <c r="O1033" s="7"/>
      <c r="T1033" s="7"/>
    </row>
    <row r="1034" spans="2:20" x14ac:dyDescent="0.3">
      <c r="B1034" s="18" t="s">
        <v>2362</v>
      </c>
      <c r="C1034" s="13">
        <v>62</v>
      </c>
      <c r="D1034" s="21" t="s">
        <v>2363</v>
      </c>
      <c r="E1034" s="24">
        <v>10</v>
      </c>
      <c r="G1034" s="2">
        <f t="shared" si="77"/>
        <v>1015</v>
      </c>
      <c r="H1034" s="5">
        <v>0</v>
      </c>
      <c r="I1034" s="13">
        <v>32</v>
      </c>
      <c r="L1034" s="4"/>
      <c r="M1034" s="7"/>
      <c r="O1034" s="7"/>
      <c r="T1034" s="7"/>
    </row>
    <row r="1035" spans="2:20" x14ac:dyDescent="0.3">
      <c r="B1035" s="18" t="s">
        <v>2364</v>
      </c>
      <c r="C1035" s="13">
        <v>63</v>
      </c>
      <c r="D1035" s="21" t="s">
        <v>2365</v>
      </c>
      <c r="E1035" s="24">
        <v>1</v>
      </c>
      <c r="G1035" s="2">
        <f t="shared" si="77"/>
        <v>1016</v>
      </c>
      <c r="H1035" s="5">
        <v>0</v>
      </c>
      <c r="I1035" s="13">
        <v>32</v>
      </c>
      <c r="L1035" s="4"/>
      <c r="M1035" s="7"/>
      <c r="O1035" s="7"/>
      <c r="T1035" s="7"/>
    </row>
    <row r="1036" spans="2:20" x14ac:dyDescent="0.3">
      <c r="B1036" s="18" t="s">
        <v>2366</v>
      </c>
      <c r="C1036" s="13">
        <v>64</v>
      </c>
      <c r="D1036" s="21" t="s">
        <v>2367</v>
      </c>
      <c r="E1036" s="24">
        <v>79</v>
      </c>
      <c r="G1036" s="2">
        <f t="shared" ref="G1036:G1099" si="78">G1035+1</f>
        <v>1017</v>
      </c>
      <c r="H1036" s="5">
        <v>0</v>
      </c>
      <c r="I1036" s="13">
        <v>32</v>
      </c>
      <c r="L1036" s="4"/>
      <c r="M1036" s="7"/>
      <c r="O1036" s="7"/>
      <c r="T1036" s="7"/>
    </row>
    <row r="1037" spans="2:20" x14ac:dyDescent="0.3">
      <c r="B1037" s="18" t="s">
        <v>2368</v>
      </c>
      <c r="C1037" s="13">
        <v>65</v>
      </c>
      <c r="D1037" s="21" t="s">
        <v>2369</v>
      </c>
      <c r="E1037" s="24">
        <v>80</v>
      </c>
      <c r="G1037" s="2">
        <f t="shared" si="78"/>
        <v>1018</v>
      </c>
      <c r="H1037" s="5">
        <v>0</v>
      </c>
      <c r="I1037" s="13">
        <v>32</v>
      </c>
      <c r="L1037" s="4"/>
      <c r="M1037" s="7"/>
      <c r="O1037" s="7"/>
      <c r="T1037" s="7"/>
    </row>
    <row r="1038" spans="2:20" x14ac:dyDescent="0.3">
      <c r="B1038" s="18" t="s">
        <v>2370</v>
      </c>
      <c r="C1038" s="13">
        <v>103</v>
      </c>
      <c r="D1038" s="21" t="s">
        <v>2371</v>
      </c>
      <c r="E1038" s="24">
        <v>81</v>
      </c>
      <c r="G1038" s="2">
        <f t="shared" si="78"/>
        <v>1019</v>
      </c>
      <c r="H1038" s="5">
        <v>0</v>
      </c>
      <c r="I1038" s="13">
        <v>32</v>
      </c>
      <c r="L1038" s="4"/>
      <c r="M1038" s="7"/>
      <c r="O1038" s="7"/>
      <c r="T1038" s="7"/>
    </row>
    <row r="1039" spans="2:20" x14ac:dyDescent="0.3">
      <c r="B1039" s="18" t="s">
        <v>2372</v>
      </c>
      <c r="C1039" s="13">
        <v>102</v>
      </c>
      <c r="D1039" s="21" t="s">
        <v>2373</v>
      </c>
      <c r="E1039" s="24">
        <v>82</v>
      </c>
      <c r="G1039" s="2">
        <f t="shared" si="78"/>
        <v>1020</v>
      </c>
      <c r="H1039" s="5">
        <v>0</v>
      </c>
      <c r="I1039" s="13">
        <v>32</v>
      </c>
      <c r="L1039" s="4"/>
      <c r="M1039" s="7"/>
      <c r="O1039" s="7"/>
      <c r="T1039" s="7"/>
    </row>
    <row r="1040" spans="2:20" x14ac:dyDescent="0.3">
      <c r="B1040" s="18" t="s">
        <v>2374</v>
      </c>
      <c r="C1040" s="13">
        <v>101</v>
      </c>
      <c r="D1040" s="21" t="s">
        <v>2375</v>
      </c>
      <c r="E1040" s="24">
        <v>83</v>
      </c>
      <c r="G1040" s="2">
        <f t="shared" si="78"/>
        <v>1021</v>
      </c>
      <c r="H1040" s="5">
        <v>0</v>
      </c>
      <c r="I1040" s="13">
        <v>32</v>
      </c>
      <c r="L1040" s="4"/>
      <c r="M1040" s="7"/>
      <c r="O1040" s="7"/>
      <c r="T1040" s="7"/>
    </row>
    <row r="1041" spans="2:20" x14ac:dyDescent="0.3">
      <c r="B1041" s="18" t="s">
        <v>2376</v>
      </c>
      <c r="C1041" s="13">
        <v>100</v>
      </c>
      <c r="D1041" s="21" t="s">
        <v>2377</v>
      </c>
      <c r="E1041" s="24">
        <v>84</v>
      </c>
      <c r="G1041" s="2">
        <f t="shared" si="78"/>
        <v>1022</v>
      </c>
      <c r="H1041" s="5">
        <v>0</v>
      </c>
      <c r="I1041" s="13">
        <v>32</v>
      </c>
      <c r="L1041" s="4"/>
      <c r="M1041" s="7"/>
      <c r="O1041" s="7"/>
      <c r="T1041" s="7"/>
    </row>
    <row r="1042" spans="2:20" x14ac:dyDescent="0.3">
      <c r="B1042" s="18" t="s">
        <v>2378</v>
      </c>
      <c r="C1042" s="13">
        <v>99</v>
      </c>
      <c r="D1042" s="21" t="s">
        <v>2379</v>
      </c>
      <c r="E1042" s="24">
        <v>85</v>
      </c>
      <c r="G1042" s="2">
        <f t="shared" si="78"/>
        <v>1023</v>
      </c>
      <c r="H1042" s="5">
        <v>0</v>
      </c>
      <c r="I1042" s="13">
        <v>32</v>
      </c>
      <c r="L1042" s="4"/>
      <c r="M1042" s="7"/>
      <c r="O1042" s="7"/>
      <c r="T1042" s="7"/>
    </row>
    <row r="1043" spans="2:20" x14ac:dyDescent="0.3">
      <c r="B1043" s="18" t="s">
        <v>2380</v>
      </c>
      <c r="C1043" s="13">
        <v>98</v>
      </c>
      <c r="D1043" s="21" t="s">
        <v>2381</v>
      </c>
      <c r="E1043" s="24">
        <v>59</v>
      </c>
      <c r="G1043" s="2">
        <f t="shared" si="78"/>
        <v>1024</v>
      </c>
      <c r="H1043" s="5">
        <v>0</v>
      </c>
      <c r="I1043" s="13">
        <v>32</v>
      </c>
      <c r="L1043" s="4"/>
      <c r="M1043" s="7"/>
      <c r="O1043" s="7"/>
      <c r="T1043" s="7"/>
    </row>
    <row r="1044" spans="2:20" x14ac:dyDescent="0.3">
      <c r="B1044" s="18" t="s">
        <v>2382</v>
      </c>
      <c r="C1044" s="13">
        <v>97</v>
      </c>
      <c r="D1044" s="21" t="s">
        <v>2383</v>
      </c>
      <c r="E1044" s="24">
        <v>60</v>
      </c>
      <c r="G1044" s="2">
        <f t="shared" si="78"/>
        <v>1025</v>
      </c>
      <c r="H1044" s="5">
        <v>0</v>
      </c>
      <c r="I1044" s="13">
        <v>32</v>
      </c>
      <c r="L1044" s="4"/>
      <c r="M1044" s="7"/>
      <c r="O1044" s="7"/>
      <c r="T1044" s="7"/>
    </row>
    <row r="1045" spans="2:20" x14ac:dyDescent="0.3">
      <c r="B1045" s="18" t="s">
        <v>2384</v>
      </c>
      <c r="C1045" s="13">
        <v>96</v>
      </c>
      <c r="D1045" s="21" t="s">
        <v>2385</v>
      </c>
      <c r="E1045" s="24">
        <v>61</v>
      </c>
      <c r="G1045" s="2">
        <f t="shared" si="78"/>
        <v>1026</v>
      </c>
      <c r="H1045" s="5">
        <v>0</v>
      </c>
      <c r="I1045" s="13">
        <v>32</v>
      </c>
      <c r="L1045" s="4"/>
      <c r="M1045" s="7"/>
      <c r="O1045" s="7"/>
      <c r="T1045" s="7"/>
    </row>
    <row r="1046" spans="2:20" x14ac:dyDescent="0.3">
      <c r="B1046" s="18" t="s">
        <v>2386</v>
      </c>
      <c r="C1046" s="13">
        <v>95</v>
      </c>
      <c r="D1046" s="21" t="s">
        <v>2387</v>
      </c>
      <c r="E1046" s="24">
        <v>62</v>
      </c>
      <c r="G1046" s="2">
        <f t="shared" si="78"/>
        <v>1027</v>
      </c>
      <c r="H1046" s="5">
        <v>0</v>
      </c>
      <c r="I1046" s="13">
        <v>32</v>
      </c>
      <c r="L1046" s="4"/>
      <c r="M1046" s="7"/>
      <c r="O1046" s="7"/>
      <c r="T1046" s="7"/>
    </row>
    <row r="1047" spans="2:20" x14ac:dyDescent="0.3">
      <c r="B1047" s="18" t="s">
        <v>2388</v>
      </c>
      <c r="C1047" s="13">
        <v>94</v>
      </c>
      <c r="D1047" s="21" t="s">
        <v>2389</v>
      </c>
      <c r="E1047" s="24">
        <v>63</v>
      </c>
      <c r="G1047" s="2">
        <f t="shared" si="78"/>
        <v>1028</v>
      </c>
      <c r="H1047" s="5">
        <v>0</v>
      </c>
      <c r="I1047" s="13">
        <v>32</v>
      </c>
      <c r="L1047" s="4"/>
      <c r="M1047" s="7"/>
      <c r="O1047" s="7"/>
      <c r="T1047" s="7"/>
    </row>
    <row r="1048" spans="2:20" x14ac:dyDescent="0.3">
      <c r="B1048" s="18" t="s">
        <v>2390</v>
      </c>
      <c r="C1048" s="13">
        <v>93</v>
      </c>
      <c r="D1048" s="21" t="s">
        <v>2391</v>
      </c>
      <c r="E1048" s="24">
        <v>64</v>
      </c>
      <c r="G1048" s="2">
        <f t="shared" si="78"/>
        <v>1029</v>
      </c>
      <c r="H1048" s="5">
        <v>0</v>
      </c>
      <c r="I1048" s="13">
        <v>32</v>
      </c>
      <c r="L1048" s="4"/>
      <c r="M1048" s="7"/>
      <c r="O1048" s="7"/>
      <c r="T1048" s="7"/>
    </row>
    <row r="1049" spans="2:20" x14ac:dyDescent="0.3">
      <c r="B1049" s="18" t="s">
        <v>2392</v>
      </c>
      <c r="C1049" s="13">
        <v>92</v>
      </c>
      <c r="D1049" s="21" t="s">
        <v>2393</v>
      </c>
      <c r="E1049" s="24">
        <v>65</v>
      </c>
      <c r="G1049" s="2">
        <f t="shared" si="78"/>
        <v>1030</v>
      </c>
      <c r="H1049" s="5">
        <v>0</v>
      </c>
      <c r="I1049" s="13">
        <v>32</v>
      </c>
      <c r="L1049" s="4"/>
      <c r="M1049" s="7"/>
      <c r="O1049" s="7"/>
      <c r="T1049" s="7"/>
    </row>
    <row r="1050" spans="2:20" x14ac:dyDescent="0.3">
      <c r="B1050" s="18" t="s">
        <v>2394</v>
      </c>
      <c r="C1050" s="13">
        <v>91</v>
      </c>
      <c r="D1050" s="21" t="s">
        <v>2395</v>
      </c>
      <c r="E1050" s="24">
        <v>66</v>
      </c>
      <c r="G1050" s="2">
        <f t="shared" si="78"/>
        <v>1031</v>
      </c>
      <c r="H1050" s="5">
        <v>0</v>
      </c>
      <c r="I1050" s="13">
        <v>32</v>
      </c>
      <c r="L1050" s="4"/>
      <c r="M1050" s="7"/>
      <c r="O1050" s="7"/>
      <c r="T1050" s="7"/>
    </row>
    <row r="1051" spans="2:20" x14ac:dyDescent="0.3">
      <c r="B1051" s="18" t="s">
        <v>2396</v>
      </c>
      <c r="C1051" s="13">
        <v>90</v>
      </c>
      <c r="D1051" s="21" t="s">
        <v>2397</v>
      </c>
      <c r="E1051" s="24">
        <v>67</v>
      </c>
      <c r="G1051" s="2">
        <f t="shared" si="78"/>
        <v>1032</v>
      </c>
      <c r="H1051" s="5">
        <v>0</v>
      </c>
      <c r="I1051" s="13">
        <v>32</v>
      </c>
      <c r="L1051" s="4"/>
      <c r="M1051" s="7"/>
      <c r="O1051" s="7"/>
      <c r="T1051" s="7"/>
    </row>
    <row r="1052" spans="2:20" x14ac:dyDescent="0.3">
      <c r="B1052" s="18" t="s">
        <v>2398</v>
      </c>
      <c r="C1052" s="13">
        <v>89</v>
      </c>
      <c r="D1052" s="21" t="s">
        <v>2399</v>
      </c>
      <c r="E1052" s="24">
        <v>68</v>
      </c>
      <c r="G1052" s="2">
        <f t="shared" si="78"/>
        <v>1033</v>
      </c>
      <c r="H1052" s="5">
        <v>0</v>
      </c>
      <c r="I1052" s="13">
        <v>32</v>
      </c>
      <c r="L1052" s="4"/>
      <c r="M1052" s="7"/>
      <c r="O1052" s="7"/>
      <c r="T1052" s="7"/>
    </row>
    <row r="1053" spans="2:20" x14ac:dyDescent="0.3">
      <c r="B1053" s="18" t="s">
        <v>2400</v>
      </c>
      <c r="C1053" s="13">
        <v>88</v>
      </c>
      <c r="D1053" s="21" t="s">
        <v>2401</v>
      </c>
      <c r="E1053" s="24">
        <v>69</v>
      </c>
      <c r="G1053" s="2">
        <f t="shared" si="78"/>
        <v>1034</v>
      </c>
      <c r="H1053" s="5">
        <v>0</v>
      </c>
      <c r="I1053" s="13">
        <v>32</v>
      </c>
      <c r="L1053" s="4"/>
      <c r="M1053" s="7"/>
      <c r="O1053" s="7"/>
      <c r="T1053" s="7"/>
    </row>
    <row r="1054" spans="2:20" x14ac:dyDescent="0.3">
      <c r="B1054" s="18" t="s">
        <v>2402</v>
      </c>
      <c r="C1054" s="13">
        <v>87</v>
      </c>
      <c r="D1054" s="21" t="s">
        <v>2403</v>
      </c>
      <c r="E1054" s="24">
        <v>70</v>
      </c>
      <c r="G1054" s="2">
        <f t="shared" si="78"/>
        <v>1035</v>
      </c>
      <c r="H1054" s="5">
        <v>0</v>
      </c>
      <c r="I1054" s="13">
        <v>32</v>
      </c>
      <c r="L1054" s="4"/>
      <c r="M1054" s="7"/>
      <c r="O1054" s="7"/>
      <c r="T1054" s="7"/>
    </row>
    <row r="1055" spans="2:20" x14ac:dyDescent="0.3">
      <c r="B1055" s="18" t="s">
        <v>2404</v>
      </c>
      <c r="C1055" s="13">
        <v>86</v>
      </c>
      <c r="D1055" s="21" t="s">
        <v>2405</v>
      </c>
      <c r="E1055" s="24">
        <v>71</v>
      </c>
      <c r="G1055" s="2">
        <f t="shared" si="78"/>
        <v>1036</v>
      </c>
      <c r="H1055" s="5">
        <v>0</v>
      </c>
      <c r="I1055" s="13">
        <v>32</v>
      </c>
      <c r="L1055" s="4"/>
      <c r="M1055" s="7"/>
      <c r="O1055" s="7"/>
      <c r="T1055" s="7"/>
    </row>
    <row r="1056" spans="2:20" x14ac:dyDescent="0.3">
      <c r="B1056" s="18" t="s">
        <v>2406</v>
      </c>
      <c r="C1056" s="13">
        <v>85</v>
      </c>
      <c r="D1056" s="21" t="s">
        <v>2407</v>
      </c>
      <c r="E1056" s="24">
        <v>72</v>
      </c>
      <c r="G1056" s="2">
        <f t="shared" si="78"/>
        <v>1037</v>
      </c>
      <c r="H1056" s="5">
        <v>0</v>
      </c>
      <c r="I1056" s="13">
        <v>32</v>
      </c>
      <c r="L1056" s="4"/>
      <c r="M1056" s="7"/>
      <c r="O1056" s="7"/>
      <c r="T1056" s="7"/>
    </row>
    <row r="1057" spans="2:20" x14ac:dyDescent="0.3">
      <c r="B1057" s="18" t="s">
        <v>2408</v>
      </c>
      <c r="C1057" s="13">
        <v>109</v>
      </c>
      <c r="D1057" s="21" t="s">
        <v>2409</v>
      </c>
      <c r="E1057" s="24">
        <v>73</v>
      </c>
      <c r="G1057" s="2">
        <f t="shared" si="78"/>
        <v>1038</v>
      </c>
      <c r="H1057" s="5">
        <v>0</v>
      </c>
      <c r="I1057" s="13">
        <v>32</v>
      </c>
      <c r="L1057" s="4"/>
      <c r="M1057" s="7"/>
      <c r="O1057" s="7"/>
      <c r="T1057" s="7"/>
    </row>
    <row r="1058" spans="2:20" x14ac:dyDescent="0.3">
      <c r="B1058" s="18" t="s">
        <v>2410</v>
      </c>
      <c r="C1058" s="13">
        <v>108</v>
      </c>
      <c r="D1058" s="21" t="s">
        <v>2411</v>
      </c>
      <c r="E1058" s="24">
        <v>74</v>
      </c>
      <c r="G1058" s="2">
        <f t="shared" si="78"/>
        <v>1039</v>
      </c>
      <c r="H1058" s="5">
        <v>0</v>
      </c>
      <c r="I1058" s="13">
        <v>32</v>
      </c>
      <c r="L1058" s="4"/>
      <c r="M1058" s="7"/>
      <c r="O1058" s="7"/>
      <c r="T1058" s="7"/>
    </row>
    <row r="1059" spans="2:20" x14ac:dyDescent="0.3">
      <c r="B1059" s="18" t="s">
        <v>2412</v>
      </c>
      <c r="C1059" s="13">
        <v>107</v>
      </c>
      <c r="D1059" s="21" t="s">
        <v>2413</v>
      </c>
      <c r="E1059" s="24">
        <v>75</v>
      </c>
      <c r="G1059" s="2">
        <f t="shared" si="78"/>
        <v>1040</v>
      </c>
      <c r="H1059" s="5">
        <v>0</v>
      </c>
      <c r="I1059" s="13">
        <v>32</v>
      </c>
      <c r="L1059" s="4"/>
      <c r="M1059" s="7"/>
      <c r="O1059" s="7"/>
      <c r="T1059" s="7"/>
    </row>
    <row r="1060" spans="2:20" x14ac:dyDescent="0.3">
      <c r="B1060" s="18" t="s">
        <v>2414</v>
      </c>
      <c r="C1060" s="13">
        <v>106</v>
      </c>
      <c r="D1060" s="21" t="s">
        <v>2415</v>
      </c>
      <c r="E1060" s="24">
        <v>76</v>
      </c>
      <c r="G1060" s="2">
        <f t="shared" si="78"/>
        <v>1041</v>
      </c>
      <c r="H1060" s="5">
        <v>0</v>
      </c>
      <c r="I1060" s="13">
        <v>32</v>
      </c>
      <c r="L1060" s="4"/>
      <c r="M1060" s="7"/>
      <c r="O1060" s="7"/>
      <c r="T1060" s="7"/>
    </row>
    <row r="1061" spans="2:20" x14ac:dyDescent="0.3">
      <c r="B1061" s="18" t="s">
        <v>2416</v>
      </c>
      <c r="C1061" s="13">
        <v>105</v>
      </c>
      <c r="D1061" s="21" t="s">
        <v>2417</v>
      </c>
      <c r="E1061" s="24">
        <v>77</v>
      </c>
      <c r="G1061" s="2">
        <f t="shared" si="78"/>
        <v>1042</v>
      </c>
      <c r="H1061" s="5">
        <v>0</v>
      </c>
      <c r="I1061" s="13">
        <v>32</v>
      </c>
      <c r="L1061" s="4"/>
      <c r="M1061" s="7"/>
      <c r="O1061" s="7"/>
      <c r="T1061" s="7"/>
    </row>
    <row r="1062" spans="2:20" x14ac:dyDescent="0.3">
      <c r="B1062" s="18" t="s">
        <v>2418</v>
      </c>
      <c r="C1062" s="13">
        <v>104</v>
      </c>
      <c r="D1062" s="21" t="s">
        <v>2419</v>
      </c>
      <c r="E1062" s="24">
        <v>78</v>
      </c>
      <c r="G1062" s="2">
        <f t="shared" si="78"/>
        <v>1043</v>
      </c>
      <c r="H1062" s="5">
        <v>0</v>
      </c>
      <c r="I1062" s="13">
        <v>32</v>
      </c>
      <c r="L1062" s="4"/>
      <c r="M1062" s="7"/>
      <c r="O1062" s="7"/>
      <c r="T1062" s="7"/>
    </row>
    <row r="1063" spans="2:20" x14ac:dyDescent="0.3">
      <c r="B1063" s="18" t="s">
        <v>2420</v>
      </c>
      <c r="C1063" s="13">
        <v>1</v>
      </c>
      <c r="D1063" s="21" t="s">
        <v>2421</v>
      </c>
      <c r="E1063" s="24">
        <v>38</v>
      </c>
      <c r="G1063" s="2">
        <f t="shared" si="78"/>
        <v>1044</v>
      </c>
      <c r="H1063" s="5">
        <v>0</v>
      </c>
      <c r="I1063" s="13">
        <v>32</v>
      </c>
      <c r="L1063" s="4"/>
      <c r="M1063" s="7"/>
      <c r="O1063" s="7"/>
      <c r="T1063" s="7"/>
    </row>
    <row r="1064" spans="2:20" x14ac:dyDescent="0.3">
      <c r="B1064" s="18" t="s">
        <v>2422</v>
      </c>
      <c r="C1064" s="13">
        <v>2</v>
      </c>
      <c r="D1064" s="21" t="s">
        <v>2423</v>
      </c>
      <c r="E1064" s="24">
        <v>37</v>
      </c>
      <c r="G1064" s="2">
        <f t="shared" si="78"/>
        <v>1045</v>
      </c>
      <c r="H1064" s="5">
        <v>0</v>
      </c>
      <c r="I1064" s="13">
        <v>32</v>
      </c>
      <c r="L1064" s="4"/>
      <c r="M1064" s="7"/>
      <c r="O1064" s="7"/>
      <c r="T1064" s="7"/>
    </row>
    <row r="1065" spans="2:20" x14ac:dyDescent="0.3">
      <c r="B1065" s="18" t="s">
        <v>2424</v>
      </c>
      <c r="C1065" s="13">
        <v>3</v>
      </c>
      <c r="D1065" s="21" t="s">
        <v>2425</v>
      </c>
      <c r="E1065" s="24">
        <v>36</v>
      </c>
      <c r="G1065" s="2">
        <f t="shared" si="78"/>
        <v>1046</v>
      </c>
      <c r="H1065" s="5">
        <v>0</v>
      </c>
      <c r="I1065" s="13">
        <v>32</v>
      </c>
      <c r="L1065" s="4"/>
      <c r="M1065" s="7"/>
      <c r="O1065" s="7"/>
    </row>
    <row r="1066" spans="2:20" x14ac:dyDescent="0.3">
      <c r="B1066" s="18" t="s">
        <v>2426</v>
      </c>
      <c r="C1066" s="13">
        <v>6</v>
      </c>
      <c r="D1066" s="21" t="s">
        <v>2427</v>
      </c>
      <c r="E1066" s="24">
        <v>35</v>
      </c>
      <c r="G1066" s="2">
        <f t="shared" si="78"/>
        <v>1047</v>
      </c>
      <c r="H1066" s="5">
        <v>0</v>
      </c>
      <c r="I1066" s="13">
        <v>32</v>
      </c>
      <c r="L1066" s="4"/>
      <c r="M1066" s="7"/>
      <c r="O1066" s="7"/>
      <c r="T1066" s="7"/>
    </row>
    <row r="1067" spans="2:20" x14ac:dyDescent="0.3">
      <c r="B1067" s="18" t="s">
        <v>2428</v>
      </c>
      <c r="C1067" s="13">
        <v>5</v>
      </c>
      <c r="D1067" s="21" t="s">
        <v>2429</v>
      </c>
      <c r="E1067" s="24">
        <v>34</v>
      </c>
      <c r="G1067" s="2">
        <f t="shared" si="78"/>
        <v>1048</v>
      </c>
      <c r="H1067" s="5">
        <v>0</v>
      </c>
      <c r="I1067" s="13">
        <v>32</v>
      </c>
      <c r="L1067" s="4"/>
      <c r="M1067" s="7"/>
      <c r="O1067" s="7"/>
      <c r="T1067" s="7"/>
    </row>
    <row r="1068" spans="2:20" x14ac:dyDescent="0.3">
      <c r="B1068" s="18" t="s">
        <v>2430</v>
      </c>
      <c r="C1068" s="13">
        <v>4</v>
      </c>
      <c r="D1068" s="21" t="s">
        <v>2431</v>
      </c>
      <c r="E1068" s="24">
        <v>33</v>
      </c>
      <c r="G1068" s="2">
        <f t="shared" si="78"/>
        <v>1049</v>
      </c>
      <c r="H1068" s="5">
        <v>0</v>
      </c>
      <c r="I1068" s="13">
        <v>32</v>
      </c>
      <c r="L1068" s="4"/>
      <c r="M1068" s="7"/>
      <c r="O1068" s="7"/>
      <c r="T1068" s="7"/>
    </row>
    <row r="1069" spans="2:20" x14ac:dyDescent="0.3">
      <c r="B1069" s="18" t="s">
        <v>2432</v>
      </c>
      <c r="C1069" s="13">
        <v>7</v>
      </c>
      <c r="D1069" s="21" t="s">
        <v>2433</v>
      </c>
      <c r="E1069" s="24">
        <v>32</v>
      </c>
      <c r="G1069" s="2">
        <f t="shared" si="78"/>
        <v>1050</v>
      </c>
      <c r="H1069" s="5">
        <v>0</v>
      </c>
      <c r="I1069" s="13">
        <v>32</v>
      </c>
      <c r="L1069" s="4"/>
      <c r="M1069" s="7"/>
      <c r="O1069" s="7"/>
      <c r="T1069" s="7"/>
    </row>
    <row r="1070" spans="2:20" x14ac:dyDescent="0.3">
      <c r="B1070" s="18" t="s">
        <v>2434</v>
      </c>
      <c r="C1070" s="13">
        <v>8</v>
      </c>
      <c r="D1070" s="21" t="s">
        <v>2435</v>
      </c>
      <c r="E1070" s="24">
        <v>58</v>
      </c>
      <c r="G1070" s="2">
        <f t="shared" si="78"/>
        <v>1051</v>
      </c>
      <c r="H1070" s="5">
        <v>0</v>
      </c>
      <c r="I1070" s="13">
        <v>32</v>
      </c>
      <c r="L1070" s="4"/>
      <c r="M1070" s="7"/>
      <c r="O1070" s="7"/>
      <c r="T1070" s="7"/>
    </row>
    <row r="1071" spans="2:20" x14ac:dyDescent="0.3">
      <c r="B1071" s="18" t="s">
        <v>2436</v>
      </c>
      <c r="C1071" s="13">
        <v>9</v>
      </c>
      <c r="D1071" s="21" t="s">
        <v>2437</v>
      </c>
      <c r="E1071" s="24">
        <v>57</v>
      </c>
      <c r="G1071" s="2">
        <f t="shared" si="78"/>
        <v>1052</v>
      </c>
      <c r="H1071" s="5">
        <v>0</v>
      </c>
      <c r="I1071" s="13">
        <v>32</v>
      </c>
      <c r="L1071" s="4"/>
      <c r="M1071" s="7"/>
      <c r="O1071" s="7"/>
      <c r="T1071" s="7"/>
    </row>
    <row r="1072" spans="2:20" x14ac:dyDescent="0.3">
      <c r="B1072" s="18" t="s">
        <v>2438</v>
      </c>
      <c r="C1072" s="13">
        <v>10</v>
      </c>
      <c r="D1072" s="21" t="s">
        <v>2439</v>
      </c>
      <c r="E1072" s="24">
        <v>56</v>
      </c>
      <c r="G1072" s="2">
        <f t="shared" si="78"/>
        <v>1053</v>
      </c>
      <c r="H1072" s="5">
        <v>0</v>
      </c>
      <c r="I1072" s="13">
        <v>32</v>
      </c>
      <c r="L1072" s="4"/>
      <c r="M1072" s="7"/>
      <c r="O1072" s="7"/>
      <c r="T1072" s="7"/>
    </row>
    <row r="1073" spans="2:20" x14ac:dyDescent="0.3">
      <c r="B1073" s="18" t="s">
        <v>2440</v>
      </c>
      <c r="C1073" s="13">
        <v>1</v>
      </c>
      <c r="D1073" s="21" t="s">
        <v>2441</v>
      </c>
      <c r="E1073" s="24">
        <v>55</v>
      </c>
      <c r="G1073" s="2">
        <f t="shared" si="78"/>
        <v>1054</v>
      </c>
      <c r="H1073" s="5">
        <v>0</v>
      </c>
      <c r="I1073" s="13">
        <v>32</v>
      </c>
      <c r="L1073" s="4"/>
      <c r="M1073" s="7"/>
      <c r="O1073" s="7"/>
      <c r="T1073" s="7"/>
    </row>
    <row r="1074" spans="2:20" x14ac:dyDescent="0.3">
      <c r="B1074" s="18" t="s">
        <v>2442</v>
      </c>
      <c r="C1074" s="13">
        <v>10</v>
      </c>
      <c r="D1074" s="21" t="s">
        <v>2443</v>
      </c>
      <c r="E1074" s="24">
        <v>54</v>
      </c>
      <c r="G1074" s="2">
        <f t="shared" si="78"/>
        <v>1055</v>
      </c>
      <c r="H1074" s="5">
        <v>0</v>
      </c>
      <c r="I1074" s="13">
        <v>32</v>
      </c>
      <c r="L1074" s="4"/>
      <c r="M1074" s="7"/>
      <c r="O1074" s="7"/>
      <c r="T1074" s="7"/>
    </row>
    <row r="1075" spans="2:20" x14ac:dyDescent="0.3">
      <c r="B1075" s="18" t="s">
        <v>2444</v>
      </c>
      <c r="C1075" s="13">
        <v>11</v>
      </c>
      <c r="D1075" s="21" t="s">
        <v>2445</v>
      </c>
      <c r="E1075" s="24">
        <v>53</v>
      </c>
      <c r="G1075" s="2">
        <f t="shared" si="78"/>
        <v>1056</v>
      </c>
      <c r="H1075" s="5">
        <v>0</v>
      </c>
      <c r="I1075" s="13">
        <v>32</v>
      </c>
      <c r="L1075" s="4"/>
      <c r="M1075" s="7"/>
      <c r="O1075" s="7"/>
      <c r="T1075" s="7"/>
    </row>
    <row r="1076" spans="2:20" x14ac:dyDescent="0.3">
      <c r="B1076" s="18" t="s">
        <v>2446</v>
      </c>
      <c r="C1076" s="13">
        <v>12</v>
      </c>
      <c r="D1076" s="21" t="s">
        <v>2447</v>
      </c>
      <c r="E1076" s="24">
        <v>52</v>
      </c>
      <c r="G1076" s="2">
        <f t="shared" si="78"/>
        <v>1057</v>
      </c>
      <c r="H1076" s="5">
        <v>0</v>
      </c>
      <c r="I1076" s="13">
        <v>32</v>
      </c>
      <c r="L1076" s="4"/>
      <c r="M1076" s="7"/>
      <c r="O1076" s="7"/>
      <c r="T1076" s="7"/>
    </row>
    <row r="1077" spans="2:20" x14ac:dyDescent="0.3">
      <c r="B1077" s="18" t="s">
        <v>2448</v>
      </c>
      <c r="C1077" s="13">
        <v>13</v>
      </c>
      <c r="D1077" s="21" t="s">
        <v>2449</v>
      </c>
      <c r="E1077" s="24">
        <v>51</v>
      </c>
      <c r="G1077" s="2">
        <f t="shared" si="78"/>
        <v>1058</v>
      </c>
      <c r="H1077" s="5">
        <v>0</v>
      </c>
      <c r="I1077" s="13">
        <v>32</v>
      </c>
      <c r="L1077" s="4"/>
      <c r="M1077" s="7"/>
      <c r="O1077" s="7"/>
      <c r="T1077" s="7"/>
    </row>
    <row r="1078" spans="2:20" x14ac:dyDescent="0.3">
      <c r="B1078" s="18" t="s">
        <v>2450</v>
      </c>
      <c r="C1078" s="13">
        <v>14</v>
      </c>
      <c r="D1078" s="21" t="s">
        <v>2451</v>
      </c>
      <c r="E1078" s="24">
        <v>50</v>
      </c>
      <c r="G1078" s="2">
        <f t="shared" si="78"/>
        <v>1059</v>
      </c>
      <c r="H1078" s="5">
        <v>0</v>
      </c>
      <c r="I1078" s="13">
        <v>32</v>
      </c>
      <c r="L1078" s="4"/>
      <c r="M1078" s="7"/>
      <c r="O1078" s="7"/>
      <c r="T1078" s="7"/>
    </row>
    <row r="1079" spans="2:20" x14ac:dyDescent="0.3">
      <c r="B1079" s="18" t="s">
        <v>2452</v>
      </c>
      <c r="C1079" s="13">
        <v>15</v>
      </c>
      <c r="D1079" s="21" t="s">
        <v>2453</v>
      </c>
      <c r="E1079" s="24">
        <v>49</v>
      </c>
      <c r="G1079" s="2">
        <f t="shared" si="78"/>
        <v>1060</v>
      </c>
      <c r="H1079" s="5">
        <v>0</v>
      </c>
      <c r="I1079" s="13">
        <v>32</v>
      </c>
      <c r="L1079" s="4"/>
      <c r="M1079" s="7"/>
      <c r="O1079" s="7"/>
      <c r="T1079" s="7"/>
    </row>
    <row r="1080" spans="2:20" x14ac:dyDescent="0.3">
      <c r="B1080" s="18" t="s">
        <v>2454</v>
      </c>
      <c r="C1080" s="13">
        <v>16</v>
      </c>
      <c r="D1080" s="21" t="s">
        <v>2455</v>
      </c>
      <c r="E1080" s="24">
        <v>31</v>
      </c>
      <c r="G1080" s="2">
        <f t="shared" si="78"/>
        <v>1061</v>
      </c>
      <c r="H1080" s="5">
        <v>0</v>
      </c>
      <c r="I1080" s="13">
        <v>32</v>
      </c>
      <c r="L1080" s="4"/>
      <c r="M1080" s="7"/>
      <c r="O1080" s="7"/>
      <c r="T1080" s="7"/>
    </row>
    <row r="1081" spans="2:20" x14ac:dyDescent="0.3">
      <c r="B1081" s="18" t="s">
        <v>2456</v>
      </c>
      <c r="C1081" s="13">
        <v>17</v>
      </c>
      <c r="D1081" s="21" t="s">
        <v>2457</v>
      </c>
      <c r="E1081" s="24">
        <v>48</v>
      </c>
      <c r="G1081" s="2">
        <f t="shared" si="78"/>
        <v>1062</v>
      </c>
      <c r="H1081" s="5">
        <v>0</v>
      </c>
      <c r="I1081" s="13">
        <v>32</v>
      </c>
      <c r="L1081" s="4"/>
      <c r="M1081" s="7"/>
      <c r="O1081" s="7"/>
      <c r="T1081" s="7"/>
    </row>
    <row r="1082" spans="2:20" x14ac:dyDescent="0.3">
      <c r="B1082" s="18" t="s">
        <v>2458</v>
      </c>
      <c r="C1082" s="13">
        <v>18</v>
      </c>
      <c r="D1082" s="21" t="s">
        <v>2459</v>
      </c>
      <c r="E1082" s="24">
        <v>47</v>
      </c>
      <c r="G1082" s="2">
        <f t="shared" si="78"/>
        <v>1063</v>
      </c>
      <c r="H1082" s="5">
        <v>0</v>
      </c>
      <c r="I1082" s="13">
        <v>32</v>
      </c>
      <c r="L1082" s="4"/>
      <c r="M1082" s="7"/>
      <c r="O1082" s="7"/>
      <c r="T1082" s="7"/>
    </row>
    <row r="1083" spans="2:20" x14ac:dyDescent="0.3">
      <c r="B1083" s="18" t="s">
        <v>2460</v>
      </c>
      <c r="C1083" s="13">
        <v>19</v>
      </c>
      <c r="D1083" s="21" t="s">
        <v>2461</v>
      </c>
      <c r="E1083" s="24">
        <v>46</v>
      </c>
      <c r="G1083" s="2">
        <f t="shared" si="78"/>
        <v>1064</v>
      </c>
      <c r="H1083" s="5">
        <v>0</v>
      </c>
      <c r="I1083" s="13">
        <v>32</v>
      </c>
      <c r="L1083" s="4"/>
      <c r="M1083" s="7"/>
      <c r="O1083" s="7"/>
      <c r="T1083" s="7"/>
    </row>
    <row r="1084" spans="2:20" x14ac:dyDescent="0.3">
      <c r="B1084" s="18" t="s">
        <v>2462</v>
      </c>
      <c r="C1084" s="13">
        <v>2</v>
      </c>
      <c r="D1084" s="21" t="s">
        <v>2463</v>
      </c>
      <c r="E1084" s="24">
        <v>45</v>
      </c>
      <c r="G1084" s="2">
        <f t="shared" si="78"/>
        <v>1065</v>
      </c>
      <c r="H1084" s="5">
        <v>0</v>
      </c>
      <c r="I1084" s="13">
        <v>32</v>
      </c>
      <c r="L1084" s="4"/>
      <c r="M1084" s="7"/>
      <c r="O1084" s="7"/>
      <c r="T1084" s="7"/>
    </row>
    <row r="1085" spans="2:20" x14ac:dyDescent="0.3">
      <c r="B1085" s="18" t="s">
        <v>2464</v>
      </c>
      <c r="C1085" s="13">
        <v>20</v>
      </c>
      <c r="D1085" s="21" t="s">
        <v>2465</v>
      </c>
      <c r="E1085" s="24">
        <v>44</v>
      </c>
      <c r="G1085" s="2">
        <f t="shared" si="78"/>
        <v>1066</v>
      </c>
      <c r="H1085" s="5">
        <v>0</v>
      </c>
      <c r="I1085" s="13">
        <v>32</v>
      </c>
      <c r="L1085" s="4"/>
      <c r="M1085" s="7"/>
      <c r="O1085" s="7"/>
      <c r="T1085" s="7"/>
    </row>
    <row r="1086" spans="2:20" x14ac:dyDescent="0.3">
      <c r="B1086" s="18" t="s">
        <v>2466</v>
      </c>
      <c r="C1086" s="13">
        <v>21</v>
      </c>
      <c r="D1086" s="21" t="s">
        <v>2467</v>
      </c>
      <c r="E1086" s="24">
        <v>43</v>
      </c>
      <c r="G1086" s="2">
        <f t="shared" si="78"/>
        <v>1067</v>
      </c>
      <c r="H1086" s="5">
        <v>0</v>
      </c>
      <c r="I1086" s="13">
        <v>32</v>
      </c>
      <c r="L1086" s="4"/>
      <c r="M1086" s="7"/>
      <c r="O1086" s="7"/>
      <c r="T1086" s="7"/>
    </row>
    <row r="1087" spans="2:20" x14ac:dyDescent="0.3">
      <c r="B1087" s="18" t="s">
        <v>2468</v>
      </c>
      <c r="C1087" s="13">
        <v>22</v>
      </c>
      <c r="D1087" s="21" t="s">
        <v>2469</v>
      </c>
      <c r="E1087" s="24">
        <v>42</v>
      </c>
      <c r="G1087" s="2">
        <f t="shared" si="78"/>
        <v>1068</v>
      </c>
      <c r="H1087" s="5">
        <v>0</v>
      </c>
      <c r="I1087" s="13">
        <v>32</v>
      </c>
      <c r="L1087" s="4"/>
      <c r="M1087" s="7"/>
      <c r="O1087" s="7"/>
      <c r="T1087" s="7"/>
    </row>
    <row r="1088" spans="2:20" x14ac:dyDescent="0.3">
      <c r="B1088" s="18" t="s">
        <v>2470</v>
      </c>
      <c r="C1088" s="13">
        <v>23</v>
      </c>
      <c r="D1088" s="21" t="s">
        <v>2471</v>
      </c>
      <c r="E1088" s="24">
        <v>41</v>
      </c>
      <c r="G1088" s="2">
        <f t="shared" si="78"/>
        <v>1069</v>
      </c>
      <c r="H1088" s="5">
        <v>0</v>
      </c>
      <c r="I1088" s="13">
        <v>32</v>
      </c>
      <c r="L1088" s="4"/>
      <c r="M1088" s="7"/>
      <c r="O1088" s="7"/>
      <c r="T1088" s="7"/>
    </row>
    <row r="1089" spans="2:20" x14ac:dyDescent="0.3">
      <c r="B1089" s="18" t="s">
        <v>2472</v>
      </c>
      <c r="C1089" s="13">
        <v>24</v>
      </c>
      <c r="D1089" s="21" t="s">
        <v>2473</v>
      </c>
      <c r="E1089" s="24">
        <v>40</v>
      </c>
      <c r="G1089" s="2">
        <f t="shared" si="78"/>
        <v>1070</v>
      </c>
      <c r="H1089" s="5">
        <v>0</v>
      </c>
      <c r="I1089" s="13">
        <v>32</v>
      </c>
      <c r="L1089" s="4"/>
      <c r="M1089" s="7"/>
      <c r="O1089" s="7"/>
      <c r="T1089" s="7"/>
    </row>
    <row r="1090" spans="2:20" x14ac:dyDescent="0.3">
      <c r="B1090" s="18" t="s">
        <v>2474</v>
      </c>
      <c r="C1090" s="13">
        <v>25</v>
      </c>
      <c r="D1090" s="21" t="s">
        <v>2475</v>
      </c>
      <c r="E1090" s="24">
        <v>39</v>
      </c>
      <c r="G1090" s="2">
        <f t="shared" si="78"/>
        <v>1071</v>
      </c>
      <c r="H1090" s="5">
        <v>0</v>
      </c>
      <c r="I1090" s="13">
        <v>32</v>
      </c>
      <c r="L1090" s="4"/>
      <c r="M1090" s="7"/>
      <c r="O1090" s="7"/>
      <c r="T1090" s="7"/>
    </row>
    <row r="1091" spans="2:20" x14ac:dyDescent="0.3">
      <c r="B1091" s="18" t="s">
        <v>2476</v>
      </c>
      <c r="C1091" s="13">
        <v>26</v>
      </c>
      <c r="D1091" s="21" t="s">
        <v>2477</v>
      </c>
      <c r="E1091" s="24">
        <v>30</v>
      </c>
      <c r="G1091" s="2">
        <f t="shared" si="78"/>
        <v>1072</v>
      </c>
      <c r="H1091" s="5">
        <v>0</v>
      </c>
      <c r="I1091" s="13">
        <v>32</v>
      </c>
      <c r="L1091" s="4"/>
      <c r="M1091" s="7"/>
      <c r="O1091" s="7"/>
      <c r="T1091" s="7"/>
    </row>
    <row r="1092" spans="2:20" x14ac:dyDescent="0.3">
      <c r="B1092" s="18" t="s">
        <v>2478</v>
      </c>
      <c r="C1092" s="13">
        <v>27</v>
      </c>
      <c r="D1092" s="21" t="s">
        <v>2479</v>
      </c>
      <c r="E1092" s="24">
        <v>9</v>
      </c>
      <c r="G1092" s="2">
        <f t="shared" si="78"/>
        <v>1073</v>
      </c>
      <c r="H1092" s="5">
        <v>0</v>
      </c>
      <c r="I1092" s="13">
        <v>32</v>
      </c>
      <c r="L1092" s="4"/>
      <c r="M1092" s="7"/>
      <c r="O1092" s="7"/>
      <c r="T1092" s="7"/>
    </row>
    <row r="1093" spans="2:20" x14ac:dyDescent="0.3">
      <c r="B1093" s="18" t="s">
        <v>2480</v>
      </c>
      <c r="C1093" s="13">
        <v>28</v>
      </c>
      <c r="D1093" s="21" t="s">
        <v>2481</v>
      </c>
      <c r="E1093" s="24">
        <v>8</v>
      </c>
      <c r="G1093" s="2">
        <f t="shared" si="78"/>
        <v>1074</v>
      </c>
      <c r="H1093" s="5">
        <v>0</v>
      </c>
      <c r="I1093" s="13">
        <v>32</v>
      </c>
      <c r="L1093" s="4"/>
      <c r="M1093" s="7"/>
      <c r="O1093" s="7"/>
      <c r="T1093" s="7"/>
    </row>
    <row r="1094" spans="2:20" x14ac:dyDescent="0.3">
      <c r="B1094" s="18" t="s">
        <v>2482</v>
      </c>
      <c r="C1094" s="13">
        <v>3</v>
      </c>
      <c r="D1094" s="21" t="s">
        <v>2483</v>
      </c>
      <c r="E1094" s="24">
        <v>7</v>
      </c>
      <c r="G1094" s="2">
        <f t="shared" si="78"/>
        <v>1075</v>
      </c>
      <c r="H1094" s="5">
        <v>0</v>
      </c>
      <c r="I1094" s="13">
        <v>32</v>
      </c>
      <c r="L1094" s="4"/>
      <c r="M1094" s="7"/>
      <c r="O1094" s="7"/>
      <c r="T1094" s="7"/>
    </row>
    <row r="1095" spans="2:20" x14ac:dyDescent="0.3">
      <c r="B1095" s="18" t="s">
        <v>2484</v>
      </c>
      <c r="C1095" s="13">
        <v>4</v>
      </c>
      <c r="D1095" s="21" t="s">
        <v>2485</v>
      </c>
      <c r="E1095" s="24">
        <v>6</v>
      </c>
      <c r="G1095" s="2">
        <f t="shared" si="78"/>
        <v>1076</v>
      </c>
      <c r="H1095" s="5">
        <v>0</v>
      </c>
      <c r="I1095" s="13">
        <v>32</v>
      </c>
      <c r="L1095" s="4"/>
      <c r="M1095" s="7"/>
      <c r="O1095" s="7"/>
      <c r="T1095" s="7"/>
    </row>
    <row r="1096" spans="2:20" x14ac:dyDescent="0.3">
      <c r="B1096" s="18" t="s">
        <v>2486</v>
      </c>
      <c r="C1096" s="13">
        <v>5</v>
      </c>
      <c r="D1096" s="21" t="s">
        <v>2487</v>
      </c>
      <c r="E1096" s="24">
        <v>5</v>
      </c>
      <c r="G1096" s="2">
        <f t="shared" si="78"/>
        <v>1077</v>
      </c>
      <c r="H1096" s="5">
        <v>0</v>
      </c>
      <c r="I1096" s="13">
        <v>32</v>
      </c>
      <c r="L1096" s="4"/>
      <c r="M1096" s="7"/>
      <c r="O1096" s="7"/>
      <c r="T1096" s="7"/>
    </row>
    <row r="1097" spans="2:20" x14ac:dyDescent="0.3">
      <c r="B1097" s="18" t="s">
        <v>2488</v>
      </c>
      <c r="C1097" s="13">
        <v>6</v>
      </c>
      <c r="D1097" s="21" t="s">
        <v>2489</v>
      </c>
      <c r="E1097" s="24">
        <v>4</v>
      </c>
      <c r="G1097" s="2">
        <f t="shared" si="78"/>
        <v>1078</v>
      </c>
      <c r="H1097" s="5">
        <v>0</v>
      </c>
      <c r="I1097" s="13">
        <v>32</v>
      </c>
      <c r="L1097" s="4"/>
      <c r="M1097" s="7"/>
      <c r="O1097" s="7"/>
      <c r="T1097" s="7"/>
    </row>
    <row r="1098" spans="2:20" x14ac:dyDescent="0.3">
      <c r="B1098" s="18" t="s">
        <v>2490</v>
      </c>
      <c r="C1098" s="13">
        <v>7</v>
      </c>
      <c r="D1098" s="21" t="s">
        <v>2491</v>
      </c>
      <c r="E1098" s="24">
        <v>3</v>
      </c>
      <c r="G1098" s="2">
        <f t="shared" si="78"/>
        <v>1079</v>
      </c>
      <c r="H1098" s="5">
        <v>0</v>
      </c>
      <c r="I1098" s="13">
        <v>32</v>
      </c>
      <c r="L1098" s="4"/>
      <c r="M1098" s="7"/>
      <c r="O1098" s="7"/>
    </row>
    <row r="1099" spans="2:20" x14ac:dyDescent="0.3">
      <c r="B1099" s="18" t="s">
        <v>2492</v>
      </c>
      <c r="C1099" s="13">
        <v>8</v>
      </c>
      <c r="D1099" s="21" t="s">
        <v>2493</v>
      </c>
      <c r="E1099" s="24">
        <v>29</v>
      </c>
      <c r="G1099" s="2">
        <f t="shared" si="78"/>
        <v>1080</v>
      </c>
      <c r="H1099" s="5">
        <v>0</v>
      </c>
      <c r="I1099" s="13">
        <v>32</v>
      </c>
      <c r="L1099" s="4"/>
      <c r="M1099" s="7"/>
      <c r="O1099" s="7"/>
      <c r="T1099" s="7"/>
    </row>
    <row r="1100" spans="2:20" x14ac:dyDescent="0.3">
      <c r="B1100" s="18" t="s">
        <v>2494</v>
      </c>
      <c r="C1100" s="13">
        <v>9</v>
      </c>
      <c r="D1100" s="21" t="s">
        <v>2495</v>
      </c>
      <c r="E1100" s="24">
        <v>28</v>
      </c>
      <c r="G1100" s="2">
        <f t="shared" ref="G1100:G1163" si="79">G1099+1</f>
        <v>1081</v>
      </c>
      <c r="H1100" s="5">
        <v>0</v>
      </c>
      <c r="I1100" s="13">
        <v>32</v>
      </c>
      <c r="L1100" s="4"/>
      <c r="M1100" s="7"/>
      <c r="O1100" s="7"/>
      <c r="T1100" s="7"/>
    </row>
    <row r="1101" spans="2:20" x14ac:dyDescent="0.3">
      <c r="B1101" s="18" t="s">
        <v>2496</v>
      </c>
      <c r="C1101" s="13">
        <v>56</v>
      </c>
      <c r="D1101" s="21" t="s">
        <v>2497</v>
      </c>
      <c r="E1101" s="24">
        <v>27</v>
      </c>
      <c r="G1101" s="2">
        <f t="shared" si="79"/>
        <v>1082</v>
      </c>
      <c r="H1101" s="5">
        <v>0</v>
      </c>
      <c r="I1101" s="13">
        <v>32</v>
      </c>
      <c r="L1101" s="4"/>
      <c r="M1101" s="7"/>
      <c r="O1101" s="7"/>
      <c r="T1101" s="7"/>
    </row>
    <row r="1102" spans="2:20" x14ac:dyDescent="0.3">
      <c r="B1102" s="18" t="s">
        <v>2498</v>
      </c>
      <c r="C1102" s="13">
        <v>47</v>
      </c>
      <c r="D1102" s="21" t="s">
        <v>2499</v>
      </c>
      <c r="E1102" s="24">
        <v>26</v>
      </c>
      <c r="G1102" s="2">
        <f t="shared" si="79"/>
        <v>1083</v>
      </c>
      <c r="H1102" s="5">
        <v>0</v>
      </c>
      <c r="I1102" s="13">
        <v>32</v>
      </c>
      <c r="L1102" s="4"/>
      <c r="M1102" s="7"/>
      <c r="O1102" s="7"/>
      <c r="T1102" s="7"/>
    </row>
    <row r="1103" spans="2:20" x14ac:dyDescent="0.3">
      <c r="B1103" s="18" t="s">
        <v>2500</v>
      </c>
      <c r="C1103" s="13">
        <v>46</v>
      </c>
      <c r="D1103" s="21" t="s">
        <v>2501</v>
      </c>
      <c r="E1103" s="24">
        <v>25</v>
      </c>
      <c r="G1103" s="2">
        <f t="shared" si="79"/>
        <v>1084</v>
      </c>
      <c r="H1103" s="5">
        <v>0</v>
      </c>
      <c r="I1103" s="13">
        <v>32</v>
      </c>
      <c r="L1103" s="4"/>
      <c r="M1103" s="7"/>
      <c r="O1103" s="7"/>
      <c r="T1103" s="7"/>
    </row>
    <row r="1104" spans="2:20" x14ac:dyDescent="0.3">
      <c r="B1104" s="18" t="s">
        <v>2502</v>
      </c>
      <c r="C1104" s="13">
        <v>45</v>
      </c>
      <c r="D1104" s="21" t="s">
        <v>2503</v>
      </c>
      <c r="E1104" s="24">
        <v>24</v>
      </c>
      <c r="G1104" s="2">
        <f t="shared" si="79"/>
        <v>1085</v>
      </c>
      <c r="H1104" s="5">
        <v>0</v>
      </c>
      <c r="I1104" s="13">
        <v>32</v>
      </c>
      <c r="L1104" s="4"/>
      <c r="M1104" s="7"/>
      <c r="O1104" s="7"/>
      <c r="T1104" s="7"/>
    </row>
    <row r="1105" spans="2:20" x14ac:dyDescent="0.3">
      <c r="B1105" s="18" t="s">
        <v>2504</v>
      </c>
      <c r="C1105" s="13">
        <v>44</v>
      </c>
      <c r="D1105" s="21" t="s">
        <v>2505</v>
      </c>
      <c r="E1105" s="24">
        <v>23</v>
      </c>
      <c r="G1105" s="2">
        <f t="shared" si="79"/>
        <v>1086</v>
      </c>
      <c r="H1105" s="5">
        <v>0</v>
      </c>
      <c r="I1105" s="13">
        <v>32</v>
      </c>
      <c r="L1105" s="4"/>
      <c r="M1105" s="7"/>
      <c r="O1105" s="7"/>
      <c r="T1105" s="7"/>
    </row>
    <row r="1106" spans="2:20" x14ac:dyDescent="0.3">
      <c r="B1106" s="18" t="s">
        <v>2506</v>
      </c>
      <c r="C1106" s="13">
        <v>43</v>
      </c>
      <c r="D1106" s="21" t="s">
        <v>2507</v>
      </c>
      <c r="E1106" s="24">
        <v>22</v>
      </c>
      <c r="G1106" s="2">
        <f t="shared" si="79"/>
        <v>1087</v>
      </c>
      <c r="H1106" s="5">
        <v>0</v>
      </c>
      <c r="I1106" s="13">
        <v>32</v>
      </c>
      <c r="L1106" s="4"/>
      <c r="M1106" s="7"/>
      <c r="O1106" s="7"/>
      <c r="T1106" s="7"/>
    </row>
    <row r="1107" spans="2:20" x14ac:dyDescent="0.3">
      <c r="B1107" s="18" t="s">
        <v>2508</v>
      </c>
      <c r="C1107" s="13">
        <v>42</v>
      </c>
      <c r="D1107" s="21" t="s">
        <v>2509</v>
      </c>
      <c r="E1107" s="24">
        <v>21</v>
      </c>
      <c r="G1107" s="2">
        <f t="shared" si="79"/>
        <v>1088</v>
      </c>
      <c r="H1107" s="5">
        <v>0</v>
      </c>
      <c r="I1107" s="13">
        <v>32</v>
      </c>
      <c r="L1107" s="4"/>
      <c r="M1107" s="7"/>
      <c r="O1107" s="7"/>
      <c r="T1107" s="7"/>
    </row>
    <row r="1108" spans="2:20" x14ac:dyDescent="0.3">
      <c r="B1108" s="18" t="s">
        <v>2510</v>
      </c>
      <c r="C1108" s="13">
        <v>41</v>
      </c>
      <c r="D1108" s="21" t="s">
        <v>2511</v>
      </c>
      <c r="E1108" s="24">
        <v>20</v>
      </c>
      <c r="G1108" s="2">
        <f t="shared" si="79"/>
        <v>1089</v>
      </c>
      <c r="H1108" s="5">
        <v>0</v>
      </c>
      <c r="I1108" s="13">
        <v>32</v>
      </c>
      <c r="L1108" s="4"/>
      <c r="M1108" s="7"/>
      <c r="O1108" s="7"/>
      <c r="T1108" s="7"/>
    </row>
    <row r="1109" spans="2:20" x14ac:dyDescent="0.3">
      <c r="B1109" s="18" t="s">
        <v>2512</v>
      </c>
      <c r="C1109" s="13">
        <v>40</v>
      </c>
      <c r="D1109" s="21" t="s">
        <v>2513</v>
      </c>
      <c r="E1109" s="24">
        <v>2</v>
      </c>
      <c r="G1109" s="2">
        <f t="shared" si="79"/>
        <v>1090</v>
      </c>
      <c r="H1109" s="5">
        <v>0</v>
      </c>
      <c r="I1109" s="13">
        <v>32</v>
      </c>
      <c r="L1109" s="4"/>
      <c r="M1109" s="7"/>
      <c r="O1109" s="7"/>
      <c r="T1109" s="7"/>
    </row>
    <row r="1110" spans="2:20" x14ac:dyDescent="0.3">
      <c r="B1110" s="18" t="s">
        <v>2514</v>
      </c>
      <c r="C1110" s="13">
        <v>39</v>
      </c>
      <c r="D1110" s="21" t="s">
        <v>2515</v>
      </c>
      <c r="E1110" s="24">
        <v>19</v>
      </c>
      <c r="G1110" s="2">
        <f t="shared" si="79"/>
        <v>1091</v>
      </c>
      <c r="H1110" s="5">
        <v>0</v>
      </c>
      <c r="I1110" s="13">
        <v>32</v>
      </c>
      <c r="L1110" s="4"/>
      <c r="M1110" s="7"/>
      <c r="O1110" s="7"/>
      <c r="T1110" s="7"/>
    </row>
    <row r="1111" spans="2:20" x14ac:dyDescent="0.3">
      <c r="B1111" s="18" t="s">
        <v>2516</v>
      </c>
      <c r="C1111" s="13">
        <v>38</v>
      </c>
      <c r="D1111" s="21" t="s">
        <v>2517</v>
      </c>
      <c r="E1111" s="24">
        <v>18</v>
      </c>
      <c r="G1111" s="2">
        <f t="shared" si="79"/>
        <v>1092</v>
      </c>
      <c r="H1111" s="5">
        <v>0</v>
      </c>
      <c r="I1111" s="13">
        <v>32</v>
      </c>
      <c r="L1111" s="4"/>
      <c r="M1111" s="7"/>
      <c r="O1111" s="7"/>
      <c r="T1111" s="7"/>
    </row>
    <row r="1112" spans="2:20" x14ac:dyDescent="0.3">
      <c r="B1112" s="18" t="s">
        <v>2518</v>
      </c>
      <c r="C1112" s="13">
        <v>55</v>
      </c>
      <c r="D1112" s="21" t="s">
        <v>2519</v>
      </c>
      <c r="E1112" s="24">
        <v>17</v>
      </c>
      <c r="G1112" s="2">
        <f t="shared" si="79"/>
        <v>1093</v>
      </c>
      <c r="H1112" s="5">
        <v>0</v>
      </c>
      <c r="I1112" s="13">
        <v>32</v>
      </c>
      <c r="L1112" s="4"/>
      <c r="M1112" s="7"/>
      <c r="O1112" s="7"/>
      <c r="T1112" s="7"/>
    </row>
    <row r="1113" spans="2:20" x14ac:dyDescent="0.3">
      <c r="B1113" s="18" t="s">
        <v>2520</v>
      </c>
      <c r="C1113" s="13">
        <v>37</v>
      </c>
      <c r="D1113" s="21" t="s">
        <v>2521</v>
      </c>
      <c r="E1113" s="24">
        <v>16</v>
      </c>
      <c r="G1113" s="2">
        <f t="shared" si="79"/>
        <v>1094</v>
      </c>
      <c r="H1113" s="5">
        <v>0</v>
      </c>
      <c r="I1113" s="13">
        <v>32</v>
      </c>
      <c r="L1113" s="4"/>
      <c r="M1113" s="7"/>
      <c r="O1113" s="7"/>
      <c r="T1113" s="7"/>
    </row>
    <row r="1114" spans="2:20" x14ac:dyDescent="0.3">
      <c r="B1114" s="18" t="s">
        <v>2522</v>
      </c>
      <c r="C1114" s="13">
        <v>36</v>
      </c>
      <c r="D1114" s="21" t="s">
        <v>2523</v>
      </c>
      <c r="E1114" s="24">
        <v>15</v>
      </c>
      <c r="G1114" s="2">
        <f t="shared" si="79"/>
        <v>1095</v>
      </c>
      <c r="H1114" s="5">
        <v>0</v>
      </c>
      <c r="I1114" s="13">
        <v>32</v>
      </c>
      <c r="L1114" s="4"/>
      <c r="M1114" s="7"/>
      <c r="O1114" s="7"/>
      <c r="T1114" s="7"/>
    </row>
    <row r="1115" spans="2:20" x14ac:dyDescent="0.3">
      <c r="B1115" s="18" t="s">
        <v>2524</v>
      </c>
      <c r="C1115" s="13">
        <v>35</v>
      </c>
      <c r="D1115" s="21" t="s">
        <v>2525</v>
      </c>
      <c r="E1115" s="24">
        <v>14</v>
      </c>
      <c r="G1115" s="2">
        <f t="shared" si="79"/>
        <v>1096</v>
      </c>
      <c r="H1115" s="5">
        <v>0</v>
      </c>
      <c r="I1115" s="13">
        <v>32</v>
      </c>
      <c r="L1115" s="4"/>
      <c r="M1115" s="7"/>
      <c r="O1115" s="7"/>
      <c r="T1115" s="7"/>
    </row>
    <row r="1116" spans="2:20" x14ac:dyDescent="0.3">
      <c r="B1116" s="18" t="s">
        <v>2526</v>
      </c>
      <c r="C1116" s="13">
        <v>34</v>
      </c>
      <c r="D1116" s="21" t="s">
        <v>2527</v>
      </c>
      <c r="E1116" s="24">
        <v>13</v>
      </c>
      <c r="G1116" s="2">
        <f t="shared" si="79"/>
        <v>1097</v>
      </c>
      <c r="H1116" s="5">
        <v>0</v>
      </c>
      <c r="I1116" s="13">
        <v>32</v>
      </c>
      <c r="L1116" s="4"/>
      <c r="M1116" s="7"/>
      <c r="O1116" s="7"/>
      <c r="T1116" s="7"/>
    </row>
    <row r="1117" spans="2:20" x14ac:dyDescent="0.3">
      <c r="B1117" s="18" t="s">
        <v>2528</v>
      </c>
      <c r="C1117" s="13">
        <v>33</v>
      </c>
      <c r="D1117" s="21" t="s">
        <v>2529</v>
      </c>
      <c r="E1117" s="24">
        <v>12</v>
      </c>
      <c r="G1117" s="2">
        <f t="shared" si="79"/>
        <v>1098</v>
      </c>
      <c r="H1117" s="5">
        <v>0</v>
      </c>
      <c r="I1117" s="13">
        <v>32</v>
      </c>
      <c r="L1117" s="4"/>
      <c r="M1117" s="7"/>
      <c r="O1117" s="7"/>
      <c r="T1117" s="7"/>
    </row>
    <row r="1118" spans="2:20" x14ac:dyDescent="0.3">
      <c r="B1118" s="18" t="s">
        <v>2530</v>
      </c>
      <c r="C1118" s="13">
        <v>32</v>
      </c>
      <c r="D1118" s="21" t="s">
        <v>2531</v>
      </c>
      <c r="E1118" s="24">
        <v>11</v>
      </c>
      <c r="G1118" s="2">
        <f t="shared" si="79"/>
        <v>1099</v>
      </c>
      <c r="H1118" s="5">
        <v>0</v>
      </c>
      <c r="I1118" s="13">
        <v>32</v>
      </c>
      <c r="L1118" s="4"/>
      <c r="M1118" s="7"/>
      <c r="O1118" s="7"/>
      <c r="T1118" s="7"/>
    </row>
    <row r="1119" spans="2:20" x14ac:dyDescent="0.3">
      <c r="B1119" s="18" t="s">
        <v>2532</v>
      </c>
      <c r="C1119" s="13">
        <v>31</v>
      </c>
      <c r="D1119" s="21" t="s">
        <v>2533</v>
      </c>
      <c r="E1119" s="24">
        <v>10</v>
      </c>
      <c r="G1119" s="2">
        <f t="shared" si="79"/>
        <v>1100</v>
      </c>
      <c r="H1119" s="5">
        <v>0</v>
      </c>
      <c r="I1119" s="13">
        <v>32</v>
      </c>
      <c r="L1119" s="4"/>
      <c r="M1119" s="7"/>
      <c r="O1119" s="7"/>
      <c r="T1119" s="7"/>
    </row>
    <row r="1120" spans="2:20" x14ac:dyDescent="0.3">
      <c r="B1120" s="18" t="s">
        <v>2534</v>
      </c>
      <c r="C1120" s="13">
        <v>30</v>
      </c>
      <c r="D1120" s="21" t="s">
        <v>2535</v>
      </c>
      <c r="E1120" s="24">
        <v>1</v>
      </c>
      <c r="G1120" s="2">
        <f t="shared" si="79"/>
        <v>1101</v>
      </c>
      <c r="H1120" s="5">
        <v>0</v>
      </c>
      <c r="I1120" s="13">
        <v>32</v>
      </c>
      <c r="L1120" s="4"/>
      <c r="M1120" s="7"/>
      <c r="O1120" s="7"/>
      <c r="T1120" s="7"/>
    </row>
    <row r="1121" spans="2:20" x14ac:dyDescent="0.3">
      <c r="B1121" s="18" t="s">
        <v>2536</v>
      </c>
      <c r="C1121" s="13">
        <v>29</v>
      </c>
      <c r="D1121" s="21" t="s">
        <v>2537</v>
      </c>
      <c r="E1121" s="24">
        <v>76</v>
      </c>
      <c r="G1121" s="2">
        <f t="shared" si="79"/>
        <v>1102</v>
      </c>
      <c r="H1121" s="5">
        <v>0</v>
      </c>
      <c r="I1121" s="13">
        <v>32</v>
      </c>
      <c r="L1121" s="4"/>
      <c r="M1121" s="7"/>
      <c r="O1121" s="7"/>
      <c r="T1121" s="7"/>
    </row>
    <row r="1122" spans="2:20" x14ac:dyDescent="0.3">
      <c r="B1122" s="18" t="s">
        <v>2538</v>
      </c>
      <c r="C1122" s="13">
        <v>54</v>
      </c>
      <c r="D1122" s="21" t="s">
        <v>2539</v>
      </c>
      <c r="E1122" s="24">
        <v>77</v>
      </c>
      <c r="G1122" s="2">
        <f t="shared" si="79"/>
        <v>1103</v>
      </c>
      <c r="H1122" s="5">
        <v>0</v>
      </c>
      <c r="I1122" s="13">
        <v>32</v>
      </c>
      <c r="L1122" s="4"/>
      <c r="M1122" s="7"/>
      <c r="O1122" s="7"/>
      <c r="T1122" s="7"/>
    </row>
    <row r="1123" spans="2:20" x14ac:dyDescent="0.3">
      <c r="B1123" s="18" t="s">
        <v>2540</v>
      </c>
      <c r="C1123" s="13">
        <v>53</v>
      </c>
      <c r="D1123" s="21" t="s">
        <v>2541</v>
      </c>
      <c r="E1123" s="24">
        <v>78</v>
      </c>
      <c r="G1123" s="2">
        <f t="shared" si="79"/>
        <v>1104</v>
      </c>
      <c r="H1123" s="5">
        <v>0</v>
      </c>
      <c r="I1123" s="13">
        <v>32</v>
      </c>
      <c r="L1123" s="4"/>
      <c r="M1123" s="7"/>
      <c r="O1123" s="7"/>
      <c r="T1123" s="7"/>
    </row>
    <row r="1124" spans="2:20" x14ac:dyDescent="0.3">
      <c r="B1124" s="18" t="s">
        <v>2542</v>
      </c>
      <c r="C1124" s="13">
        <v>52</v>
      </c>
      <c r="D1124" s="21" t="s">
        <v>2543</v>
      </c>
      <c r="E1124" s="24">
        <v>79</v>
      </c>
      <c r="G1124" s="2">
        <f t="shared" si="79"/>
        <v>1105</v>
      </c>
      <c r="H1124" s="5">
        <v>0</v>
      </c>
      <c r="I1124" s="13">
        <v>32</v>
      </c>
      <c r="L1124" s="4"/>
      <c r="M1124" s="7"/>
      <c r="O1124" s="7"/>
      <c r="T1124" s="7"/>
    </row>
    <row r="1125" spans="2:20" x14ac:dyDescent="0.3">
      <c r="B1125" s="18" t="s">
        <v>2544</v>
      </c>
      <c r="C1125" s="13">
        <v>51</v>
      </c>
      <c r="D1125" s="21" t="s">
        <v>2545</v>
      </c>
      <c r="E1125" s="24">
        <v>80</v>
      </c>
      <c r="G1125" s="2">
        <f t="shared" si="79"/>
        <v>1106</v>
      </c>
      <c r="H1125" s="5">
        <v>0</v>
      </c>
      <c r="I1125" s="13">
        <v>32</v>
      </c>
      <c r="L1125" s="4"/>
      <c r="M1125" s="7"/>
      <c r="O1125" s="7"/>
      <c r="T1125" s="7"/>
    </row>
    <row r="1126" spans="2:20" x14ac:dyDescent="0.3">
      <c r="B1126" s="18" t="s">
        <v>2546</v>
      </c>
      <c r="C1126" s="13">
        <v>50</v>
      </c>
      <c r="D1126" s="21" t="s">
        <v>2547</v>
      </c>
      <c r="E1126" s="24">
        <v>81</v>
      </c>
      <c r="G1126" s="2">
        <f t="shared" si="79"/>
        <v>1107</v>
      </c>
      <c r="H1126" s="5">
        <v>0</v>
      </c>
      <c r="I1126" s="13">
        <v>32</v>
      </c>
      <c r="L1126" s="4"/>
      <c r="M1126" s="7"/>
      <c r="O1126" s="7"/>
      <c r="T1126" s="7"/>
    </row>
    <row r="1127" spans="2:20" x14ac:dyDescent="0.3">
      <c r="B1127" s="18" t="s">
        <v>2548</v>
      </c>
      <c r="C1127" s="13">
        <v>49</v>
      </c>
      <c r="D1127" s="21" t="s">
        <v>2549</v>
      </c>
      <c r="E1127" s="24">
        <v>82</v>
      </c>
      <c r="G1127" s="2">
        <f t="shared" si="79"/>
        <v>1108</v>
      </c>
      <c r="H1127" s="5">
        <v>0</v>
      </c>
      <c r="I1127" s="13">
        <v>32</v>
      </c>
      <c r="L1127" s="4"/>
      <c r="M1127" s="7"/>
      <c r="O1127" s="7"/>
      <c r="T1127" s="7"/>
    </row>
    <row r="1128" spans="2:20" x14ac:dyDescent="0.3">
      <c r="B1128" s="18" t="s">
        <v>2550</v>
      </c>
      <c r="C1128" s="13">
        <v>48</v>
      </c>
      <c r="D1128" s="21" t="s">
        <v>2551</v>
      </c>
      <c r="E1128" s="24">
        <v>57</v>
      </c>
      <c r="G1128" s="2">
        <f t="shared" si="79"/>
        <v>1109</v>
      </c>
      <c r="H1128" s="5">
        <v>0</v>
      </c>
      <c r="I1128" s="13">
        <v>32</v>
      </c>
      <c r="L1128" s="4"/>
      <c r="M1128" s="7"/>
      <c r="O1128" s="7"/>
      <c r="T1128" s="7"/>
    </row>
    <row r="1129" spans="2:20" x14ac:dyDescent="0.3">
      <c r="B1129" s="18" t="s">
        <v>2552</v>
      </c>
      <c r="C1129" s="13">
        <v>57</v>
      </c>
      <c r="D1129" s="21" t="s">
        <v>2553</v>
      </c>
      <c r="E1129" s="24">
        <v>58</v>
      </c>
      <c r="G1129" s="2">
        <f t="shared" si="79"/>
        <v>1110</v>
      </c>
      <c r="H1129" s="5">
        <v>0</v>
      </c>
      <c r="I1129" s="13">
        <v>32</v>
      </c>
      <c r="L1129" s="4"/>
      <c r="M1129" s="7"/>
      <c r="O1129" s="7"/>
      <c r="T1129" s="7"/>
    </row>
    <row r="1130" spans="2:20" x14ac:dyDescent="0.3">
      <c r="B1130" s="18" t="s">
        <v>2554</v>
      </c>
      <c r="C1130" s="13">
        <v>66</v>
      </c>
      <c r="D1130" s="21" t="s">
        <v>2555</v>
      </c>
      <c r="E1130" s="24">
        <v>59</v>
      </c>
      <c r="G1130" s="2">
        <f t="shared" si="79"/>
        <v>1111</v>
      </c>
      <c r="H1130" s="5">
        <v>0</v>
      </c>
      <c r="I1130" s="13">
        <v>32</v>
      </c>
      <c r="L1130" s="4"/>
      <c r="M1130" s="7"/>
      <c r="O1130" s="7"/>
      <c r="T1130" s="7"/>
    </row>
    <row r="1131" spans="2:20" x14ac:dyDescent="0.3">
      <c r="B1131" s="18" t="s">
        <v>2556</v>
      </c>
      <c r="C1131" s="13">
        <v>67</v>
      </c>
      <c r="D1131" s="21" t="s">
        <v>2557</v>
      </c>
      <c r="E1131" s="24">
        <v>60</v>
      </c>
      <c r="G1131" s="2">
        <f t="shared" si="79"/>
        <v>1112</v>
      </c>
      <c r="H1131" s="5">
        <v>0</v>
      </c>
      <c r="I1131" s="13">
        <v>32</v>
      </c>
      <c r="L1131" s="4"/>
      <c r="M1131" s="7"/>
      <c r="O1131" s="7"/>
      <c r="T1131" s="7"/>
    </row>
    <row r="1132" spans="2:20" x14ac:dyDescent="0.3">
      <c r="B1132" s="18" t="s">
        <v>2558</v>
      </c>
      <c r="C1132" s="13">
        <v>68</v>
      </c>
      <c r="D1132" s="21" t="s">
        <v>2559</v>
      </c>
      <c r="E1132" s="24">
        <v>61</v>
      </c>
      <c r="G1132" s="2">
        <f t="shared" si="79"/>
        <v>1113</v>
      </c>
      <c r="H1132" s="5">
        <v>0</v>
      </c>
      <c r="I1132" s="13">
        <v>32</v>
      </c>
      <c r="L1132" s="4"/>
      <c r="M1132" s="7"/>
      <c r="O1132" s="7"/>
      <c r="T1132" s="7"/>
    </row>
    <row r="1133" spans="2:20" x14ac:dyDescent="0.3">
      <c r="B1133" s="18" t="s">
        <v>2560</v>
      </c>
      <c r="C1133" s="13">
        <v>69</v>
      </c>
      <c r="D1133" s="21" t="s">
        <v>2561</v>
      </c>
      <c r="E1133" s="24">
        <v>62</v>
      </c>
      <c r="G1133" s="2">
        <f t="shared" si="79"/>
        <v>1114</v>
      </c>
      <c r="H1133" s="5">
        <v>0</v>
      </c>
      <c r="I1133" s="13">
        <v>32</v>
      </c>
      <c r="L1133" s="4"/>
      <c r="M1133" s="7"/>
      <c r="O1133" s="7"/>
    </row>
    <row r="1134" spans="2:20" x14ac:dyDescent="0.3">
      <c r="B1134" s="18" t="s">
        <v>2562</v>
      </c>
      <c r="C1134" s="13">
        <v>70</v>
      </c>
      <c r="D1134" s="21" t="s">
        <v>2563</v>
      </c>
      <c r="E1134" s="24">
        <v>63</v>
      </c>
      <c r="G1134" s="2">
        <f t="shared" si="79"/>
        <v>1115</v>
      </c>
      <c r="H1134" s="5">
        <v>0</v>
      </c>
      <c r="I1134" s="13">
        <v>32</v>
      </c>
      <c r="L1134" s="4"/>
      <c r="M1134" s="7"/>
      <c r="O1134" s="7"/>
      <c r="T1134" s="7"/>
    </row>
    <row r="1135" spans="2:20" x14ac:dyDescent="0.3">
      <c r="B1135" s="18" t="s">
        <v>2564</v>
      </c>
      <c r="C1135" s="13">
        <v>71</v>
      </c>
      <c r="D1135" s="21" t="s">
        <v>2565</v>
      </c>
      <c r="E1135" s="24">
        <v>64</v>
      </c>
      <c r="G1135" s="2">
        <f t="shared" si="79"/>
        <v>1116</v>
      </c>
      <c r="H1135" s="5">
        <v>0</v>
      </c>
      <c r="I1135" s="13">
        <v>32</v>
      </c>
      <c r="L1135" s="4"/>
      <c r="M1135" s="7"/>
      <c r="O1135" s="7"/>
      <c r="T1135" s="7"/>
    </row>
    <row r="1136" spans="2:20" x14ac:dyDescent="0.3">
      <c r="B1136" s="18" t="s">
        <v>2566</v>
      </c>
      <c r="C1136" s="13">
        <v>72</v>
      </c>
      <c r="D1136" s="21" t="s">
        <v>2567</v>
      </c>
      <c r="E1136" s="24">
        <v>65</v>
      </c>
      <c r="G1136" s="2">
        <f t="shared" si="79"/>
        <v>1117</v>
      </c>
      <c r="H1136" s="5">
        <v>0</v>
      </c>
      <c r="I1136" s="13">
        <v>32</v>
      </c>
      <c r="L1136" s="4"/>
      <c r="M1136" s="7"/>
      <c r="O1136" s="7"/>
      <c r="T1136" s="7"/>
    </row>
    <row r="1137" spans="2:20" x14ac:dyDescent="0.3">
      <c r="B1137" s="18" t="s">
        <v>2568</v>
      </c>
      <c r="C1137" s="13">
        <v>73</v>
      </c>
      <c r="D1137" s="21" t="s">
        <v>2569</v>
      </c>
      <c r="E1137" s="24">
        <v>83</v>
      </c>
      <c r="G1137" s="2">
        <f t="shared" si="79"/>
        <v>1118</v>
      </c>
      <c r="H1137" s="5">
        <v>0</v>
      </c>
      <c r="I1137" s="13">
        <v>32</v>
      </c>
      <c r="L1137" s="4"/>
      <c r="M1137" s="7"/>
      <c r="O1137" s="7"/>
      <c r="T1137" s="7"/>
    </row>
    <row r="1138" spans="2:20" x14ac:dyDescent="0.3">
      <c r="B1138" s="18" t="s">
        <v>2570</v>
      </c>
      <c r="C1138" s="13">
        <v>74</v>
      </c>
      <c r="D1138" s="21" t="s">
        <v>2571</v>
      </c>
      <c r="E1138" s="24">
        <v>66</v>
      </c>
      <c r="G1138" s="2">
        <f t="shared" si="79"/>
        <v>1119</v>
      </c>
      <c r="H1138" s="5">
        <v>0</v>
      </c>
      <c r="I1138" s="13">
        <v>32</v>
      </c>
      <c r="L1138" s="4"/>
      <c r="M1138" s="7"/>
      <c r="O1138" s="7"/>
      <c r="T1138" s="7"/>
    </row>
    <row r="1139" spans="2:20" x14ac:dyDescent="0.3">
      <c r="B1139" s="18" t="s">
        <v>2572</v>
      </c>
      <c r="C1139" s="13">
        <v>75</v>
      </c>
      <c r="D1139" s="21" t="s">
        <v>2573</v>
      </c>
      <c r="E1139" s="24">
        <v>67</v>
      </c>
      <c r="G1139" s="2">
        <f t="shared" si="79"/>
        <v>1120</v>
      </c>
      <c r="H1139" s="5">
        <v>0</v>
      </c>
      <c r="I1139" s="13">
        <v>32</v>
      </c>
      <c r="L1139" s="4"/>
      <c r="M1139" s="7"/>
      <c r="O1139" s="7"/>
      <c r="T1139" s="7"/>
    </row>
    <row r="1140" spans="2:20" x14ac:dyDescent="0.3">
      <c r="B1140" s="18" t="s">
        <v>2574</v>
      </c>
      <c r="C1140" s="13">
        <v>58</v>
      </c>
      <c r="D1140" s="21" t="s">
        <v>2575</v>
      </c>
      <c r="E1140" s="24">
        <v>68</v>
      </c>
      <c r="G1140" s="2">
        <f t="shared" si="79"/>
        <v>1121</v>
      </c>
      <c r="H1140" s="5">
        <v>0</v>
      </c>
      <c r="I1140" s="13">
        <v>32</v>
      </c>
      <c r="L1140" s="4"/>
      <c r="M1140" s="7"/>
      <c r="O1140" s="7"/>
      <c r="T1140" s="7"/>
    </row>
    <row r="1141" spans="2:20" x14ac:dyDescent="0.3">
      <c r="B1141" s="18" t="s">
        <v>2576</v>
      </c>
      <c r="C1141" s="13">
        <v>76</v>
      </c>
      <c r="D1141" s="21" t="s">
        <v>2577</v>
      </c>
      <c r="E1141" s="24">
        <v>69</v>
      </c>
      <c r="G1141" s="2">
        <f t="shared" si="79"/>
        <v>1122</v>
      </c>
      <c r="H1141" s="5">
        <v>0</v>
      </c>
      <c r="I1141" s="13">
        <v>32</v>
      </c>
      <c r="L1141" s="4"/>
      <c r="M1141" s="7"/>
      <c r="O1141" s="7"/>
      <c r="T1141" s="7"/>
    </row>
    <row r="1142" spans="2:20" x14ac:dyDescent="0.3">
      <c r="B1142" s="18" t="s">
        <v>2578</v>
      </c>
      <c r="C1142" s="13">
        <v>77</v>
      </c>
      <c r="D1142" s="21" t="s">
        <v>2579</v>
      </c>
      <c r="E1142" s="24">
        <v>70</v>
      </c>
      <c r="G1142" s="2">
        <f t="shared" si="79"/>
        <v>1123</v>
      </c>
      <c r="H1142" s="5">
        <v>0</v>
      </c>
      <c r="I1142" s="13">
        <v>32</v>
      </c>
      <c r="L1142" s="4"/>
      <c r="M1142" s="7"/>
      <c r="O1142" s="7"/>
      <c r="T1142" s="7"/>
    </row>
    <row r="1143" spans="2:20" x14ac:dyDescent="0.3">
      <c r="B1143" s="18" t="s">
        <v>2580</v>
      </c>
      <c r="C1143" s="13">
        <v>78</v>
      </c>
      <c r="D1143" s="21" t="s">
        <v>2581</v>
      </c>
      <c r="E1143" s="24">
        <v>71</v>
      </c>
      <c r="G1143" s="2">
        <f t="shared" si="79"/>
        <v>1124</v>
      </c>
      <c r="H1143" s="5">
        <v>0</v>
      </c>
      <c r="I1143" s="13">
        <v>32</v>
      </c>
      <c r="L1143" s="4"/>
      <c r="M1143" s="7"/>
      <c r="O1143" s="7"/>
      <c r="T1143" s="7"/>
    </row>
    <row r="1144" spans="2:20" x14ac:dyDescent="0.3">
      <c r="B1144" s="18" t="s">
        <v>2582</v>
      </c>
      <c r="C1144" s="13">
        <v>79</v>
      </c>
      <c r="D1144" s="21" t="s">
        <v>2583</v>
      </c>
      <c r="E1144" s="24">
        <v>72</v>
      </c>
      <c r="G1144" s="2">
        <f t="shared" si="79"/>
        <v>1125</v>
      </c>
      <c r="H1144" s="5">
        <v>0</v>
      </c>
      <c r="I1144" s="13">
        <v>32</v>
      </c>
      <c r="L1144" s="4"/>
      <c r="M1144" s="7"/>
      <c r="O1144" s="7"/>
      <c r="T1144" s="7"/>
    </row>
    <row r="1145" spans="2:20" x14ac:dyDescent="0.3">
      <c r="B1145" s="18" t="s">
        <v>2584</v>
      </c>
      <c r="C1145" s="13">
        <v>80</v>
      </c>
      <c r="D1145" s="21" t="s">
        <v>2585</v>
      </c>
      <c r="E1145" s="24">
        <v>73</v>
      </c>
      <c r="G1145" s="2">
        <f t="shared" si="79"/>
        <v>1126</v>
      </c>
      <c r="H1145" s="5">
        <v>0</v>
      </c>
      <c r="I1145" s="13">
        <v>32</v>
      </c>
      <c r="L1145" s="4"/>
      <c r="M1145" s="7"/>
      <c r="O1145" s="7"/>
      <c r="T1145" s="7"/>
    </row>
    <row r="1146" spans="2:20" x14ac:dyDescent="0.3">
      <c r="B1146" s="18" t="s">
        <v>2586</v>
      </c>
      <c r="C1146" s="13">
        <v>81</v>
      </c>
      <c r="D1146" s="21" t="s">
        <v>2587</v>
      </c>
      <c r="E1146" s="24">
        <v>74</v>
      </c>
      <c r="G1146" s="2">
        <f t="shared" si="79"/>
        <v>1127</v>
      </c>
      <c r="H1146" s="5">
        <v>0</v>
      </c>
      <c r="I1146" s="13">
        <v>32</v>
      </c>
      <c r="L1146" s="4"/>
      <c r="M1146" s="7"/>
      <c r="O1146" s="7"/>
      <c r="T1146" s="7"/>
    </row>
    <row r="1147" spans="2:20" x14ac:dyDescent="0.3">
      <c r="B1147" s="18" t="s">
        <v>2588</v>
      </c>
      <c r="C1147" s="13">
        <v>82</v>
      </c>
      <c r="D1147" s="21" t="s">
        <v>2589</v>
      </c>
      <c r="E1147" s="24">
        <v>75</v>
      </c>
      <c r="G1147" s="2">
        <f t="shared" si="79"/>
        <v>1128</v>
      </c>
      <c r="H1147" s="5">
        <v>0</v>
      </c>
      <c r="I1147" s="13">
        <v>32</v>
      </c>
      <c r="L1147" s="4"/>
      <c r="M1147" s="7"/>
      <c r="O1147" s="7"/>
      <c r="T1147" s="7"/>
    </row>
    <row r="1148" spans="2:20" x14ac:dyDescent="0.3">
      <c r="B1148" s="18" t="s">
        <v>2590</v>
      </c>
      <c r="C1148" s="13">
        <v>83</v>
      </c>
      <c r="D1148" s="21" t="s">
        <v>2591</v>
      </c>
      <c r="E1148" s="24">
        <v>84</v>
      </c>
      <c r="G1148" s="2">
        <f t="shared" si="79"/>
        <v>1129</v>
      </c>
      <c r="H1148" s="5">
        <v>0</v>
      </c>
      <c r="I1148" s="13">
        <v>32</v>
      </c>
      <c r="L1148" s="4"/>
      <c r="M1148" s="7"/>
      <c r="O1148" s="7"/>
      <c r="T1148" s="7"/>
    </row>
    <row r="1149" spans="2:20" x14ac:dyDescent="0.3">
      <c r="B1149" s="18" t="s">
        <v>2592</v>
      </c>
      <c r="C1149" s="13">
        <v>84</v>
      </c>
      <c r="D1149" s="21" t="s">
        <v>2593</v>
      </c>
      <c r="E1149" s="24">
        <v>37</v>
      </c>
      <c r="G1149" s="2">
        <f t="shared" si="79"/>
        <v>1130</v>
      </c>
      <c r="H1149" s="5">
        <v>0</v>
      </c>
      <c r="I1149" s="13">
        <v>32</v>
      </c>
      <c r="L1149" s="4"/>
      <c r="M1149" s="7"/>
      <c r="O1149" s="7"/>
      <c r="T1149" s="7"/>
    </row>
    <row r="1150" spans="2:20" x14ac:dyDescent="0.3">
      <c r="B1150" s="18" t="s">
        <v>2594</v>
      </c>
      <c r="C1150" s="13">
        <v>59</v>
      </c>
      <c r="D1150" s="21" t="s">
        <v>2595</v>
      </c>
      <c r="E1150" s="24">
        <v>36</v>
      </c>
      <c r="G1150" s="2">
        <f t="shared" si="79"/>
        <v>1131</v>
      </c>
      <c r="H1150" s="5">
        <v>0</v>
      </c>
      <c r="I1150" s="13">
        <v>32</v>
      </c>
      <c r="L1150" s="4"/>
      <c r="M1150" s="7"/>
      <c r="O1150" s="7"/>
      <c r="T1150" s="7"/>
    </row>
    <row r="1151" spans="2:20" x14ac:dyDescent="0.3">
      <c r="B1151" s="18" t="s">
        <v>2596</v>
      </c>
      <c r="C1151" s="13">
        <v>60</v>
      </c>
      <c r="D1151" s="21" t="s">
        <v>2597</v>
      </c>
      <c r="E1151" s="24">
        <v>35</v>
      </c>
      <c r="G1151" s="2">
        <f t="shared" si="79"/>
        <v>1132</v>
      </c>
      <c r="H1151" s="5">
        <v>0</v>
      </c>
      <c r="I1151" s="13">
        <v>32</v>
      </c>
      <c r="L1151" s="4"/>
      <c r="M1151" s="7"/>
      <c r="O1151" s="7"/>
      <c r="T1151" s="7"/>
    </row>
    <row r="1152" spans="2:20" x14ac:dyDescent="0.3">
      <c r="B1152" s="18" t="s">
        <v>2598</v>
      </c>
      <c r="C1152" s="13">
        <v>61</v>
      </c>
      <c r="D1152" s="21" t="s">
        <v>2599</v>
      </c>
      <c r="E1152" s="24">
        <v>34</v>
      </c>
      <c r="G1152" s="2">
        <f t="shared" si="79"/>
        <v>1133</v>
      </c>
      <c r="H1152" s="5">
        <v>0</v>
      </c>
      <c r="I1152" s="13">
        <v>32</v>
      </c>
      <c r="L1152" s="4"/>
      <c r="M1152" s="7"/>
      <c r="O1152" s="7"/>
      <c r="T1152" s="7"/>
    </row>
    <row r="1153" spans="2:20" x14ac:dyDescent="0.3">
      <c r="B1153" s="18" t="s">
        <v>2600</v>
      </c>
      <c r="C1153" s="13">
        <v>62</v>
      </c>
      <c r="D1153" s="21" t="s">
        <v>2601</v>
      </c>
      <c r="E1153" s="24">
        <v>33</v>
      </c>
      <c r="G1153" s="2">
        <f t="shared" si="79"/>
        <v>1134</v>
      </c>
      <c r="H1153" s="5">
        <v>0</v>
      </c>
      <c r="I1153" s="13">
        <v>32</v>
      </c>
      <c r="L1153" s="4"/>
      <c r="M1153" s="7"/>
      <c r="O1153" s="7"/>
      <c r="T1153" s="7"/>
    </row>
    <row r="1154" spans="2:20" x14ac:dyDescent="0.3">
      <c r="B1154" s="18" t="s">
        <v>2602</v>
      </c>
      <c r="C1154" s="13">
        <v>63</v>
      </c>
      <c r="D1154" s="21" t="s">
        <v>2603</v>
      </c>
      <c r="E1154" s="24">
        <v>32</v>
      </c>
      <c r="G1154" s="2">
        <f t="shared" si="79"/>
        <v>1135</v>
      </c>
      <c r="H1154" s="5">
        <v>0</v>
      </c>
      <c r="I1154" s="13">
        <v>32</v>
      </c>
      <c r="L1154" s="4"/>
      <c r="M1154" s="7"/>
      <c r="O1154" s="7"/>
      <c r="T1154" s="7"/>
    </row>
    <row r="1155" spans="2:20" x14ac:dyDescent="0.3">
      <c r="B1155" s="18" t="s">
        <v>2604</v>
      </c>
      <c r="C1155" s="13">
        <v>64</v>
      </c>
      <c r="D1155" s="21" t="s">
        <v>2605</v>
      </c>
      <c r="E1155" s="24">
        <v>31</v>
      </c>
      <c r="G1155" s="2">
        <f t="shared" si="79"/>
        <v>1136</v>
      </c>
      <c r="H1155" s="5">
        <v>0</v>
      </c>
      <c r="I1155" s="13">
        <v>32</v>
      </c>
      <c r="L1155" s="4"/>
      <c r="M1155" s="7"/>
      <c r="O1155" s="7"/>
      <c r="T1155" s="7"/>
    </row>
    <row r="1156" spans="2:20" x14ac:dyDescent="0.3">
      <c r="B1156" s="18" t="s">
        <v>2606</v>
      </c>
      <c r="C1156" s="13">
        <v>65</v>
      </c>
      <c r="D1156" s="21" t="s">
        <v>2607</v>
      </c>
      <c r="E1156" s="24">
        <v>56</v>
      </c>
      <c r="G1156" s="2">
        <f t="shared" si="79"/>
        <v>1137</v>
      </c>
      <c r="H1156" s="5">
        <v>0</v>
      </c>
      <c r="I1156" s="13">
        <v>32</v>
      </c>
      <c r="L1156" s="4"/>
      <c r="M1156" s="7"/>
      <c r="O1156" s="7"/>
      <c r="T1156" s="7"/>
    </row>
    <row r="1157" spans="2:20" x14ac:dyDescent="0.3">
      <c r="B1157" s="18" t="s">
        <v>2608</v>
      </c>
      <c r="C1157" s="13">
        <v>103</v>
      </c>
      <c r="D1157" s="21" t="s">
        <v>2609</v>
      </c>
      <c r="E1157" s="24">
        <v>55</v>
      </c>
      <c r="G1157" s="2">
        <f t="shared" si="79"/>
        <v>1138</v>
      </c>
      <c r="H1157" s="5">
        <v>0</v>
      </c>
      <c r="I1157" s="13">
        <v>32</v>
      </c>
      <c r="L1157" s="4"/>
      <c r="M1157" s="7"/>
      <c r="O1157" s="7"/>
      <c r="T1157" s="7"/>
    </row>
    <row r="1158" spans="2:20" x14ac:dyDescent="0.3">
      <c r="B1158" s="18" t="s">
        <v>2610</v>
      </c>
      <c r="C1158" s="13">
        <v>102</v>
      </c>
      <c r="D1158" s="21" t="s">
        <v>2611</v>
      </c>
      <c r="E1158" s="24">
        <v>54</v>
      </c>
      <c r="G1158" s="2">
        <f t="shared" si="79"/>
        <v>1139</v>
      </c>
      <c r="H1158" s="5">
        <v>0</v>
      </c>
      <c r="I1158" s="13">
        <v>32</v>
      </c>
      <c r="L1158" s="4"/>
      <c r="M1158" s="7"/>
      <c r="O1158" s="7"/>
      <c r="T1158" s="7"/>
    </row>
    <row r="1159" spans="2:20" x14ac:dyDescent="0.3">
      <c r="B1159" s="18" t="s">
        <v>2612</v>
      </c>
      <c r="C1159" s="13">
        <v>101</v>
      </c>
      <c r="D1159" s="21" t="s">
        <v>2613</v>
      </c>
      <c r="E1159" s="24">
        <v>53</v>
      </c>
      <c r="G1159" s="2">
        <f t="shared" si="79"/>
        <v>1140</v>
      </c>
      <c r="H1159" s="5">
        <v>0</v>
      </c>
      <c r="I1159" s="13">
        <v>32</v>
      </c>
      <c r="L1159" s="4"/>
      <c r="M1159" s="7"/>
      <c r="O1159" s="7"/>
      <c r="T1159" s="7"/>
    </row>
    <row r="1160" spans="2:20" x14ac:dyDescent="0.3">
      <c r="B1160" s="18" t="s">
        <v>2614</v>
      </c>
      <c r="C1160" s="13">
        <v>100</v>
      </c>
      <c r="D1160" s="21" t="s">
        <v>2615</v>
      </c>
      <c r="E1160" s="24">
        <v>52</v>
      </c>
      <c r="G1160" s="2">
        <f t="shared" si="79"/>
        <v>1141</v>
      </c>
      <c r="H1160" s="5">
        <v>0</v>
      </c>
      <c r="I1160" s="13">
        <v>32</v>
      </c>
      <c r="L1160" s="4"/>
      <c r="M1160" s="7"/>
      <c r="O1160" s="7"/>
      <c r="T1160" s="7"/>
    </row>
    <row r="1161" spans="2:20" x14ac:dyDescent="0.3">
      <c r="B1161" s="18" t="s">
        <v>2616</v>
      </c>
      <c r="C1161" s="13">
        <v>99</v>
      </c>
      <c r="D1161" s="21" t="s">
        <v>2617</v>
      </c>
      <c r="E1161" s="24">
        <v>51</v>
      </c>
      <c r="G1161" s="2">
        <f t="shared" si="79"/>
        <v>1142</v>
      </c>
      <c r="H1161" s="5">
        <v>0</v>
      </c>
      <c r="I1161" s="13">
        <v>32</v>
      </c>
      <c r="L1161" s="4"/>
      <c r="M1161" s="7"/>
      <c r="O1161" s="7"/>
      <c r="T1161" s="7"/>
    </row>
    <row r="1162" spans="2:20" x14ac:dyDescent="0.3">
      <c r="B1162" s="18" t="s">
        <v>2618</v>
      </c>
      <c r="C1162" s="13">
        <v>98</v>
      </c>
      <c r="D1162" s="21" t="s">
        <v>2619</v>
      </c>
      <c r="E1162" s="24">
        <v>50</v>
      </c>
      <c r="G1162" s="2">
        <f t="shared" si="79"/>
        <v>1143</v>
      </c>
      <c r="H1162" s="5">
        <v>0</v>
      </c>
      <c r="I1162" s="13">
        <v>32</v>
      </c>
      <c r="L1162" s="4"/>
      <c r="M1162" s="7"/>
      <c r="O1162" s="7"/>
      <c r="T1162" s="7"/>
    </row>
    <row r="1163" spans="2:20" x14ac:dyDescent="0.3">
      <c r="B1163" s="18" t="s">
        <v>2620</v>
      </c>
      <c r="C1163" s="13">
        <v>97</v>
      </c>
      <c r="D1163" s="21" t="s">
        <v>2621</v>
      </c>
      <c r="E1163" s="24">
        <v>49</v>
      </c>
      <c r="G1163" s="2">
        <f t="shared" si="79"/>
        <v>1144</v>
      </c>
      <c r="H1163" s="5">
        <v>0</v>
      </c>
      <c r="I1163" s="13">
        <v>32</v>
      </c>
      <c r="L1163" s="4"/>
      <c r="M1163" s="7"/>
      <c r="O1163" s="7"/>
      <c r="T1163" s="7"/>
    </row>
    <row r="1164" spans="2:20" x14ac:dyDescent="0.3">
      <c r="B1164" s="18" t="s">
        <v>2622</v>
      </c>
      <c r="C1164" s="13">
        <v>96</v>
      </c>
      <c r="D1164" s="21" t="s">
        <v>2623</v>
      </c>
      <c r="E1164" s="24">
        <v>48</v>
      </c>
      <c r="G1164" s="2">
        <f t="shared" ref="G1164:G1227" si="80">G1163+1</f>
        <v>1145</v>
      </c>
      <c r="H1164" s="5">
        <v>0</v>
      </c>
      <c r="I1164" s="13">
        <v>32</v>
      </c>
      <c r="L1164" s="4"/>
      <c r="M1164" s="7"/>
      <c r="O1164" s="7"/>
      <c r="T1164" s="7"/>
    </row>
    <row r="1165" spans="2:20" x14ac:dyDescent="0.3">
      <c r="B1165" s="18" t="s">
        <v>2624</v>
      </c>
      <c r="C1165" s="13">
        <v>95</v>
      </c>
      <c r="D1165" s="21" t="s">
        <v>2625</v>
      </c>
      <c r="E1165" s="24">
        <v>30</v>
      </c>
      <c r="G1165" s="2">
        <f t="shared" si="80"/>
        <v>1146</v>
      </c>
      <c r="H1165" s="5">
        <v>0</v>
      </c>
      <c r="I1165" s="13">
        <v>32</v>
      </c>
      <c r="L1165" s="4"/>
      <c r="M1165" s="7"/>
      <c r="O1165" s="7"/>
      <c r="T1165" s="7"/>
    </row>
    <row r="1166" spans="2:20" x14ac:dyDescent="0.3">
      <c r="B1166" s="18" t="s">
        <v>2626</v>
      </c>
      <c r="C1166" s="13">
        <v>94</v>
      </c>
      <c r="D1166" s="21" t="s">
        <v>2627</v>
      </c>
      <c r="E1166" s="24">
        <v>47</v>
      </c>
      <c r="G1166" s="2">
        <f t="shared" si="80"/>
        <v>1147</v>
      </c>
      <c r="H1166" s="5">
        <v>0</v>
      </c>
      <c r="I1166" s="13">
        <v>32</v>
      </c>
      <c r="L1166" s="4"/>
      <c r="M1166" s="7"/>
      <c r="O1166" s="7"/>
      <c r="T1166" s="7"/>
    </row>
    <row r="1167" spans="2:20" x14ac:dyDescent="0.3">
      <c r="B1167" s="18" t="s">
        <v>2628</v>
      </c>
      <c r="C1167" s="13">
        <v>93</v>
      </c>
      <c r="D1167" s="21" t="s">
        <v>2629</v>
      </c>
      <c r="E1167" s="24">
        <v>46</v>
      </c>
      <c r="G1167" s="2">
        <f t="shared" si="80"/>
        <v>1148</v>
      </c>
      <c r="H1167" s="5">
        <v>0</v>
      </c>
      <c r="I1167" s="13">
        <v>32</v>
      </c>
      <c r="L1167" s="4"/>
      <c r="M1167" s="7"/>
      <c r="O1167" s="7"/>
      <c r="T1167" s="7"/>
    </row>
    <row r="1168" spans="2:20" x14ac:dyDescent="0.3">
      <c r="B1168" s="18" t="s">
        <v>2630</v>
      </c>
      <c r="C1168" s="13">
        <v>92</v>
      </c>
      <c r="D1168" s="21" t="s">
        <v>2631</v>
      </c>
      <c r="E1168" s="24">
        <v>45</v>
      </c>
      <c r="G1168" s="2">
        <f t="shared" si="80"/>
        <v>1149</v>
      </c>
      <c r="H1168" s="5">
        <v>0</v>
      </c>
      <c r="I1168" s="13">
        <v>32</v>
      </c>
      <c r="L1168" s="4"/>
      <c r="M1168" s="7"/>
      <c r="O1168" s="7"/>
      <c r="T1168" s="7"/>
    </row>
    <row r="1169" spans="2:20" x14ac:dyDescent="0.3">
      <c r="B1169" s="18" t="s">
        <v>2632</v>
      </c>
      <c r="C1169" s="13">
        <v>91</v>
      </c>
      <c r="D1169" s="21" t="s">
        <v>2633</v>
      </c>
      <c r="E1169" s="24">
        <v>44</v>
      </c>
      <c r="G1169" s="2">
        <f t="shared" si="80"/>
        <v>1150</v>
      </c>
      <c r="H1169" s="5">
        <v>0</v>
      </c>
      <c r="I1169" s="13">
        <v>32</v>
      </c>
      <c r="L1169" s="4"/>
      <c r="M1169" s="7"/>
      <c r="O1169" s="7"/>
      <c r="T1169" s="7"/>
    </row>
    <row r="1170" spans="2:20" x14ac:dyDescent="0.3">
      <c r="B1170" s="18" t="s">
        <v>2634</v>
      </c>
      <c r="C1170" s="13">
        <v>90</v>
      </c>
      <c r="D1170" s="21" t="s">
        <v>2635</v>
      </c>
      <c r="E1170" s="24">
        <v>43</v>
      </c>
      <c r="G1170" s="2">
        <f t="shared" si="80"/>
        <v>1151</v>
      </c>
      <c r="H1170" s="5">
        <v>0</v>
      </c>
      <c r="I1170" s="13">
        <v>32</v>
      </c>
      <c r="L1170" s="4"/>
      <c r="M1170" s="7"/>
      <c r="O1170" s="7"/>
      <c r="T1170" s="7"/>
    </row>
    <row r="1171" spans="2:20" x14ac:dyDescent="0.3">
      <c r="B1171" s="18" t="s">
        <v>2636</v>
      </c>
      <c r="C1171" s="13">
        <v>89</v>
      </c>
      <c r="D1171" s="21" t="s">
        <v>2637</v>
      </c>
      <c r="E1171" s="24">
        <v>42</v>
      </c>
      <c r="G1171" s="2">
        <f t="shared" si="80"/>
        <v>1152</v>
      </c>
      <c r="H1171" s="5">
        <v>0</v>
      </c>
      <c r="I1171" s="13">
        <v>32</v>
      </c>
      <c r="L1171" s="4"/>
      <c r="M1171" s="7"/>
      <c r="O1171" s="7"/>
      <c r="T1171" s="7"/>
    </row>
    <row r="1172" spans="2:20" x14ac:dyDescent="0.3">
      <c r="B1172" s="18" t="s">
        <v>2638</v>
      </c>
      <c r="C1172" s="13">
        <v>88</v>
      </c>
      <c r="D1172" s="21" t="s">
        <v>2639</v>
      </c>
      <c r="E1172" s="24">
        <v>41</v>
      </c>
      <c r="G1172" s="2">
        <f t="shared" si="80"/>
        <v>1153</v>
      </c>
      <c r="H1172" s="5">
        <v>0</v>
      </c>
      <c r="I1172" s="13">
        <v>32</v>
      </c>
      <c r="L1172" s="4"/>
      <c r="M1172" s="7"/>
      <c r="O1172" s="7"/>
      <c r="T1172" s="7"/>
    </row>
    <row r="1173" spans="2:20" x14ac:dyDescent="0.3">
      <c r="B1173" s="18" t="s">
        <v>2640</v>
      </c>
      <c r="C1173" s="13">
        <v>87</v>
      </c>
      <c r="D1173" s="21" t="s">
        <v>2641</v>
      </c>
      <c r="E1173" s="24">
        <v>40</v>
      </c>
      <c r="G1173" s="2">
        <f t="shared" si="80"/>
        <v>1154</v>
      </c>
      <c r="H1173" s="5">
        <v>0</v>
      </c>
      <c r="I1173" s="13">
        <v>32</v>
      </c>
      <c r="L1173" s="4"/>
      <c r="M1173" s="7"/>
      <c r="O1173" s="7"/>
      <c r="T1173" s="7"/>
    </row>
    <row r="1174" spans="2:20" x14ac:dyDescent="0.3">
      <c r="B1174" s="18" t="s">
        <v>2642</v>
      </c>
      <c r="C1174" s="13">
        <v>86</v>
      </c>
      <c r="D1174" s="21" t="s">
        <v>2643</v>
      </c>
      <c r="E1174" s="24">
        <v>39</v>
      </c>
      <c r="G1174" s="2">
        <f t="shared" si="80"/>
        <v>1155</v>
      </c>
      <c r="H1174" s="5">
        <v>0</v>
      </c>
      <c r="I1174" s="13">
        <v>32</v>
      </c>
      <c r="L1174" s="4"/>
      <c r="M1174" s="7"/>
      <c r="O1174" s="7"/>
      <c r="T1174" s="7"/>
    </row>
    <row r="1175" spans="2:20" x14ac:dyDescent="0.3">
      <c r="B1175" s="18" t="s">
        <v>2644</v>
      </c>
      <c r="C1175" s="13">
        <v>85</v>
      </c>
      <c r="D1175" s="21" t="s">
        <v>2645</v>
      </c>
      <c r="E1175" s="24">
        <v>38</v>
      </c>
      <c r="G1175" s="2">
        <f t="shared" si="80"/>
        <v>1156</v>
      </c>
      <c r="H1175" s="5">
        <v>0</v>
      </c>
      <c r="I1175" s="13">
        <v>32</v>
      </c>
      <c r="L1175" s="4"/>
      <c r="M1175" s="7"/>
      <c r="O1175" s="7"/>
      <c r="T1175" s="7"/>
    </row>
    <row r="1176" spans="2:20" x14ac:dyDescent="0.3">
      <c r="B1176" s="18" t="s">
        <v>2646</v>
      </c>
      <c r="C1176" s="13">
        <v>110</v>
      </c>
      <c r="D1176" s="21" t="s">
        <v>2647</v>
      </c>
      <c r="E1176" s="24">
        <v>29</v>
      </c>
      <c r="G1176" s="2">
        <f t="shared" si="80"/>
        <v>1157</v>
      </c>
      <c r="H1176" s="5">
        <v>0</v>
      </c>
      <c r="I1176" s="13">
        <v>32</v>
      </c>
      <c r="L1176" s="4"/>
      <c r="M1176" s="7"/>
      <c r="O1176" s="7"/>
    </row>
    <row r="1177" spans="2:20" x14ac:dyDescent="0.3">
      <c r="B1177" s="18" t="s">
        <v>2648</v>
      </c>
      <c r="C1177" s="13">
        <v>109</v>
      </c>
      <c r="D1177" s="21" t="s">
        <v>2649</v>
      </c>
      <c r="E1177" s="24">
        <v>9</v>
      </c>
      <c r="G1177" s="2">
        <f t="shared" si="80"/>
        <v>1158</v>
      </c>
      <c r="H1177" s="5">
        <v>0</v>
      </c>
      <c r="I1177" s="13">
        <v>32</v>
      </c>
      <c r="L1177" s="4"/>
      <c r="M1177" s="7"/>
      <c r="O1177" s="7"/>
      <c r="T1177" s="7"/>
    </row>
    <row r="1178" spans="2:20" x14ac:dyDescent="0.3">
      <c r="B1178" s="18" t="s">
        <v>2650</v>
      </c>
      <c r="C1178" s="13">
        <v>108</v>
      </c>
      <c r="D1178" s="21" t="s">
        <v>2651</v>
      </c>
      <c r="E1178" s="24">
        <v>8</v>
      </c>
      <c r="G1178" s="2">
        <f t="shared" si="80"/>
        <v>1159</v>
      </c>
      <c r="H1178" s="5">
        <v>0</v>
      </c>
      <c r="I1178" s="13">
        <v>32</v>
      </c>
      <c r="L1178" s="4"/>
      <c r="M1178" s="7"/>
      <c r="O1178" s="7"/>
      <c r="T1178" s="7"/>
    </row>
    <row r="1179" spans="2:20" x14ac:dyDescent="0.3">
      <c r="B1179" s="18" t="s">
        <v>2652</v>
      </c>
      <c r="C1179" s="13">
        <v>107</v>
      </c>
      <c r="D1179" s="21" t="s">
        <v>2653</v>
      </c>
      <c r="E1179" s="24">
        <v>7</v>
      </c>
      <c r="G1179" s="2">
        <f t="shared" si="80"/>
        <v>1160</v>
      </c>
      <c r="H1179" s="5">
        <v>0</v>
      </c>
      <c r="I1179" s="13">
        <v>32</v>
      </c>
      <c r="L1179" s="4"/>
      <c r="M1179" s="7"/>
      <c r="O1179" s="7"/>
      <c r="T1179" s="7"/>
    </row>
    <row r="1180" spans="2:20" x14ac:dyDescent="0.3">
      <c r="B1180" s="18" t="s">
        <v>2654</v>
      </c>
      <c r="C1180" s="13">
        <v>106</v>
      </c>
      <c r="D1180" s="21" t="s">
        <v>2655</v>
      </c>
      <c r="E1180" s="24">
        <v>6</v>
      </c>
      <c r="G1180" s="2">
        <f t="shared" si="80"/>
        <v>1161</v>
      </c>
      <c r="H1180" s="5">
        <v>0</v>
      </c>
      <c r="I1180" s="13">
        <v>32</v>
      </c>
      <c r="L1180" s="4"/>
      <c r="M1180" s="7"/>
      <c r="O1180" s="7"/>
      <c r="T1180" s="7"/>
    </row>
    <row r="1181" spans="2:20" x14ac:dyDescent="0.3">
      <c r="B1181" s="18" t="s">
        <v>2656</v>
      </c>
      <c r="C1181" s="13">
        <v>105</v>
      </c>
      <c r="D1181" s="21" t="s">
        <v>2657</v>
      </c>
      <c r="E1181" s="24">
        <v>5</v>
      </c>
      <c r="G1181" s="2">
        <f t="shared" si="80"/>
        <v>1162</v>
      </c>
      <c r="H1181" s="5">
        <v>0</v>
      </c>
      <c r="I1181" s="13">
        <v>32</v>
      </c>
      <c r="L1181" s="4"/>
      <c r="M1181" s="7"/>
      <c r="O1181" s="7"/>
      <c r="T1181" s="7"/>
    </row>
    <row r="1182" spans="2:20" x14ac:dyDescent="0.3">
      <c r="B1182" s="18" t="s">
        <v>2658</v>
      </c>
      <c r="C1182" s="13">
        <v>104</v>
      </c>
      <c r="D1182" s="21" t="s">
        <v>2659</v>
      </c>
      <c r="E1182" s="24">
        <v>4</v>
      </c>
      <c r="G1182" s="2">
        <f t="shared" si="80"/>
        <v>1163</v>
      </c>
      <c r="H1182" s="5">
        <v>0</v>
      </c>
      <c r="I1182" s="13">
        <v>32</v>
      </c>
      <c r="L1182" s="4"/>
      <c r="M1182" s="7"/>
      <c r="O1182" s="7"/>
      <c r="T1182" s="7"/>
    </row>
    <row r="1183" spans="2:20" x14ac:dyDescent="0.3">
      <c r="B1183" s="18" t="s">
        <v>2660</v>
      </c>
      <c r="C1183" s="13">
        <v>1</v>
      </c>
      <c r="D1183" s="21" t="s">
        <v>2661</v>
      </c>
      <c r="E1183" s="24">
        <v>3</v>
      </c>
      <c r="G1183" s="2">
        <f t="shared" si="80"/>
        <v>1164</v>
      </c>
      <c r="H1183" s="5">
        <v>0</v>
      </c>
      <c r="I1183" s="13">
        <v>32</v>
      </c>
      <c r="L1183" s="4"/>
      <c r="M1183" s="7"/>
      <c r="O1183" s="7"/>
      <c r="T1183" s="7"/>
    </row>
    <row r="1184" spans="2:20" x14ac:dyDescent="0.3">
      <c r="B1184" s="18" t="s">
        <v>2662</v>
      </c>
      <c r="C1184" s="13">
        <v>10</v>
      </c>
      <c r="D1184" s="21" t="s">
        <v>2663</v>
      </c>
      <c r="E1184" s="24">
        <v>28</v>
      </c>
      <c r="G1184" s="2">
        <f t="shared" si="80"/>
        <v>1165</v>
      </c>
      <c r="H1184" s="5">
        <v>0</v>
      </c>
      <c r="I1184" s="13">
        <v>32</v>
      </c>
      <c r="L1184" s="4"/>
      <c r="M1184" s="7"/>
      <c r="O1184" s="7"/>
      <c r="T1184" s="7"/>
    </row>
    <row r="1185" spans="2:20" x14ac:dyDescent="0.3">
      <c r="B1185" s="18" t="s">
        <v>2664</v>
      </c>
      <c r="C1185" s="13">
        <v>11</v>
      </c>
      <c r="D1185" s="21" t="s">
        <v>2665</v>
      </c>
      <c r="E1185" s="24">
        <v>27</v>
      </c>
      <c r="G1185" s="2">
        <f t="shared" si="80"/>
        <v>1166</v>
      </c>
      <c r="H1185" s="5">
        <v>0</v>
      </c>
      <c r="I1185" s="13">
        <v>32</v>
      </c>
      <c r="L1185" s="4"/>
      <c r="M1185" s="7"/>
      <c r="O1185" s="7"/>
      <c r="T1185" s="7"/>
    </row>
    <row r="1186" spans="2:20" x14ac:dyDescent="0.3">
      <c r="B1186" s="18" t="s">
        <v>2666</v>
      </c>
      <c r="C1186" s="13">
        <v>12</v>
      </c>
      <c r="D1186" s="21" t="s">
        <v>2667</v>
      </c>
      <c r="E1186" s="24">
        <v>26</v>
      </c>
      <c r="G1186" s="2">
        <f t="shared" si="80"/>
        <v>1167</v>
      </c>
      <c r="H1186" s="5">
        <v>0</v>
      </c>
      <c r="I1186" s="13">
        <v>32</v>
      </c>
      <c r="L1186" s="4"/>
      <c r="M1186" s="7"/>
      <c r="O1186" s="7"/>
      <c r="T1186" s="7"/>
    </row>
    <row r="1187" spans="2:20" x14ac:dyDescent="0.3">
      <c r="B1187" s="18" t="s">
        <v>2668</v>
      </c>
      <c r="C1187" s="13">
        <v>13</v>
      </c>
      <c r="D1187" s="21" t="s">
        <v>2669</v>
      </c>
      <c r="E1187" s="24">
        <v>25</v>
      </c>
      <c r="G1187" s="2">
        <f t="shared" si="80"/>
        <v>1168</v>
      </c>
      <c r="H1187" s="5">
        <v>0</v>
      </c>
      <c r="I1187" s="13">
        <v>32</v>
      </c>
      <c r="L1187" s="4"/>
      <c r="M1187" s="7"/>
      <c r="O1187" s="7"/>
      <c r="T1187" s="7"/>
    </row>
    <row r="1188" spans="2:20" x14ac:dyDescent="0.3">
      <c r="B1188" s="18" t="s">
        <v>2670</v>
      </c>
      <c r="C1188" s="13">
        <v>14</v>
      </c>
      <c r="D1188" s="21" t="s">
        <v>2671</v>
      </c>
      <c r="E1188" s="24">
        <v>24</v>
      </c>
      <c r="G1188" s="2">
        <f t="shared" si="80"/>
        <v>1169</v>
      </c>
      <c r="H1188" s="5">
        <v>0</v>
      </c>
      <c r="I1188" s="13">
        <v>32</v>
      </c>
      <c r="L1188" s="4"/>
      <c r="M1188" s="7"/>
      <c r="O1188" s="7"/>
      <c r="T1188" s="7"/>
    </row>
    <row r="1189" spans="2:20" x14ac:dyDescent="0.3">
      <c r="B1189" s="18" t="s">
        <v>2672</v>
      </c>
      <c r="C1189" s="13">
        <v>15</v>
      </c>
      <c r="D1189" s="21" t="s">
        <v>2673</v>
      </c>
      <c r="E1189" s="24">
        <v>23</v>
      </c>
      <c r="G1189" s="2">
        <f t="shared" si="80"/>
        <v>1170</v>
      </c>
      <c r="H1189" s="5">
        <v>0</v>
      </c>
      <c r="I1189" s="13">
        <v>32</v>
      </c>
      <c r="L1189" s="4"/>
      <c r="M1189" s="7"/>
      <c r="O1189" s="7"/>
      <c r="T1189" s="7"/>
    </row>
    <row r="1190" spans="2:20" x14ac:dyDescent="0.3">
      <c r="B1190" s="18" t="s">
        <v>2674</v>
      </c>
      <c r="C1190" s="13">
        <v>16</v>
      </c>
      <c r="D1190" s="21" t="s">
        <v>2675</v>
      </c>
      <c r="E1190" s="24">
        <v>22</v>
      </c>
      <c r="G1190" s="2">
        <f t="shared" si="80"/>
        <v>1171</v>
      </c>
      <c r="H1190" s="5">
        <v>0</v>
      </c>
      <c r="I1190" s="13">
        <v>32</v>
      </c>
      <c r="L1190" s="4"/>
      <c r="M1190" s="7"/>
      <c r="O1190" s="7"/>
      <c r="T1190" s="7"/>
    </row>
    <row r="1191" spans="2:20" x14ac:dyDescent="0.3">
      <c r="B1191" s="18" t="s">
        <v>2676</v>
      </c>
      <c r="C1191" s="13">
        <v>17</v>
      </c>
      <c r="D1191" s="21" t="s">
        <v>2677</v>
      </c>
      <c r="E1191" s="24">
        <v>21</v>
      </c>
      <c r="G1191" s="2">
        <f t="shared" si="80"/>
        <v>1172</v>
      </c>
      <c r="H1191" s="5">
        <v>0</v>
      </c>
      <c r="I1191" s="13">
        <v>32</v>
      </c>
      <c r="L1191" s="4"/>
      <c r="M1191" s="7"/>
      <c r="O1191" s="7"/>
      <c r="T1191" s="7"/>
    </row>
    <row r="1192" spans="2:20" x14ac:dyDescent="0.3">
      <c r="B1192" s="18" t="s">
        <v>2678</v>
      </c>
      <c r="C1192" s="13">
        <v>18</v>
      </c>
      <c r="D1192" s="21" t="s">
        <v>2679</v>
      </c>
      <c r="E1192" s="24">
        <v>20</v>
      </c>
      <c r="G1192" s="2">
        <f t="shared" si="80"/>
        <v>1173</v>
      </c>
      <c r="H1192" s="5">
        <v>0</v>
      </c>
      <c r="I1192" s="13">
        <v>32</v>
      </c>
      <c r="L1192" s="4"/>
      <c r="M1192" s="7"/>
      <c r="O1192" s="7"/>
      <c r="T1192" s="7"/>
    </row>
    <row r="1193" spans="2:20" x14ac:dyDescent="0.3">
      <c r="B1193" s="18" t="s">
        <v>2680</v>
      </c>
      <c r="C1193" s="13">
        <v>19</v>
      </c>
      <c r="D1193" s="21" t="s">
        <v>2681</v>
      </c>
      <c r="E1193" s="24">
        <v>2</v>
      </c>
      <c r="G1193" s="2">
        <f t="shared" si="80"/>
        <v>1174</v>
      </c>
      <c r="H1193" s="5">
        <v>0</v>
      </c>
      <c r="I1193" s="13">
        <v>32</v>
      </c>
      <c r="L1193" s="4"/>
      <c r="M1193" s="7"/>
      <c r="O1193" s="7"/>
      <c r="T1193" s="7"/>
    </row>
    <row r="1194" spans="2:20" x14ac:dyDescent="0.3">
      <c r="B1194" s="18" t="s">
        <v>2682</v>
      </c>
      <c r="C1194" s="13">
        <v>2</v>
      </c>
      <c r="D1194" s="21" t="s">
        <v>2683</v>
      </c>
      <c r="E1194" s="24">
        <v>19</v>
      </c>
      <c r="G1194" s="2">
        <f t="shared" si="80"/>
        <v>1175</v>
      </c>
      <c r="H1194" s="5">
        <v>0</v>
      </c>
      <c r="I1194" s="13">
        <v>32</v>
      </c>
      <c r="L1194" s="4"/>
      <c r="M1194" s="7"/>
      <c r="O1194" s="7"/>
      <c r="T1194" s="7"/>
    </row>
    <row r="1195" spans="2:20" x14ac:dyDescent="0.3">
      <c r="B1195" s="18" t="s">
        <v>2684</v>
      </c>
      <c r="C1195" s="13">
        <v>20</v>
      </c>
      <c r="D1195" s="21" t="s">
        <v>2685</v>
      </c>
      <c r="E1195" s="24">
        <v>18</v>
      </c>
      <c r="G1195" s="2">
        <f t="shared" si="80"/>
        <v>1176</v>
      </c>
      <c r="H1195" s="5">
        <v>0</v>
      </c>
      <c r="I1195" s="13">
        <v>32</v>
      </c>
      <c r="L1195" s="4"/>
      <c r="M1195" s="7"/>
      <c r="O1195" s="7"/>
      <c r="T1195" s="7"/>
    </row>
    <row r="1196" spans="2:20" x14ac:dyDescent="0.3">
      <c r="B1196" s="18" t="s">
        <v>2686</v>
      </c>
      <c r="C1196" s="13">
        <v>21</v>
      </c>
      <c r="D1196" s="21" t="s">
        <v>2687</v>
      </c>
      <c r="E1196" s="24">
        <v>17</v>
      </c>
      <c r="G1196" s="2">
        <f t="shared" si="80"/>
        <v>1177</v>
      </c>
      <c r="H1196" s="5">
        <v>0</v>
      </c>
      <c r="I1196" s="13">
        <v>32</v>
      </c>
      <c r="L1196" s="4"/>
      <c r="M1196" s="7"/>
      <c r="O1196" s="7"/>
      <c r="T1196" s="7"/>
    </row>
    <row r="1197" spans="2:20" x14ac:dyDescent="0.3">
      <c r="B1197" s="18" t="s">
        <v>2688</v>
      </c>
      <c r="C1197" s="13">
        <v>22</v>
      </c>
      <c r="D1197" s="21" t="s">
        <v>2689</v>
      </c>
      <c r="E1197" s="24">
        <v>16</v>
      </c>
      <c r="G1197" s="2">
        <f t="shared" si="80"/>
        <v>1178</v>
      </c>
      <c r="H1197" s="5">
        <v>0</v>
      </c>
      <c r="I1197" s="13">
        <v>32</v>
      </c>
      <c r="L1197" s="4"/>
      <c r="M1197" s="7"/>
      <c r="O1197" s="7"/>
      <c r="T1197" s="7"/>
    </row>
    <row r="1198" spans="2:20" x14ac:dyDescent="0.3">
      <c r="B1198" s="18" t="s">
        <v>2690</v>
      </c>
      <c r="C1198" s="13">
        <v>23</v>
      </c>
      <c r="D1198" s="21" t="s">
        <v>2691</v>
      </c>
      <c r="E1198" s="24">
        <v>15</v>
      </c>
      <c r="G1198" s="2">
        <f t="shared" si="80"/>
        <v>1179</v>
      </c>
      <c r="H1198" s="5">
        <v>0</v>
      </c>
      <c r="I1198" s="13">
        <v>32</v>
      </c>
      <c r="L1198" s="4"/>
      <c r="M1198" s="7"/>
      <c r="O1198" s="7"/>
      <c r="T1198" s="7"/>
    </row>
    <row r="1199" spans="2:20" x14ac:dyDescent="0.3">
      <c r="B1199" s="18" t="s">
        <v>2692</v>
      </c>
      <c r="C1199" s="13">
        <v>24</v>
      </c>
      <c r="D1199" s="21" t="s">
        <v>2693</v>
      </c>
      <c r="E1199" s="24">
        <v>14</v>
      </c>
      <c r="G1199" s="2">
        <f t="shared" si="80"/>
        <v>1180</v>
      </c>
      <c r="H1199" s="5">
        <v>0</v>
      </c>
      <c r="I1199" s="13">
        <v>32</v>
      </c>
      <c r="L1199" s="4"/>
      <c r="M1199" s="7"/>
      <c r="O1199" s="7"/>
      <c r="T1199" s="7"/>
    </row>
    <row r="1200" spans="2:20" x14ac:dyDescent="0.3">
      <c r="B1200" s="18" t="s">
        <v>2694</v>
      </c>
      <c r="C1200" s="13">
        <v>25</v>
      </c>
      <c r="D1200" s="21" t="s">
        <v>2695</v>
      </c>
      <c r="E1200" s="24">
        <v>13</v>
      </c>
      <c r="G1200" s="2">
        <f t="shared" si="80"/>
        <v>1181</v>
      </c>
      <c r="H1200" s="5">
        <v>0</v>
      </c>
      <c r="I1200" s="13">
        <v>32</v>
      </c>
      <c r="L1200" s="4"/>
      <c r="M1200" s="7"/>
      <c r="O1200" s="7"/>
      <c r="T1200" s="7"/>
    </row>
    <row r="1201" spans="2:20" x14ac:dyDescent="0.3">
      <c r="B1201" s="18" t="s">
        <v>2696</v>
      </c>
      <c r="C1201" s="13">
        <v>26</v>
      </c>
      <c r="D1201" s="21" t="s">
        <v>2697</v>
      </c>
      <c r="E1201" s="24">
        <v>12</v>
      </c>
      <c r="G1201" s="2">
        <f t="shared" si="80"/>
        <v>1182</v>
      </c>
      <c r="H1201" s="5">
        <v>0</v>
      </c>
      <c r="I1201" s="13">
        <v>32</v>
      </c>
      <c r="L1201" s="4"/>
      <c r="M1201" s="7"/>
      <c r="O1201" s="7"/>
      <c r="T1201" s="7"/>
    </row>
    <row r="1202" spans="2:20" x14ac:dyDescent="0.3">
      <c r="B1202" s="18" t="s">
        <v>2698</v>
      </c>
      <c r="C1202" s="13">
        <v>27</v>
      </c>
      <c r="D1202" s="21" t="s">
        <v>2699</v>
      </c>
      <c r="E1202" s="24">
        <v>11</v>
      </c>
      <c r="G1202" s="2">
        <f t="shared" si="80"/>
        <v>1183</v>
      </c>
      <c r="H1202" s="5">
        <v>0</v>
      </c>
      <c r="I1202" s="13">
        <v>32</v>
      </c>
      <c r="L1202" s="4"/>
      <c r="M1202" s="7"/>
      <c r="O1202" s="7"/>
      <c r="T1202" s="7"/>
    </row>
    <row r="1203" spans="2:20" x14ac:dyDescent="0.3">
      <c r="B1203" s="18" t="s">
        <v>2700</v>
      </c>
      <c r="C1203" s="13">
        <v>28</v>
      </c>
      <c r="D1203" s="21" t="s">
        <v>2701</v>
      </c>
      <c r="E1203" s="24">
        <v>10</v>
      </c>
      <c r="G1203" s="2">
        <f t="shared" si="80"/>
        <v>1184</v>
      </c>
      <c r="H1203" s="5">
        <v>0</v>
      </c>
      <c r="I1203" s="13">
        <v>32</v>
      </c>
      <c r="L1203" s="4"/>
      <c r="M1203" s="7"/>
      <c r="O1203" s="7"/>
      <c r="T1203" s="7"/>
    </row>
    <row r="1204" spans="2:20" x14ac:dyDescent="0.3">
      <c r="B1204" s="18" t="s">
        <v>2702</v>
      </c>
      <c r="C1204" s="13">
        <v>3</v>
      </c>
      <c r="D1204" s="21" t="s">
        <v>2703</v>
      </c>
      <c r="E1204" s="24">
        <v>1</v>
      </c>
      <c r="G1204" s="2">
        <f t="shared" si="80"/>
        <v>1185</v>
      </c>
      <c r="H1204" s="5">
        <v>0</v>
      </c>
      <c r="I1204" s="13">
        <v>32</v>
      </c>
      <c r="L1204" s="4"/>
      <c r="M1204" s="7"/>
      <c r="O1204" s="7"/>
      <c r="T1204" s="7"/>
    </row>
    <row r="1205" spans="2:20" x14ac:dyDescent="0.3">
      <c r="B1205" s="18" t="s">
        <v>2704</v>
      </c>
      <c r="C1205" s="13">
        <v>4</v>
      </c>
      <c r="D1205" s="21" t="s">
        <v>2705</v>
      </c>
      <c r="E1205" s="24">
        <v>76</v>
      </c>
      <c r="G1205" s="2">
        <f t="shared" si="80"/>
        <v>1186</v>
      </c>
      <c r="H1205" s="5">
        <v>0</v>
      </c>
      <c r="I1205" s="13">
        <v>32</v>
      </c>
      <c r="L1205" s="4"/>
      <c r="M1205" s="7"/>
      <c r="O1205" s="7"/>
      <c r="T1205" s="7"/>
    </row>
    <row r="1206" spans="2:20" x14ac:dyDescent="0.3">
      <c r="B1206" s="18" t="s">
        <v>2706</v>
      </c>
      <c r="C1206" s="13">
        <v>5</v>
      </c>
      <c r="D1206" s="21" t="s">
        <v>2707</v>
      </c>
      <c r="E1206" s="24">
        <v>77</v>
      </c>
      <c r="G1206" s="2">
        <f t="shared" si="80"/>
        <v>1187</v>
      </c>
      <c r="H1206" s="5">
        <v>0</v>
      </c>
      <c r="I1206" s="13">
        <v>32</v>
      </c>
      <c r="L1206" s="4"/>
      <c r="M1206" s="7"/>
      <c r="O1206" s="7"/>
      <c r="T1206" s="7"/>
    </row>
    <row r="1207" spans="2:20" x14ac:dyDescent="0.3">
      <c r="B1207" s="18" t="s">
        <v>2708</v>
      </c>
      <c r="C1207" s="13">
        <v>6</v>
      </c>
      <c r="D1207" s="21" t="s">
        <v>2709</v>
      </c>
      <c r="E1207" s="24">
        <v>78</v>
      </c>
      <c r="G1207" s="2">
        <f t="shared" si="80"/>
        <v>1188</v>
      </c>
      <c r="H1207" s="5">
        <v>0</v>
      </c>
      <c r="I1207" s="13">
        <v>32</v>
      </c>
      <c r="L1207" s="4"/>
      <c r="M1207" s="7"/>
      <c r="O1207" s="7"/>
      <c r="T1207" s="7"/>
    </row>
    <row r="1208" spans="2:20" x14ac:dyDescent="0.3">
      <c r="B1208" s="18" t="s">
        <v>2710</v>
      </c>
      <c r="C1208" s="13">
        <v>7</v>
      </c>
      <c r="D1208" s="21" t="s">
        <v>2711</v>
      </c>
      <c r="E1208" s="24">
        <v>79</v>
      </c>
      <c r="G1208" s="2">
        <f t="shared" si="80"/>
        <v>1189</v>
      </c>
      <c r="H1208" s="5">
        <v>0</v>
      </c>
      <c r="I1208" s="13">
        <v>32</v>
      </c>
      <c r="L1208" s="4"/>
      <c r="M1208" s="7"/>
      <c r="O1208" s="7"/>
      <c r="T1208" s="7"/>
    </row>
    <row r="1209" spans="2:20" x14ac:dyDescent="0.3">
      <c r="B1209" s="18" t="s">
        <v>2712</v>
      </c>
      <c r="C1209" s="13">
        <v>8</v>
      </c>
      <c r="D1209" s="21" t="s">
        <v>2713</v>
      </c>
      <c r="E1209" s="24">
        <v>80</v>
      </c>
      <c r="G1209" s="2">
        <f t="shared" si="80"/>
        <v>1190</v>
      </c>
      <c r="H1209" s="5">
        <v>0</v>
      </c>
      <c r="I1209" s="13">
        <v>32</v>
      </c>
      <c r="L1209" s="4"/>
      <c r="M1209" s="7"/>
      <c r="O1209" s="7"/>
      <c r="T1209" s="7"/>
    </row>
    <row r="1210" spans="2:20" x14ac:dyDescent="0.3">
      <c r="B1210" s="18" t="s">
        <v>2714</v>
      </c>
      <c r="C1210" s="13">
        <v>9</v>
      </c>
      <c r="D1210" s="21" t="s">
        <v>2715</v>
      </c>
      <c r="E1210" s="24">
        <v>81</v>
      </c>
      <c r="G1210" s="2">
        <f t="shared" si="80"/>
        <v>1191</v>
      </c>
      <c r="H1210" s="5">
        <v>0</v>
      </c>
      <c r="I1210" s="13">
        <v>32</v>
      </c>
      <c r="L1210" s="4"/>
      <c r="M1210" s="7"/>
      <c r="O1210" s="7"/>
      <c r="T1210" s="7"/>
    </row>
    <row r="1211" spans="2:20" x14ac:dyDescent="0.3">
      <c r="B1211" s="18" t="s">
        <v>2716</v>
      </c>
      <c r="C1211" s="13">
        <v>56</v>
      </c>
      <c r="D1211" s="21" t="s">
        <v>2717</v>
      </c>
      <c r="E1211" s="24">
        <v>82</v>
      </c>
      <c r="G1211" s="2">
        <f t="shared" si="80"/>
        <v>1192</v>
      </c>
      <c r="H1211" s="5">
        <v>0</v>
      </c>
      <c r="I1211" s="13">
        <v>32</v>
      </c>
      <c r="L1211" s="4"/>
      <c r="M1211" s="7"/>
      <c r="O1211" s="7"/>
      <c r="T1211" s="7"/>
    </row>
    <row r="1212" spans="2:20" x14ac:dyDescent="0.3">
      <c r="B1212" s="18" t="s">
        <v>2718</v>
      </c>
      <c r="C1212" s="13">
        <v>47</v>
      </c>
      <c r="D1212" s="21" t="s">
        <v>2719</v>
      </c>
      <c r="E1212" s="24">
        <v>57</v>
      </c>
      <c r="G1212" s="2">
        <f t="shared" si="80"/>
        <v>1193</v>
      </c>
      <c r="H1212" s="5">
        <v>0</v>
      </c>
      <c r="I1212" s="13">
        <v>32</v>
      </c>
      <c r="L1212" s="4"/>
      <c r="M1212" s="7"/>
      <c r="O1212" s="7"/>
      <c r="T1212" s="7"/>
    </row>
    <row r="1213" spans="2:20" x14ac:dyDescent="0.3">
      <c r="B1213" s="18" t="s">
        <v>2720</v>
      </c>
      <c r="C1213" s="13">
        <v>46</v>
      </c>
      <c r="D1213" s="21" t="s">
        <v>2721</v>
      </c>
      <c r="E1213" s="24">
        <v>58</v>
      </c>
      <c r="G1213" s="2">
        <f t="shared" si="80"/>
        <v>1194</v>
      </c>
      <c r="H1213" s="5">
        <v>0</v>
      </c>
      <c r="I1213" s="13">
        <v>32</v>
      </c>
      <c r="L1213" s="4"/>
      <c r="M1213" s="7"/>
      <c r="O1213" s="7"/>
      <c r="T1213" s="7"/>
    </row>
    <row r="1214" spans="2:20" x14ac:dyDescent="0.3">
      <c r="B1214" s="18" t="s">
        <v>2722</v>
      </c>
      <c r="C1214" s="13">
        <v>45</v>
      </c>
      <c r="D1214" s="21" t="s">
        <v>2723</v>
      </c>
      <c r="E1214" s="24">
        <v>59</v>
      </c>
      <c r="G1214" s="2">
        <f t="shared" si="80"/>
        <v>1195</v>
      </c>
      <c r="H1214" s="5">
        <v>0</v>
      </c>
      <c r="I1214" s="13">
        <v>32</v>
      </c>
      <c r="L1214" s="4"/>
      <c r="M1214" s="7"/>
      <c r="O1214" s="7"/>
      <c r="T1214" s="7"/>
    </row>
    <row r="1215" spans="2:20" x14ac:dyDescent="0.3">
      <c r="B1215" s="18" t="s">
        <v>2724</v>
      </c>
      <c r="C1215" s="13">
        <v>44</v>
      </c>
      <c r="D1215" s="21" t="s">
        <v>2725</v>
      </c>
      <c r="E1215" s="24">
        <v>60</v>
      </c>
      <c r="G1215" s="2">
        <f t="shared" si="80"/>
        <v>1196</v>
      </c>
      <c r="H1215" s="5">
        <v>0</v>
      </c>
      <c r="I1215" s="13">
        <v>32</v>
      </c>
      <c r="L1215" s="4"/>
      <c r="M1215" s="7"/>
      <c r="O1215" s="7"/>
    </row>
    <row r="1216" spans="2:20" x14ac:dyDescent="0.3">
      <c r="B1216" s="18" t="s">
        <v>2726</v>
      </c>
      <c r="C1216" s="13">
        <v>43</v>
      </c>
      <c r="D1216" s="21" t="s">
        <v>2727</v>
      </c>
      <c r="E1216" s="24">
        <v>61</v>
      </c>
      <c r="G1216" s="2">
        <f t="shared" si="80"/>
        <v>1197</v>
      </c>
      <c r="H1216" s="5">
        <v>0</v>
      </c>
      <c r="I1216" s="13">
        <v>32</v>
      </c>
      <c r="L1216" s="4"/>
      <c r="M1216" s="7"/>
      <c r="O1216" s="7"/>
      <c r="T1216" s="7"/>
    </row>
    <row r="1217" spans="2:20" x14ac:dyDescent="0.3">
      <c r="B1217" s="18" t="s">
        <v>2728</v>
      </c>
      <c r="C1217" s="13">
        <v>42</v>
      </c>
      <c r="D1217" s="21" t="s">
        <v>2729</v>
      </c>
      <c r="E1217" s="24">
        <v>62</v>
      </c>
      <c r="G1217" s="2">
        <f t="shared" si="80"/>
        <v>1198</v>
      </c>
      <c r="H1217" s="5">
        <v>0</v>
      </c>
      <c r="I1217" s="13">
        <v>32</v>
      </c>
      <c r="L1217" s="4"/>
      <c r="M1217" s="7"/>
      <c r="O1217" s="7"/>
      <c r="T1217" s="7"/>
    </row>
    <row r="1218" spans="2:20" x14ac:dyDescent="0.3">
      <c r="B1218" s="18" t="s">
        <v>2730</v>
      </c>
      <c r="C1218" s="13">
        <v>41</v>
      </c>
      <c r="D1218" s="21" t="s">
        <v>2731</v>
      </c>
      <c r="E1218" s="24">
        <v>63</v>
      </c>
      <c r="G1218" s="2">
        <f t="shared" si="80"/>
        <v>1199</v>
      </c>
      <c r="H1218" s="5">
        <v>0</v>
      </c>
      <c r="I1218" s="13">
        <v>32</v>
      </c>
      <c r="L1218" s="4"/>
      <c r="M1218" s="7"/>
      <c r="O1218" s="7"/>
      <c r="T1218" s="7"/>
    </row>
    <row r="1219" spans="2:20" x14ac:dyDescent="0.3">
      <c r="B1219" s="18" t="s">
        <v>2732</v>
      </c>
      <c r="C1219" s="13">
        <v>40</v>
      </c>
      <c r="D1219" s="21" t="s">
        <v>2733</v>
      </c>
      <c r="E1219" s="24">
        <v>64</v>
      </c>
      <c r="G1219" s="2">
        <f t="shared" si="80"/>
        <v>1200</v>
      </c>
      <c r="H1219" s="5">
        <v>0</v>
      </c>
      <c r="I1219" s="13">
        <v>32</v>
      </c>
      <c r="L1219" s="4"/>
      <c r="M1219" s="7"/>
      <c r="O1219" s="7"/>
    </row>
    <row r="1220" spans="2:20" x14ac:dyDescent="0.3">
      <c r="B1220" s="18" t="s">
        <v>2734</v>
      </c>
      <c r="C1220" s="13">
        <v>39</v>
      </c>
      <c r="D1220" s="21" t="s">
        <v>2735</v>
      </c>
      <c r="E1220" s="24">
        <v>65</v>
      </c>
      <c r="G1220" s="2">
        <f t="shared" si="80"/>
        <v>1201</v>
      </c>
      <c r="H1220" s="5">
        <v>0</v>
      </c>
      <c r="I1220" s="13">
        <v>32</v>
      </c>
      <c r="L1220" s="4"/>
      <c r="M1220" s="7"/>
      <c r="O1220" s="7"/>
      <c r="T1220" s="7"/>
    </row>
    <row r="1221" spans="2:20" x14ac:dyDescent="0.3">
      <c r="B1221" s="18" t="s">
        <v>2736</v>
      </c>
      <c r="C1221" s="13">
        <v>38</v>
      </c>
      <c r="D1221" s="21" t="s">
        <v>2737</v>
      </c>
      <c r="E1221" s="24">
        <v>83</v>
      </c>
      <c r="G1221" s="2">
        <f t="shared" si="80"/>
        <v>1202</v>
      </c>
      <c r="H1221" s="5">
        <v>0</v>
      </c>
      <c r="I1221" s="13">
        <v>32</v>
      </c>
      <c r="L1221" s="4"/>
      <c r="M1221" s="7"/>
      <c r="O1221" s="7"/>
      <c r="T1221" s="7"/>
    </row>
    <row r="1222" spans="2:20" x14ac:dyDescent="0.3">
      <c r="B1222" s="18" t="s">
        <v>2738</v>
      </c>
      <c r="C1222" s="13">
        <v>55</v>
      </c>
      <c r="D1222" s="21" t="s">
        <v>2739</v>
      </c>
      <c r="E1222" s="24">
        <v>66</v>
      </c>
      <c r="G1222" s="2">
        <f t="shared" si="80"/>
        <v>1203</v>
      </c>
      <c r="H1222" s="5">
        <v>0</v>
      </c>
      <c r="I1222" s="13">
        <v>32</v>
      </c>
      <c r="L1222" s="4"/>
      <c r="M1222" s="7"/>
      <c r="O1222" s="7"/>
      <c r="T1222" s="7"/>
    </row>
    <row r="1223" spans="2:20" x14ac:dyDescent="0.3">
      <c r="B1223" s="18" t="s">
        <v>2740</v>
      </c>
      <c r="C1223" s="13">
        <v>37</v>
      </c>
      <c r="D1223" s="21" t="s">
        <v>2741</v>
      </c>
      <c r="E1223" s="24">
        <v>67</v>
      </c>
      <c r="G1223" s="2">
        <f t="shared" si="80"/>
        <v>1204</v>
      </c>
      <c r="H1223" s="5">
        <v>0</v>
      </c>
      <c r="I1223" s="13">
        <v>32</v>
      </c>
      <c r="L1223" s="4"/>
      <c r="M1223" s="7"/>
      <c r="O1223" s="7"/>
      <c r="T1223" s="7"/>
    </row>
    <row r="1224" spans="2:20" x14ac:dyDescent="0.3">
      <c r="B1224" s="18" t="s">
        <v>2742</v>
      </c>
      <c r="C1224" s="13">
        <v>36</v>
      </c>
      <c r="D1224" s="21" t="s">
        <v>2743</v>
      </c>
      <c r="E1224" s="24">
        <v>68</v>
      </c>
      <c r="G1224" s="2">
        <f t="shared" si="80"/>
        <v>1205</v>
      </c>
      <c r="H1224" s="5">
        <v>0</v>
      </c>
      <c r="I1224" s="13">
        <v>32</v>
      </c>
      <c r="L1224" s="4"/>
      <c r="M1224" s="7"/>
      <c r="O1224" s="7"/>
      <c r="T1224" s="7"/>
    </row>
    <row r="1225" spans="2:20" x14ac:dyDescent="0.3">
      <c r="B1225" s="18" t="s">
        <v>2744</v>
      </c>
      <c r="C1225" s="13">
        <v>35</v>
      </c>
      <c r="D1225" s="21" t="s">
        <v>2745</v>
      </c>
      <c r="E1225" s="24">
        <v>69</v>
      </c>
      <c r="G1225" s="2">
        <f t="shared" si="80"/>
        <v>1206</v>
      </c>
      <c r="H1225" s="5">
        <v>0</v>
      </c>
      <c r="I1225" s="13">
        <v>32</v>
      </c>
      <c r="L1225" s="4"/>
      <c r="M1225" s="7"/>
      <c r="O1225" s="7"/>
      <c r="T1225" s="7"/>
    </row>
    <row r="1226" spans="2:20" x14ac:dyDescent="0.3">
      <c r="B1226" s="18" t="s">
        <v>2746</v>
      </c>
      <c r="C1226" s="13">
        <v>34</v>
      </c>
      <c r="D1226" s="21" t="s">
        <v>2747</v>
      </c>
      <c r="E1226" s="24">
        <v>70</v>
      </c>
      <c r="G1226" s="2">
        <f t="shared" si="80"/>
        <v>1207</v>
      </c>
      <c r="H1226" s="5">
        <v>0</v>
      </c>
      <c r="I1226" s="13">
        <v>32</v>
      </c>
      <c r="L1226" s="4"/>
      <c r="M1226" s="7"/>
      <c r="O1226" s="7"/>
      <c r="T1226" s="7"/>
    </row>
    <row r="1227" spans="2:20" x14ac:dyDescent="0.3">
      <c r="B1227" s="18" t="s">
        <v>2748</v>
      </c>
      <c r="C1227" s="13">
        <v>33</v>
      </c>
      <c r="D1227" s="21" t="s">
        <v>2749</v>
      </c>
      <c r="E1227" s="24">
        <v>71</v>
      </c>
      <c r="G1227" s="2">
        <f t="shared" si="80"/>
        <v>1208</v>
      </c>
      <c r="H1227" s="5">
        <v>0</v>
      </c>
      <c r="I1227" s="13">
        <v>32</v>
      </c>
      <c r="L1227" s="4"/>
      <c r="M1227" s="7"/>
      <c r="O1227" s="7"/>
      <c r="T1227" s="7"/>
    </row>
    <row r="1228" spans="2:20" x14ac:dyDescent="0.3">
      <c r="B1228" s="18" t="s">
        <v>2750</v>
      </c>
      <c r="C1228" s="13">
        <v>32</v>
      </c>
      <c r="D1228" s="21" t="s">
        <v>2751</v>
      </c>
      <c r="E1228" s="24">
        <v>72</v>
      </c>
      <c r="G1228" s="2">
        <f t="shared" ref="G1228:G1291" si="81">G1227+1</f>
        <v>1209</v>
      </c>
      <c r="H1228" s="5">
        <v>0</v>
      </c>
      <c r="I1228" s="13">
        <v>32</v>
      </c>
      <c r="L1228" s="4"/>
      <c r="M1228" s="7"/>
      <c r="O1228" s="7"/>
      <c r="T1228" s="7"/>
    </row>
    <row r="1229" spans="2:20" x14ac:dyDescent="0.3">
      <c r="B1229" s="18" t="s">
        <v>2752</v>
      </c>
      <c r="C1229" s="13">
        <v>31</v>
      </c>
      <c r="D1229" s="21" t="s">
        <v>2753</v>
      </c>
      <c r="E1229" s="24">
        <v>73</v>
      </c>
      <c r="G1229" s="2">
        <f t="shared" si="81"/>
        <v>1210</v>
      </c>
      <c r="H1229" s="5">
        <v>0</v>
      </c>
      <c r="I1229" s="13">
        <v>32</v>
      </c>
      <c r="L1229" s="4"/>
      <c r="M1229" s="7"/>
      <c r="O1229" s="7"/>
      <c r="T1229" s="7"/>
    </row>
    <row r="1230" spans="2:20" x14ac:dyDescent="0.3">
      <c r="B1230" s="18" t="s">
        <v>2754</v>
      </c>
      <c r="C1230" s="13">
        <v>30</v>
      </c>
      <c r="D1230" s="21" t="s">
        <v>2755</v>
      </c>
      <c r="E1230" s="24">
        <v>74</v>
      </c>
      <c r="G1230" s="2">
        <f t="shared" si="81"/>
        <v>1211</v>
      </c>
      <c r="H1230" s="5">
        <v>0</v>
      </c>
      <c r="I1230" s="13">
        <v>32</v>
      </c>
      <c r="L1230" s="4"/>
      <c r="M1230" s="7"/>
      <c r="O1230" s="7"/>
      <c r="T1230" s="7"/>
    </row>
    <row r="1231" spans="2:20" x14ac:dyDescent="0.3">
      <c r="B1231" s="18" t="s">
        <v>2756</v>
      </c>
      <c r="C1231" s="13">
        <v>29</v>
      </c>
      <c r="D1231" s="21" t="s">
        <v>2757</v>
      </c>
      <c r="E1231" s="24">
        <v>75</v>
      </c>
      <c r="G1231" s="2">
        <f t="shared" si="81"/>
        <v>1212</v>
      </c>
      <c r="H1231" s="5">
        <v>0</v>
      </c>
      <c r="I1231" s="13">
        <v>32</v>
      </c>
      <c r="L1231" s="4"/>
      <c r="M1231" s="7"/>
      <c r="O1231" s="7"/>
      <c r="T1231" s="7"/>
    </row>
    <row r="1232" spans="2:20" x14ac:dyDescent="0.3">
      <c r="B1232" s="18" t="s">
        <v>2758</v>
      </c>
      <c r="C1232" s="13">
        <v>54</v>
      </c>
      <c r="D1232" s="21" t="s">
        <v>2759</v>
      </c>
      <c r="E1232" s="24">
        <v>37</v>
      </c>
      <c r="G1232" s="2">
        <f t="shared" si="81"/>
        <v>1213</v>
      </c>
      <c r="H1232" s="5">
        <v>0</v>
      </c>
      <c r="I1232" s="13">
        <v>32</v>
      </c>
      <c r="L1232" s="4"/>
      <c r="M1232" s="7"/>
      <c r="O1232" s="7"/>
      <c r="T1232" s="7"/>
    </row>
    <row r="1233" spans="2:20" x14ac:dyDescent="0.3">
      <c r="B1233" s="18" t="s">
        <v>2760</v>
      </c>
      <c r="C1233" s="13">
        <v>53</v>
      </c>
      <c r="D1233" s="21" t="s">
        <v>2761</v>
      </c>
      <c r="E1233" s="24">
        <v>36</v>
      </c>
      <c r="G1233" s="2">
        <f t="shared" si="81"/>
        <v>1214</v>
      </c>
      <c r="H1233" s="5">
        <v>0</v>
      </c>
      <c r="I1233" s="13">
        <v>32</v>
      </c>
      <c r="L1233" s="4"/>
      <c r="M1233" s="7"/>
      <c r="O1233" s="7"/>
      <c r="T1233" s="7"/>
    </row>
    <row r="1234" spans="2:20" x14ac:dyDescent="0.3">
      <c r="B1234" s="18" t="s">
        <v>2762</v>
      </c>
      <c r="C1234" s="13">
        <v>52</v>
      </c>
      <c r="D1234" s="21" t="s">
        <v>2763</v>
      </c>
      <c r="E1234" s="24">
        <v>35</v>
      </c>
      <c r="G1234" s="2">
        <f t="shared" si="81"/>
        <v>1215</v>
      </c>
      <c r="H1234" s="5">
        <v>0</v>
      </c>
      <c r="I1234" s="13">
        <v>32</v>
      </c>
      <c r="L1234" s="4"/>
      <c r="M1234" s="7"/>
      <c r="O1234" s="7"/>
      <c r="T1234" s="7"/>
    </row>
    <row r="1235" spans="2:20" x14ac:dyDescent="0.3">
      <c r="B1235" s="18" t="s">
        <v>2764</v>
      </c>
      <c r="C1235" s="13">
        <v>51</v>
      </c>
      <c r="D1235" s="21" t="s">
        <v>2765</v>
      </c>
      <c r="E1235" s="24">
        <v>34</v>
      </c>
      <c r="G1235" s="2">
        <f t="shared" si="81"/>
        <v>1216</v>
      </c>
      <c r="H1235" s="5">
        <v>0</v>
      </c>
      <c r="I1235" s="13">
        <v>32</v>
      </c>
      <c r="L1235" s="4"/>
      <c r="M1235" s="7"/>
      <c r="O1235" s="7"/>
      <c r="T1235" s="7"/>
    </row>
    <row r="1236" spans="2:20" x14ac:dyDescent="0.3">
      <c r="B1236" s="18" t="s">
        <v>2766</v>
      </c>
      <c r="C1236" s="13">
        <v>50</v>
      </c>
      <c r="D1236" s="21" t="s">
        <v>2767</v>
      </c>
      <c r="E1236" s="24">
        <v>33</v>
      </c>
      <c r="G1236" s="2">
        <f t="shared" si="81"/>
        <v>1217</v>
      </c>
      <c r="H1236" s="5">
        <v>0</v>
      </c>
      <c r="I1236" s="13">
        <v>32</v>
      </c>
      <c r="L1236" s="4"/>
      <c r="M1236" s="7"/>
      <c r="O1236" s="7"/>
      <c r="T1236" s="7"/>
    </row>
    <row r="1237" spans="2:20" x14ac:dyDescent="0.3">
      <c r="B1237" s="18" t="s">
        <v>2768</v>
      </c>
      <c r="C1237" s="13">
        <v>49</v>
      </c>
      <c r="D1237" s="21" t="s">
        <v>2769</v>
      </c>
      <c r="E1237" s="24">
        <v>32</v>
      </c>
      <c r="G1237" s="2">
        <f t="shared" si="81"/>
        <v>1218</v>
      </c>
      <c r="H1237" s="5">
        <v>0</v>
      </c>
      <c r="I1237" s="13">
        <v>32</v>
      </c>
      <c r="L1237" s="4"/>
      <c r="M1237" s="7"/>
      <c r="O1237" s="7"/>
      <c r="T1237" s="7"/>
    </row>
    <row r="1238" spans="2:20" x14ac:dyDescent="0.3">
      <c r="B1238" s="18" t="s">
        <v>2770</v>
      </c>
      <c r="C1238" s="13">
        <v>48</v>
      </c>
      <c r="D1238" s="21" t="s">
        <v>2771</v>
      </c>
      <c r="E1238" s="24">
        <v>31</v>
      </c>
      <c r="G1238" s="2">
        <f t="shared" si="81"/>
        <v>1219</v>
      </c>
      <c r="H1238" s="5">
        <v>0</v>
      </c>
      <c r="I1238" s="13">
        <v>32</v>
      </c>
      <c r="L1238" s="4"/>
      <c r="M1238" s="7"/>
      <c r="O1238" s="7"/>
      <c r="T1238" s="7"/>
    </row>
    <row r="1239" spans="2:20" x14ac:dyDescent="0.3">
      <c r="B1239" s="18" t="s">
        <v>2772</v>
      </c>
      <c r="C1239" s="13">
        <v>57</v>
      </c>
      <c r="D1239" s="21" t="s">
        <v>2773</v>
      </c>
      <c r="E1239" s="24">
        <v>56</v>
      </c>
      <c r="G1239" s="2">
        <f t="shared" si="81"/>
        <v>1220</v>
      </c>
      <c r="H1239" s="5">
        <v>0</v>
      </c>
      <c r="I1239" s="13">
        <v>32</v>
      </c>
      <c r="L1239" s="4"/>
      <c r="M1239" s="7"/>
      <c r="O1239" s="7"/>
      <c r="T1239" s="7"/>
    </row>
    <row r="1240" spans="2:20" x14ac:dyDescent="0.3">
      <c r="B1240" s="18" t="s">
        <v>2774</v>
      </c>
      <c r="C1240" s="13">
        <v>66</v>
      </c>
      <c r="D1240" s="21" t="s">
        <v>2775</v>
      </c>
      <c r="E1240" s="24">
        <v>55</v>
      </c>
      <c r="G1240" s="2">
        <f t="shared" si="81"/>
        <v>1221</v>
      </c>
      <c r="H1240" s="5">
        <v>0</v>
      </c>
      <c r="I1240" s="13">
        <v>32</v>
      </c>
      <c r="L1240" s="4"/>
      <c r="M1240" s="7"/>
      <c r="O1240" s="7"/>
      <c r="T1240" s="7"/>
    </row>
    <row r="1241" spans="2:20" x14ac:dyDescent="0.3">
      <c r="B1241" s="18" t="s">
        <v>2776</v>
      </c>
      <c r="C1241" s="13">
        <v>67</v>
      </c>
      <c r="D1241" s="21" t="s">
        <v>2777</v>
      </c>
      <c r="E1241" s="24">
        <v>54</v>
      </c>
      <c r="G1241" s="2">
        <f t="shared" si="81"/>
        <v>1222</v>
      </c>
      <c r="H1241" s="5">
        <v>0</v>
      </c>
      <c r="I1241" s="13">
        <v>32</v>
      </c>
      <c r="L1241" s="4"/>
      <c r="M1241" s="7"/>
      <c r="O1241" s="7"/>
      <c r="T1241" s="7"/>
    </row>
    <row r="1242" spans="2:20" x14ac:dyDescent="0.3">
      <c r="B1242" s="18" t="s">
        <v>2778</v>
      </c>
      <c r="C1242" s="13">
        <v>68</v>
      </c>
      <c r="D1242" s="21" t="s">
        <v>2779</v>
      </c>
      <c r="E1242" s="24">
        <v>53</v>
      </c>
      <c r="G1242" s="2">
        <f t="shared" si="81"/>
        <v>1223</v>
      </c>
      <c r="H1242" s="5">
        <v>0</v>
      </c>
      <c r="I1242" s="13">
        <v>32</v>
      </c>
      <c r="L1242" s="4"/>
      <c r="M1242" s="7"/>
      <c r="O1242" s="7"/>
      <c r="T1242" s="7"/>
    </row>
    <row r="1243" spans="2:20" x14ac:dyDescent="0.3">
      <c r="B1243" s="18" t="s">
        <v>2780</v>
      </c>
      <c r="C1243" s="13">
        <v>69</v>
      </c>
      <c r="D1243" s="21" t="s">
        <v>2781</v>
      </c>
      <c r="E1243" s="24">
        <v>52</v>
      </c>
      <c r="G1243" s="2">
        <f t="shared" si="81"/>
        <v>1224</v>
      </c>
      <c r="H1243" s="5">
        <v>0</v>
      </c>
      <c r="I1243" s="13">
        <v>32</v>
      </c>
      <c r="L1243" s="4"/>
      <c r="M1243" s="7"/>
      <c r="O1243" s="7"/>
      <c r="T1243" s="7"/>
    </row>
    <row r="1244" spans="2:20" x14ac:dyDescent="0.3">
      <c r="B1244" s="18" t="s">
        <v>2782</v>
      </c>
      <c r="C1244" s="13">
        <v>70</v>
      </c>
      <c r="D1244" s="21" t="s">
        <v>2783</v>
      </c>
      <c r="E1244" s="24">
        <v>51</v>
      </c>
      <c r="G1244" s="2">
        <f t="shared" si="81"/>
        <v>1225</v>
      </c>
      <c r="H1244" s="5">
        <v>0</v>
      </c>
      <c r="I1244" s="13">
        <v>32</v>
      </c>
      <c r="L1244" s="4"/>
      <c r="M1244" s="7"/>
      <c r="O1244" s="7"/>
      <c r="T1244" s="7"/>
    </row>
    <row r="1245" spans="2:20" x14ac:dyDescent="0.3">
      <c r="B1245" s="18" t="s">
        <v>2784</v>
      </c>
      <c r="C1245" s="13">
        <v>71</v>
      </c>
      <c r="D1245" s="21" t="s">
        <v>2785</v>
      </c>
      <c r="E1245" s="24">
        <v>50</v>
      </c>
      <c r="G1245" s="2">
        <f t="shared" si="81"/>
        <v>1226</v>
      </c>
      <c r="H1245" s="5">
        <v>0</v>
      </c>
      <c r="I1245" s="13">
        <v>32</v>
      </c>
      <c r="L1245" s="4"/>
      <c r="M1245" s="7"/>
      <c r="O1245" s="7"/>
      <c r="T1245" s="7"/>
    </row>
    <row r="1246" spans="2:20" x14ac:dyDescent="0.3">
      <c r="B1246" s="18" t="s">
        <v>2786</v>
      </c>
      <c r="C1246" s="13">
        <v>72</v>
      </c>
      <c r="D1246" s="21" t="s">
        <v>2787</v>
      </c>
      <c r="E1246" s="24">
        <v>49</v>
      </c>
      <c r="G1246" s="2">
        <f t="shared" si="81"/>
        <v>1227</v>
      </c>
      <c r="H1246" s="5">
        <v>0</v>
      </c>
      <c r="I1246" s="13">
        <v>32</v>
      </c>
      <c r="L1246" s="4"/>
      <c r="M1246" s="7"/>
      <c r="O1246" s="7"/>
      <c r="T1246" s="7"/>
    </row>
    <row r="1247" spans="2:20" x14ac:dyDescent="0.3">
      <c r="B1247" s="18" t="s">
        <v>2788</v>
      </c>
      <c r="C1247" s="13">
        <v>73</v>
      </c>
      <c r="D1247" s="21" t="s">
        <v>2789</v>
      </c>
      <c r="E1247" s="24">
        <v>48</v>
      </c>
      <c r="G1247" s="2">
        <f t="shared" si="81"/>
        <v>1228</v>
      </c>
      <c r="H1247" s="5">
        <v>0</v>
      </c>
      <c r="I1247" s="13">
        <v>32</v>
      </c>
      <c r="L1247" s="4"/>
      <c r="M1247" s="7"/>
      <c r="O1247" s="7"/>
      <c r="T1247" s="7"/>
    </row>
    <row r="1248" spans="2:20" x14ac:dyDescent="0.3">
      <c r="B1248" s="18" t="s">
        <v>2790</v>
      </c>
      <c r="C1248" s="13">
        <v>74</v>
      </c>
      <c r="D1248" s="21" t="s">
        <v>2791</v>
      </c>
      <c r="E1248" s="24">
        <v>30</v>
      </c>
      <c r="G1248" s="2">
        <f t="shared" si="81"/>
        <v>1229</v>
      </c>
      <c r="H1248" s="5">
        <v>0</v>
      </c>
      <c r="I1248" s="13">
        <v>32</v>
      </c>
      <c r="L1248" s="4"/>
      <c r="M1248" s="7"/>
      <c r="O1248" s="7"/>
      <c r="T1248" s="7"/>
    </row>
    <row r="1249" spans="2:20" x14ac:dyDescent="0.3">
      <c r="B1249" s="18" t="s">
        <v>2792</v>
      </c>
      <c r="C1249" s="13">
        <v>75</v>
      </c>
      <c r="D1249" s="21" t="s">
        <v>2793</v>
      </c>
      <c r="E1249" s="24">
        <v>47</v>
      </c>
      <c r="G1249" s="2">
        <f t="shared" si="81"/>
        <v>1230</v>
      </c>
      <c r="H1249" s="5">
        <v>0</v>
      </c>
      <c r="I1249" s="13">
        <v>32</v>
      </c>
      <c r="L1249" s="4"/>
      <c r="M1249" s="7"/>
      <c r="O1249" s="7"/>
      <c r="T1249" s="7"/>
    </row>
    <row r="1250" spans="2:20" x14ac:dyDescent="0.3">
      <c r="B1250" s="18" t="s">
        <v>2794</v>
      </c>
      <c r="C1250" s="13">
        <v>58</v>
      </c>
      <c r="D1250" s="21" t="s">
        <v>2795</v>
      </c>
      <c r="E1250" s="24">
        <v>46</v>
      </c>
      <c r="G1250" s="2">
        <f t="shared" si="81"/>
        <v>1231</v>
      </c>
      <c r="H1250" s="5">
        <v>0</v>
      </c>
      <c r="I1250" s="13">
        <v>32</v>
      </c>
      <c r="L1250" s="4"/>
      <c r="M1250" s="7"/>
      <c r="O1250" s="7"/>
      <c r="T1250" s="7"/>
    </row>
    <row r="1251" spans="2:20" x14ac:dyDescent="0.3">
      <c r="B1251" s="18" t="s">
        <v>2796</v>
      </c>
      <c r="C1251" s="13">
        <v>76</v>
      </c>
      <c r="D1251" s="21" t="s">
        <v>2797</v>
      </c>
      <c r="E1251" s="24">
        <v>45</v>
      </c>
      <c r="G1251" s="2">
        <f t="shared" si="81"/>
        <v>1232</v>
      </c>
      <c r="H1251" s="5">
        <v>0</v>
      </c>
      <c r="I1251" s="13">
        <v>32</v>
      </c>
      <c r="L1251" s="4"/>
      <c r="M1251" s="7"/>
      <c r="O1251" s="7"/>
      <c r="T1251" s="7"/>
    </row>
    <row r="1252" spans="2:20" x14ac:dyDescent="0.3">
      <c r="B1252" s="18" t="s">
        <v>2798</v>
      </c>
      <c r="C1252" s="13">
        <v>77</v>
      </c>
      <c r="D1252" s="21" t="s">
        <v>2799</v>
      </c>
      <c r="E1252" s="24">
        <v>44</v>
      </c>
      <c r="G1252" s="2">
        <f t="shared" si="81"/>
        <v>1233</v>
      </c>
      <c r="H1252" s="5">
        <v>0</v>
      </c>
      <c r="I1252" s="13">
        <v>32</v>
      </c>
      <c r="L1252" s="4"/>
      <c r="M1252" s="7"/>
      <c r="O1252" s="7"/>
    </row>
    <row r="1253" spans="2:20" x14ac:dyDescent="0.3">
      <c r="B1253" s="18" t="s">
        <v>2800</v>
      </c>
      <c r="C1253" s="13">
        <v>78</v>
      </c>
      <c r="D1253" s="21" t="s">
        <v>2801</v>
      </c>
      <c r="E1253" s="24">
        <v>43</v>
      </c>
      <c r="G1253" s="2">
        <f t="shared" si="81"/>
        <v>1234</v>
      </c>
      <c r="H1253" s="5">
        <v>0</v>
      </c>
      <c r="I1253" s="13">
        <v>32</v>
      </c>
      <c r="L1253" s="4"/>
      <c r="M1253" s="7"/>
      <c r="O1253" s="7"/>
      <c r="T1253" s="7"/>
    </row>
    <row r="1254" spans="2:20" x14ac:dyDescent="0.3">
      <c r="B1254" s="18" t="s">
        <v>2802</v>
      </c>
      <c r="C1254" s="13">
        <v>79</v>
      </c>
      <c r="D1254" s="21" t="s">
        <v>2803</v>
      </c>
      <c r="E1254" s="24">
        <v>42</v>
      </c>
      <c r="G1254" s="2">
        <f t="shared" si="81"/>
        <v>1235</v>
      </c>
      <c r="H1254" s="5">
        <v>0</v>
      </c>
      <c r="I1254" s="13">
        <v>32</v>
      </c>
      <c r="L1254" s="4"/>
      <c r="M1254" s="7"/>
      <c r="O1254" s="7"/>
      <c r="T1254" s="7"/>
    </row>
    <row r="1255" spans="2:20" x14ac:dyDescent="0.3">
      <c r="B1255" s="18" t="s">
        <v>2804</v>
      </c>
      <c r="C1255" s="13">
        <v>80</v>
      </c>
      <c r="D1255" s="21" t="s">
        <v>2805</v>
      </c>
      <c r="E1255" s="24">
        <v>41</v>
      </c>
      <c r="G1255" s="2">
        <f t="shared" si="81"/>
        <v>1236</v>
      </c>
      <c r="H1255" s="5">
        <v>0</v>
      </c>
      <c r="I1255" s="13">
        <v>32</v>
      </c>
      <c r="L1255" s="4"/>
      <c r="M1255" s="7"/>
      <c r="O1255" s="7"/>
      <c r="T1255" s="7"/>
    </row>
    <row r="1256" spans="2:20" x14ac:dyDescent="0.3">
      <c r="B1256" s="18" t="s">
        <v>2806</v>
      </c>
      <c r="C1256" s="13">
        <v>81</v>
      </c>
      <c r="D1256" s="21" t="s">
        <v>2807</v>
      </c>
      <c r="E1256" s="24">
        <v>40</v>
      </c>
      <c r="G1256" s="2">
        <f t="shared" si="81"/>
        <v>1237</v>
      </c>
      <c r="H1256" s="5">
        <v>0</v>
      </c>
      <c r="I1256" s="13">
        <v>32</v>
      </c>
      <c r="L1256" s="4"/>
      <c r="M1256" s="7"/>
      <c r="O1256" s="7"/>
      <c r="T1256" s="7"/>
    </row>
    <row r="1257" spans="2:20" x14ac:dyDescent="0.3">
      <c r="B1257" s="18" t="s">
        <v>2808</v>
      </c>
      <c r="C1257" s="13">
        <v>82</v>
      </c>
      <c r="D1257" s="21" t="s">
        <v>2809</v>
      </c>
      <c r="E1257" s="24">
        <v>39</v>
      </c>
      <c r="G1257" s="2">
        <f t="shared" si="81"/>
        <v>1238</v>
      </c>
      <c r="H1257" s="5">
        <v>0</v>
      </c>
      <c r="I1257" s="13">
        <v>32</v>
      </c>
      <c r="L1257" s="4"/>
      <c r="M1257" s="7"/>
      <c r="O1257" s="7"/>
      <c r="T1257" s="7"/>
    </row>
    <row r="1258" spans="2:20" x14ac:dyDescent="0.3">
      <c r="B1258" s="18" t="s">
        <v>2810</v>
      </c>
      <c r="C1258" s="13">
        <v>83</v>
      </c>
      <c r="D1258" s="21" t="s">
        <v>2811</v>
      </c>
      <c r="E1258" s="24">
        <v>38</v>
      </c>
      <c r="G1258" s="2">
        <f t="shared" si="81"/>
        <v>1239</v>
      </c>
      <c r="H1258" s="5">
        <v>0</v>
      </c>
      <c r="I1258" s="13">
        <v>32</v>
      </c>
      <c r="L1258" s="4"/>
      <c r="M1258" s="7"/>
      <c r="O1258" s="7"/>
      <c r="T1258" s="7"/>
    </row>
    <row r="1259" spans="2:20" x14ac:dyDescent="0.3">
      <c r="B1259" s="18" t="s">
        <v>2812</v>
      </c>
      <c r="C1259" s="13">
        <v>84</v>
      </c>
      <c r="D1259" s="21" t="s">
        <v>2813</v>
      </c>
      <c r="E1259" s="24">
        <v>29</v>
      </c>
      <c r="G1259" s="2">
        <f t="shared" si="81"/>
        <v>1240</v>
      </c>
      <c r="H1259" s="5">
        <v>0</v>
      </c>
      <c r="I1259" s="13">
        <v>32</v>
      </c>
      <c r="L1259" s="4"/>
      <c r="M1259" s="7"/>
      <c r="O1259" s="7"/>
      <c r="T1259" s="7"/>
    </row>
    <row r="1260" spans="2:20" x14ac:dyDescent="0.3">
      <c r="B1260" s="18" t="s">
        <v>2814</v>
      </c>
      <c r="C1260" s="13">
        <v>59</v>
      </c>
      <c r="D1260" s="21" t="s">
        <v>2815</v>
      </c>
      <c r="E1260" s="24">
        <v>9</v>
      </c>
      <c r="G1260" s="2">
        <f t="shared" si="81"/>
        <v>1241</v>
      </c>
      <c r="H1260" s="5">
        <v>0</v>
      </c>
      <c r="I1260" s="13">
        <v>32</v>
      </c>
      <c r="L1260" s="4"/>
      <c r="M1260" s="7"/>
      <c r="O1260" s="7"/>
      <c r="T1260" s="7"/>
    </row>
    <row r="1261" spans="2:20" x14ac:dyDescent="0.3">
      <c r="B1261" s="18" t="s">
        <v>2816</v>
      </c>
      <c r="C1261" s="13">
        <v>60</v>
      </c>
      <c r="D1261" s="21" t="s">
        <v>2817</v>
      </c>
      <c r="E1261" s="24">
        <v>8</v>
      </c>
      <c r="G1261" s="2">
        <f t="shared" si="81"/>
        <v>1242</v>
      </c>
      <c r="H1261" s="5">
        <v>0</v>
      </c>
      <c r="I1261" s="13">
        <v>32</v>
      </c>
      <c r="L1261" s="4"/>
      <c r="M1261" s="7"/>
      <c r="O1261" s="7"/>
      <c r="T1261" s="7"/>
    </row>
    <row r="1262" spans="2:20" x14ac:dyDescent="0.3">
      <c r="B1262" s="18" t="s">
        <v>2818</v>
      </c>
      <c r="C1262" s="13">
        <v>61</v>
      </c>
      <c r="D1262" s="21" t="s">
        <v>2819</v>
      </c>
      <c r="E1262" s="24">
        <v>7</v>
      </c>
      <c r="G1262" s="2">
        <f t="shared" si="81"/>
        <v>1243</v>
      </c>
      <c r="H1262" s="5">
        <v>0</v>
      </c>
      <c r="I1262" s="13">
        <v>32</v>
      </c>
      <c r="L1262" s="4"/>
      <c r="M1262" s="7"/>
      <c r="O1262" s="7"/>
      <c r="T1262" s="7"/>
    </row>
    <row r="1263" spans="2:20" x14ac:dyDescent="0.3">
      <c r="B1263" s="18" t="s">
        <v>2820</v>
      </c>
      <c r="C1263" s="13">
        <v>62</v>
      </c>
      <c r="D1263" s="21" t="s">
        <v>2821</v>
      </c>
      <c r="E1263" s="24">
        <v>6</v>
      </c>
      <c r="G1263" s="2">
        <f t="shared" si="81"/>
        <v>1244</v>
      </c>
      <c r="H1263" s="5">
        <v>0</v>
      </c>
      <c r="I1263" s="13">
        <v>32</v>
      </c>
      <c r="L1263" s="4"/>
      <c r="M1263" s="7"/>
      <c r="O1263" s="7"/>
      <c r="T1263" s="7"/>
    </row>
    <row r="1264" spans="2:20" x14ac:dyDescent="0.3">
      <c r="B1264" s="18" t="s">
        <v>2822</v>
      </c>
      <c r="C1264" s="13">
        <v>63</v>
      </c>
      <c r="D1264" s="21" t="s">
        <v>2823</v>
      </c>
      <c r="E1264" s="24">
        <v>5</v>
      </c>
      <c r="G1264" s="2">
        <f t="shared" si="81"/>
        <v>1245</v>
      </c>
      <c r="H1264" s="5">
        <v>0</v>
      </c>
      <c r="I1264" s="13">
        <v>32</v>
      </c>
      <c r="L1264" s="4"/>
      <c r="M1264" s="7"/>
      <c r="O1264" s="7"/>
      <c r="T1264" s="7"/>
    </row>
    <row r="1265" spans="2:20" x14ac:dyDescent="0.3">
      <c r="B1265" s="18" t="s">
        <v>2824</v>
      </c>
      <c r="C1265" s="13">
        <v>64</v>
      </c>
      <c r="D1265" s="21" t="s">
        <v>2825</v>
      </c>
      <c r="E1265" s="24">
        <v>4</v>
      </c>
      <c r="G1265" s="2">
        <f t="shared" si="81"/>
        <v>1246</v>
      </c>
      <c r="H1265" s="5">
        <v>0</v>
      </c>
      <c r="I1265" s="13">
        <v>32</v>
      </c>
      <c r="L1265" s="4"/>
      <c r="M1265" s="7"/>
      <c r="O1265" s="7"/>
      <c r="T1265" s="7"/>
    </row>
    <row r="1266" spans="2:20" x14ac:dyDescent="0.3">
      <c r="B1266" s="18" t="s">
        <v>2826</v>
      </c>
      <c r="C1266" s="13">
        <v>65</v>
      </c>
      <c r="D1266" s="21" t="s">
        <v>2827</v>
      </c>
      <c r="E1266" s="24">
        <v>3</v>
      </c>
      <c r="G1266" s="2">
        <f t="shared" si="81"/>
        <v>1247</v>
      </c>
      <c r="H1266" s="5">
        <v>0</v>
      </c>
      <c r="I1266" s="13">
        <v>32</v>
      </c>
      <c r="L1266" s="4"/>
      <c r="M1266" s="7"/>
      <c r="O1266" s="7"/>
      <c r="T1266" s="7"/>
    </row>
    <row r="1267" spans="2:20" x14ac:dyDescent="0.3">
      <c r="B1267" s="18" t="s">
        <v>2828</v>
      </c>
      <c r="C1267" s="13">
        <v>103</v>
      </c>
      <c r="D1267" s="21" t="s">
        <v>2829</v>
      </c>
      <c r="E1267" s="24">
        <v>28</v>
      </c>
      <c r="G1267" s="2">
        <f t="shared" si="81"/>
        <v>1248</v>
      </c>
      <c r="H1267" s="5">
        <v>0</v>
      </c>
      <c r="I1267" s="13">
        <v>32</v>
      </c>
      <c r="L1267" s="4"/>
      <c r="M1267" s="7"/>
      <c r="O1267" s="7"/>
      <c r="T1267" s="7"/>
    </row>
    <row r="1268" spans="2:20" x14ac:dyDescent="0.3">
      <c r="B1268" s="18" t="s">
        <v>2830</v>
      </c>
      <c r="C1268" s="13">
        <v>102</v>
      </c>
      <c r="D1268" s="21" t="s">
        <v>2831</v>
      </c>
      <c r="E1268" s="24">
        <v>27</v>
      </c>
      <c r="G1268" s="2">
        <f t="shared" si="81"/>
        <v>1249</v>
      </c>
      <c r="H1268" s="5">
        <v>0</v>
      </c>
      <c r="I1268" s="13">
        <v>32</v>
      </c>
      <c r="L1268" s="4"/>
      <c r="M1268" s="7"/>
      <c r="O1268" s="7"/>
      <c r="T1268" s="7"/>
    </row>
    <row r="1269" spans="2:20" x14ac:dyDescent="0.3">
      <c r="B1269" s="18" t="s">
        <v>2832</v>
      </c>
      <c r="C1269" s="13">
        <v>101</v>
      </c>
      <c r="D1269" s="21" t="s">
        <v>2833</v>
      </c>
      <c r="E1269" s="24">
        <v>26</v>
      </c>
      <c r="G1269" s="2">
        <f t="shared" si="81"/>
        <v>1250</v>
      </c>
      <c r="H1269" s="5">
        <v>0</v>
      </c>
      <c r="I1269" s="13">
        <v>32</v>
      </c>
      <c r="L1269" s="4"/>
      <c r="M1269" s="7"/>
      <c r="O1269" s="7"/>
      <c r="T1269" s="7"/>
    </row>
    <row r="1270" spans="2:20" x14ac:dyDescent="0.3">
      <c r="B1270" s="18" t="s">
        <v>2834</v>
      </c>
      <c r="C1270" s="13">
        <v>100</v>
      </c>
      <c r="D1270" s="21" t="s">
        <v>2835</v>
      </c>
      <c r="E1270" s="24">
        <v>25</v>
      </c>
      <c r="G1270" s="2">
        <f t="shared" si="81"/>
        <v>1251</v>
      </c>
      <c r="H1270" s="5">
        <v>0</v>
      </c>
      <c r="I1270" s="13">
        <v>32</v>
      </c>
      <c r="L1270" s="4"/>
      <c r="M1270" s="7"/>
      <c r="O1270" s="7"/>
      <c r="T1270" s="7"/>
    </row>
    <row r="1271" spans="2:20" x14ac:dyDescent="0.3">
      <c r="B1271" s="18" t="s">
        <v>2836</v>
      </c>
      <c r="C1271" s="13">
        <v>99</v>
      </c>
      <c r="D1271" s="21" t="s">
        <v>2837</v>
      </c>
      <c r="E1271" s="24">
        <v>24</v>
      </c>
      <c r="G1271" s="2">
        <f t="shared" si="81"/>
        <v>1252</v>
      </c>
      <c r="H1271" s="5">
        <v>0</v>
      </c>
      <c r="I1271" s="13">
        <v>32</v>
      </c>
      <c r="L1271" s="4"/>
      <c r="M1271" s="7"/>
      <c r="O1271" s="7"/>
      <c r="T1271" s="7"/>
    </row>
    <row r="1272" spans="2:20" x14ac:dyDescent="0.3">
      <c r="B1272" s="18" t="s">
        <v>2838</v>
      </c>
      <c r="C1272" s="13">
        <v>98</v>
      </c>
      <c r="D1272" s="21" t="s">
        <v>2839</v>
      </c>
      <c r="E1272" s="24">
        <v>23</v>
      </c>
      <c r="G1272" s="2">
        <f t="shared" si="81"/>
        <v>1253</v>
      </c>
      <c r="H1272" s="5">
        <v>0</v>
      </c>
      <c r="I1272" s="13">
        <v>32</v>
      </c>
      <c r="L1272" s="4"/>
      <c r="M1272" s="7"/>
      <c r="O1272" s="7"/>
      <c r="T1272" s="7"/>
    </row>
    <row r="1273" spans="2:20" x14ac:dyDescent="0.3">
      <c r="B1273" s="18" t="s">
        <v>2840</v>
      </c>
      <c r="C1273" s="13">
        <v>97</v>
      </c>
      <c r="D1273" s="21" t="s">
        <v>2841</v>
      </c>
      <c r="E1273" s="24">
        <v>22</v>
      </c>
      <c r="G1273" s="2">
        <f t="shared" si="81"/>
        <v>1254</v>
      </c>
      <c r="H1273" s="5">
        <v>0</v>
      </c>
      <c r="I1273" s="13">
        <v>32</v>
      </c>
      <c r="L1273" s="4"/>
      <c r="M1273" s="7"/>
      <c r="O1273" s="7"/>
      <c r="T1273" s="7"/>
    </row>
    <row r="1274" spans="2:20" x14ac:dyDescent="0.3">
      <c r="B1274" s="18" t="s">
        <v>2842</v>
      </c>
      <c r="C1274" s="13">
        <v>96</v>
      </c>
      <c r="D1274" s="21" t="s">
        <v>2843</v>
      </c>
      <c r="E1274" s="24">
        <v>21</v>
      </c>
      <c r="G1274" s="2">
        <f t="shared" si="81"/>
        <v>1255</v>
      </c>
      <c r="H1274" s="5">
        <v>0</v>
      </c>
      <c r="I1274" s="13">
        <v>32</v>
      </c>
      <c r="L1274" s="4"/>
      <c r="M1274" s="7"/>
      <c r="O1274" s="7"/>
      <c r="T1274" s="7"/>
    </row>
    <row r="1275" spans="2:20" x14ac:dyDescent="0.3">
      <c r="B1275" s="18" t="s">
        <v>2844</v>
      </c>
      <c r="C1275" s="13">
        <v>95</v>
      </c>
      <c r="D1275" s="21" t="s">
        <v>2845</v>
      </c>
      <c r="E1275" s="24">
        <v>20</v>
      </c>
      <c r="G1275" s="2">
        <f t="shared" si="81"/>
        <v>1256</v>
      </c>
      <c r="H1275" s="5">
        <v>0</v>
      </c>
      <c r="I1275" s="13">
        <v>32</v>
      </c>
      <c r="L1275" s="4"/>
      <c r="M1275" s="7"/>
      <c r="O1275" s="7"/>
      <c r="T1275" s="7"/>
    </row>
    <row r="1276" spans="2:20" x14ac:dyDescent="0.3">
      <c r="B1276" s="18" t="s">
        <v>2846</v>
      </c>
      <c r="C1276" s="13">
        <v>94</v>
      </c>
      <c r="D1276" s="21" t="s">
        <v>2847</v>
      </c>
      <c r="E1276" s="24">
        <v>2</v>
      </c>
      <c r="G1276" s="2">
        <f t="shared" si="81"/>
        <v>1257</v>
      </c>
      <c r="H1276" s="5">
        <v>0</v>
      </c>
      <c r="I1276" s="13">
        <v>32</v>
      </c>
      <c r="L1276" s="4"/>
      <c r="M1276" s="7"/>
      <c r="O1276" s="7"/>
      <c r="T1276" s="7"/>
    </row>
    <row r="1277" spans="2:20" x14ac:dyDescent="0.3">
      <c r="B1277" s="18" t="s">
        <v>2848</v>
      </c>
      <c r="C1277" s="13">
        <v>111</v>
      </c>
      <c r="D1277" s="21" t="s">
        <v>2849</v>
      </c>
      <c r="E1277" s="24">
        <v>19</v>
      </c>
      <c r="G1277" s="2">
        <f t="shared" si="81"/>
        <v>1258</v>
      </c>
      <c r="H1277" s="5">
        <v>0</v>
      </c>
      <c r="I1277" s="13">
        <v>32</v>
      </c>
      <c r="L1277" s="4"/>
      <c r="M1277" s="7"/>
      <c r="O1277" s="7"/>
      <c r="T1277" s="7"/>
    </row>
    <row r="1278" spans="2:20" x14ac:dyDescent="0.3">
      <c r="B1278" s="18" t="s">
        <v>2850</v>
      </c>
      <c r="C1278" s="13">
        <v>93</v>
      </c>
      <c r="D1278" s="21" t="s">
        <v>2851</v>
      </c>
      <c r="E1278" s="24">
        <v>18</v>
      </c>
      <c r="G1278" s="2">
        <f t="shared" si="81"/>
        <v>1259</v>
      </c>
      <c r="H1278" s="5">
        <v>0</v>
      </c>
      <c r="I1278" s="13">
        <v>32</v>
      </c>
      <c r="L1278" s="4"/>
      <c r="M1278" s="7"/>
      <c r="O1278" s="7"/>
      <c r="T1278" s="7"/>
    </row>
    <row r="1279" spans="2:20" x14ac:dyDescent="0.3">
      <c r="B1279" s="18" t="s">
        <v>2852</v>
      </c>
      <c r="C1279" s="13">
        <v>92</v>
      </c>
      <c r="D1279" s="21" t="s">
        <v>2853</v>
      </c>
      <c r="E1279" s="24">
        <v>17</v>
      </c>
      <c r="G1279" s="2">
        <f t="shared" si="81"/>
        <v>1260</v>
      </c>
      <c r="H1279" s="5">
        <v>0</v>
      </c>
      <c r="I1279" s="13">
        <v>32</v>
      </c>
      <c r="L1279" s="4"/>
      <c r="M1279" s="7"/>
      <c r="O1279" s="7"/>
      <c r="T1279" s="7"/>
    </row>
    <row r="1280" spans="2:20" x14ac:dyDescent="0.3">
      <c r="B1280" s="18" t="s">
        <v>2854</v>
      </c>
      <c r="C1280" s="13">
        <v>91</v>
      </c>
      <c r="D1280" s="21" t="s">
        <v>2855</v>
      </c>
      <c r="E1280" s="24">
        <v>16</v>
      </c>
      <c r="G1280" s="2">
        <f t="shared" si="81"/>
        <v>1261</v>
      </c>
      <c r="H1280" s="5">
        <v>0</v>
      </c>
      <c r="I1280" s="13">
        <v>32</v>
      </c>
      <c r="L1280" s="4"/>
      <c r="M1280" s="7"/>
      <c r="O1280" s="7"/>
      <c r="T1280" s="7"/>
    </row>
    <row r="1281" spans="2:20" x14ac:dyDescent="0.3">
      <c r="B1281" s="18" t="s">
        <v>2856</v>
      </c>
      <c r="C1281" s="13">
        <v>90</v>
      </c>
      <c r="D1281" s="21" t="s">
        <v>2857</v>
      </c>
      <c r="E1281" s="24">
        <v>15</v>
      </c>
      <c r="G1281" s="2">
        <f t="shared" si="81"/>
        <v>1262</v>
      </c>
      <c r="H1281" s="5">
        <v>0</v>
      </c>
      <c r="I1281" s="13">
        <v>32</v>
      </c>
      <c r="L1281" s="4"/>
      <c r="M1281" s="7"/>
      <c r="O1281" s="7"/>
      <c r="T1281" s="7"/>
    </row>
    <row r="1282" spans="2:20" x14ac:dyDescent="0.3">
      <c r="B1282" s="18" t="s">
        <v>2858</v>
      </c>
      <c r="C1282" s="13">
        <v>89</v>
      </c>
      <c r="D1282" s="21" t="s">
        <v>2859</v>
      </c>
      <c r="E1282" s="24">
        <v>14</v>
      </c>
      <c r="G1282" s="2">
        <f t="shared" si="81"/>
        <v>1263</v>
      </c>
      <c r="H1282" s="5">
        <v>0</v>
      </c>
      <c r="I1282" s="13">
        <v>32</v>
      </c>
      <c r="L1282" s="4"/>
      <c r="M1282" s="7"/>
      <c r="O1282" s="7"/>
      <c r="T1282" s="7"/>
    </row>
    <row r="1283" spans="2:20" x14ac:dyDescent="0.3">
      <c r="B1283" s="18" t="s">
        <v>2860</v>
      </c>
      <c r="C1283" s="13">
        <v>88</v>
      </c>
      <c r="D1283" s="21" t="s">
        <v>2861</v>
      </c>
      <c r="E1283" s="24">
        <v>13</v>
      </c>
      <c r="G1283" s="2">
        <f t="shared" si="81"/>
        <v>1264</v>
      </c>
      <c r="H1283" s="5">
        <v>0</v>
      </c>
      <c r="I1283" s="13">
        <v>32</v>
      </c>
      <c r="L1283" s="4"/>
      <c r="M1283" s="7"/>
      <c r="O1283" s="7"/>
      <c r="T1283" s="7"/>
    </row>
    <row r="1284" spans="2:20" x14ac:dyDescent="0.3">
      <c r="B1284" s="18" t="s">
        <v>2862</v>
      </c>
      <c r="C1284" s="13">
        <v>87</v>
      </c>
      <c r="D1284" s="21" t="s">
        <v>2863</v>
      </c>
      <c r="E1284" s="24">
        <v>12</v>
      </c>
      <c r="G1284" s="2">
        <f t="shared" si="81"/>
        <v>1265</v>
      </c>
      <c r="H1284" s="5">
        <v>0</v>
      </c>
      <c r="I1284" s="13">
        <v>32</v>
      </c>
      <c r="L1284" s="4"/>
      <c r="M1284" s="7"/>
      <c r="O1284" s="7"/>
      <c r="T1284" s="7"/>
    </row>
    <row r="1285" spans="2:20" x14ac:dyDescent="0.3">
      <c r="B1285" s="18" t="s">
        <v>2864</v>
      </c>
      <c r="C1285" s="13">
        <v>86</v>
      </c>
      <c r="D1285" s="21" t="s">
        <v>2865</v>
      </c>
      <c r="E1285" s="24">
        <v>11</v>
      </c>
      <c r="G1285" s="2">
        <f t="shared" si="81"/>
        <v>1266</v>
      </c>
      <c r="H1285" s="5">
        <v>0</v>
      </c>
      <c r="I1285" s="13">
        <v>32</v>
      </c>
      <c r="L1285" s="4"/>
      <c r="M1285" s="7"/>
      <c r="O1285" s="7"/>
    </row>
    <row r="1286" spans="2:20" x14ac:dyDescent="0.3">
      <c r="B1286" s="18" t="s">
        <v>2866</v>
      </c>
      <c r="C1286" s="13">
        <v>85</v>
      </c>
      <c r="D1286" s="21" t="s">
        <v>2867</v>
      </c>
      <c r="E1286" s="24">
        <v>10</v>
      </c>
      <c r="G1286" s="2">
        <f t="shared" si="81"/>
        <v>1267</v>
      </c>
      <c r="H1286" s="5">
        <v>0</v>
      </c>
      <c r="I1286" s="13">
        <v>32</v>
      </c>
      <c r="L1286" s="4"/>
      <c r="M1286" s="7"/>
      <c r="O1286" s="7"/>
      <c r="T1286" s="7"/>
    </row>
    <row r="1287" spans="2:20" x14ac:dyDescent="0.3">
      <c r="B1287" s="18" t="s">
        <v>2868</v>
      </c>
      <c r="C1287" s="13">
        <v>110</v>
      </c>
      <c r="D1287" s="21" t="s">
        <v>2869</v>
      </c>
      <c r="E1287" s="24">
        <v>1</v>
      </c>
      <c r="G1287" s="2">
        <f t="shared" si="81"/>
        <v>1268</v>
      </c>
      <c r="H1287" s="5">
        <v>0</v>
      </c>
      <c r="I1287" s="13">
        <v>32</v>
      </c>
      <c r="L1287" s="4"/>
      <c r="M1287" s="7"/>
      <c r="O1287" s="7"/>
      <c r="T1287" s="7"/>
    </row>
    <row r="1288" spans="2:20" x14ac:dyDescent="0.3">
      <c r="B1288" s="18" t="s">
        <v>2870</v>
      </c>
      <c r="C1288" s="13">
        <v>109</v>
      </c>
      <c r="D1288" s="21" t="s">
        <v>2871</v>
      </c>
      <c r="E1288" s="24">
        <v>76</v>
      </c>
      <c r="G1288" s="2">
        <f t="shared" si="81"/>
        <v>1269</v>
      </c>
      <c r="H1288" s="5">
        <v>0</v>
      </c>
      <c r="I1288" s="13">
        <v>32</v>
      </c>
      <c r="L1288" s="4"/>
      <c r="M1288" s="7"/>
      <c r="O1288" s="7"/>
      <c r="T1288" s="7"/>
    </row>
    <row r="1289" spans="2:20" x14ac:dyDescent="0.3">
      <c r="B1289" s="18" t="s">
        <v>2872</v>
      </c>
      <c r="C1289" s="13">
        <v>108</v>
      </c>
      <c r="D1289" s="21" t="s">
        <v>2873</v>
      </c>
      <c r="E1289" s="24">
        <v>77</v>
      </c>
      <c r="G1289" s="2">
        <f t="shared" si="81"/>
        <v>1270</v>
      </c>
      <c r="H1289" s="5">
        <v>0</v>
      </c>
      <c r="I1289" s="13">
        <v>32</v>
      </c>
      <c r="L1289" s="4"/>
      <c r="M1289" s="7"/>
      <c r="O1289" s="7"/>
      <c r="T1289" s="7"/>
    </row>
    <row r="1290" spans="2:20" x14ac:dyDescent="0.3">
      <c r="B1290" s="18" t="s">
        <v>2874</v>
      </c>
      <c r="C1290" s="13">
        <v>107</v>
      </c>
      <c r="D1290" s="21" t="s">
        <v>2875</v>
      </c>
      <c r="E1290" s="24">
        <v>78</v>
      </c>
      <c r="G1290" s="2">
        <f t="shared" si="81"/>
        <v>1271</v>
      </c>
      <c r="H1290" s="5">
        <v>0</v>
      </c>
      <c r="I1290" s="13">
        <v>32</v>
      </c>
      <c r="L1290" s="4"/>
      <c r="M1290" s="7"/>
      <c r="O1290" s="7"/>
      <c r="T1290" s="7"/>
    </row>
    <row r="1291" spans="2:20" x14ac:dyDescent="0.3">
      <c r="B1291" s="18" t="s">
        <v>2876</v>
      </c>
      <c r="C1291" s="13">
        <v>106</v>
      </c>
      <c r="D1291" s="21" t="s">
        <v>2877</v>
      </c>
      <c r="E1291" s="24">
        <v>79</v>
      </c>
      <c r="G1291" s="2">
        <f t="shared" si="81"/>
        <v>1272</v>
      </c>
      <c r="H1291" s="5">
        <v>0</v>
      </c>
      <c r="I1291" s="13">
        <v>32</v>
      </c>
      <c r="L1291" s="4"/>
      <c r="M1291" s="7"/>
      <c r="O1291" s="7"/>
      <c r="T1291" s="7"/>
    </row>
    <row r="1292" spans="2:20" x14ac:dyDescent="0.3">
      <c r="B1292" s="18" t="s">
        <v>2878</v>
      </c>
      <c r="C1292" s="13">
        <v>105</v>
      </c>
      <c r="D1292" s="21" t="s">
        <v>2879</v>
      </c>
      <c r="E1292" s="24">
        <v>80</v>
      </c>
      <c r="G1292" s="2">
        <f t="shared" ref="G1292:G1355" si="82">G1291+1</f>
        <v>1273</v>
      </c>
      <c r="H1292" s="5">
        <v>0</v>
      </c>
      <c r="I1292" s="13">
        <v>32</v>
      </c>
      <c r="L1292" s="4"/>
      <c r="M1292" s="7"/>
      <c r="O1292" s="7"/>
      <c r="T1292" s="7"/>
    </row>
    <row r="1293" spans="2:20" x14ac:dyDescent="0.3">
      <c r="B1293" s="18" t="s">
        <v>2880</v>
      </c>
      <c r="C1293" s="13">
        <v>104</v>
      </c>
      <c r="D1293" s="21" t="s">
        <v>2881</v>
      </c>
      <c r="E1293" s="24">
        <v>81</v>
      </c>
      <c r="G1293" s="2">
        <f t="shared" si="82"/>
        <v>1274</v>
      </c>
      <c r="H1293" s="5">
        <v>0</v>
      </c>
      <c r="I1293" s="13">
        <v>32</v>
      </c>
      <c r="L1293" s="4"/>
      <c r="M1293" s="7"/>
      <c r="O1293" s="7"/>
      <c r="T1293" s="7"/>
    </row>
    <row r="1294" spans="2:20" x14ac:dyDescent="0.3">
      <c r="B1294" s="18" t="s">
        <v>2882</v>
      </c>
      <c r="C1294" s="13">
        <v>1</v>
      </c>
      <c r="D1294" s="21" t="s">
        <v>2883</v>
      </c>
      <c r="E1294" s="24">
        <v>82</v>
      </c>
      <c r="G1294" s="2">
        <f t="shared" si="82"/>
        <v>1275</v>
      </c>
      <c r="H1294" s="5">
        <v>0</v>
      </c>
      <c r="I1294" s="13">
        <v>32</v>
      </c>
      <c r="L1294" s="4"/>
      <c r="M1294" s="7"/>
      <c r="O1294" s="7"/>
      <c r="T1294" s="7"/>
    </row>
    <row r="1295" spans="2:20" x14ac:dyDescent="0.3">
      <c r="B1295" s="18" t="s">
        <v>2884</v>
      </c>
      <c r="C1295" s="13">
        <v>10</v>
      </c>
      <c r="D1295" s="21" t="s">
        <v>2885</v>
      </c>
      <c r="E1295" s="24">
        <v>57</v>
      </c>
      <c r="G1295" s="2">
        <f t="shared" si="82"/>
        <v>1276</v>
      </c>
      <c r="H1295" s="5">
        <v>0</v>
      </c>
      <c r="I1295" s="13">
        <v>32</v>
      </c>
      <c r="L1295" s="4"/>
      <c r="M1295" s="7"/>
      <c r="O1295" s="7"/>
      <c r="T1295" s="7"/>
    </row>
    <row r="1296" spans="2:20" x14ac:dyDescent="0.3">
      <c r="B1296" s="18" t="s">
        <v>2886</v>
      </c>
      <c r="C1296" s="13">
        <v>11</v>
      </c>
      <c r="D1296" s="21" t="s">
        <v>2887</v>
      </c>
      <c r="E1296" s="24">
        <v>58</v>
      </c>
      <c r="G1296" s="2">
        <f t="shared" si="82"/>
        <v>1277</v>
      </c>
      <c r="H1296" s="5">
        <v>0</v>
      </c>
      <c r="I1296" s="13">
        <v>32</v>
      </c>
      <c r="L1296" s="4"/>
      <c r="M1296" s="7"/>
      <c r="O1296" s="7"/>
      <c r="T1296" s="7"/>
    </row>
    <row r="1297" spans="2:20" x14ac:dyDescent="0.3">
      <c r="B1297" s="18" t="s">
        <v>2888</v>
      </c>
      <c r="C1297" s="13">
        <v>12</v>
      </c>
      <c r="D1297" s="21" t="s">
        <v>2889</v>
      </c>
      <c r="E1297" s="24">
        <v>59</v>
      </c>
      <c r="G1297" s="2">
        <f t="shared" si="82"/>
        <v>1278</v>
      </c>
      <c r="H1297" s="5">
        <v>0</v>
      </c>
      <c r="I1297" s="13">
        <v>32</v>
      </c>
      <c r="L1297" s="4"/>
      <c r="M1297" s="7"/>
      <c r="O1297" s="7"/>
      <c r="T1297" s="7"/>
    </row>
    <row r="1298" spans="2:20" x14ac:dyDescent="0.3">
      <c r="B1298" s="18" t="s">
        <v>2890</v>
      </c>
      <c r="C1298" s="13">
        <v>13</v>
      </c>
      <c r="D1298" s="21" t="s">
        <v>2891</v>
      </c>
      <c r="E1298" s="24">
        <v>60</v>
      </c>
      <c r="G1298" s="2">
        <f t="shared" si="82"/>
        <v>1279</v>
      </c>
      <c r="H1298" s="5">
        <v>0</v>
      </c>
      <c r="I1298" s="13">
        <v>32</v>
      </c>
      <c r="L1298" s="4"/>
      <c r="M1298" s="7"/>
      <c r="O1298" s="7"/>
      <c r="T1298" s="7"/>
    </row>
    <row r="1299" spans="2:20" x14ac:dyDescent="0.3">
      <c r="B1299" s="18" t="s">
        <v>2892</v>
      </c>
      <c r="C1299" s="13">
        <v>14</v>
      </c>
      <c r="D1299" s="21" t="s">
        <v>2893</v>
      </c>
      <c r="E1299" s="24">
        <v>61</v>
      </c>
      <c r="G1299" s="2">
        <f t="shared" si="82"/>
        <v>1280</v>
      </c>
      <c r="H1299" s="5">
        <v>0</v>
      </c>
      <c r="I1299" s="13">
        <v>32</v>
      </c>
      <c r="L1299" s="4"/>
      <c r="M1299" s="7"/>
      <c r="O1299" s="7"/>
      <c r="T1299" s="7"/>
    </row>
    <row r="1300" spans="2:20" x14ac:dyDescent="0.3">
      <c r="B1300" s="18" t="s">
        <v>2894</v>
      </c>
      <c r="C1300" s="13">
        <v>15</v>
      </c>
      <c r="D1300" s="21" t="s">
        <v>2895</v>
      </c>
      <c r="E1300" s="24">
        <v>62</v>
      </c>
      <c r="G1300" s="2">
        <f t="shared" si="82"/>
        <v>1281</v>
      </c>
      <c r="H1300" s="5">
        <v>0</v>
      </c>
      <c r="I1300" s="13">
        <v>32</v>
      </c>
      <c r="L1300" s="4"/>
      <c r="M1300" s="7"/>
      <c r="O1300" s="7"/>
      <c r="T1300" s="7"/>
    </row>
    <row r="1301" spans="2:20" x14ac:dyDescent="0.3">
      <c r="B1301" s="18" t="s">
        <v>2896</v>
      </c>
      <c r="C1301" s="13">
        <v>16</v>
      </c>
      <c r="D1301" s="21" t="s">
        <v>2897</v>
      </c>
      <c r="E1301" s="24">
        <v>63</v>
      </c>
      <c r="G1301" s="2">
        <f t="shared" si="82"/>
        <v>1282</v>
      </c>
      <c r="H1301" s="5">
        <v>0</v>
      </c>
      <c r="I1301" s="13">
        <v>32</v>
      </c>
      <c r="L1301" s="4"/>
      <c r="M1301" s="7"/>
      <c r="O1301" s="7"/>
      <c r="T1301" s="7"/>
    </row>
    <row r="1302" spans="2:20" x14ac:dyDescent="0.3">
      <c r="B1302" s="18" t="s">
        <v>2898</v>
      </c>
      <c r="C1302" s="13">
        <v>17</v>
      </c>
      <c r="D1302" s="21" t="s">
        <v>2899</v>
      </c>
      <c r="E1302" s="24">
        <v>64</v>
      </c>
      <c r="G1302" s="2">
        <f t="shared" si="82"/>
        <v>1283</v>
      </c>
      <c r="H1302" s="5">
        <v>0</v>
      </c>
      <c r="I1302" s="13">
        <v>32</v>
      </c>
      <c r="L1302" s="4"/>
      <c r="M1302" s="7"/>
      <c r="O1302" s="7"/>
      <c r="T1302" s="7"/>
    </row>
    <row r="1303" spans="2:20" x14ac:dyDescent="0.3">
      <c r="B1303" s="18" t="s">
        <v>2900</v>
      </c>
      <c r="C1303" s="13">
        <v>18</v>
      </c>
      <c r="D1303" s="21" t="s">
        <v>2901</v>
      </c>
      <c r="E1303" s="24">
        <v>65</v>
      </c>
      <c r="G1303" s="2">
        <f t="shared" si="82"/>
        <v>1284</v>
      </c>
      <c r="H1303" s="5">
        <v>0</v>
      </c>
      <c r="I1303" s="13">
        <v>32</v>
      </c>
      <c r="L1303" s="4"/>
      <c r="M1303" s="7"/>
      <c r="O1303" s="7"/>
      <c r="T1303" s="7"/>
    </row>
    <row r="1304" spans="2:20" x14ac:dyDescent="0.3">
      <c r="B1304" s="18" t="s">
        <v>2902</v>
      </c>
      <c r="C1304" s="13">
        <v>19</v>
      </c>
      <c r="D1304" s="21" t="s">
        <v>2903</v>
      </c>
      <c r="E1304" s="24">
        <v>66</v>
      </c>
      <c r="G1304" s="2">
        <f t="shared" si="82"/>
        <v>1285</v>
      </c>
      <c r="H1304" s="5">
        <v>0</v>
      </c>
      <c r="I1304" s="13">
        <v>32</v>
      </c>
      <c r="L1304" s="4"/>
      <c r="M1304" s="7"/>
      <c r="O1304" s="7"/>
      <c r="T1304" s="7"/>
    </row>
    <row r="1305" spans="2:20" x14ac:dyDescent="0.3">
      <c r="B1305" s="18" t="s">
        <v>2904</v>
      </c>
      <c r="C1305" s="13">
        <v>2</v>
      </c>
      <c r="D1305" s="21" t="s">
        <v>2905</v>
      </c>
      <c r="E1305" s="24">
        <v>67</v>
      </c>
      <c r="G1305" s="2">
        <f t="shared" si="82"/>
        <v>1286</v>
      </c>
      <c r="H1305" s="5">
        <v>0</v>
      </c>
      <c r="I1305" s="13">
        <v>32</v>
      </c>
      <c r="L1305" s="4"/>
      <c r="M1305" s="7"/>
      <c r="O1305" s="7"/>
      <c r="T1305" s="7"/>
    </row>
    <row r="1306" spans="2:20" x14ac:dyDescent="0.3">
      <c r="B1306" s="18" t="s">
        <v>2906</v>
      </c>
      <c r="C1306" s="13">
        <v>20</v>
      </c>
      <c r="D1306" s="21" t="s">
        <v>2907</v>
      </c>
      <c r="E1306" s="24">
        <v>68</v>
      </c>
      <c r="G1306" s="2">
        <f t="shared" si="82"/>
        <v>1287</v>
      </c>
      <c r="H1306" s="5">
        <v>0</v>
      </c>
      <c r="I1306" s="13">
        <v>32</v>
      </c>
      <c r="L1306" s="4"/>
      <c r="M1306" s="7"/>
      <c r="O1306" s="7"/>
      <c r="T1306" s="7"/>
    </row>
    <row r="1307" spans="2:20" x14ac:dyDescent="0.3">
      <c r="B1307" s="18" t="s">
        <v>2908</v>
      </c>
      <c r="C1307" s="13">
        <v>21</v>
      </c>
      <c r="D1307" s="21" t="s">
        <v>2909</v>
      </c>
      <c r="E1307" s="24">
        <v>69</v>
      </c>
      <c r="G1307" s="2">
        <f t="shared" si="82"/>
        <v>1288</v>
      </c>
      <c r="H1307" s="5">
        <v>0</v>
      </c>
      <c r="I1307" s="13">
        <v>32</v>
      </c>
      <c r="L1307" s="4"/>
      <c r="M1307" s="7"/>
      <c r="O1307" s="7"/>
      <c r="T1307" s="7"/>
    </row>
    <row r="1308" spans="2:20" x14ac:dyDescent="0.3">
      <c r="B1308" s="18" t="s">
        <v>2910</v>
      </c>
      <c r="C1308" s="13">
        <v>22</v>
      </c>
      <c r="D1308" s="21" t="s">
        <v>2911</v>
      </c>
      <c r="E1308" s="24">
        <v>70</v>
      </c>
      <c r="G1308" s="2">
        <f t="shared" si="82"/>
        <v>1289</v>
      </c>
      <c r="H1308" s="5">
        <v>0</v>
      </c>
      <c r="I1308" s="13">
        <v>32</v>
      </c>
      <c r="L1308" s="4"/>
      <c r="M1308" s="7"/>
      <c r="O1308" s="7"/>
      <c r="T1308" s="7"/>
    </row>
    <row r="1309" spans="2:20" x14ac:dyDescent="0.3">
      <c r="B1309" s="18" t="s">
        <v>2912</v>
      </c>
      <c r="C1309" s="13">
        <v>23</v>
      </c>
      <c r="D1309" s="21" t="s">
        <v>2913</v>
      </c>
      <c r="E1309" s="24">
        <v>71</v>
      </c>
      <c r="G1309" s="2">
        <f t="shared" si="82"/>
        <v>1290</v>
      </c>
      <c r="H1309" s="5">
        <v>0</v>
      </c>
      <c r="I1309" s="13">
        <v>32</v>
      </c>
      <c r="L1309" s="4"/>
      <c r="M1309" s="7"/>
      <c r="O1309" s="7"/>
      <c r="T1309" s="7"/>
    </row>
    <row r="1310" spans="2:20" x14ac:dyDescent="0.3">
      <c r="B1310" s="18" t="s">
        <v>2914</v>
      </c>
      <c r="C1310" s="13">
        <v>24</v>
      </c>
      <c r="D1310" s="21" t="s">
        <v>2915</v>
      </c>
      <c r="E1310" s="24">
        <v>72</v>
      </c>
      <c r="G1310" s="2">
        <f t="shared" si="82"/>
        <v>1291</v>
      </c>
      <c r="H1310" s="5">
        <v>0</v>
      </c>
      <c r="I1310" s="13">
        <v>32</v>
      </c>
      <c r="L1310" s="4"/>
      <c r="M1310" s="7"/>
      <c r="O1310" s="7"/>
      <c r="T1310" s="7"/>
    </row>
    <row r="1311" spans="2:20" x14ac:dyDescent="0.3">
      <c r="B1311" s="18" t="s">
        <v>2916</v>
      </c>
      <c r="C1311" s="13">
        <v>25</v>
      </c>
      <c r="D1311" s="21" t="s">
        <v>2917</v>
      </c>
      <c r="E1311" s="24">
        <v>73</v>
      </c>
      <c r="G1311" s="2">
        <f t="shared" si="82"/>
        <v>1292</v>
      </c>
      <c r="H1311" s="5">
        <v>0</v>
      </c>
      <c r="I1311" s="13">
        <v>32</v>
      </c>
      <c r="L1311" s="4"/>
      <c r="M1311" s="7"/>
      <c r="O1311" s="7"/>
      <c r="T1311" s="7"/>
    </row>
    <row r="1312" spans="2:20" x14ac:dyDescent="0.3">
      <c r="B1312" s="18" t="s">
        <v>2918</v>
      </c>
      <c r="C1312" s="13">
        <v>26</v>
      </c>
      <c r="D1312" s="21" t="s">
        <v>2919</v>
      </c>
      <c r="E1312" s="24">
        <v>74</v>
      </c>
      <c r="G1312" s="2">
        <f t="shared" si="82"/>
        <v>1293</v>
      </c>
      <c r="H1312" s="5">
        <v>0</v>
      </c>
      <c r="I1312" s="13">
        <v>32</v>
      </c>
      <c r="L1312" s="4"/>
      <c r="M1312" s="7"/>
      <c r="O1312" s="7"/>
      <c r="T1312" s="7"/>
    </row>
    <row r="1313" spans="2:20" x14ac:dyDescent="0.3">
      <c r="B1313" s="18" t="s">
        <v>2920</v>
      </c>
      <c r="C1313" s="13">
        <v>27</v>
      </c>
      <c r="D1313" s="21" t="s">
        <v>2921</v>
      </c>
      <c r="E1313" s="24">
        <v>75</v>
      </c>
      <c r="G1313" s="2">
        <f t="shared" si="82"/>
        <v>1294</v>
      </c>
      <c r="H1313" s="5">
        <v>0</v>
      </c>
      <c r="I1313" s="13">
        <v>32</v>
      </c>
      <c r="L1313" s="4"/>
      <c r="M1313" s="7"/>
      <c r="O1313" s="7"/>
      <c r="T1313" s="7"/>
    </row>
    <row r="1314" spans="2:20" x14ac:dyDescent="0.3">
      <c r="B1314" s="18" t="s">
        <v>2922</v>
      </c>
      <c r="C1314" s="13">
        <v>28</v>
      </c>
      <c r="D1314" s="21" t="s">
        <v>2923</v>
      </c>
      <c r="E1314" s="24">
        <v>37</v>
      </c>
      <c r="G1314" s="2">
        <f t="shared" si="82"/>
        <v>1295</v>
      </c>
      <c r="H1314" s="5">
        <v>0</v>
      </c>
      <c r="I1314" s="13">
        <v>32</v>
      </c>
      <c r="L1314" s="4"/>
      <c r="M1314" s="7"/>
      <c r="O1314" s="7"/>
      <c r="T1314" s="7"/>
    </row>
    <row r="1315" spans="2:20" x14ac:dyDescent="0.3">
      <c r="B1315" s="18" t="s">
        <v>2924</v>
      </c>
      <c r="C1315" s="13">
        <v>3</v>
      </c>
      <c r="D1315" s="21" t="s">
        <v>2925</v>
      </c>
      <c r="E1315" s="24">
        <v>36</v>
      </c>
      <c r="G1315" s="2">
        <f t="shared" si="82"/>
        <v>1296</v>
      </c>
      <c r="H1315" s="5">
        <v>0</v>
      </c>
      <c r="I1315" s="13">
        <v>32</v>
      </c>
      <c r="L1315" s="4"/>
      <c r="M1315" s="7"/>
      <c r="O1315" s="7"/>
      <c r="T1315" s="7"/>
    </row>
    <row r="1316" spans="2:20" x14ac:dyDescent="0.3">
      <c r="B1316" s="18" t="s">
        <v>2926</v>
      </c>
      <c r="C1316" s="13">
        <v>4</v>
      </c>
      <c r="D1316" s="21" t="s">
        <v>2927</v>
      </c>
      <c r="E1316" s="24">
        <v>35</v>
      </c>
      <c r="G1316" s="2">
        <f t="shared" si="82"/>
        <v>1297</v>
      </c>
      <c r="H1316" s="5">
        <v>0</v>
      </c>
      <c r="I1316" s="13">
        <v>32</v>
      </c>
      <c r="L1316" s="4"/>
      <c r="M1316" s="7"/>
      <c r="O1316" s="7"/>
      <c r="T1316" s="7"/>
    </row>
    <row r="1317" spans="2:20" x14ac:dyDescent="0.3">
      <c r="B1317" s="18" t="s">
        <v>2928</v>
      </c>
      <c r="C1317" s="13">
        <v>5</v>
      </c>
      <c r="D1317" s="21" t="s">
        <v>2929</v>
      </c>
      <c r="E1317" s="24">
        <v>34</v>
      </c>
      <c r="G1317" s="2">
        <f t="shared" si="82"/>
        <v>1298</v>
      </c>
      <c r="H1317" s="5">
        <v>0</v>
      </c>
      <c r="I1317" s="13">
        <v>32</v>
      </c>
      <c r="L1317" s="4"/>
      <c r="M1317" s="7"/>
      <c r="O1317" s="7"/>
      <c r="T1317" s="7"/>
    </row>
    <row r="1318" spans="2:20" x14ac:dyDescent="0.3">
      <c r="B1318" s="18" t="s">
        <v>2930</v>
      </c>
      <c r="C1318" s="13">
        <v>6</v>
      </c>
      <c r="D1318" s="21" t="s">
        <v>2931</v>
      </c>
      <c r="E1318" s="24">
        <v>33</v>
      </c>
      <c r="G1318" s="2">
        <f t="shared" si="82"/>
        <v>1299</v>
      </c>
      <c r="H1318" s="5">
        <v>0</v>
      </c>
      <c r="I1318" s="13">
        <v>32</v>
      </c>
      <c r="L1318" s="4"/>
      <c r="M1318" s="7"/>
      <c r="O1318" s="7"/>
    </row>
    <row r="1319" spans="2:20" x14ac:dyDescent="0.3">
      <c r="B1319" s="18" t="s">
        <v>2932</v>
      </c>
      <c r="C1319" s="13">
        <v>7</v>
      </c>
      <c r="D1319" s="21" t="s">
        <v>2933</v>
      </c>
      <c r="E1319" s="24">
        <v>32</v>
      </c>
      <c r="G1319" s="2">
        <f t="shared" si="82"/>
        <v>1300</v>
      </c>
      <c r="H1319" s="5">
        <v>0</v>
      </c>
      <c r="I1319" s="13">
        <v>32</v>
      </c>
      <c r="L1319" s="4"/>
      <c r="M1319" s="7"/>
      <c r="O1319" s="7"/>
      <c r="T1319" s="7"/>
    </row>
    <row r="1320" spans="2:20" x14ac:dyDescent="0.3">
      <c r="B1320" s="18" t="s">
        <v>2934</v>
      </c>
      <c r="C1320" s="13">
        <v>8</v>
      </c>
      <c r="D1320" s="21" t="s">
        <v>2935</v>
      </c>
      <c r="E1320" s="24">
        <v>31</v>
      </c>
      <c r="G1320" s="2">
        <f t="shared" si="82"/>
        <v>1301</v>
      </c>
      <c r="H1320" s="5">
        <v>0</v>
      </c>
      <c r="I1320" s="13">
        <v>32</v>
      </c>
      <c r="L1320" s="4"/>
      <c r="M1320" s="7"/>
      <c r="O1320" s="7"/>
      <c r="T1320" s="7"/>
    </row>
    <row r="1321" spans="2:20" x14ac:dyDescent="0.3">
      <c r="B1321" s="18" t="s">
        <v>2936</v>
      </c>
      <c r="C1321" s="13">
        <v>9</v>
      </c>
      <c r="D1321" s="21" t="s">
        <v>2937</v>
      </c>
      <c r="E1321" s="24">
        <v>56</v>
      </c>
      <c r="G1321" s="2">
        <f t="shared" si="82"/>
        <v>1302</v>
      </c>
      <c r="H1321" s="5">
        <v>0</v>
      </c>
      <c r="I1321" s="13">
        <v>32</v>
      </c>
      <c r="L1321" s="4"/>
      <c r="M1321" s="7"/>
      <c r="O1321" s="7"/>
      <c r="T1321" s="7"/>
    </row>
    <row r="1322" spans="2:20" x14ac:dyDescent="0.3">
      <c r="B1322" s="18" t="s">
        <v>2938</v>
      </c>
      <c r="C1322" s="13">
        <v>56</v>
      </c>
      <c r="D1322" s="21" t="s">
        <v>2939</v>
      </c>
      <c r="E1322" s="24">
        <v>55</v>
      </c>
      <c r="G1322" s="2">
        <f t="shared" si="82"/>
        <v>1303</v>
      </c>
      <c r="H1322" s="5">
        <v>0</v>
      </c>
      <c r="I1322" s="13">
        <v>32</v>
      </c>
      <c r="L1322" s="4"/>
      <c r="M1322" s="7"/>
      <c r="O1322" s="7"/>
      <c r="T1322" s="7"/>
    </row>
    <row r="1323" spans="2:20" x14ac:dyDescent="0.3">
      <c r="B1323" s="18" t="s">
        <v>2940</v>
      </c>
      <c r="C1323" s="13">
        <v>47</v>
      </c>
      <c r="D1323" s="21" t="s">
        <v>2941</v>
      </c>
      <c r="E1323" s="24">
        <v>54</v>
      </c>
      <c r="G1323" s="2">
        <f t="shared" si="82"/>
        <v>1304</v>
      </c>
      <c r="H1323" s="5">
        <v>0</v>
      </c>
      <c r="I1323" s="13">
        <v>32</v>
      </c>
      <c r="L1323" s="4"/>
      <c r="M1323" s="7"/>
      <c r="O1323" s="7"/>
      <c r="T1323" s="7"/>
    </row>
    <row r="1324" spans="2:20" x14ac:dyDescent="0.3">
      <c r="B1324" s="18" t="s">
        <v>2942</v>
      </c>
      <c r="C1324" s="13">
        <v>46</v>
      </c>
      <c r="D1324" s="21" t="s">
        <v>2943</v>
      </c>
      <c r="E1324" s="24">
        <v>53</v>
      </c>
      <c r="G1324" s="2">
        <f t="shared" si="82"/>
        <v>1305</v>
      </c>
      <c r="H1324" s="5">
        <v>0</v>
      </c>
      <c r="I1324" s="13">
        <v>32</v>
      </c>
      <c r="L1324" s="4"/>
      <c r="M1324" s="7"/>
      <c r="O1324" s="7"/>
      <c r="T1324" s="7"/>
    </row>
    <row r="1325" spans="2:20" x14ac:dyDescent="0.3">
      <c r="B1325" s="18" t="s">
        <v>2944</v>
      </c>
      <c r="C1325" s="13">
        <v>45</v>
      </c>
      <c r="D1325" s="21" t="s">
        <v>2945</v>
      </c>
      <c r="E1325" s="24">
        <v>52</v>
      </c>
      <c r="G1325" s="2">
        <f t="shared" si="82"/>
        <v>1306</v>
      </c>
      <c r="H1325" s="5">
        <v>0</v>
      </c>
      <c r="I1325" s="13">
        <v>32</v>
      </c>
      <c r="L1325" s="4"/>
      <c r="M1325" s="7"/>
      <c r="O1325" s="7"/>
      <c r="T1325" s="7"/>
    </row>
    <row r="1326" spans="2:20" x14ac:dyDescent="0.3">
      <c r="B1326" s="18" t="s">
        <v>2946</v>
      </c>
      <c r="C1326" s="13">
        <v>44</v>
      </c>
      <c r="D1326" s="21" t="s">
        <v>2947</v>
      </c>
      <c r="E1326" s="24">
        <v>51</v>
      </c>
      <c r="G1326" s="2">
        <f t="shared" si="82"/>
        <v>1307</v>
      </c>
      <c r="H1326" s="5">
        <v>0</v>
      </c>
      <c r="I1326" s="13">
        <v>32</v>
      </c>
      <c r="L1326" s="4"/>
      <c r="M1326" s="7"/>
      <c r="O1326" s="7"/>
      <c r="T1326" s="7"/>
    </row>
    <row r="1327" spans="2:20" x14ac:dyDescent="0.3">
      <c r="B1327" s="18" t="s">
        <v>2948</v>
      </c>
      <c r="C1327" s="13">
        <v>43</v>
      </c>
      <c r="D1327" s="21" t="s">
        <v>2949</v>
      </c>
      <c r="E1327" s="24">
        <v>50</v>
      </c>
      <c r="G1327" s="2">
        <f t="shared" si="82"/>
        <v>1308</v>
      </c>
      <c r="H1327" s="5">
        <v>0</v>
      </c>
      <c r="I1327" s="13">
        <v>32</v>
      </c>
      <c r="L1327" s="4"/>
      <c r="M1327" s="7"/>
      <c r="O1327" s="7"/>
      <c r="T1327" s="7"/>
    </row>
    <row r="1328" spans="2:20" x14ac:dyDescent="0.3">
      <c r="B1328" s="18" t="s">
        <v>2950</v>
      </c>
      <c r="C1328" s="13">
        <v>42</v>
      </c>
      <c r="D1328" s="21" t="s">
        <v>2951</v>
      </c>
      <c r="E1328" s="24">
        <v>49</v>
      </c>
      <c r="G1328" s="2">
        <f t="shared" si="82"/>
        <v>1309</v>
      </c>
      <c r="H1328" s="5">
        <v>0</v>
      </c>
      <c r="I1328" s="13">
        <v>32</v>
      </c>
      <c r="L1328" s="4"/>
      <c r="M1328" s="7"/>
      <c r="O1328" s="7"/>
      <c r="T1328" s="7"/>
    </row>
    <row r="1329" spans="2:20" x14ac:dyDescent="0.3">
      <c r="B1329" s="18" t="s">
        <v>2952</v>
      </c>
      <c r="C1329" s="13">
        <v>41</v>
      </c>
      <c r="D1329" s="21" t="s">
        <v>2953</v>
      </c>
      <c r="E1329" s="24">
        <v>48</v>
      </c>
      <c r="G1329" s="2">
        <f t="shared" si="82"/>
        <v>1310</v>
      </c>
      <c r="H1329" s="5">
        <v>0</v>
      </c>
      <c r="I1329" s="13">
        <v>32</v>
      </c>
      <c r="L1329" s="4"/>
      <c r="M1329" s="7"/>
      <c r="O1329" s="7"/>
      <c r="T1329" s="7"/>
    </row>
    <row r="1330" spans="2:20" x14ac:dyDescent="0.3">
      <c r="B1330" s="18" t="s">
        <v>2954</v>
      </c>
      <c r="C1330" s="13">
        <v>40</v>
      </c>
      <c r="D1330" s="21" t="s">
        <v>2955</v>
      </c>
      <c r="E1330" s="24">
        <v>30</v>
      </c>
      <c r="G1330" s="2">
        <f t="shared" si="82"/>
        <v>1311</v>
      </c>
      <c r="H1330" s="5">
        <v>0</v>
      </c>
      <c r="I1330" s="13">
        <v>32</v>
      </c>
      <c r="L1330" s="4"/>
      <c r="M1330" s="7"/>
      <c r="O1330" s="7"/>
      <c r="T1330" s="7"/>
    </row>
    <row r="1331" spans="2:20" x14ac:dyDescent="0.3">
      <c r="B1331" s="18" t="s">
        <v>2956</v>
      </c>
      <c r="C1331" s="13">
        <v>39</v>
      </c>
      <c r="D1331" s="21" t="s">
        <v>2957</v>
      </c>
      <c r="E1331" s="24">
        <v>47</v>
      </c>
      <c r="G1331" s="2">
        <f t="shared" si="82"/>
        <v>1312</v>
      </c>
      <c r="H1331" s="5">
        <v>0</v>
      </c>
      <c r="I1331" s="13">
        <v>32</v>
      </c>
      <c r="L1331" s="4"/>
      <c r="M1331" s="7"/>
      <c r="O1331" s="7"/>
      <c r="T1331" s="7"/>
    </row>
    <row r="1332" spans="2:20" x14ac:dyDescent="0.3">
      <c r="B1332" s="18" t="s">
        <v>2958</v>
      </c>
      <c r="C1332" s="13">
        <v>38</v>
      </c>
      <c r="D1332" s="21" t="s">
        <v>2959</v>
      </c>
      <c r="E1332" s="24">
        <v>46</v>
      </c>
      <c r="G1332" s="2">
        <f t="shared" si="82"/>
        <v>1313</v>
      </c>
      <c r="H1332" s="5">
        <v>0</v>
      </c>
      <c r="I1332" s="13">
        <v>32</v>
      </c>
      <c r="L1332" s="4"/>
      <c r="M1332" s="7"/>
      <c r="O1332" s="7"/>
      <c r="T1332" s="7"/>
    </row>
    <row r="1333" spans="2:20" x14ac:dyDescent="0.3">
      <c r="B1333" s="18" t="s">
        <v>2960</v>
      </c>
      <c r="C1333" s="13">
        <v>55</v>
      </c>
      <c r="D1333" s="21" t="s">
        <v>2961</v>
      </c>
      <c r="E1333" s="24">
        <v>45</v>
      </c>
      <c r="G1333" s="2">
        <f t="shared" si="82"/>
        <v>1314</v>
      </c>
      <c r="H1333" s="5">
        <v>0</v>
      </c>
      <c r="I1333" s="13">
        <v>32</v>
      </c>
      <c r="L1333" s="4"/>
      <c r="M1333" s="7"/>
      <c r="O1333" s="7"/>
      <c r="T1333" s="7"/>
    </row>
    <row r="1334" spans="2:20" x14ac:dyDescent="0.3">
      <c r="B1334" s="18" t="s">
        <v>2962</v>
      </c>
      <c r="C1334" s="13">
        <v>37</v>
      </c>
      <c r="D1334" s="21" t="s">
        <v>2963</v>
      </c>
      <c r="E1334" s="24">
        <v>44</v>
      </c>
      <c r="G1334" s="2">
        <f t="shared" si="82"/>
        <v>1315</v>
      </c>
      <c r="H1334" s="5">
        <v>0</v>
      </c>
      <c r="I1334" s="13">
        <v>32</v>
      </c>
      <c r="L1334" s="4"/>
      <c r="M1334" s="7"/>
      <c r="O1334" s="7"/>
      <c r="T1334" s="7"/>
    </row>
    <row r="1335" spans="2:20" x14ac:dyDescent="0.3">
      <c r="B1335" s="18" t="s">
        <v>2964</v>
      </c>
      <c r="C1335" s="13">
        <v>36</v>
      </c>
      <c r="D1335" s="21" t="s">
        <v>2965</v>
      </c>
      <c r="E1335" s="24">
        <v>43</v>
      </c>
      <c r="G1335" s="2">
        <f t="shared" si="82"/>
        <v>1316</v>
      </c>
      <c r="H1335" s="5">
        <v>0</v>
      </c>
      <c r="I1335" s="13">
        <v>32</v>
      </c>
      <c r="L1335" s="4"/>
      <c r="M1335" s="7"/>
      <c r="O1335" s="7"/>
      <c r="T1335" s="7"/>
    </row>
    <row r="1336" spans="2:20" x14ac:dyDescent="0.3">
      <c r="B1336" s="18" t="s">
        <v>2966</v>
      </c>
      <c r="C1336" s="13">
        <v>35</v>
      </c>
      <c r="D1336" s="21" t="s">
        <v>2967</v>
      </c>
      <c r="E1336" s="24">
        <v>42</v>
      </c>
      <c r="G1336" s="2">
        <f t="shared" si="82"/>
        <v>1317</v>
      </c>
      <c r="H1336" s="5">
        <v>0</v>
      </c>
      <c r="I1336" s="13">
        <v>32</v>
      </c>
      <c r="L1336" s="4"/>
      <c r="M1336" s="7"/>
      <c r="O1336" s="7"/>
      <c r="T1336" s="7"/>
    </row>
    <row r="1337" spans="2:20" x14ac:dyDescent="0.3">
      <c r="B1337" s="18" t="s">
        <v>2968</v>
      </c>
      <c r="C1337" s="13">
        <v>34</v>
      </c>
      <c r="D1337" s="21" t="s">
        <v>2969</v>
      </c>
      <c r="E1337" s="24">
        <v>41</v>
      </c>
      <c r="G1337" s="2">
        <f t="shared" si="82"/>
        <v>1318</v>
      </c>
      <c r="H1337" s="5">
        <v>0</v>
      </c>
      <c r="I1337" s="13">
        <v>32</v>
      </c>
      <c r="L1337" s="4"/>
      <c r="M1337" s="7"/>
      <c r="O1337" s="7"/>
      <c r="T1337" s="7"/>
    </row>
    <row r="1338" spans="2:20" x14ac:dyDescent="0.3">
      <c r="B1338" s="18" t="s">
        <v>2970</v>
      </c>
      <c r="C1338" s="13">
        <v>33</v>
      </c>
      <c r="D1338" s="21" t="s">
        <v>2971</v>
      </c>
      <c r="E1338" s="24">
        <v>40</v>
      </c>
      <c r="G1338" s="2">
        <f t="shared" si="82"/>
        <v>1319</v>
      </c>
      <c r="H1338" s="5">
        <v>0</v>
      </c>
      <c r="I1338" s="13">
        <v>32</v>
      </c>
      <c r="L1338" s="4"/>
      <c r="M1338" s="7"/>
      <c r="O1338" s="7"/>
      <c r="T1338" s="7"/>
    </row>
    <row r="1339" spans="2:20" x14ac:dyDescent="0.3">
      <c r="B1339" s="18" t="s">
        <v>2972</v>
      </c>
      <c r="C1339" s="13">
        <v>32</v>
      </c>
      <c r="D1339" s="21" t="s">
        <v>2973</v>
      </c>
      <c r="E1339" s="24">
        <v>39</v>
      </c>
      <c r="G1339" s="2">
        <f t="shared" si="82"/>
        <v>1320</v>
      </c>
      <c r="H1339" s="5">
        <v>0</v>
      </c>
      <c r="I1339" s="13">
        <v>32</v>
      </c>
      <c r="L1339" s="4"/>
      <c r="M1339" s="7"/>
      <c r="O1339" s="7"/>
      <c r="T1339" s="7"/>
    </row>
    <row r="1340" spans="2:20" x14ac:dyDescent="0.3">
      <c r="B1340" s="18" t="s">
        <v>2974</v>
      </c>
      <c r="C1340" s="13">
        <v>31</v>
      </c>
      <c r="D1340" s="21" t="s">
        <v>2975</v>
      </c>
      <c r="E1340" s="24">
        <v>38</v>
      </c>
      <c r="G1340" s="2">
        <f t="shared" si="82"/>
        <v>1321</v>
      </c>
      <c r="H1340" s="5">
        <v>0</v>
      </c>
      <c r="I1340" s="13">
        <v>32</v>
      </c>
      <c r="L1340" s="4"/>
      <c r="M1340" s="7"/>
      <c r="O1340" s="7"/>
      <c r="T1340" s="7"/>
    </row>
    <row r="1341" spans="2:20" x14ac:dyDescent="0.3">
      <c r="B1341" s="18" t="s">
        <v>2976</v>
      </c>
      <c r="C1341" s="13">
        <v>30</v>
      </c>
      <c r="D1341" s="21" t="s">
        <v>2977</v>
      </c>
      <c r="E1341" s="24">
        <v>29</v>
      </c>
      <c r="G1341" s="2">
        <f t="shared" si="82"/>
        <v>1322</v>
      </c>
      <c r="H1341" s="5">
        <v>0</v>
      </c>
      <c r="I1341" s="13">
        <v>32</v>
      </c>
      <c r="L1341" s="4"/>
      <c r="M1341" s="7"/>
      <c r="O1341" s="7"/>
      <c r="T1341" s="7"/>
    </row>
    <row r="1342" spans="2:20" x14ac:dyDescent="0.3">
      <c r="B1342" s="18" t="s">
        <v>2978</v>
      </c>
      <c r="C1342" s="13">
        <v>29</v>
      </c>
      <c r="D1342" s="21" t="s">
        <v>2979</v>
      </c>
      <c r="E1342" s="24">
        <v>9</v>
      </c>
      <c r="G1342" s="2">
        <f t="shared" si="82"/>
        <v>1323</v>
      </c>
      <c r="H1342" s="5">
        <v>0</v>
      </c>
      <c r="I1342" s="13">
        <v>32</v>
      </c>
      <c r="L1342" s="4"/>
      <c r="M1342" s="7"/>
      <c r="O1342" s="7"/>
      <c r="T1342" s="7"/>
    </row>
    <row r="1343" spans="2:20" x14ac:dyDescent="0.3">
      <c r="B1343" s="18" t="s">
        <v>2980</v>
      </c>
      <c r="C1343" s="13">
        <v>54</v>
      </c>
      <c r="D1343" s="21" t="s">
        <v>2981</v>
      </c>
      <c r="E1343" s="24">
        <v>8</v>
      </c>
      <c r="G1343" s="2">
        <f t="shared" si="82"/>
        <v>1324</v>
      </c>
      <c r="H1343" s="5">
        <v>0</v>
      </c>
      <c r="I1343" s="13">
        <v>32</v>
      </c>
      <c r="L1343" s="4"/>
      <c r="M1343" s="7"/>
      <c r="O1343" s="7"/>
      <c r="T1343" s="7"/>
    </row>
    <row r="1344" spans="2:20" x14ac:dyDescent="0.3">
      <c r="B1344" s="18" t="s">
        <v>2982</v>
      </c>
      <c r="C1344" s="13">
        <v>53</v>
      </c>
      <c r="D1344" s="21" t="s">
        <v>2983</v>
      </c>
      <c r="E1344" s="24">
        <v>7</v>
      </c>
      <c r="G1344" s="2">
        <f t="shared" si="82"/>
        <v>1325</v>
      </c>
      <c r="H1344" s="5">
        <v>0</v>
      </c>
      <c r="I1344" s="13">
        <v>32</v>
      </c>
      <c r="L1344" s="4"/>
      <c r="M1344" s="7"/>
      <c r="O1344" s="7"/>
      <c r="T1344" s="7"/>
    </row>
    <row r="1345" spans="2:20" x14ac:dyDescent="0.3">
      <c r="B1345" s="18" t="s">
        <v>2984</v>
      </c>
      <c r="C1345" s="13">
        <v>52</v>
      </c>
      <c r="D1345" s="21" t="s">
        <v>2985</v>
      </c>
      <c r="E1345" s="24">
        <v>6</v>
      </c>
      <c r="G1345" s="2">
        <f t="shared" si="82"/>
        <v>1326</v>
      </c>
      <c r="H1345" s="5">
        <v>0</v>
      </c>
      <c r="I1345" s="13">
        <v>32</v>
      </c>
      <c r="L1345" s="4"/>
      <c r="M1345" s="7"/>
      <c r="O1345" s="7"/>
      <c r="T1345" s="7"/>
    </row>
    <row r="1346" spans="2:20" x14ac:dyDescent="0.3">
      <c r="B1346" s="18" t="s">
        <v>2986</v>
      </c>
      <c r="C1346" s="13">
        <v>51</v>
      </c>
      <c r="D1346" s="21" t="s">
        <v>2987</v>
      </c>
      <c r="E1346" s="24">
        <v>5</v>
      </c>
      <c r="G1346" s="2">
        <f t="shared" si="82"/>
        <v>1327</v>
      </c>
      <c r="H1346" s="5">
        <v>0</v>
      </c>
      <c r="I1346" s="13">
        <v>32</v>
      </c>
      <c r="L1346" s="4"/>
      <c r="M1346" s="7"/>
      <c r="O1346" s="7"/>
      <c r="T1346" s="7"/>
    </row>
    <row r="1347" spans="2:20" x14ac:dyDescent="0.3">
      <c r="B1347" s="18" t="s">
        <v>2988</v>
      </c>
      <c r="C1347" s="13">
        <v>50</v>
      </c>
      <c r="D1347" s="21" t="s">
        <v>2989</v>
      </c>
      <c r="E1347" s="24">
        <v>4</v>
      </c>
      <c r="G1347" s="2">
        <f t="shared" si="82"/>
        <v>1328</v>
      </c>
      <c r="H1347" s="5">
        <v>0</v>
      </c>
      <c r="I1347" s="13">
        <v>32</v>
      </c>
      <c r="L1347" s="4"/>
      <c r="M1347" s="7"/>
      <c r="O1347" s="7"/>
      <c r="T1347" s="7"/>
    </row>
    <row r="1348" spans="2:20" x14ac:dyDescent="0.3">
      <c r="B1348" s="18" t="s">
        <v>2990</v>
      </c>
      <c r="C1348" s="13">
        <v>49</v>
      </c>
      <c r="D1348" s="21" t="s">
        <v>2991</v>
      </c>
      <c r="E1348" s="24">
        <v>3</v>
      </c>
      <c r="G1348" s="2">
        <f t="shared" si="82"/>
        <v>1329</v>
      </c>
      <c r="H1348" s="5">
        <v>0</v>
      </c>
      <c r="I1348" s="13">
        <v>32</v>
      </c>
      <c r="L1348" s="4"/>
      <c r="M1348" s="7"/>
      <c r="O1348" s="7"/>
      <c r="T1348" s="7"/>
    </row>
    <row r="1349" spans="2:20" x14ac:dyDescent="0.3">
      <c r="B1349" s="18" t="s">
        <v>2992</v>
      </c>
      <c r="C1349" s="13">
        <v>48</v>
      </c>
      <c r="D1349" s="21" t="s">
        <v>2993</v>
      </c>
      <c r="E1349" s="24">
        <v>28</v>
      </c>
      <c r="G1349" s="2">
        <f t="shared" si="82"/>
        <v>1330</v>
      </c>
      <c r="H1349" s="5">
        <v>0</v>
      </c>
      <c r="I1349" s="13">
        <v>32</v>
      </c>
      <c r="L1349" s="4"/>
      <c r="M1349" s="7"/>
      <c r="O1349" s="7"/>
      <c r="T1349" s="7"/>
    </row>
    <row r="1350" spans="2:20" x14ac:dyDescent="0.3">
      <c r="B1350" s="18" t="s">
        <v>2994</v>
      </c>
      <c r="C1350" s="13">
        <v>57</v>
      </c>
      <c r="D1350" s="21" t="s">
        <v>2995</v>
      </c>
      <c r="E1350" s="24">
        <v>27</v>
      </c>
      <c r="G1350" s="2">
        <f t="shared" si="82"/>
        <v>1331</v>
      </c>
      <c r="H1350" s="5">
        <v>0</v>
      </c>
      <c r="I1350" s="13">
        <v>32</v>
      </c>
      <c r="L1350" s="4"/>
      <c r="M1350" s="7"/>
      <c r="O1350" s="7"/>
      <c r="T1350" s="7"/>
    </row>
    <row r="1351" spans="2:20" x14ac:dyDescent="0.3">
      <c r="B1351" s="18" t="s">
        <v>2996</v>
      </c>
      <c r="C1351" s="13">
        <v>66</v>
      </c>
      <c r="D1351" s="21" t="s">
        <v>2997</v>
      </c>
      <c r="E1351" s="24">
        <v>26</v>
      </c>
      <c r="G1351" s="2">
        <f t="shared" si="82"/>
        <v>1332</v>
      </c>
      <c r="H1351" s="5">
        <v>0</v>
      </c>
      <c r="I1351" s="13">
        <v>32</v>
      </c>
      <c r="L1351" s="4"/>
      <c r="M1351" s="7"/>
      <c r="O1351" s="7"/>
    </row>
    <row r="1352" spans="2:20" x14ac:dyDescent="0.3">
      <c r="B1352" s="18" t="s">
        <v>2998</v>
      </c>
      <c r="C1352" s="13">
        <v>67</v>
      </c>
      <c r="D1352" s="21" t="s">
        <v>2999</v>
      </c>
      <c r="E1352" s="24">
        <v>25</v>
      </c>
      <c r="G1352" s="2">
        <f t="shared" si="82"/>
        <v>1333</v>
      </c>
      <c r="H1352" s="5">
        <v>0</v>
      </c>
      <c r="I1352" s="13">
        <v>32</v>
      </c>
      <c r="L1352" s="4"/>
      <c r="M1352" s="7"/>
      <c r="O1352" s="7"/>
      <c r="T1352" s="7"/>
    </row>
    <row r="1353" spans="2:20" x14ac:dyDescent="0.3">
      <c r="B1353" s="18" t="s">
        <v>3000</v>
      </c>
      <c r="C1353" s="13">
        <v>68</v>
      </c>
      <c r="D1353" s="21" t="s">
        <v>3001</v>
      </c>
      <c r="E1353" s="24">
        <v>24</v>
      </c>
      <c r="G1353" s="2">
        <f t="shared" si="82"/>
        <v>1334</v>
      </c>
      <c r="H1353" s="5">
        <v>0</v>
      </c>
      <c r="I1353" s="13">
        <v>32</v>
      </c>
      <c r="L1353" s="4"/>
      <c r="M1353" s="7"/>
      <c r="O1353" s="7"/>
      <c r="T1353" s="7"/>
    </row>
    <row r="1354" spans="2:20" x14ac:dyDescent="0.3">
      <c r="B1354" s="18" t="s">
        <v>3002</v>
      </c>
      <c r="C1354" s="13">
        <v>69</v>
      </c>
      <c r="D1354" s="21" t="s">
        <v>3003</v>
      </c>
      <c r="E1354" s="24">
        <v>23</v>
      </c>
      <c r="G1354" s="2">
        <f t="shared" si="82"/>
        <v>1335</v>
      </c>
      <c r="H1354" s="5">
        <v>0</v>
      </c>
      <c r="I1354" s="13">
        <v>32</v>
      </c>
      <c r="L1354" s="4"/>
      <c r="M1354" s="7"/>
      <c r="O1354" s="7"/>
      <c r="T1354" s="7"/>
    </row>
    <row r="1355" spans="2:20" x14ac:dyDescent="0.3">
      <c r="B1355" s="18" t="s">
        <v>3004</v>
      </c>
      <c r="C1355" s="13">
        <v>70</v>
      </c>
      <c r="D1355" s="21" t="s">
        <v>3005</v>
      </c>
      <c r="E1355" s="24">
        <v>22</v>
      </c>
      <c r="G1355" s="2">
        <f t="shared" si="82"/>
        <v>1336</v>
      </c>
      <c r="H1355" s="5">
        <v>0</v>
      </c>
      <c r="I1355" s="13">
        <v>32</v>
      </c>
      <c r="L1355" s="4"/>
      <c r="M1355" s="7"/>
      <c r="O1355" s="7"/>
      <c r="T1355" s="7"/>
    </row>
    <row r="1356" spans="2:20" x14ac:dyDescent="0.3">
      <c r="B1356" s="18" t="s">
        <v>3006</v>
      </c>
      <c r="C1356" s="13">
        <v>71</v>
      </c>
      <c r="D1356" s="21" t="s">
        <v>3007</v>
      </c>
      <c r="E1356" s="24">
        <v>21</v>
      </c>
      <c r="G1356" s="2">
        <f t="shared" ref="G1356:G1419" si="83">G1355+1</f>
        <v>1337</v>
      </c>
      <c r="H1356" s="5">
        <v>0</v>
      </c>
      <c r="I1356" s="13">
        <v>32</v>
      </c>
      <c r="L1356" s="4"/>
      <c r="M1356" s="7"/>
      <c r="O1356" s="7"/>
      <c r="T1356" s="7"/>
    </row>
    <row r="1357" spans="2:20" x14ac:dyDescent="0.3">
      <c r="B1357" s="18" t="s">
        <v>3008</v>
      </c>
      <c r="C1357" s="13">
        <v>72</v>
      </c>
      <c r="D1357" s="21" t="s">
        <v>3009</v>
      </c>
      <c r="E1357" s="24">
        <v>20</v>
      </c>
      <c r="G1357" s="2">
        <f t="shared" si="83"/>
        <v>1338</v>
      </c>
      <c r="H1357" s="5">
        <v>0</v>
      </c>
      <c r="I1357" s="13">
        <v>32</v>
      </c>
      <c r="L1357" s="4"/>
      <c r="M1357" s="7"/>
      <c r="O1357" s="7"/>
      <c r="T1357" s="7"/>
    </row>
    <row r="1358" spans="2:20" x14ac:dyDescent="0.3">
      <c r="B1358" s="18" t="s">
        <v>3010</v>
      </c>
      <c r="C1358" s="13">
        <v>73</v>
      </c>
      <c r="D1358" s="21" t="s">
        <v>3011</v>
      </c>
      <c r="E1358" s="24">
        <v>2</v>
      </c>
      <c r="G1358" s="2">
        <f t="shared" si="83"/>
        <v>1339</v>
      </c>
      <c r="H1358" s="5">
        <v>0</v>
      </c>
      <c r="I1358" s="13">
        <v>32</v>
      </c>
      <c r="L1358" s="4"/>
      <c r="M1358" s="7"/>
      <c r="O1358" s="7"/>
      <c r="T1358" s="7"/>
    </row>
    <row r="1359" spans="2:20" x14ac:dyDescent="0.3">
      <c r="B1359" s="18" t="s">
        <v>3012</v>
      </c>
      <c r="C1359" s="13">
        <v>74</v>
      </c>
      <c r="D1359" s="21" t="s">
        <v>3013</v>
      </c>
      <c r="E1359" s="24">
        <v>19</v>
      </c>
      <c r="G1359" s="2">
        <f t="shared" si="83"/>
        <v>1340</v>
      </c>
      <c r="H1359" s="5">
        <v>0</v>
      </c>
      <c r="I1359" s="13">
        <v>32</v>
      </c>
      <c r="L1359" s="4"/>
      <c r="M1359" s="7"/>
      <c r="O1359" s="7"/>
      <c r="T1359" s="7"/>
    </row>
    <row r="1360" spans="2:20" x14ac:dyDescent="0.3">
      <c r="B1360" s="18" t="s">
        <v>3014</v>
      </c>
      <c r="C1360" s="13">
        <v>75</v>
      </c>
      <c r="D1360" s="21" t="s">
        <v>3015</v>
      </c>
      <c r="E1360" s="24">
        <v>18</v>
      </c>
      <c r="G1360" s="2">
        <f t="shared" si="83"/>
        <v>1341</v>
      </c>
      <c r="H1360" s="5">
        <v>0</v>
      </c>
      <c r="I1360" s="13">
        <v>32</v>
      </c>
      <c r="L1360" s="4"/>
      <c r="M1360" s="7"/>
      <c r="O1360" s="7"/>
      <c r="T1360" s="7"/>
    </row>
    <row r="1361" spans="2:20" x14ac:dyDescent="0.3">
      <c r="B1361" s="18" t="s">
        <v>3016</v>
      </c>
      <c r="C1361" s="13">
        <v>58</v>
      </c>
      <c r="D1361" s="21" t="s">
        <v>3017</v>
      </c>
      <c r="E1361" s="24">
        <v>17</v>
      </c>
      <c r="G1361" s="2">
        <f t="shared" si="83"/>
        <v>1342</v>
      </c>
      <c r="H1361" s="5">
        <v>0</v>
      </c>
      <c r="I1361" s="13">
        <v>32</v>
      </c>
      <c r="L1361" s="4"/>
      <c r="M1361" s="7"/>
      <c r="O1361" s="7"/>
      <c r="T1361" s="7"/>
    </row>
    <row r="1362" spans="2:20" x14ac:dyDescent="0.3">
      <c r="B1362" s="18" t="s">
        <v>3018</v>
      </c>
      <c r="C1362" s="13">
        <v>76</v>
      </c>
      <c r="D1362" s="21" t="s">
        <v>3019</v>
      </c>
      <c r="E1362" s="24">
        <v>16</v>
      </c>
      <c r="G1362" s="2">
        <f t="shared" si="83"/>
        <v>1343</v>
      </c>
      <c r="H1362" s="5">
        <v>0</v>
      </c>
      <c r="I1362" s="13">
        <v>32</v>
      </c>
      <c r="L1362" s="4"/>
      <c r="M1362" s="7"/>
      <c r="O1362" s="7"/>
      <c r="T1362" s="7"/>
    </row>
    <row r="1363" spans="2:20" x14ac:dyDescent="0.3">
      <c r="B1363" s="18" t="s">
        <v>3020</v>
      </c>
      <c r="C1363" s="13">
        <v>77</v>
      </c>
      <c r="D1363" s="21" t="s">
        <v>3021</v>
      </c>
      <c r="E1363" s="24">
        <v>15</v>
      </c>
      <c r="G1363" s="2">
        <f t="shared" si="83"/>
        <v>1344</v>
      </c>
      <c r="H1363" s="5">
        <v>0</v>
      </c>
      <c r="I1363" s="13">
        <v>32</v>
      </c>
      <c r="L1363" s="4"/>
      <c r="M1363" s="7"/>
      <c r="O1363" s="7"/>
      <c r="T1363" s="7"/>
    </row>
    <row r="1364" spans="2:20" x14ac:dyDescent="0.3">
      <c r="B1364" s="18" t="s">
        <v>3022</v>
      </c>
      <c r="C1364" s="13">
        <v>78</v>
      </c>
      <c r="D1364" s="21" t="s">
        <v>3023</v>
      </c>
      <c r="E1364" s="24">
        <v>14</v>
      </c>
      <c r="G1364" s="2">
        <f t="shared" si="83"/>
        <v>1345</v>
      </c>
      <c r="H1364" s="5">
        <v>0</v>
      </c>
      <c r="I1364" s="13">
        <v>32</v>
      </c>
      <c r="L1364" s="4"/>
      <c r="M1364" s="7"/>
      <c r="O1364" s="7"/>
      <c r="T1364" s="7"/>
    </row>
    <row r="1365" spans="2:20" x14ac:dyDescent="0.3">
      <c r="B1365" s="18" t="s">
        <v>3024</v>
      </c>
      <c r="C1365" s="13">
        <v>79</v>
      </c>
      <c r="D1365" s="21" t="s">
        <v>3025</v>
      </c>
      <c r="E1365" s="24">
        <v>13</v>
      </c>
      <c r="G1365" s="2">
        <f t="shared" si="83"/>
        <v>1346</v>
      </c>
      <c r="H1365" s="5">
        <v>0</v>
      </c>
      <c r="I1365" s="13">
        <v>32</v>
      </c>
      <c r="L1365" s="4"/>
      <c r="M1365" s="7"/>
      <c r="O1365" s="7"/>
      <c r="T1365" s="7"/>
    </row>
    <row r="1366" spans="2:20" x14ac:dyDescent="0.3">
      <c r="B1366" s="18" t="s">
        <v>3026</v>
      </c>
      <c r="C1366" s="13">
        <v>80</v>
      </c>
      <c r="D1366" s="21" t="s">
        <v>3027</v>
      </c>
      <c r="E1366" s="24">
        <v>12</v>
      </c>
      <c r="G1366" s="2">
        <f t="shared" si="83"/>
        <v>1347</v>
      </c>
      <c r="H1366" s="5">
        <v>0</v>
      </c>
      <c r="I1366" s="13">
        <v>32</v>
      </c>
      <c r="L1366" s="4"/>
      <c r="M1366" s="7"/>
      <c r="O1366" s="7"/>
      <c r="T1366" s="7"/>
    </row>
    <row r="1367" spans="2:20" x14ac:dyDescent="0.3">
      <c r="B1367" s="18" t="s">
        <v>3028</v>
      </c>
      <c r="C1367" s="13">
        <v>81</v>
      </c>
      <c r="D1367" s="21" t="s">
        <v>3029</v>
      </c>
      <c r="E1367" s="24">
        <v>11</v>
      </c>
      <c r="G1367" s="2">
        <f t="shared" si="83"/>
        <v>1348</v>
      </c>
      <c r="H1367" s="5">
        <v>0</v>
      </c>
      <c r="I1367" s="13">
        <v>32</v>
      </c>
      <c r="L1367" s="4"/>
      <c r="M1367" s="7"/>
      <c r="O1367" s="7"/>
      <c r="T1367" s="7"/>
    </row>
    <row r="1368" spans="2:20" x14ac:dyDescent="0.3">
      <c r="B1368" s="18" t="s">
        <v>3030</v>
      </c>
      <c r="C1368" s="13">
        <v>82</v>
      </c>
      <c r="D1368" s="21" t="s">
        <v>3031</v>
      </c>
      <c r="E1368" s="24">
        <v>10</v>
      </c>
      <c r="G1368" s="2">
        <f t="shared" si="83"/>
        <v>1349</v>
      </c>
      <c r="H1368" s="5">
        <v>0</v>
      </c>
      <c r="I1368" s="13">
        <v>32</v>
      </c>
      <c r="L1368" s="4"/>
      <c r="M1368" s="7"/>
      <c r="O1368" s="7"/>
      <c r="T1368" s="7"/>
    </row>
    <row r="1369" spans="2:20" x14ac:dyDescent="0.3">
      <c r="B1369" s="18" t="s">
        <v>3032</v>
      </c>
      <c r="C1369" s="13">
        <v>83</v>
      </c>
      <c r="D1369" s="21" t="s">
        <v>3033</v>
      </c>
      <c r="E1369" s="24">
        <v>1</v>
      </c>
      <c r="G1369" s="2">
        <f t="shared" si="83"/>
        <v>1350</v>
      </c>
      <c r="H1369" s="5">
        <v>0</v>
      </c>
      <c r="I1369" s="13">
        <v>32</v>
      </c>
      <c r="L1369" s="4"/>
      <c r="M1369" s="7"/>
      <c r="O1369" s="7"/>
      <c r="T1369" s="7"/>
    </row>
    <row r="1370" spans="2:20" x14ac:dyDescent="0.3">
      <c r="B1370" s="18" t="s">
        <v>3034</v>
      </c>
      <c r="C1370" s="13">
        <v>84</v>
      </c>
      <c r="D1370" s="21" t="s">
        <v>3035</v>
      </c>
      <c r="E1370" s="24">
        <v>73</v>
      </c>
      <c r="G1370" s="2">
        <f t="shared" si="83"/>
        <v>1351</v>
      </c>
      <c r="H1370" s="5">
        <v>0</v>
      </c>
      <c r="I1370" s="13">
        <v>32</v>
      </c>
      <c r="L1370" s="4"/>
      <c r="M1370" s="7"/>
      <c r="O1370" s="7"/>
      <c r="T1370" s="7"/>
    </row>
    <row r="1371" spans="2:20" x14ac:dyDescent="0.3">
      <c r="B1371" s="18" t="s">
        <v>3036</v>
      </c>
      <c r="C1371" s="13">
        <v>59</v>
      </c>
      <c r="D1371" s="21" t="s">
        <v>3037</v>
      </c>
      <c r="E1371" s="24">
        <v>74</v>
      </c>
      <c r="G1371" s="2">
        <f t="shared" si="83"/>
        <v>1352</v>
      </c>
      <c r="H1371" s="5">
        <v>0</v>
      </c>
      <c r="I1371" s="13">
        <v>32</v>
      </c>
      <c r="L1371" s="4"/>
      <c r="M1371" s="7"/>
      <c r="O1371" s="7"/>
      <c r="T1371" s="7"/>
    </row>
    <row r="1372" spans="2:20" x14ac:dyDescent="0.3">
      <c r="B1372" s="18" t="s">
        <v>3038</v>
      </c>
      <c r="C1372" s="13">
        <v>60</v>
      </c>
      <c r="D1372" s="21" t="s">
        <v>3039</v>
      </c>
      <c r="E1372" s="24">
        <v>75</v>
      </c>
      <c r="G1372" s="2">
        <f t="shared" si="83"/>
        <v>1353</v>
      </c>
      <c r="H1372" s="5">
        <v>0</v>
      </c>
      <c r="I1372" s="13">
        <v>32</v>
      </c>
      <c r="L1372" s="4"/>
      <c r="M1372" s="7"/>
      <c r="O1372" s="7"/>
      <c r="T1372" s="7"/>
    </row>
    <row r="1373" spans="2:20" x14ac:dyDescent="0.3">
      <c r="B1373" s="18" t="s">
        <v>3040</v>
      </c>
      <c r="C1373" s="13">
        <v>61</v>
      </c>
      <c r="D1373" s="21" t="s">
        <v>3041</v>
      </c>
      <c r="E1373" s="24">
        <v>76</v>
      </c>
      <c r="G1373" s="2">
        <f t="shared" si="83"/>
        <v>1354</v>
      </c>
      <c r="H1373" s="5">
        <v>0</v>
      </c>
      <c r="I1373" s="13">
        <v>32</v>
      </c>
      <c r="L1373" s="4"/>
      <c r="M1373" s="7"/>
      <c r="O1373" s="7"/>
      <c r="T1373" s="7"/>
    </row>
    <row r="1374" spans="2:20" x14ac:dyDescent="0.3">
      <c r="B1374" s="18" t="s">
        <v>3042</v>
      </c>
      <c r="C1374" s="13">
        <v>62</v>
      </c>
      <c r="D1374" s="21" t="s">
        <v>3043</v>
      </c>
      <c r="E1374" s="24">
        <v>77</v>
      </c>
      <c r="G1374" s="2">
        <f t="shared" si="83"/>
        <v>1355</v>
      </c>
      <c r="H1374" s="5">
        <v>0</v>
      </c>
      <c r="I1374" s="13">
        <v>32</v>
      </c>
      <c r="L1374" s="4"/>
      <c r="M1374" s="7"/>
      <c r="O1374" s="7"/>
      <c r="T1374" s="7"/>
    </row>
    <row r="1375" spans="2:20" x14ac:dyDescent="0.3">
      <c r="B1375" s="18" t="s">
        <v>3044</v>
      </c>
      <c r="C1375" s="13">
        <v>63</v>
      </c>
      <c r="D1375" s="21" t="s">
        <v>3045</v>
      </c>
      <c r="E1375" s="24">
        <v>78</v>
      </c>
      <c r="G1375" s="2">
        <f t="shared" si="83"/>
        <v>1356</v>
      </c>
      <c r="H1375" s="5">
        <v>0</v>
      </c>
      <c r="I1375" s="13">
        <v>32</v>
      </c>
      <c r="L1375" s="4"/>
      <c r="M1375" s="7"/>
      <c r="O1375" s="7"/>
      <c r="T1375" s="7"/>
    </row>
    <row r="1376" spans="2:20" x14ac:dyDescent="0.3">
      <c r="B1376" s="18" t="s">
        <v>3046</v>
      </c>
      <c r="C1376" s="13">
        <v>64</v>
      </c>
      <c r="D1376" s="21" t="s">
        <v>3047</v>
      </c>
      <c r="E1376" s="24">
        <v>79</v>
      </c>
      <c r="G1376" s="2">
        <f t="shared" si="83"/>
        <v>1357</v>
      </c>
      <c r="H1376" s="5">
        <v>0</v>
      </c>
      <c r="I1376" s="13">
        <v>32</v>
      </c>
      <c r="L1376" s="4"/>
      <c r="M1376" s="7"/>
      <c r="O1376" s="7"/>
      <c r="T1376" s="7"/>
    </row>
    <row r="1377" spans="2:20" x14ac:dyDescent="0.3">
      <c r="B1377" s="18" t="s">
        <v>3048</v>
      </c>
      <c r="C1377" s="13">
        <v>65</v>
      </c>
      <c r="D1377" s="21" t="s">
        <v>3049</v>
      </c>
      <c r="E1377" s="24">
        <v>55</v>
      </c>
      <c r="G1377" s="2">
        <f t="shared" si="83"/>
        <v>1358</v>
      </c>
      <c r="H1377" s="5">
        <v>0</v>
      </c>
      <c r="I1377" s="13">
        <v>32</v>
      </c>
      <c r="L1377" s="4"/>
      <c r="M1377" s="7"/>
      <c r="O1377" s="7"/>
      <c r="T1377" s="7"/>
    </row>
    <row r="1378" spans="2:20" x14ac:dyDescent="0.3">
      <c r="B1378" s="18" t="s">
        <v>3050</v>
      </c>
      <c r="C1378" s="13">
        <v>112</v>
      </c>
      <c r="D1378" s="21" t="s">
        <v>3051</v>
      </c>
      <c r="E1378" s="24">
        <v>56</v>
      </c>
      <c r="G1378" s="2">
        <f t="shared" si="83"/>
        <v>1359</v>
      </c>
      <c r="H1378" s="5">
        <v>0</v>
      </c>
      <c r="I1378" s="13">
        <v>32</v>
      </c>
      <c r="L1378" s="4"/>
      <c r="M1378" s="7"/>
      <c r="O1378" s="7"/>
      <c r="T1378" s="7"/>
    </row>
    <row r="1379" spans="2:20" x14ac:dyDescent="0.3">
      <c r="B1379" s="18" t="s">
        <v>3052</v>
      </c>
      <c r="C1379" s="13">
        <v>103</v>
      </c>
      <c r="D1379" s="21" t="s">
        <v>3053</v>
      </c>
      <c r="E1379" s="24">
        <v>57</v>
      </c>
      <c r="G1379" s="2">
        <f t="shared" si="83"/>
        <v>1360</v>
      </c>
      <c r="H1379" s="5">
        <v>0</v>
      </c>
      <c r="I1379" s="13">
        <v>32</v>
      </c>
      <c r="L1379" s="4"/>
      <c r="M1379" s="7"/>
      <c r="O1379" s="7"/>
      <c r="T1379" s="7"/>
    </row>
    <row r="1380" spans="2:20" x14ac:dyDescent="0.3">
      <c r="B1380" s="18" t="s">
        <v>3054</v>
      </c>
      <c r="C1380" s="13">
        <v>102</v>
      </c>
      <c r="D1380" s="21" t="s">
        <v>3055</v>
      </c>
      <c r="E1380" s="24">
        <v>58</v>
      </c>
      <c r="G1380" s="2">
        <f t="shared" si="83"/>
        <v>1361</v>
      </c>
      <c r="H1380" s="5">
        <v>0</v>
      </c>
      <c r="I1380" s="13">
        <v>32</v>
      </c>
      <c r="L1380" s="4"/>
      <c r="M1380" s="7"/>
      <c r="O1380" s="7"/>
      <c r="T1380" s="7"/>
    </row>
    <row r="1381" spans="2:20" x14ac:dyDescent="0.3">
      <c r="B1381" s="18" t="s">
        <v>3056</v>
      </c>
      <c r="C1381" s="13">
        <v>101</v>
      </c>
      <c r="D1381" s="21" t="s">
        <v>3057</v>
      </c>
      <c r="E1381" s="24">
        <v>59</v>
      </c>
      <c r="G1381" s="2">
        <f t="shared" si="83"/>
        <v>1362</v>
      </c>
      <c r="H1381" s="5">
        <v>0</v>
      </c>
      <c r="I1381" s="13">
        <v>32</v>
      </c>
      <c r="L1381" s="4"/>
      <c r="M1381" s="7"/>
      <c r="O1381" s="7"/>
      <c r="T1381" s="7"/>
    </row>
    <row r="1382" spans="2:20" x14ac:dyDescent="0.3">
      <c r="B1382" s="18" t="s">
        <v>3058</v>
      </c>
      <c r="C1382" s="13">
        <v>100</v>
      </c>
      <c r="D1382" s="21" t="s">
        <v>3059</v>
      </c>
      <c r="E1382" s="24">
        <v>60</v>
      </c>
      <c r="G1382" s="2">
        <f t="shared" si="83"/>
        <v>1363</v>
      </c>
      <c r="H1382" s="5">
        <v>0</v>
      </c>
      <c r="I1382" s="13">
        <v>32</v>
      </c>
      <c r="L1382" s="4"/>
      <c r="M1382" s="7"/>
      <c r="O1382" s="7"/>
      <c r="T1382" s="7"/>
    </row>
    <row r="1383" spans="2:20" x14ac:dyDescent="0.3">
      <c r="B1383" s="18" t="s">
        <v>3060</v>
      </c>
      <c r="C1383" s="13">
        <v>99</v>
      </c>
      <c r="D1383" s="21" t="s">
        <v>3061</v>
      </c>
      <c r="E1383" s="24">
        <v>61</v>
      </c>
      <c r="G1383" s="2">
        <f t="shared" si="83"/>
        <v>1364</v>
      </c>
      <c r="H1383" s="5">
        <v>0</v>
      </c>
      <c r="I1383" s="13">
        <v>32</v>
      </c>
      <c r="L1383" s="4"/>
      <c r="M1383" s="7"/>
      <c r="O1383" s="7"/>
      <c r="T1383" s="7"/>
    </row>
    <row r="1384" spans="2:20" x14ac:dyDescent="0.3">
      <c r="B1384" s="18" t="s">
        <v>3062</v>
      </c>
      <c r="C1384" s="13">
        <v>98</v>
      </c>
      <c r="D1384" s="21" t="s">
        <v>3063</v>
      </c>
      <c r="E1384" s="24">
        <v>62</v>
      </c>
      <c r="G1384" s="2">
        <f t="shared" si="83"/>
        <v>1365</v>
      </c>
      <c r="H1384" s="5">
        <v>0</v>
      </c>
      <c r="I1384" s="13">
        <v>32</v>
      </c>
      <c r="L1384" s="4"/>
      <c r="M1384" s="7"/>
      <c r="O1384" s="7"/>
    </row>
    <row r="1385" spans="2:20" x14ac:dyDescent="0.3">
      <c r="B1385" s="18" t="s">
        <v>3064</v>
      </c>
      <c r="C1385" s="13">
        <v>97</v>
      </c>
      <c r="D1385" s="21" t="s">
        <v>3065</v>
      </c>
      <c r="E1385" s="24">
        <v>80</v>
      </c>
      <c r="G1385" s="2">
        <f t="shared" si="83"/>
        <v>1366</v>
      </c>
      <c r="H1385" s="5">
        <v>0</v>
      </c>
      <c r="I1385" s="13">
        <v>32</v>
      </c>
      <c r="L1385" s="4"/>
      <c r="M1385" s="7"/>
      <c r="O1385" s="7"/>
      <c r="T1385" s="7"/>
    </row>
    <row r="1386" spans="2:20" x14ac:dyDescent="0.3">
      <c r="B1386" s="18" t="s">
        <v>3066</v>
      </c>
      <c r="C1386" s="13">
        <v>96</v>
      </c>
      <c r="D1386" s="21" t="s">
        <v>3067</v>
      </c>
      <c r="E1386" s="24">
        <v>63</v>
      </c>
      <c r="G1386" s="2">
        <f t="shared" si="83"/>
        <v>1367</v>
      </c>
      <c r="H1386" s="5">
        <v>0</v>
      </c>
      <c r="I1386" s="13">
        <v>32</v>
      </c>
      <c r="L1386" s="4"/>
      <c r="M1386" s="7"/>
      <c r="O1386" s="7"/>
      <c r="T1386" s="7"/>
    </row>
    <row r="1387" spans="2:20" x14ac:dyDescent="0.3">
      <c r="B1387" s="18" t="s">
        <v>3068</v>
      </c>
      <c r="C1387" s="13">
        <v>95</v>
      </c>
      <c r="D1387" s="21" t="s">
        <v>3069</v>
      </c>
      <c r="E1387" s="24">
        <v>64</v>
      </c>
      <c r="G1387" s="2">
        <f t="shared" si="83"/>
        <v>1368</v>
      </c>
      <c r="H1387" s="5">
        <v>0</v>
      </c>
      <c r="I1387" s="13">
        <v>32</v>
      </c>
      <c r="L1387" s="4"/>
      <c r="M1387" s="7"/>
      <c r="O1387" s="7"/>
      <c r="T1387" s="7"/>
    </row>
    <row r="1388" spans="2:20" x14ac:dyDescent="0.3">
      <c r="B1388" s="18" t="s">
        <v>3070</v>
      </c>
      <c r="C1388" s="13">
        <v>94</v>
      </c>
      <c r="D1388" s="21" t="s">
        <v>3071</v>
      </c>
      <c r="E1388" s="24">
        <v>65</v>
      </c>
      <c r="G1388" s="2">
        <f t="shared" si="83"/>
        <v>1369</v>
      </c>
      <c r="H1388" s="5">
        <v>0</v>
      </c>
      <c r="I1388" s="13">
        <v>32</v>
      </c>
      <c r="L1388" s="4"/>
      <c r="M1388" s="7"/>
      <c r="O1388" s="7"/>
      <c r="T1388" s="7"/>
    </row>
    <row r="1389" spans="2:20" x14ac:dyDescent="0.3">
      <c r="B1389" s="18" t="s">
        <v>3072</v>
      </c>
      <c r="C1389" s="13">
        <v>111</v>
      </c>
      <c r="D1389" s="21" t="s">
        <v>3073</v>
      </c>
      <c r="E1389" s="24">
        <v>66</v>
      </c>
      <c r="G1389" s="2">
        <f t="shared" si="83"/>
        <v>1370</v>
      </c>
      <c r="H1389" s="5">
        <v>0</v>
      </c>
      <c r="I1389" s="13">
        <v>32</v>
      </c>
      <c r="L1389" s="4"/>
      <c r="M1389" s="7"/>
      <c r="O1389" s="7"/>
      <c r="T1389" s="7"/>
    </row>
    <row r="1390" spans="2:20" x14ac:dyDescent="0.3">
      <c r="B1390" s="18" t="s">
        <v>3074</v>
      </c>
      <c r="C1390" s="13">
        <v>93</v>
      </c>
      <c r="D1390" s="21" t="s">
        <v>3075</v>
      </c>
      <c r="E1390" s="24">
        <v>67</v>
      </c>
      <c r="G1390" s="2">
        <f t="shared" si="83"/>
        <v>1371</v>
      </c>
      <c r="H1390" s="5">
        <v>0</v>
      </c>
      <c r="I1390" s="13">
        <v>32</v>
      </c>
      <c r="L1390" s="4"/>
      <c r="M1390" s="7"/>
      <c r="O1390" s="7"/>
      <c r="T1390" s="7"/>
    </row>
    <row r="1391" spans="2:20" x14ac:dyDescent="0.3">
      <c r="B1391" s="18" t="s">
        <v>3076</v>
      </c>
      <c r="C1391" s="13">
        <v>92</v>
      </c>
      <c r="D1391" s="21" t="s">
        <v>3077</v>
      </c>
      <c r="E1391" s="24">
        <v>68</v>
      </c>
      <c r="G1391" s="2">
        <f t="shared" si="83"/>
        <v>1372</v>
      </c>
      <c r="H1391" s="5">
        <v>0</v>
      </c>
      <c r="I1391" s="13">
        <v>32</v>
      </c>
      <c r="L1391" s="4"/>
      <c r="M1391" s="7"/>
      <c r="O1391" s="7"/>
      <c r="T1391" s="7"/>
    </row>
    <row r="1392" spans="2:20" x14ac:dyDescent="0.3">
      <c r="B1392" s="18" t="s">
        <v>3078</v>
      </c>
      <c r="C1392" s="13">
        <v>91</v>
      </c>
      <c r="D1392" s="21" t="s">
        <v>3079</v>
      </c>
      <c r="E1392" s="24">
        <v>69</v>
      </c>
      <c r="G1392" s="2">
        <f t="shared" si="83"/>
        <v>1373</v>
      </c>
      <c r="H1392" s="5">
        <v>0</v>
      </c>
      <c r="I1392" s="13">
        <v>32</v>
      </c>
      <c r="L1392" s="4"/>
      <c r="M1392" s="7"/>
      <c r="O1392" s="7"/>
      <c r="T1392" s="7"/>
    </row>
    <row r="1393" spans="2:20" x14ac:dyDescent="0.3">
      <c r="B1393" s="18" t="s">
        <v>3080</v>
      </c>
      <c r="C1393" s="13">
        <v>90</v>
      </c>
      <c r="D1393" s="21" t="s">
        <v>3081</v>
      </c>
      <c r="E1393" s="24">
        <v>70</v>
      </c>
      <c r="G1393" s="2">
        <f t="shared" si="83"/>
        <v>1374</v>
      </c>
      <c r="H1393" s="5">
        <v>0</v>
      </c>
      <c r="I1393" s="13">
        <v>32</v>
      </c>
      <c r="L1393" s="4"/>
      <c r="M1393" s="7"/>
      <c r="O1393" s="7"/>
      <c r="T1393" s="7"/>
    </row>
    <row r="1394" spans="2:20" x14ac:dyDescent="0.3">
      <c r="B1394" s="18" t="s">
        <v>3082</v>
      </c>
      <c r="C1394" s="13">
        <v>89</v>
      </c>
      <c r="D1394" s="21" t="s">
        <v>3083</v>
      </c>
      <c r="E1394" s="24">
        <v>71</v>
      </c>
      <c r="G1394" s="2">
        <f t="shared" si="83"/>
        <v>1375</v>
      </c>
      <c r="H1394" s="5">
        <v>0</v>
      </c>
      <c r="I1394" s="13">
        <v>32</v>
      </c>
      <c r="L1394" s="4"/>
      <c r="M1394" s="7"/>
      <c r="O1394" s="7"/>
      <c r="T1394" s="7"/>
    </row>
    <row r="1395" spans="2:20" x14ac:dyDescent="0.3">
      <c r="B1395" s="18" t="s">
        <v>3084</v>
      </c>
      <c r="C1395" s="13">
        <v>88</v>
      </c>
      <c r="D1395" s="21" t="s">
        <v>3085</v>
      </c>
      <c r="E1395" s="24">
        <v>72</v>
      </c>
      <c r="G1395" s="2">
        <f t="shared" si="83"/>
        <v>1376</v>
      </c>
      <c r="H1395" s="5">
        <v>0</v>
      </c>
      <c r="I1395" s="13">
        <v>32</v>
      </c>
      <c r="L1395" s="4"/>
      <c r="M1395" s="7"/>
      <c r="O1395" s="7"/>
      <c r="T1395" s="7"/>
    </row>
    <row r="1396" spans="2:20" x14ac:dyDescent="0.3">
      <c r="B1396" s="18" t="s">
        <v>3086</v>
      </c>
      <c r="C1396" s="13">
        <v>87</v>
      </c>
      <c r="D1396" s="21" t="s">
        <v>3087</v>
      </c>
      <c r="E1396" s="24">
        <v>81</v>
      </c>
      <c r="G1396" s="2">
        <f t="shared" si="83"/>
        <v>1377</v>
      </c>
      <c r="H1396" s="5">
        <v>0</v>
      </c>
      <c r="I1396" s="13">
        <v>32</v>
      </c>
      <c r="L1396" s="4"/>
      <c r="M1396" s="7"/>
      <c r="O1396" s="7"/>
      <c r="T1396" s="7"/>
    </row>
    <row r="1397" spans="2:20" x14ac:dyDescent="0.3">
      <c r="B1397" s="18" t="s">
        <v>3088</v>
      </c>
      <c r="C1397" s="13">
        <v>86</v>
      </c>
      <c r="D1397" s="21" t="s">
        <v>3089</v>
      </c>
      <c r="E1397" s="24">
        <v>36</v>
      </c>
      <c r="G1397" s="2">
        <f t="shared" si="83"/>
        <v>1378</v>
      </c>
      <c r="H1397" s="5">
        <v>0</v>
      </c>
      <c r="I1397" s="13">
        <v>32</v>
      </c>
      <c r="L1397" s="4"/>
      <c r="M1397" s="7"/>
      <c r="O1397" s="7"/>
      <c r="T1397" s="7"/>
    </row>
    <row r="1398" spans="2:20" x14ac:dyDescent="0.3">
      <c r="B1398" s="18" t="s">
        <v>3090</v>
      </c>
      <c r="C1398" s="13">
        <v>85</v>
      </c>
      <c r="D1398" s="21" t="s">
        <v>3091</v>
      </c>
      <c r="E1398" s="24">
        <v>35</v>
      </c>
      <c r="G1398" s="2">
        <f t="shared" si="83"/>
        <v>1379</v>
      </c>
      <c r="H1398" s="5">
        <v>0</v>
      </c>
      <c r="I1398" s="13">
        <v>32</v>
      </c>
      <c r="L1398" s="4"/>
      <c r="M1398" s="7"/>
      <c r="O1398" s="7"/>
      <c r="T1398" s="7"/>
    </row>
    <row r="1399" spans="2:20" x14ac:dyDescent="0.3">
      <c r="B1399" s="18" t="s">
        <v>3092</v>
      </c>
      <c r="C1399" s="13">
        <v>110</v>
      </c>
      <c r="D1399" s="21" t="s">
        <v>3093</v>
      </c>
      <c r="E1399" s="24">
        <v>34</v>
      </c>
      <c r="G1399" s="2">
        <f t="shared" si="83"/>
        <v>1380</v>
      </c>
      <c r="H1399" s="5">
        <v>0</v>
      </c>
      <c r="I1399" s="13">
        <v>32</v>
      </c>
      <c r="L1399" s="4"/>
      <c r="M1399" s="7"/>
      <c r="O1399" s="7"/>
      <c r="T1399" s="7"/>
    </row>
    <row r="1400" spans="2:20" x14ac:dyDescent="0.3">
      <c r="B1400" s="18" t="s">
        <v>3094</v>
      </c>
      <c r="C1400" s="13">
        <v>109</v>
      </c>
      <c r="D1400" s="21" t="s">
        <v>3095</v>
      </c>
      <c r="E1400" s="24">
        <v>33</v>
      </c>
      <c r="G1400" s="2">
        <f t="shared" si="83"/>
        <v>1381</v>
      </c>
      <c r="H1400" s="5">
        <v>0</v>
      </c>
      <c r="I1400" s="13">
        <v>32</v>
      </c>
      <c r="L1400" s="4"/>
      <c r="M1400" s="7"/>
      <c r="O1400" s="7"/>
      <c r="T1400" s="7"/>
    </row>
    <row r="1401" spans="2:20" x14ac:dyDescent="0.3">
      <c r="B1401" s="18" t="s">
        <v>3096</v>
      </c>
      <c r="C1401" s="13">
        <v>108</v>
      </c>
      <c r="D1401" s="21" t="s">
        <v>3097</v>
      </c>
      <c r="E1401" s="24">
        <v>32</v>
      </c>
      <c r="G1401" s="2">
        <f t="shared" si="83"/>
        <v>1382</v>
      </c>
      <c r="H1401" s="5">
        <v>0</v>
      </c>
      <c r="I1401" s="13">
        <v>32</v>
      </c>
      <c r="L1401" s="4"/>
      <c r="M1401" s="7"/>
      <c r="O1401" s="7"/>
      <c r="T1401" s="7"/>
    </row>
    <row r="1402" spans="2:20" x14ac:dyDescent="0.3">
      <c r="B1402" s="18" t="s">
        <v>3098</v>
      </c>
      <c r="C1402" s="13">
        <v>107</v>
      </c>
      <c r="D1402" s="21" t="s">
        <v>3099</v>
      </c>
      <c r="E1402" s="24">
        <v>31</v>
      </c>
      <c r="G1402" s="2">
        <f t="shared" si="83"/>
        <v>1383</v>
      </c>
      <c r="H1402" s="5">
        <v>0</v>
      </c>
      <c r="I1402" s="13">
        <v>32</v>
      </c>
      <c r="L1402" s="4"/>
      <c r="M1402" s="7"/>
      <c r="O1402" s="7"/>
      <c r="T1402" s="7"/>
    </row>
    <row r="1403" spans="2:20" x14ac:dyDescent="0.3">
      <c r="B1403" s="18" t="s">
        <v>3100</v>
      </c>
      <c r="C1403" s="13">
        <v>106</v>
      </c>
      <c r="D1403" s="21" t="s">
        <v>3101</v>
      </c>
      <c r="E1403" s="24">
        <v>30</v>
      </c>
      <c r="G1403" s="2">
        <f t="shared" si="83"/>
        <v>1384</v>
      </c>
      <c r="H1403" s="5">
        <v>0</v>
      </c>
      <c r="I1403" s="13">
        <v>32</v>
      </c>
      <c r="L1403" s="4"/>
      <c r="M1403" s="7"/>
      <c r="O1403" s="7"/>
      <c r="T1403" s="7"/>
    </row>
    <row r="1404" spans="2:20" x14ac:dyDescent="0.3">
      <c r="B1404" s="18" t="s">
        <v>3102</v>
      </c>
      <c r="C1404" s="13">
        <v>105</v>
      </c>
      <c r="D1404" s="21" t="s">
        <v>3103</v>
      </c>
      <c r="E1404" s="24">
        <v>54</v>
      </c>
      <c r="G1404" s="2">
        <f t="shared" si="83"/>
        <v>1385</v>
      </c>
      <c r="H1404" s="5">
        <v>0</v>
      </c>
      <c r="I1404" s="13">
        <v>32</v>
      </c>
      <c r="L1404" s="4"/>
      <c r="M1404" s="7"/>
      <c r="O1404" s="7"/>
      <c r="T1404" s="7"/>
    </row>
    <row r="1405" spans="2:20" x14ac:dyDescent="0.3">
      <c r="B1405" s="18" t="s">
        <v>3104</v>
      </c>
      <c r="C1405" s="13">
        <v>104</v>
      </c>
      <c r="D1405" s="21" t="s">
        <v>3105</v>
      </c>
      <c r="E1405" s="24">
        <v>53</v>
      </c>
      <c r="G1405" s="2">
        <f t="shared" si="83"/>
        <v>1386</v>
      </c>
      <c r="H1405" s="5">
        <v>0</v>
      </c>
      <c r="I1405" s="13">
        <v>32</v>
      </c>
      <c r="L1405" s="4"/>
      <c r="M1405" s="7"/>
      <c r="O1405" s="7"/>
      <c r="T1405" s="7"/>
    </row>
    <row r="1406" spans="2:20" x14ac:dyDescent="0.3">
      <c r="B1406" s="18" t="s">
        <v>3106</v>
      </c>
      <c r="C1406" s="13">
        <v>1</v>
      </c>
      <c r="D1406" s="21" t="s">
        <v>3107</v>
      </c>
      <c r="E1406" s="24">
        <v>52</v>
      </c>
      <c r="G1406" s="2">
        <f t="shared" si="83"/>
        <v>1387</v>
      </c>
      <c r="H1406" s="5">
        <v>0</v>
      </c>
      <c r="I1406" s="13">
        <v>32</v>
      </c>
      <c r="L1406" s="4"/>
      <c r="M1406" s="7"/>
      <c r="O1406" s="7"/>
      <c r="T1406" s="7"/>
    </row>
    <row r="1407" spans="2:20" x14ac:dyDescent="0.3">
      <c r="B1407" s="18" t="s">
        <v>3108</v>
      </c>
      <c r="C1407" s="13">
        <v>10</v>
      </c>
      <c r="D1407" s="21" t="s">
        <v>3109</v>
      </c>
      <c r="E1407" s="24">
        <v>51</v>
      </c>
      <c r="G1407" s="2">
        <f t="shared" si="83"/>
        <v>1388</v>
      </c>
      <c r="H1407" s="5">
        <v>0</v>
      </c>
      <c r="I1407" s="13">
        <v>32</v>
      </c>
      <c r="L1407" s="4"/>
      <c r="M1407" s="7"/>
      <c r="O1407" s="7"/>
      <c r="T1407" s="7"/>
    </row>
    <row r="1408" spans="2:20" x14ac:dyDescent="0.3">
      <c r="B1408" s="18" t="s">
        <v>3110</v>
      </c>
      <c r="C1408" s="13">
        <v>11</v>
      </c>
      <c r="D1408" s="21" t="s">
        <v>3111</v>
      </c>
      <c r="E1408" s="24">
        <v>50</v>
      </c>
      <c r="G1408" s="2">
        <f t="shared" si="83"/>
        <v>1389</v>
      </c>
      <c r="H1408" s="5">
        <v>0</v>
      </c>
      <c r="I1408" s="13">
        <v>32</v>
      </c>
      <c r="L1408" s="4"/>
      <c r="M1408" s="7"/>
      <c r="O1408" s="7"/>
      <c r="T1408" s="7"/>
    </row>
    <row r="1409" spans="2:20" x14ac:dyDescent="0.3">
      <c r="B1409" s="18" t="s">
        <v>3112</v>
      </c>
      <c r="C1409" s="13">
        <v>12</v>
      </c>
      <c r="D1409" s="21" t="s">
        <v>3113</v>
      </c>
      <c r="E1409" s="24">
        <v>49</v>
      </c>
      <c r="G1409" s="2">
        <f t="shared" si="83"/>
        <v>1390</v>
      </c>
      <c r="H1409" s="5">
        <v>0</v>
      </c>
      <c r="I1409" s="13">
        <v>32</v>
      </c>
      <c r="L1409" s="4"/>
      <c r="M1409" s="7"/>
      <c r="O1409" s="7"/>
      <c r="T1409" s="7"/>
    </row>
    <row r="1410" spans="2:20" x14ac:dyDescent="0.3">
      <c r="B1410" s="18" t="s">
        <v>3114</v>
      </c>
      <c r="C1410" s="13">
        <v>13</v>
      </c>
      <c r="D1410" s="21" t="s">
        <v>3115</v>
      </c>
      <c r="E1410" s="24">
        <v>48</v>
      </c>
      <c r="G1410" s="2">
        <f t="shared" si="83"/>
        <v>1391</v>
      </c>
      <c r="H1410" s="5">
        <v>0</v>
      </c>
      <c r="I1410" s="13">
        <v>32</v>
      </c>
      <c r="L1410" s="4"/>
      <c r="M1410" s="7"/>
      <c r="O1410" s="7"/>
      <c r="T1410" s="7"/>
    </row>
    <row r="1411" spans="2:20" x14ac:dyDescent="0.3">
      <c r="B1411" s="18" t="s">
        <v>3116</v>
      </c>
      <c r="C1411" s="13">
        <v>14</v>
      </c>
      <c r="D1411" s="21" t="s">
        <v>3117</v>
      </c>
      <c r="E1411" s="24">
        <v>47</v>
      </c>
      <c r="G1411" s="2">
        <f t="shared" si="83"/>
        <v>1392</v>
      </c>
      <c r="H1411" s="5">
        <v>0</v>
      </c>
      <c r="I1411" s="13">
        <v>32</v>
      </c>
      <c r="L1411" s="4"/>
      <c r="M1411" s="7"/>
      <c r="O1411" s="7"/>
      <c r="T1411" s="7"/>
    </row>
    <row r="1412" spans="2:20" x14ac:dyDescent="0.3">
      <c r="B1412" s="18" t="s">
        <v>3118</v>
      </c>
      <c r="C1412" s="13">
        <v>15</v>
      </c>
      <c r="D1412" s="21" t="s">
        <v>3119</v>
      </c>
      <c r="E1412" s="24">
        <v>29</v>
      </c>
      <c r="G1412" s="2">
        <f t="shared" si="83"/>
        <v>1393</v>
      </c>
      <c r="H1412" s="5">
        <v>0</v>
      </c>
      <c r="I1412" s="13">
        <v>32</v>
      </c>
      <c r="L1412" s="4"/>
      <c r="M1412" s="7"/>
      <c r="O1412" s="7"/>
      <c r="T1412" s="7"/>
    </row>
    <row r="1413" spans="2:20" x14ac:dyDescent="0.3">
      <c r="B1413" s="18" t="s">
        <v>3120</v>
      </c>
      <c r="C1413" s="13">
        <v>16</v>
      </c>
      <c r="D1413" s="21" t="s">
        <v>3121</v>
      </c>
      <c r="E1413" s="24">
        <v>46</v>
      </c>
      <c r="G1413" s="2">
        <f t="shared" si="83"/>
        <v>1394</v>
      </c>
      <c r="H1413" s="5">
        <v>0</v>
      </c>
      <c r="I1413" s="13">
        <v>32</v>
      </c>
      <c r="L1413" s="4"/>
      <c r="M1413" s="7"/>
      <c r="O1413" s="7"/>
      <c r="T1413" s="7"/>
    </row>
    <row r="1414" spans="2:20" x14ac:dyDescent="0.3">
      <c r="B1414" s="18" t="s">
        <v>3122</v>
      </c>
      <c r="C1414" s="13">
        <v>17</v>
      </c>
      <c r="D1414" s="21" t="s">
        <v>3123</v>
      </c>
      <c r="E1414" s="24">
        <v>45</v>
      </c>
      <c r="G1414" s="2">
        <f t="shared" si="83"/>
        <v>1395</v>
      </c>
      <c r="H1414" s="5">
        <v>0</v>
      </c>
      <c r="I1414" s="13">
        <v>32</v>
      </c>
      <c r="L1414" s="4"/>
      <c r="M1414" s="7"/>
      <c r="O1414" s="7"/>
      <c r="T1414" s="7"/>
    </row>
    <row r="1415" spans="2:20" x14ac:dyDescent="0.3">
      <c r="B1415" s="18" t="s">
        <v>3124</v>
      </c>
      <c r="C1415" s="13">
        <v>18</v>
      </c>
      <c r="D1415" s="21" t="s">
        <v>3125</v>
      </c>
      <c r="E1415" s="24">
        <v>44</v>
      </c>
      <c r="G1415" s="2">
        <f t="shared" si="83"/>
        <v>1396</v>
      </c>
      <c r="H1415" s="5">
        <v>0</v>
      </c>
      <c r="I1415" s="13">
        <v>32</v>
      </c>
      <c r="L1415" s="4"/>
      <c r="M1415" s="7"/>
      <c r="O1415" s="7"/>
      <c r="T1415" s="7"/>
    </row>
    <row r="1416" spans="2:20" x14ac:dyDescent="0.3">
      <c r="B1416" s="18" t="s">
        <v>3126</v>
      </c>
      <c r="C1416" s="13">
        <v>19</v>
      </c>
      <c r="D1416" s="21" t="s">
        <v>3127</v>
      </c>
      <c r="E1416" s="24">
        <v>43</v>
      </c>
      <c r="G1416" s="2">
        <f t="shared" si="83"/>
        <v>1397</v>
      </c>
      <c r="H1416" s="5">
        <v>0</v>
      </c>
      <c r="I1416" s="13">
        <v>32</v>
      </c>
      <c r="L1416" s="4"/>
      <c r="M1416" s="7"/>
      <c r="O1416" s="7"/>
      <c r="T1416" s="7"/>
    </row>
    <row r="1417" spans="2:20" x14ac:dyDescent="0.3">
      <c r="B1417" s="18" t="s">
        <v>3128</v>
      </c>
      <c r="C1417" s="13">
        <v>2</v>
      </c>
      <c r="D1417" s="21" t="s">
        <v>3129</v>
      </c>
      <c r="E1417" s="24">
        <v>42</v>
      </c>
      <c r="G1417" s="2">
        <f t="shared" si="83"/>
        <v>1398</v>
      </c>
      <c r="H1417" s="5">
        <v>0</v>
      </c>
      <c r="I1417" s="13">
        <v>32</v>
      </c>
      <c r="L1417" s="4"/>
      <c r="M1417" s="7"/>
      <c r="O1417" s="7"/>
    </row>
    <row r="1418" spans="2:20" x14ac:dyDescent="0.3">
      <c r="B1418" s="18" t="s">
        <v>3130</v>
      </c>
      <c r="C1418" s="13">
        <v>20</v>
      </c>
      <c r="D1418" s="21" t="s">
        <v>3131</v>
      </c>
      <c r="E1418" s="24">
        <v>41</v>
      </c>
      <c r="G1418" s="2">
        <f t="shared" si="83"/>
        <v>1399</v>
      </c>
      <c r="H1418" s="5">
        <v>0</v>
      </c>
      <c r="I1418" s="13">
        <v>32</v>
      </c>
      <c r="L1418" s="4"/>
      <c r="M1418" s="7"/>
      <c r="O1418" s="7"/>
      <c r="T1418" s="7"/>
    </row>
    <row r="1419" spans="2:20" x14ac:dyDescent="0.3">
      <c r="B1419" s="18" t="s">
        <v>3132</v>
      </c>
      <c r="C1419" s="13">
        <v>21</v>
      </c>
      <c r="D1419" s="21" t="s">
        <v>3133</v>
      </c>
      <c r="E1419" s="24">
        <v>40</v>
      </c>
      <c r="G1419" s="2">
        <f t="shared" si="83"/>
        <v>1400</v>
      </c>
      <c r="H1419" s="5">
        <v>0</v>
      </c>
      <c r="I1419" s="13">
        <v>32</v>
      </c>
      <c r="L1419" s="4"/>
      <c r="M1419" s="7"/>
      <c r="O1419" s="7"/>
      <c r="T1419" s="7"/>
    </row>
    <row r="1420" spans="2:20" x14ac:dyDescent="0.3">
      <c r="B1420" s="18" t="s">
        <v>3134</v>
      </c>
      <c r="C1420" s="13">
        <v>22</v>
      </c>
      <c r="D1420" s="21" t="s">
        <v>3135</v>
      </c>
      <c r="E1420" s="24">
        <v>39</v>
      </c>
      <c r="G1420" s="2">
        <f t="shared" ref="G1420:G1483" si="84">G1419+1</f>
        <v>1401</v>
      </c>
      <c r="H1420" s="5">
        <v>0</v>
      </c>
      <c r="I1420" s="13">
        <v>32</v>
      </c>
      <c r="L1420" s="4"/>
      <c r="M1420" s="7"/>
      <c r="O1420" s="7"/>
      <c r="T1420" s="7"/>
    </row>
    <row r="1421" spans="2:20" x14ac:dyDescent="0.3">
      <c r="B1421" s="18" t="s">
        <v>3136</v>
      </c>
      <c r="C1421" s="13">
        <v>23</v>
      </c>
      <c r="D1421" s="21" t="s">
        <v>3137</v>
      </c>
      <c r="E1421" s="24">
        <v>38</v>
      </c>
      <c r="G1421" s="2">
        <f t="shared" si="84"/>
        <v>1402</v>
      </c>
      <c r="H1421" s="5">
        <v>0</v>
      </c>
      <c r="I1421" s="13">
        <v>32</v>
      </c>
      <c r="L1421" s="4"/>
      <c r="M1421" s="7"/>
      <c r="O1421" s="7"/>
      <c r="T1421" s="7"/>
    </row>
    <row r="1422" spans="2:20" x14ac:dyDescent="0.3">
      <c r="B1422" s="18" t="s">
        <v>3138</v>
      </c>
      <c r="C1422" s="13">
        <v>24</v>
      </c>
      <c r="D1422" s="21" t="s">
        <v>3139</v>
      </c>
      <c r="E1422" s="24">
        <v>37</v>
      </c>
      <c r="G1422" s="2">
        <f t="shared" si="84"/>
        <v>1403</v>
      </c>
      <c r="H1422" s="5">
        <v>0</v>
      </c>
      <c r="I1422" s="13">
        <v>32</v>
      </c>
      <c r="L1422" s="4"/>
      <c r="M1422" s="7"/>
      <c r="O1422" s="7"/>
      <c r="T1422" s="7"/>
    </row>
    <row r="1423" spans="2:20" x14ac:dyDescent="0.3">
      <c r="B1423" s="18" t="s">
        <v>3140</v>
      </c>
      <c r="C1423" s="13">
        <v>25</v>
      </c>
      <c r="D1423" s="21" t="s">
        <v>3141</v>
      </c>
      <c r="E1423" s="24">
        <v>28</v>
      </c>
      <c r="G1423" s="2">
        <f t="shared" si="84"/>
        <v>1404</v>
      </c>
      <c r="H1423" s="5">
        <v>0</v>
      </c>
      <c r="I1423" s="13">
        <v>32</v>
      </c>
      <c r="L1423" s="4"/>
      <c r="M1423" s="7"/>
      <c r="O1423" s="7"/>
      <c r="T1423" s="7"/>
    </row>
    <row r="1424" spans="2:20" x14ac:dyDescent="0.3">
      <c r="B1424" s="18" t="s">
        <v>3142</v>
      </c>
      <c r="C1424" s="13">
        <v>26</v>
      </c>
      <c r="D1424" s="21" t="s">
        <v>3143</v>
      </c>
      <c r="E1424" s="24">
        <v>9</v>
      </c>
      <c r="G1424" s="2">
        <f t="shared" si="84"/>
        <v>1405</v>
      </c>
      <c r="H1424" s="5">
        <v>0</v>
      </c>
      <c r="I1424" s="13">
        <v>32</v>
      </c>
      <c r="L1424" s="4"/>
      <c r="M1424" s="7"/>
      <c r="O1424" s="7"/>
      <c r="T1424" s="7"/>
    </row>
    <row r="1425" spans="2:20" x14ac:dyDescent="0.3">
      <c r="B1425" s="18" t="s">
        <v>3144</v>
      </c>
      <c r="C1425" s="13">
        <v>27</v>
      </c>
      <c r="D1425" s="21" t="s">
        <v>3145</v>
      </c>
      <c r="E1425" s="24">
        <v>8</v>
      </c>
      <c r="G1425" s="2">
        <f t="shared" si="84"/>
        <v>1406</v>
      </c>
      <c r="H1425" s="5">
        <v>0</v>
      </c>
      <c r="I1425" s="13">
        <v>32</v>
      </c>
      <c r="L1425" s="4"/>
      <c r="M1425" s="7"/>
      <c r="O1425" s="7"/>
      <c r="T1425" s="7"/>
    </row>
    <row r="1426" spans="2:20" x14ac:dyDescent="0.3">
      <c r="B1426" s="18" t="s">
        <v>3146</v>
      </c>
      <c r="C1426" s="13">
        <v>28</v>
      </c>
      <c r="D1426" s="21" t="s">
        <v>3147</v>
      </c>
      <c r="E1426" s="24">
        <v>7</v>
      </c>
      <c r="G1426" s="2">
        <f t="shared" si="84"/>
        <v>1407</v>
      </c>
      <c r="H1426" s="5">
        <v>0</v>
      </c>
      <c r="I1426" s="13">
        <v>32</v>
      </c>
      <c r="L1426" s="4"/>
      <c r="M1426" s="7"/>
      <c r="O1426" s="7"/>
      <c r="T1426" s="7"/>
    </row>
    <row r="1427" spans="2:20" x14ac:dyDescent="0.3">
      <c r="B1427" s="18" t="s">
        <v>3148</v>
      </c>
      <c r="C1427" s="13">
        <v>29</v>
      </c>
      <c r="D1427" s="21" t="s">
        <v>3149</v>
      </c>
      <c r="E1427" s="24">
        <v>6</v>
      </c>
      <c r="G1427" s="2">
        <f t="shared" si="84"/>
        <v>1408</v>
      </c>
      <c r="H1427" s="5">
        <v>0</v>
      </c>
      <c r="I1427" s="13">
        <v>32</v>
      </c>
      <c r="L1427" s="4"/>
      <c r="M1427" s="7"/>
      <c r="O1427" s="7"/>
      <c r="T1427" s="7"/>
    </row>
    <row r="1428" spans="2:20" x14ac:dyDescent="0.3">
      <c r="B1428" s="18" t="s">
        <v>3150</v>
      </c>
      <c r="C1428" s="13">
        <v>3</v>
      </c>
      <c r="D1428" s="21" t="s">
        <v>3151</v>
      </c>
      <c r="E1428" s="24">
        <v>5</v>
      </c>
      <c r="G1428" s="2">
        <f t="shared" si="84"/>
        <v>1409</v>
      </c>
      <c r="H1428" s="5">
        <v>0</v>
      </c>
      <c r="I1428" s="13">
        <v>32</v>
      </c>
      <c r="L1428" s="4"/>
      <c r="M1428" s="7"/>
      <c r="O1428" s="7"/>
      <c r="T1428" s="7"/>
    </row>
    <row r="1429" spans="2:20" x14ac:dyDescent="0.3">
      <c r="B1429" s="18" t="s">
        <v>3152</v>
      </c>
      <c r="C1429" s="13">
        <v>4</v>
      </c>
      <c r="D1429" s="21" t="s">
        <v>3153</v>
      </c>
      <c r="E1429" s="24">
        <v>4</v>
      </c>
      <c r="G1429" s="2">
        <f t="shared" si="84"/>
        <v>1410</v>
      </c>
      <c r="H1429" s="5">
        <v>0</v>
      </c>
      <c r="I1429" s="13">
        <v>32</v>
      </c>
      <c r="L1429" s="4"/>
      <c r="M1429" s="7"/>
      <c r="O1429" s="7"/>
      <c r="T1429" s="7"/>
    </row>
    <row r="1430" spans="2:20" x14ac:dyDescent="0.3">
      <c r="B1430" s="18" t="s">
        <v>3154</v>
      </c>
      <c r="C1430" s="13">
        <v>5</v>
      </c>
      <c r="D1430" s="21" t="s">
        <v>3155</v>
      </c>
      <c r="E1430" s="24">
        <v>3</v>
      </c>
      <c r="G1430" s="2">
        <f t="shared" si="84"/>
        <v>1411</v>
      </c>
      <c r="H1430" s="5">
        <v>0</v>
      </c>
      <c r="I1430" s="13">
        <v>32</v>
      </c>
      <c r="L1430" s="4"/>
      <c r="M1430" s="7"/>
      <c r="O1430" s="7"/>
      <c r="T1430" s="7"/>
    </row>
    <row r="1431" spans="2:20" x14ac:dyDescent="0.3">
      <c r="B1431" s="18" t="s">
        <v>3156</v>
      </c>
      <c r="C1431" s="13">
        <v>6</v>
      </c>
      <c r="D1431" s="21" t="s">
        <v>3157</v>
      </c>
      <c r="E1431" s="24">
        <v>27</v>
      </c>
      <c r="G1431" s="2">
        <f t="shared" si="84"/>
        <v>1412</v>
      </c>
      <c r="H1431" s="5">
        <v>0</v>
      </c>
      <c r="I1431" s="13">
        <v>32</v>
      </c>
      <c r="L1431" s="4"/>
      <c r="M1431" s="7"/>
      <c r="O1431" s="7"/>
      <c r="T1431" s="7"/>
    </row>
    <row r="1432" spans="2:20" x14ac:dyDescent="0.3">
      <c r="B1432" s="18" t="s">
        <v>3158</v>
      </c>
      <c r="C1432" s="13">
        <v>7</v>
      </c>
      <c r="D1432" s="21" t="s">
        <v>3159</v>
      </c>
      <c r="E1432" s="24">
        <v>26</v>
      </c>
      <c r="G1432" s="2">
        <f t="shared" si="84"/>
        <v>1413</v>
      </c>
      <c r="H1432" s="5">
        <v>0</v>
      </c>
      <c r="I1432" s="13">
        <v>32</v>
      </c>
      <c r="L1432" s="4"/>
      <c r="M1432" s="7"/>
      <c r="O1432" s="7"/>
      <c r="T1432" s="7"/>
    </row>
    <row r="1433" spans="2:20" x14ac:dyDescent="0.3">
      <c r="B1433" s="18" t="s">
        <v>3160</v>
      </c>
      <c r="C1433" s="13">
        <v>8</v>
      </c>
      <c r="D1433" s="21" t="s">
        <v>3161</v>
      </c>
      <c r="E1433" s="24">
        <v>25</v>
      </c>
      <c r="G1433" s="2">
        <f t="shared" si="84"/>
        <v>1414</v>
      </c>
      <c r="H1433" s="5">
        <v>0</v>
      </c>
      <c r="I1433" s="13">
        <v>32</v>
      </c>
      <c r="L1433" s="4"/>
      <c r="M1433" s="7"/>
      <c r="O1433" s="7"/>
      <c r="T1433" s="7"/>
    </row>
    <row r="1434" spans="2:20" x14ac:dyDescent="0.3">
      <c r="B1434" s="18" t="s">
        <v>3162</v>
      </c>
      <c r="C1434" s="13">
        <v>9</v>
      </c>
      <c r="D1434" s="21" t="s">
        <v>3163</v>
      </c>
      <c r="E1434" s="24">
        <v>24</v>
      </c>
      <c r="G1434" s="2">
        <f t="shared" si="84"/>
        <v>1415</v>
      </c>
      <c r="H1434" s="5">
        <v>0</v>
      </c>
      <c r="I1434" s="13">
        <v>32</v>
      </c>
      <c r="L1434" s="4"/>
      <c r="M1434" s="7"/>
      <c r="O1434" s="7"/>
      <c r="T1434" s="7"/>
    </row>
    <row r="1435" spans="2:20" x14ac:dyDescent="0.3">
      <c r="B1435" s="18" t="s">
        <v>3164</v>
      </c>
      <c r="C1435" s="13">
        <v>58</v>
      </c>
      <c r="D1435" s="21" t="s">
        <v>3165</v>
      </c>
      <c r="E1435" s="24">
        <v>23</v>
      </c>
      <c r="G1435" s="2">
        <f t="shared" si="84"/>
        <v>1416</v>
      </c>
      <c r="H1435" s="5">
        <v>0</v>
      </c>
      <c r="I1435" s="13">
        <v>32</v>
      </c>
      <c r="L1435" s="4"/>
      <c r="M1435" s="7"/>
      <c r="O1435" s="7"/>
      <c r="T1435" s="7"/>
    </row>
    <row r="1436" spans="2:20" x14ac:dyDescent="0.3">
      <c r="B1436" s="18" t="s">
        <v>3166</v>
      </c>
      <c r="C1436" s="13">
        <v>49</v>
      </c>
      <c r="D1436" s="21" t="s">
        <v>3167</v>
      </c>
      <c r="E1436" s="24">
        <v>22</v>
      </c>
      <c r="G1436" s="2">
        <f t="shared" si="84"/>
        <v>1417</v>
      </c>
      <c r="H1436" s="5">
        <v>0</v>
      </c>
      <c r="I1436" s="13">
        <v>32</v>
      </c>
      <c r="L1436" s="4"/>
      <c r="M1436" s="7"/>
      <c r="O1436" s="7"/>
      <c r="T1436" s="7"/>
    </row>
    <row r="1437" spans="2:20" x14ac:dyDescent="0.3">
      <c r="B1437" s="18" t="s">
        <v>3168</v>
      </c>
      <c r="C1437" s="13">
        <v>48</v>
      </c>
      <c r="D1437" s="21" t="s">
        <v>3169</v>
      </c>
      <c r="E1437" s="24">
        <v>21</v>
      </c>
      <c r="G1437" s="2">
        <f t="shared" si="84"/>
        <v>1418</v>
      </c>
      <c r="H1437" s="5">
        <v>0</v>
      </c>
      <c r="I1437" s="13">
        <v>32</v>
      </c>
      <c r="L1437" s="4"/>
      <c r="M1437" s="7"/>
      <c r="O1437" s="7"/>
      <c r="T1437" s="7"/>
    </row>
    <row r="1438" spans="2:20" x14ac:dyDescent="0.3">
      <c r="B1438" s="18" t="s">
        <v>3170</v>
      </c>
      <c r="C1438" s="13">
        <v>47</v>
      </c>
      <c r="D1438" s="21" t="s">
        <v>3171</v>
      </c>
      <c r="E1438" s="24">
        <v>20</v>
      </c>
      <c r="G1438" s="2">
        <f t="shared" si="84"/>
        <v>1419</v>
      </c>
      <c r="H1438" s="5">
        <v>0</v>
      </c>
      <c r="I1438" s="13">
        <v>32</v>
      </c>
      <c r="L1438" s="4"/>
      <c r="M1438" s="7"/>
      <c r="O1438" s="7"/>
      <c r="T1438" s="7"/>
    </row>
    <row r="1439" spans="2:20" x14ac:dyDescent="0.3">
      <c r="B1439" s="18" t="s">
        <v>3172</v>
      </c>
      <c r="C1439" s="13">
        <v>46</v>
      </c>
      <c r="D1439" s="21" t="s">
        <v>3173</v>
      </c>
      <c r="E1439" s="24">
        <v>2</v>
      </c>
      <c r="G1439" s="2">
        <f t="shared" si="84"/>
        <v>1420</v>
      </c>
      <c r="H1439" s="5">
        <v>0</v>
      </c>
      <c r="I1439" s="13">
        <v>32</v>
      </c>
      <c r="L1439" s="4"/>
      <c r="M1439" s="7"/>
      <c r="O1439" s="7"/>
      <c r="T1439" s="7"/>
    </row>
    <row r="1440" spans="2:20" x14ac:dyDescent="0.3">
      <c r="B1440" s="18" t="s">
        <v>3174</v>
      </c>
      <c r="C1440" s="13">
        <v>45</v>
      </c>
      <c r="D1440" s="21" t="s">
        <v>3175</v>
      </c>
      <c r="E1440" s="24">
        <v>19</v>
      </c>
      <c r="G1440" s="2">
        <f t="shared" si="84"/>
        <v>1421</v>
      </c>
      <c r="H1440" s="5">
        <v>0</v>
      </c>
      <c r="I1440" s="13">
        <v>32</v>
      </c>
      <c r="L1440" s="4"/>
      <c r="M1440" s="7"/>
      <c r="O1440" s="7"/>
      <c r="T1440" s="7"/>
    </row>
    <row r="1441" spans="2:20" x14ac:dyDescent="0.3">
      <c r="B1441" s="18" t="s">
        <v>3176</v>
      </c>
      <c r="C1441" s="13">
        <v>44</v>
      </c>
      <c r="D1441" s="21" t="s">
        <v>3177</v>
      </c>
      <c r="E1441" s="24">
        <v>18</v>
      </c>
      <c r="G1441" s="2">
        <f t="shared" si="84"/>
        <v>1422</v>
      </c>
      <c r="H1441" s="5">
        <v>0</v>
      </c>
      <c r="I1441" s="13">
        <v>32</v>
      </c>
      <c r="L1441" s="4"/>
      <c r="M1441" s="7"/>
      <c r="O1441" s="7"/>
      <c r="T1441" s="7"/>
    </row>
    <row r="1442" spans="2:20" x14ac:dyDescent="0.3">
      <c r="B1442" s="18" t="s">
        <v>3178</v>
      </c>
      <c r="C1442" s="13">
        <v>43</v>
      </c>
      <c r="D1442" s="21" t="s">
        <v>3179</v>
      </c>
      <c r="E1442" s="24">
        <v>17</v>
      </c>
      <c r="G1442" s="2">
        <f t="shared" si="84"/>
        <v>1423</v>
      </c>
      <c r="H1442" s="5">
        <v>0</v>
      </c>
      <c r="I1442" s="13">
        <v>32</v>
      </c>
      <c r="L1442" s="4"/>
      <c r="M1442" s="7"/>
      <c r="O1442" s="7"/>
      <c r="T1442" s="7"/>
    </row>
    <row r="1443" spans="2:20" x14ac:dyDescent="0.3">
      <c r="B1443" s="18" t="s">
        <v>3180</v>
      </c>
      <c r="C1443" s="13">
        <v>42</v>
      </c>
      <c r="D1443" s="21" t="s">
        <v>3181</v>
      </c>
      <c r="E1443" s="24">
        <v>16</v>
      </c>
      <c r="G1443" s="2">
        <f t="shared" si="84"/>
        <v>1424</v>
      </c>
      <c r="H1443" s="5">
        <v>0</v>
      </c>
      <c r="I1443" s="13">
        <v>32</v>
      </c>
      <c r="L1443" s="4"/>
      <c r="M1443" s="7"/>
      <c r="O1443" s="7"/>
      <c r="T1443" s="7"/>
    </row>
    <row r="1444" spans="2:20" x14ac:dyDescent="0.3">
      <c r="B1444" s="18" t="s">
        <v>3182</v>
      </c>
      <c r="C1444" s="13">
        <v>41</v>
      </c>
      <c r="D1444" s="21" t="s">
        <v>3183</v>
      </c>
      <c r="E1444" s="24">
        <v>15</v>
      </c>
      <c r="G1444" s="2">
        <f t="shared" si="84"/>
        <v>1425</v>
      </c>
      <c r="H1444" s="5">
        <v>0</v>
      </c>
      <c r="I1444" s="13">
        <v>32</v>
      </c>
      <c r="L1444" s="4"/>
      <c r="M1444" s="7"/>
      <c r="O1444" s="7"/>
      <c r="T1444" s="7"/>
    </row>
    <row r="1445" spans="2:20" x14ac:dyDescent="0.3">
      <c r="B1445" s="18" t="s">
        <v>3184</v>
      </c>
      <c r="C1445" s="13">
        <v>40</v>
      </c>
      <c r="D1445" s="21" t="s">
        <v>3185</v>
      </c>
      <c r="E1445" s="24">
        <v>14</v>
      </c>
      <c r="G1445" s="2">
        <f t="shared" si="84"/>
        <v>1426</v>
      </c>
      <c r="H1445" s="5">
        <v>0</v>
      </c>
      <c r="I1445" s="13">
        <v>32</v>
      </c>
      <c r="L1445" s="4"/>
      <c r="M1445" s="7"/>
      <c r="O1445" s="7"/>
      <c r="T1445" s="7"/>
    </row>
    <row r="1446" spans="2:20" x14ac:dyDescent="0.3">
      <c r="B1446" s="18" t="s">
        <v>3186</v>
      </c>
      <c r="C1446" s="13">
        <v>57</v>
      </c>
      <c r="D1446" s="21" t="s">
        <v>3187</v>
      </c>
      <c r="E1446" s="24">
        <v>13</v>
      </c>
      <c r="G1446" s="2">
        <f t="shared" si="84"/>
        <v>1427</v>
      </c>
      <c r="H1446" s="5">
        <v>0</v>
      </c>
      <c r="I1446" s="13">
        <v>32</v>
      </c>
      <c r="L1446" s="4"/>
      <c r="M1446" s="7"/>
      <c r="O1446" s="7"/>
      <c r="T1446" s="7"/>
    </row>
    <row r="1447" spans="2:20" x14ac:dyDescent="0.3">
      <c r="B1447" s="18" t="s">
        <v>3188</v>
      </c>
      <c r="C1447" s="13">
        <v>39</v>
      </c>
      <c r="D1447" s="21" t="s">
        <v>3189</v>
      </c>
      <c r="E1447" s="24">
        <v>12</v>
      </c>
      <c r="G1447" s="2">
        <f t="shared" si="84"/>
        <v>1428</v>
      </c>
      <c r="H1447" s="5">
        <v>0</v>
      </c>
      <c r="I1447" s="13">
        <v>32</v>
      </c>
      <c r="L1447" s="4"/>
      <c r="M1447" s="7"/>
      <c r="O1447" s="7"/>
      <c r="T1447" s="7"/>
    </row>
    <row r="1448" spans="2:20" x14ac:dyDescent="0.3">
      <c r="B1448" s="18" t="s">
        <v>3190</v>
      </c>
      <c r="C1448" s="13">
        <v>38</v>
      </c>
      <c r="D1448" s="21" t="s">
        <v>3191</v>
      </c>
      <c r="E1448" s="24">
        <v>11</v>
      </c>
      <c r="G1448" s="2">
        <f t="shared" si="84"/>
        <v>1429</v>
      </c>
      <c r="H1448" s="5">
        <v>0</v>
      </c>
      <c r="I1448" s="13">
        <v>32</v>
      </c>
      <c r="L1448" s="4"/>
      <c r="M1448" s="7"/>
      <c r="O1448" s="7"/>
      <c r="T1448" s="7"/>
    </row>
    <row r="1449" spans="2:20" x14ac:dyDescent="0.3">
      <c r="B1449" s="18" t="s">
        <v>3192</v>
      </c>
      <c r="C1449" s="13">
        <v>37</v>
      </c>
      <c r="D1449" s="21" t="s">
        <v>3193</v>
      </c>
      <c r="E1449" s="24">
        <v>10</v>
      </c>
      <c r="G1449" s="2">
        <f t="shared" si="84"/>
        <v>1430</v>
      </c>
      <c r="H1449" s="5">
        <v>0</v>
      </c>
      <c r="I1449" s="13">
        <v>32</v>
      </c>
      <c r="L1449" s="4"/>
      <c r="M1449" s="7"/>
      <c r="O1449" s="7"/>
      <c r="T1449" s="7"/>
    </row>
    <row r="1450" spans="2:20" x14ac:dyDescent="0.3">
      <c r="B1450" s="18" t="s">
        <v>3194</v>
      </c>
      <c r="C1450" s="13">
        <v>36</v>
      </c>
      <c r="D1450" s="21" t="s">
        <v>3195</v>
      </c>
      <c r="E1450" s="24">
        <v>1</v>
      </c>
      <c r="G1450" s="2">
        <f t="shared" si="84"/>
        <v>1431</v>
      </c>
      <c r="H1450" s="5">
        <v>0</v>
      </c>
      <c r="I1450" s="13">
        <v>32</v>
      </c>
      <c r="L1450" s="4"/>
      <c r="M1450" s="7"/>
      <c r="O1450" s="7"/>
    </row>
    <row r="1451" spans="2:20" x14ac:dyDescent="0.3">
      <c r="B1451" s="18" t="s">
        <v>3196</v>
      </c>
      <c r="C1451" s="13">
        <v>35</v>
      </c>
      <c r="D1451" s="21" t="s">
        <v>3197</v>
      </c>
      <c r="E1451" s="24">
        <v>73</v>
      </c>
      <c r="G1451" s="2">
        <f t="shared" si="84"/>
        <v>1432</v>
      </c>
      <c r="H1451" s="5">
        <v>0</v>
      </c>
      <c r="I1451" s="13">
        <v>32</v>
      </c>
      <c r="L1451" s="4"/>
      <c r="M1451" s="7"/>
      <c r="O1451" s="7"/>
      <c r="T1451" s="7"/>
    </row>
    <row r="1452" spans="2:20" x14ac:dyDescent="0.3">
      <c r="B1452" s="18" t="s">
        <v>3198</v>
      </c>
      <c r="C1452" s="13">
        <v>34</v>
      </c>
      <c r="D1452" s="21" t="s">
        <v>3199</v>
      </c>
      <c r="E1452" s="24">
        <v>74</v>
      </c>
      <c r="G1452" s="2">
        <f t="shared" si="84"/>
        <v>1433</v>
      </c>
      <c r="H1452" s="5">
        <v>0</v>
      </c>
      <c r="I1452" s="13">
        <v>32</v>
      </c>
      <c r="L1452" s="4"/>
      <c r="M1452" s="7"/>
      <c r="O1452" s="7"/>
      <c r="T1452" s="7"/>
    </row>
    <row r="1453" spans="2:20" x14ac:dyDescent="0.3">
      <c r="B1453" s="18" t="s">
        <v>3200</v>
      </c>
      <c r="C1453" s="13">
        <v>33</v>
      </c>
      <c r="D1453" s="21" t="s">
        <v>3201</v>
      </c>
      <c r="E1453" s="24">
        <v>75</v>
      </c>
      <c r="G1453" s="2">
        <f t="shared" si="84"/>
        <v>1434</v>
      </c>
      <c r="H1453" s="5">
        <v>0</v>
      </c>
      <c r="I1453" s="13">
        <v>32</v>
      </c>
      <c r="L1453" s="4"/>
      <c r="M1453" s="7"/>
      <c r="O1453" s="7"/>
      <c r="T1453" s="7"/>
    </row>
    <row r="1454" spans="2:20" x14ac:dyDescent="0.3">
      <c r="B1454" s="18" t="s">
        <v>3202</v>
      </c>
      <c r="C1454" s="13">
        <v>32</v>
      </c>
      <c r="D1454" s="21" t="s">
        <v>3203</v>
      </c>
      <c r="E1454" s="24">
        <v>76</v>
      </c>
      <c r="G1454" s="2">
        <f t="shared" si="84"/>
        <v>1435</v>
      </c>
      <c r="H1454" s="5">
        <v>0</v>
      </c>
      <c r="I1454" s="13">
        <v>32</v>
      </c>
      <c r="L1454" s="4"/>
      <c r="M1454" s="7"/>
      <c r="O1454" s="7"/>
      <c r="T1454" s="7"/>
    </row>
    <row r="1455" spans="2:20" x14ac:dyDescent="0.3">
      <c r="B1455" s="18" t="s">
        <v>3204</v>
      </c>
      <c r="C1455" s="13">
        <v>31</v>
      </c>
      <c r="D1455" s="21" t="s">
        <v>3205</v>
      </c>
      <c r="E1455" s="24">
        <v>77</v>
      </c>
      <c r="G1455" s="2">
        <f t="shared" si="84"/>
        <v>1436</v>
      </c>
      <c r="H1455" s="5">
        <v>0</v>
      </c>
      <c r="I1455" s="13">
        <v>32</v>
      </c>
      <c r="L1455" s="4"/>
      <c r="M1455" s="7"/>
      <c r="O1455" s="7"/>
      <c r="T1455" s="7"/>
    </row>
    <row r="1456" spans="2:20" x14ac:dyDescent="0.3">
      <c r="B1456" s="18" t="s">
        <v>3206</v>
      </c>
      <c r="C1456" s="13">
        <v>30</v>
      </c>
      <c r="D1456" s="21" t="s">
        <v>3207</v>
      </c>
      <c r="E1456" s="24">
        <v>78</v>
      </c>
      <c r="G1456" s="2">
        <f t="shared" si="84"/>
        <v>1437</v>
      </c>
      <c r="H1456" s="5">
        <v>0</v>
      </c>
      <c r="I1456" s="13">
        <v>32</v>
      </c>
      <c r="L1456" s="4"/>
      <c r="M1456" s="7"/>
      <c r="O1456" s="7"/>
      <c r="T1456" s="7"/>
    </row>
    <row r="1457" spans="2:20" x14ac:dyDescent="0.3">
      <c r="B1457" s="18" t="s">
        <v>3208</v>
      </c>
      <c r="C1457" s="13">
        <v>56</v>
      </c>
      <c r="D1457" s="21" t="s">
        <v>3209</v>
      </c>
      <c r="E1457" s="24">
        <v>79</v>
      </c>
      <c r="G1457" s="2">
        <f t="shared" si="84"/>
        <v>1438</v>
      </c>
      <c r="H1457" s="5">
        <v>0</v>
      </c>
      <c r="I1457" s="13">
        <v>32</v>
      </c>
      <c r="L1457" s="4"/>
      <c r="M1457" s="7"/>
      <c r="O1457" s="7"/>
      <c r="T1457" s="7"/>
    </row>
    <row r="1458" spans="2:20" x14ac:dyDescent="0.3">
      <c r="B1458" s="18" t="s">
        <v>3210</v>
      </c>
      <c r="C1458" s="13">
        <v>55</v>
      </c>
      <c r="D1458" s="21" t="s">
        <v>3211</v>
      </c>
      <c r="E1458" s="24">
        <v>55</v>
      </c>
      <c r="G1458" s="2">
        <f t="shared" si="84"/>
        <v>1439</v>
      </c>
      <c r="H1458" s="5">
        <v>0</v>
      </c>
      <c r="I1458" s="13">
        <v>32</v>
      </c>
      <c r="L1458" s="4"/>
      <c r="M1458" s="7"/>
      <c r="O1458" s="7"/>
      <c r="T1458" s="7"/>
    </row>
    <row r="1459" spans="2:20" x14ac:dyDescent="0.3">
      <c r="B1459" s="18" t="s">
        <v>3212</v>
      </c>
      <c r="C1459" s="13">
        <v>54</v>
      </c>
      <c r="D1459" s="21" t="s">
        <v>3213</v>
      </c>
      <c r="E1459" s="24">
        <v>56</v>
      </c>
      <c r="G1459" s="2">
        <f t="shared" si="84"/>
        <v>1440</v>
      </c>
      <c r="H1459" s="5">
        <v>0</v>
      </c>
      <c r="I1459" s="13">
        <v>32</v>
      </c>
      <c r="L1459" s="4"/>
      <c r="M1459" s="7"/>
      <c r="O1459" s="7"/>
      <c r="T1459" s="7"/>
    </row>
    <row r="1460" spans="2:20" x14ac:dyDescent="0.3">
      <c r="B1460" s="18" t="s">
        <v>3214</v>
      </c>
      <c r="C1460" s="13">
        <v>53</v>
      </c>
      <c r="D1460" s="21" t="s">
        <v>3215</v>
      </c>
      <c r="E1460" s="24">
        <v>57</v>
      </c>
      <c r="G1460" s="2">
        <f t="shared" si="84"/>
        <v>1441</v>
      </c>
      <c r="H1460" s="5">
        <v>0</v>
      </c>
      <c r="I1460" s="13">
        <v>32</v>
      </c>
      <c r="L1460" s="4"/>
      <c r="M1460" s="7"/>
      <c r="O1460" s="7"/>
      <c r="T1460" s="7"/>
    </row>
    <row r="1461" spans="2:20" x14ac:dyDescent="0.3">
      <c r="B1461" s="18" t="s">
        <v>3216</v>
      </c>
      <c r="C1461" s="13">
        <v>52</v>
      </c>
      <c r="D1461" s="21" t="s">
        <v>3217</v>
      </c>
      <c r="E1461" s="24">
        <v>58</v>
      </c>
      <c r="G1461" s="2">
        <f t="shared" si="84"/>
        <v>1442</v>
      </c>
      <c r="H1461" s="5">
        <v>0</v>
      </c>
      <c r="I1461" s="13">
        <v>32</v>
      </c>
      <c r="L1461" s="4"/>
      <c r="M1461" s="7"/>
      <c r="O1461" s="7"/>
      <c r="T1461" s="7"/>
    </row>
    <row r="1462" spans="2:20" x14ac:dyDescent="0.3">
      <c r="B1462" s="18" t="s">
        <v>3218</v>
      </c>
      <c r="C1462" s="13">
        <v>51</v>
      </c>
      <c r="D1462" s="21" t="s">
        <v>3219</v>
      </c>
      <c r="E1462" s="24">
        <v>59</v>
      </c>
      <c r="G1462" s="2">
        <f t="shared" si="84"/>
        <v>1443</v>
      </c>
      <c r="H1462" s="5">
        <v>0</v>
      </c>
      <c r="I1462" s="13">
        <v>32</v>
      </c>
      <c r="L1462" s="4"/>
      <c r="M1462" s="7"/>
      <c r="O1462" s="7"/>
      <c r="T1462" s="7"/>
    </row>
    <row r="1463" spans="2:20" x14ac:dyDescent="0.3">
      <c r="B1463" s="18" t="s">
        <v>3220</v>
      </c>
      <c r="C1463" s="13">
        <v>50</v>
      </c>
      <c r="D1463" s="21" t="s">
        <v>3221</v>
      </c>
      <c r="E1463" s="24">
        <v>60</v>
      </c>
      <c r="G1463" s="2">
        <f t="shared" si="84"/>
        <v>1444</v>
      </c>
      <c r="H1463" s="5">
        <v>0</v>
      </c>
      <c r="I1463" s="13">
        <v>32</v>
      </c>
      <c r="L1463" s="4"/>
      <c r="M1463" s="7"/>
      <c r="O1463" s="7"/>
      <c r="T1463" s="7"/>
    </row>
    <row r="1464" spans="2:20" x14ac:dyDescent="0.3">
      <c r="B1464" s="18" t="s">
        <v>3222</v>
      </c>
      <c r="C1464" s="13">
        <v>59</v>
      </c>
      <c r="D1464" s="21" t="s">
        <v>3223</v>
      </c>
      <c r="E1464" s="24">
        <v>61</v>
      </c>
      <c r="G1464" s="2">
        <f t="shared" si="84"/>
        <v>1445</v>
      </c>
      <c r="H1464" s="5">
        <v>0</v>
      </c>
      <c r="I1464" s="13">
        <v>32</v>
      </c>
      <c r="L1464" s="4"/>
      <c r="M1464" s="7"/>
      <c r="O1464" s="7"/>
      <c r="T1464" s="7"/>
    </row>
    <row r="1465" spans="2:20" x14ac:dyDescent="0.3">
      <c r="B1465" s="18" t="s">
        <v>3224</v>
      </c>
      <c r="C1465" s="13">
        <v>68</v>
      </c>
      <c r="D1465" s="21" t="s">
        <v>3225</v>
      </c>
      <c r="E1465" s="24">
        <v>62</v>
      </c>
      <c r="G1465" s="2">
        <f t="shared" si="84"/>
        <v>1446</v>
      </c>
      <c r="H1465" s="5">
        <v>0</v>
      </c>
      <c r="I1465" s="13">
        <v>32</v>
      </c>
      <c r="L1465" s="4"/>
      <c r="M1465" s="7"/>
      <c r="O1465" s="7"/>
      <c r="T1465" s="7"/>
    </row>
    <row r="1466" spans="2:20" x14ac:dyDescent="0.3">
      <c r="B1466" s="18" t="s">
        <v>3226</v>
      </c>
      <c r="C1466" s="13">
        <v>69</v>
      </c>
      <c r="D1466" s="21" t="s">
        <v>3227</v>
      </c>
      <c r="E1466" s="24">
        <v>80</v>
      </c>
      <c r="G1466" s="2">
        <f t="shared" si="84"/>
        <v>1447</v>
      </c>
      <c r="H1466" s="5">
        <v>0</v>
      </c>
      <c r="I1466" s="13">
        <v>32</v>
      </c>
      <c r="L1466" s="4"/>
      <c r="M1466" s="7"/>
      <c r="O1466" s="7"/>
      <c r="T1466" s="7"/>
    </row>
    <row r="1467" spans="2:20" x14ac:dyDescent="0.3">
      <c r="B1467" s="18" t="s">
        <v>3228</v>
      </c>
      <c r="C1467" s="13">
        <v>70</v>
      </c>
      <c r="D1467" s="21" t="s">
        <v>3229</v>
      </c>
      <c r="E1467" s="24">
        <v>63</v>
      </c>
      <c r="G1467" s="2">
        <f t="shared" si="84"/>
        <v>1448</v>
      </c>
      <c r="H1467" s="5">
        <v>0</v>
      </c>
      <c r="I1467" s="13">
        <v>32</v>
      </c>
      <c r="L1467" s="4"/>
      <c r="M1467" s="7"/>
      <c r="O1467" s="7"/>
      <c r="T1467" s="7"/>
    </row>
    <row r="1468" spans="2:20" x14ac:dyDescent="0.3">
      <c r="B1468" s="18" t="s">
        <v>3230</v>
      </c>
      <c r="C1468" s="13">
        <v>71</v>
      </c>
      <c r="D1468" s="21" t="s">
        <v>3231</v>
      </c>
      <c r="E1468" s="24">
        <v>64</v>
      </c>
      <c r="G1468" s="2">
        <f t="shared" si="84"/>
        <v>1449</v>
      </c>
      <c r="H1468" s="5">
        <v>0</v>
      </c>
      <c r="I1468" s="13">
        <v>32</v>
      </c>
      <c r="L1468" s="4"/>
      <c r="M1468" s="7"/>
      <c r="O1468" s="7"/>
      <c r="T1468" s="7"/>
    </row>
    <row r="1469" spans="2:20" x14ac:dyDescent="0.3">
      <c r="B1469" s="18" t="s">
        <v>3232</v>
      </c>
      <c r="C1469" s="13">
        <v>72</v>
      </c>
      <c r="D1469" s="21" t="s">
        <v>3233</v>
      </c>
      <c r="E1469" s="24">
        <v>65</v>
      </c>
      <c r="G1469" s="2">
        <f t="shared" si="84"/>
        <v>1450</v>
      </c>
      <c r="H1469" s="5">
        <v>0</v>
      </c>
      <c r="I1469" s="13">
        <v>32</v>
      </c>
      <c r="L1469" s="4"/>
      <c r="M1469" s="7"/>
      <c r="O1469" s="7"/>
      <c r="T1469" s="7"/>
    </row>
    <row r="1470" spans="2:20" x14ac:dyDescent="0.3">
      <c r="B1470" s="18" t="s">
        <v>3234</v>
      </c>
      <c r="C1470" s="13">
        <v>73</v>
      </c>
      <c r="D1470" s="21" t="s">
        <v>3235</v>
      </c>
      <c r="E1470" s="24">
        <v>66</v>
      </c>
      <c r="G1470" s="2">
        <f t="shared" si="84"/>
        <v>1451</v>
      </c>
      <c r="H1470" s="5">
        <v>0</v>
      </c>
      <c r="I1470" s="13">
        <v>32</v>
      </c>
      <c r="L1470" s="4"/>
      <c r="M1470" s="7"/>
      <c r="O1470" s="7"/>
      <c r="T1470" s="7"/>
    </row>
    <row r="1471" spans="2:20" x14ac:dyDescent="0.3">
      <c r="B1471" s="18" t="s">
        <v>3236</v>
      </c>
      <c r="C1471" s="13">
        <v>74</v>
      </c>
      <c r="D1471" s="21" t="s">
        <v>3237</v>
      </c>
      <c r="E1471" s="24">
        <v>67</v>
      </c>
      <c r="G1471" s="2">
        <f t="shared" si="84"/>
        <v>1452</v>
      </c>
      <c r="H1471" s="5">
        <v>0</v>
      </c>
      <c r="I1471" s="13">
        <v>32</v>
      </c>
      <c r="L1471" s="4"/>
      <c r="M1471" s="7"/>
      <c r="O1471" s="7"/>
      <c r="T1471" s="7"/>
    </row>
    <row r="1472" spans="2:20" x14ac:dyDescent="0.3">
      <c r="B1472" s="18" t="s">
        <v>3238</v>
      </c>
      <c r="C1472" s="13">
        <v>75</v>
      </c>
      <c r="D1472" s="21" t="s">
        <v>3239</v>
      </c>
      <c r="E1472" s="24">
        <v>68</v>
      </c>
      <c r="G1472" s="2">
        <f t="shared" si="84"/>
        <v>1453</v>
      </c>
      <c r="H1472" s="5">
        <v>0</v>
      </c>
      <c r="I1472" s="13">
        <v>32</v>
      </c>
      <c r="L1472" s="4"/>
      <c r="M1472" s="7"/>
      <c r="O1472" s="7"/>
      <c r="T1472" s="7"/>
    </row>
    <row r="1473" spans="2:20" x14ac:dyDescent="0.3">
      <c r="B1473" s="18" t="s">
        <v>3240</v>
      </c>
      <c r="C1473" s="13">
        <v>76</v>
      </c>
      <c r="D1473" s="21" t="s">
        <v>3241</v>
      </c>
      <c r="E1473" s="24">
        <v>69</v>
      </c>
      <c r="G1473" s="2">
        <f t="shared" si="84"/>
        <v>1454</v>
      </c>
      <c r="H1473" s="5">
        <v>0</v>
      </c>
      <c r="I1473" s="13">
        <v>32</v>
      </c>
      <c r="L1473" s="4"/>
      <c r="M1473" s="7"/>
      <c r="O1473" s="7"/>
      <c r="T1473" s="7"/>
    </row>
    <row r="1474" spans="2:20" x14ac:dyDescent="0.3">
      <c r="B1474" s="18" t="s">
        <v>3242</v>
      </c>
      <c r="C1474" s="13">
        <v>77</v>
      </c>
      <c r="D1474" s="21" t="s">
        <v>3243</v>
      </c>
      <c r="E1474" s="24">
        <v>70</v>
      </c>
      <c r="G1474" s="2">
        <f t="shared" si="84"/>
        <v>1455</v>
      </c>
      <c r="H1474" s="5">
        <v>0</v>
      </c>
      <c r="I1474" s="13">
        <v>32</v>
      </c>
      <c r="L1474" s="4"/>
      <c r="M1474" s="7"/>
      <c r="O1474" s="7"/>
      <c r="T1474" s="7"/>
    </row>
    <row r="1475" spans="2:20" x14ac:dyDescent="0.3">
      <c r="B1475" s="18" t="s">
        <v>3244</v>
      </c>
      <c r="C1475" s="13">
        <v>60</v>
      </c>
      <c r="D1475" s="21" t="s">
        <v>3245</v>
      </c>
      <c r="E1475" s="24">
        <v>71</v>
      </c>
      <c r="G1475" s="2">
        <f t="shared" si="84"/>
        <v>1456</v>
      </c>
      <c r="H1475" s="5">
        <v>0</v>
      </c>
      <c r="I1475" s="13">
        <v>32</v>
      </c>
      <c r="L1475" s="4"/>
      <c r="M1475" s="7"/>
      <c r="O1475" s="7"/>
      <c r="T1475" s="7"/>
    </row>
    <row r="1476" spans="2:20" x14ac:dyDescent="0.3">
      <c r="B1476" s="18" t="s">
        <v>3246</v>
      </c>
      <c r="C1476" s="13">
        <v>78</v>
      </c>
      <c r="D1476" s="21" t="s">
        <v>3247</v>
      </c>
      <c r="E1476" s="24">
        <v>72</v>
      </c>
      <c r="G1476" s="2">
        <f t="shared" si="84"/>
        <v>1457</v>
      </c>
      <c r="H1476" s="5">
        <v>0</v>
      </c>
      <c r="I1476" s="13">
        <v>32</v>
      </c>
      <c r="L1476" s="4"/>
      <c r="M1476" s="7"/>
      <c r="O1476" s="7"/>
      <c r="T1476" s="7"/>
    </row>
    <row r="1477" spans="2:20" x14ac:dyDescent="0.3">
      <c r="B1477" s="18" t="s">
        <v>3248</v>
      </c>
      <c r="C1477" s="13">
        <v>79</v>
      </c>
      <c r="D1477" s="21" t="s">
        <v>3249</v>
      </c>
      <c r="E1477" s="24">
        <v>36</v>
      </c>
      <c r="G1477" s="2">
        <f t="shared" si="84"/>
        <v>1458</v>
      </c>
      <c r="H1477" s="5">
        <v>0</v>
      </c>
      <c r="I1477" s="13">
        <v>32</v>
      </c>
      <c r="L1477" s="4"/>
      <c r="M1477" s="7"/>
      <c r="O1477" s="7"/>
      <c r="T1477" s="7"/>
    </row>
    <row r="1478" spans="2:20" x14ac:dyDescent="0.3">
      <c r="B1478" s="18" t="s">
        <v>3250</v>
      </c>
      <c r="C1478" s="13">
        <v>80</v>
      </c>
      <c r="D1478" s="21" t="s">
        <v>3251</v>
      </c>
      <c r="E1478" s="24">
        <v>35</v>
      </c>
      <c r="G1478" s="2">
        <f t="shared" si="84"/>
        <v>1459</v>
      </c>
      <c r="H1478" s="5">
        <v>0</v>
      </c>
      <c r="I1478" s="13">
        <v>32</v>
      </c>
      <c r="L1478" s="4"/>
      <c r="M1478" s="7"/>
      <c r="O1478" s="7"/>
      <c r="T1478" s="7"/>
    </row>
    <row r="1479" spans="2:20" x14ac:dyDescent="0.3">
      <c r="B1479" s="18" t="s">
        <v>3252</v>
      </c>
      <c r="C1479" s="13">
        <v>81</v>
      </c>
      <c r="D1479" s="21" t="s">
        <v>3253</v>
      </c>
      <c r="E1479" s="24">
        <v>34</v>
      </c>
      <c r="G1479" s="2">
        <f t="shared" si="84"/>
        <v>1460</v>
      </c>
      <c r="H1479" s="5">
        <v>0</v>
      </c>
      <c r="I1479" s="13">
        <v>32</v>
      </c>
      <c r="L1479" s="4"/>
      <c r="M1479" s="7"/>
      <c r="O1479" s="7"/>
      <c r="T1479" s="7"/>
    </row>
    <row r="1480" spans="2:20" x14ac:dyDescent="0.3">
      <c r="B1480" s="18" t="s">
        <v>3254</v>
      </c>
      <c r="C1480" s="13">
        <v>82</v>
      </c>
      <c r="D1480" s="21" t="s">
        <v>3255</v>
      </c>
      <c r="E1480" s="24">
        <v>33</v>
      </c>
      <c r="G1480" s="2">
        <f t="shared" si="84"/>
        <v>1461</v>
      </c>
      <c r="H1480" s="5">
        <v>0</v>
      </c>
      <c r="I1480" s="13">
        <v>32</v>
      </c>
      <c r="L1480" s="4"/>
      <c r="M1480" s="7"/>
      <c r="O1480" s="7"/>
      <c r="T1480" s="7"/>
    </row>
    <row r="1481" spans="2:20" x14ac:dyDescent="0.3">
      <c r="B1481" s="18" t="s">
        <v>3256</v>
      </c>
      <c r="C1481" s="13">
        <v>83</v>
      </c>
      <c r="D1481" s="21" t="s">
        <v>3257</v>
      </c>
      <c r="E1481" s="24">
        <v>32</v>
      </c>
      <c r="G1481" s="2">
        <f t="shared" si="84"/>
        <v>1462</v>
      </c>
      <c r="H1481" s="5">
        <v>0</v>
      </c>
      <c r="I1481" s="13">
        <v>32</v>
      </c>
      <c r="L1481" s="4"/>
      <c r="M1481" s="7"/>
      <c r="O1481" s="7"/>
      <c r="T1481" s="7"/>
    </row>
    <row r="1482" spans="2:20" x14ac:dyDescent="0.3">
      <c r="B1482" s="18" t="s">
        <v>3258</v>
      </c>
      <c r="C1482" s="13">
        <v>84</v>
      </c>
      <c r="D1482" s="21" t="s">
        <v>3259</v>
      </c>
      <c r="E1482" s="24">
        <v>31</v>
      </c>
      <c r="G1482" s="2">
        <f t="shared" si="84"/>
        <v>1463</v>
      </c>
      <c r="H1482" s="5">
        <v>0</v>
      </c>
      <c r="I1482" s="13">
        <v>32</v>
      </c>
      <c r="L1482" s="4"/>
      <c r="M1482" s="7"/>
      <c r="O1482" s="7"/>
      <c r="T1482" s="7"/>
    </row>
    <row r="1483" spans="2:20" x14ac:dyDescent="0.3">
      <c r="B1483" s="18" t="s">
        <v>3260</v>
      </c>
      <c r="C1483" s="13">
        <v>85</v>
      </c>
      <c r="D1483" s="21" t="s">
        <v>3261</v>
      </c>
      <c r="E1483" s="24">
        <v>30</v>
      </c>
      <c r="G1483" s="2">
        <f t="shared" si="84"/>
        <v>1464</v>
      </c>
      <c r="H1483" s="5">
        <v>0</v>
      </c>
      <c r="I1483" s="13">
        <v>32</v>
      </c>
      <c r="L1483" s="4"/>
      <c r="M1483" s="7"/>
      <c r="O1483" s="7"/>
      <c r="T1483" s="7"/>
    </row>
    <row r="1484" spans="2:20" x14ac:dyDescent="0.3">
      <c r="B1484" s="18" t="s">
        <v>3262</v>
      </c>
      <c r="C1484" s="13">
        <v>86</v>
      </c>
      <c r="D1484" s="21" t="s">
        <v>3263</v>
      </c>
      <c r="E1484" s="24">
        <v>54</v>
      </c>
      <c r="G1484" s="2">
        <f t="shared" ref="G1484:G1519" si="85">G1483+1</f>
        <v>1465</v>
      </c>
      <c r="H1484" s="5">
        <v>0</v>
      </c>
      <c r="I1484" s="13">
        <v>32</v>
      </c>
      <c r="L1484" s="4"/>
      <c r="M1484" s="7"/>
      <c r="O1484" s="7"/>
      <c r="T1484" s="7"/>
    </row>
    <row r="1485" spans="2:20" x14ac:dyDescent="0.3">
      <c r="B1485" s="18" t="s">
        <v>3264</v>
      </c>
      <c r="C1485" s="13">
        <v>87</v>
      </c>
      <c r="D1485" s="21" t="s">
        <v>3265</v>
      </c>
      <c r="E1485" s="24">
        <v>53</v>
      </c>
      <c r="G1485" s="2">
        <f t="shared" si="85"/>
        <v>1466</v>
      </c>
      <c r="H1485" s="5">
        <v>0</v>
      </c>
      <c r="I1485" s="13">
        <v>32</v>
      </c>
      <c r="L1485" s="4"/>
      <c r="M1485" s="7"/>
      <c r="O1485" s="7"/>
    </row>
    <row r="1486" spans="2:20" x14ac:dyDescent="0.3">
      <c r="B1486" s="18" t="s">
        <v>3266</v>
      </c>
      <c r="C1486" s="13">
        <v>61</v>
      </c>
      <c r="D1486" s="21" t="s">
        <v>3267</v>
      </c>
      <c r="E1486" s="24">
        <v>52</v>
      </c>
      <c r="G1486" s="2">
        <f t="shared" si="85"/>
        <v>1467</v>
      </c>
      <c r="H1486" s="5">
        <v>0</v>
      </c>
      <c r="I1486" s="13">
        <v>32</v>
      </c>
      <c r="L1486" s="4"/>
      <c r="M1486" s="7"/>
      <c r="O1486" s="7"/>
      <c r="T1486" s="7"/>
    </row>
    <row r="1487" spans="2:20" x14ac:dyDescent="0.3">
      <c r="B1487" s="18" t="s">
        <v>3268</v>
      </c>
      <c r="C1487" s="13">
        <v>62</v>
      </c>
      <c r="D1487" s="21" t="s">
        <v>3269</v>
      </c>
      <c r="E1487" s="24">
        <v>51</v>
      </c>
      <c r="G1487" s="2">
        <f t="shared" si="85"/>
        <v>1468</v>
      </c>
      <c r="H1487" s="5">
        <v>0</v>
      </c>
      <c r="I1487" s="13">
        <v>32</v>
      </c>
      <c r="L1487" s="4"/>
      <c r="M1487" s="7"/>
      <c r="O1487" s="7"/>
      <c r="T1487" s="7"/>
    </row>
    <row r="1488" spans="2:20" x14ac:dyDescent="0.3">
      <c r="B1488" s="18" t="s">
        <v>3270</v>
      </c>
      <c r="C1488" s="13">
        <v>63</v>
      </c>
      <c r="D1488" s="21" t="s">
        <v>3271</v>
      </c>
      <c r="E1488" s="24">
        <v>50</v>
      </c>
      <c r="G1488" s="2">
        <f t="shared" si="85"/>
        <v>1469</v>
      </c>
      <c r="H1488" s="5">
        <v>0</v>
      </c>
      <c r="I1488" s="13">
        <v>32</v>
      </c>
      <c r="L1488" s="4"/>
      <c r="M1488" s="7"/>
      <c r="O1488" s="7"/>
      <c r="T1488" s="7"/>
    </row>
    <row r="1489" spans="2:20" x14ac:dyDescent="0.3">
      <c r="B1489" s="18" t="s">
        <v>3272</v>
      </c>
      <c r="C1489" s="13">
        <v>64</v>
      </c>
      <c r="D1489" s="21" t="s">
        <v>3273</v>
      </c>
      <c r="E1489" s="24">
        <v>49</v>
      </c>
      <c r="G1489" s="2">
        <f t="shared" si="85"/>
        <v>1470</v>
      </c>
      <c r="H1489" s="5">
        <v>0</v>
      </c>
      <c r="I1489" s="13">
        <v>32</v>
      </c>
      <c r="L1489" s="4"/>
      <c r="M1489" s="7"/>
      <c r="O1489" s="7"/>
      <c r="T1489" s="7"/>
    </row>
    <row r="1490" spans="2:20" x14ac:dyDescent="0.3">
      <c r="B1490" s="18" t="s">
        <v>3274</v>
      </c>
      <c r="C1490" s="13">
        <v>65</v>
      </c>
      <c r="D1490" s="21" t="s">
        <v>3275</v>
      </c>
      <c r="E1490" s="24">
        <v>48</v>
      </c>
      <c r="G1490" s="2">
        <f t="shared" si="85"/>
        <v>1471</v>
      </c>
      <c r="H1490" s="5">
        <v>0</v>
      </c>
      <c r="I1490" s="13">
        <v>32</v>
      </c>
      <c r="L1490" s="4"/>
      <c r="M1490" s="7"/>
      <c r="O1490" s="7"/>
      <c r="T1490" s="7"/>
    </row>
    <row r="1491" spans="2:20" x14ac:dyDescent="0.3">
      <c r="B1491" s="18" t="s">
        <v>3276</v>
      </c>
      <c r="C1491" s="13">
        <v>66</v>
      </c>
      <c r="D1491" s="21" t="s">
        <v>3277</v>
      </c>
      <c r="E1491" s="24">
        <v>47</v>
      </c>
      <c r="G1491" s="2">
        <f t="shared" si="85"/>
        <v>1472</v>
      </c>
      <c r="H1491" s="5">
        <v>0</v>
      </c>
      <c r="I1491" s="13">
        <v>32</v>
      </c>
      <c r="L1491" s="4"/>
      <c r="M1491" s="7"/>
      <c r="O1491" s="7"/>
      <c r="T1491" s="7"/>
    </row>
    <row r="1492" spans="2:20" x14ac:dyDescent="0.3">
      <c r="B1492" s="18" t="s">
        <v>3278</v>
      </c>
      <c r="C1492" s="13">
        <v>67</v>
      </c>
      <c r="D1492" s="21" t="s">
        <v>3279</v>
      </c>
      <c r="E1492" s="24">
        <v>29</v>
      </c>
      <c r="G1492" s="2">
        <f t="shared" si="85"/>
        <v>1473</v>
      </c>
      <c r="H1492" s="5">
        <v>0</v>
      </c>
      <c r="I1492" s="13">
        <v>32</v>
      </c>
      <c r="L1492" s="4"/>
      <c r="M1492" s="7"/>
      <c r="O1492" s="7"/>
      <c r="T1492" s="7"/>
    </row>
    <row r="1493" spans="2:20" x14ac:dyDescent="0.3">
      <c r="B1493" s="18" t="s">
        <v>3280</v>
      </c>
      <c r="C1493" s="13">
        <v>107</v>
      </c>
      <c r="D1493" s="21" t="s">
        <v>3281</v>
      </c>
      <c r="E1493" s="24">
        <v>46</v>
      </c>
      <c r="G1493" s="2">
        <f t="shared" si="85"/>
        <v>1474</v>
      </c>
      <c r="H1493" s="5">
        <v>0</v>
      </c>
      <c r="I1493" s="13">
        <v>32</v>
      </c>
      <c r="L1493" s="4"/>
      <c r="M1493" s="7"/>
      <c r="O1493" s="7"/>
      <c r="T1493" s="7"/>
    </row>
    <row r="1494" spans="2:20" x14ac:dyDescent="0.3">
      <c r="B1494" s="18" t="s">
        <v>3282</v>
      </c>
      <c r="C1494" s="13">
        <v>106</v>
      </c>
      <c r="D1494" s="21" t="s">
        <v>3283</v>
      </c>
      <c r="E1494" s="24">
        <v>45</v>
      </c>
      <c r="G1494" s="2">
        <f t="shared" si="85"/>
        <v>1475</v>
      </c>
      <c r="H1494" s="5">
        <v>0</v>
      </c>
      <c r="I1494" s="13">
        <v>32</v>
      </c>
      <c r="L1494" s="4"/>
      <c r="M1494" s="7"/>
      <c r="O1494" s="7"/>
      <c r="T1494" s="7"/>
    </row>
    <row r="1495" spans="2:20" x14ac:dyDescent="0.3">
      <c r="B1495" s="18" t="s">
        <v>3284</v>
      </c>
      <c r="C1495" s="13">
        <v>105</v>
      </c>
      <c r="D1495" s="21" t="s">
        <v>3285</v>
      </c>
      <c r="E1495" s="24">
        <v>44</v>
      </c>
      <c r="G1495" s="2">
        <f t="shared" si="85"/>
        <v>1476</v>
      </c>
      <c r="H1495" s="5">
        <v>0</v>
      </c>
      <c r="I1495" s="13">
        <v>32</v>
      </c>
      <c r="L1495" s="4"/>
      <c r="M1495" s="7"/>
      <c r="O1495" s="7"/>
      <c r="T1495" s="7"/>
    </row>
    <row r="1496" spans="2:20" x14ac:dyDescent="0.3">
      <c r="B1496" s="18" t="s">
        <v>3286</v>
      </c>
      <c r="C1496" s="13">
        <v>104</v>
      </c>
      <c r="D1496" s="21" t="s">
        <v>3287</v>
      </c>
      <c r="E1496" s="24">
        <v>43</v>
      </c>
      <c r="G1496" s="2">
        <f t="shared" si="85"/>
        <v>1477</v>
      </c>
      <c r="H1496" s="5">
        <v>0</v>
      </c>
      <c r="I1496" s="13">
        <v>32</v>
      </c>
      <c r="L1496" s="4"/>
      <c r="M1496" s="7"/>
      <c r="O1496" s="7"/>
      <c r="T1496" s="7"/>
    </row>
    <row r="1497" spans="2:20" x14ac:dyDescent="0.3">
      <c r="B1497" s="18" t="s">
        <v>3288</v>
      </c>
      <c r="C1497" s="13">
        <v>103</v>
      </c>
      <c r="D1497" s="21" t="s">
        <v>3289</v>
      </c>
      <c r="E1497" s="24">
        <v>42</v>
      </c>
      <c r="G1497" s="2">
        <f t="shared" si="85"/>
        <v>1478</v>
      </c>
      <c r="H1497" s="5">
        <v>0</v>
      </c>
      <c r="I1497" s="13">
        <v>32</v>
      </c>
      <c r="L1497" s="4"/>
      <c r="M1497" s="7"/>
      <c r="O1497" s="7"/>
      <c r="T1497" s="7"/>
    </row>
    <row r="1498" spans="2:20" x14ac:dyDescent="0.3">
      <c r="B1498" s="18" t="s">
        <v>3290</v>
      </c>
      <c r="C1498" s="13">
        <v>102</v>
      </c>
      <c r="D1498" s="21" t="s">
        <v>3291</v>
      </c>
      <c r="E1498" s="24">
        <v>41</v>
      </c>
      <c r="G1498" s="2">
        <f t="shared" si="85"/>
        <v>1479</v>
      </c>
      <c r="H1498" s="5">
        <v>0</v>
      </c>
      <c r="I1498" s="13">
        <v>32</v>
      </c>
      <c r="L1498" s="4"/>
      <c r="M1498" s="7"/>
      <c r="O1498" s="7"/>
      <c r="T1498" s="7"/>
    </row>
    <row r="1499" spans="2:20" x14ac:dyDescent="0.3">
      <c r="B1499" s="18" t="s">
        <v>3292</v>
      </c>
      <c r="C1499" s="13">
        <v>101</v>
      </c>
      <c r="D1499" s="21" t="s">
        <v>3293</v>
      </c>
      <c r="E1499" s="24">
        <v>40</v>
      </c>
      <c r="G1499" s="2">
        <f t="shared" si="85"/>
        <v>1480</v>
      </c>
      <c r="H1499" s="5">
        <v>0</v>
      </c>
      <c r="I1499" s="13">
        <v>32</v>
      </c>
      <c r="L1499" s="4"/>
      <c r="M1499" s="7"/>
      <c r="O1499" s="7"/>
      <c r="T1499" s="7"/>
    </row>
    <row r="1500" spans="2:20" x14ac:dyDescent="0.3">
      <c r="B1500" s="18" t="s">
        <v>3294</v>
      </c>
      <c r="C1500" s="13">
        <v>100</v>
      </c>
      <c r="D1500" s="21" t="s">
        <v>3295</v>
      </c>
      <c r="E1500" s="24">
        <v>39</v>
      </c>
      <c r="G1500" s="2">
        <f t="shared" si="85"/>
        <v>1481</v>
      </c>
      <c r="H1500" s="5">
        <v>0</v>
      </c>
      <c r="I1500" s="13">
        <v>32</v>
      </c>
      <c r="L1500" s="4"/>
      <c r="M1500" s="7"/>
      <c r="O1500" s="7"/>
      <c r="T1500" s="7"/>
    </row>
    <row r="1501" spans="2:20" x14ac:dyDescent="0.3">
      <c r="B1501" s="18" t="s">
        <v>3296</v>
      </c>
      <c r="C1501" s="13">
        <v>99</v>
      </c>
      <c r="D1501" s="21" t="s">
        <v>3297</v>
      </c>
      <c r="E1501" s="24">
        <v>38</v>
      </c>
      <c r="G1501" s="2">
        <f t="shared" si="85"/>
        <v>1482</v>
      </c>
      <c r="H1501" s="5">
        <v>0</v>
      </c>
      <c r="I1501" s="13">
        <v>32</v>
      </c>
      <c r="L1501" s="4"/>
      <c r="M1501" s="7"/>
      <c r="O1501" s="7"/>
      <c r="T1501" s="7"/>
    </row>
    <row r="1502" spans="2:20" x14ac:dyDescent="0.3">
      <c r="B1502" s="18" t="s">
        <v>3298</v>
      </c>
      <c r="C1502" s="13">
        <v>98</v>
      </c>
      <c r="D1502" s="21" t="s">
        <v>3299</v>
      </c>
      <c r="E1502" s="24">
        <v>37</v>
      </c>
      <c r="G1502" s="2">
        <f t="shared" si="85"/>
        <v>1483</v>
      </c>
      <c r="H1502" s="5">
        <v>0</v>
      </c>
      <c r="I1502" s="13">
        <v>32</v>
      </c>
      <c r="L1502" s="4"/>
      <c r="M1502" s="7"/>
      <c r="O1502" s="7"/>
      <c r="T1502" s="7"/>
    </row>
    <row r="1503" spans="2:20" x14ac:dyDescent="0.3">
      <c r="B1503" s="18" t="s">
        <v>3300</v>
      </c>
      <c r="C1503" s="13">
        <v>97</v>
      </c>
      <c r="D1503" s="21" t="s">
        <v>3301</v>
      </c>
      <c r="E1503" s="24">
        <v>28</v>
      </c>
      <c r="G1503" s="2">
        <f t="shared" si="85"/>
        <v>1484</v>
      </c>
      <c r="H1503" s="5">
        <v>0</v>
      </c>
      <c r="I1503" s="13">
        <v>32</v>
      </c>
      <c r="L1503" s="4"/>
      <c r="M1503" s="7"/>
      <c r="O1503" s="7"/>
      <c r="T1503" s="7"/>
    </row>
    <row r="1504" spans="2:20" x14ac:dyDescent="0.3">
      <c r="B1504" s="18" t="s">
        <v>3302</v>
      </c>
      <c r="C1504" s="13">
        <v>96</v>
      </c>
      <c r="D1504" s="21" t="s">
        <v>3303</v>
      </c>
      <c r="E1504" s="24">
        <v>9</v>
      </c>
      <c r="G1504" s="2">
        <f t="shared" si="85"/>
        <v>1485</v>
      </c>
      <c r="H1504" s="5">
        <v>0</v>
      </c>
      <c r="I1504" s="13">
        <v>32</v>
      </c>
      <c r="L1504" s="4"/>
      <c r="M1504" s="7"/>
      <c r="O1504" s="7"/>
      <c r="T1504" s="7"/>
    </row>
    <row r="1505" spans="2:20" x14ac:dyDescent="0.3">
      <c r="B1505" s="18" t="s">
        <v>3304</v>
      </c>
      <c r="C1505" s="13">
        <v>95</v>
      </c>
      <c r="D1505" s="21" t="s">
        <v>3305</v>
      </c>
      <c r="E1505" s="24">
        <v>8</v>
      </c>
      <c r="G1505" s="2">
        <f t="shared" si="85"/>
        <v>1486</v>
      </c>
      <c r="H1505" s="5">
        <v>0</v>
      </c>
      <c r="I1505" s="13">
        <v>32</v>
      </c>
      <c r="L1505" s="4"/>
      <c r="M1505" s="7"/>
      <c r="O1505" s="7"/>
      <c r="T1505" s="7"/>
    </row>
    <row r="1506" spans="2:20" x14ac:dyDescent="0.3">
      <c r="B1506" s="18" t="s">
        <v>3306</v>
      </c>
      <c r="C1506" s="13">
        <v>94</v>
      </c>
      <c r="D1506" s="21" t="s">
        <v>3307</v>
      </c>
      <c r="E1506" s="24">
        <v>7</v>
      </c>
      <c r="G1506" s="2">
        <f t="shared" si="85"/>
        <v>1487</v>
      </c>
      <c r="H1506" s="5">
        <v>0</v>
      </c>
      <c r="I1506" s="13">
        <v>32</v>
      </c>
      <c r="L1506" s="4"/>
      <c r="M1506" s="7"/>
      <c r="O1506" s="7"/>
      <c r="T1506" s="7"/>
    </row>
    <row r="1507" spans="2:20" x14ac:dyDescent="0.3">
      <c r="B1507" s="18" t="s">
        <v>3308</v>
      </c>
      <c r="C1507" s="13">
        <v>93</v>
      </c>
      <c r="D1507" s="21" t="s">
        <v>3309</v>
      </c>
      <c r="E1507" s="24">
        <v>6</v>
      </c>
      <c r="G1507" s="2">
        <f t="shared" si="85"/>
        <v>1488</v>
      </c>
      <c r="H1507" s="5">
        <v>0</v>
      </c>
      <c r="I1507" s="13">
        <v>32</v>
      </c>
      <c r="L1507" s="4"/>
      <c r="M1507" s="7"/>
      <c r="O1507" s="7"/>
      <c r="T1507" s="7"/>
    </row>
    <row r="1508" spans="2:20" x14ac:dyDescent="0.3">
      <c r="B1508" s="18" t="s">
        <v>3310</v>
      </c>
      <c r="C1508" s="13">
        <v>92</v>
      </c>
      <c r="D1508" s="21" t="s">
        <v>3311</v>
      </c>
      <c r="E1508" s="24">
        <v>5</v>
      </c>
      <c r="G1508" s="2">
        <f t="shared" si="85"/>
        <v>1489</v>
      </c>
      <c r="H1508" s="5">
        <v>0</v>
      </c>
      <c r="I1508" s="13">
        <v>32</v>
      </c>
      <c r="L1508" s="4"/>
      <c r="M1508" s="7"/>
      <c r="O1508" s="7"/>
      <c r="T1508" s="7"/>
    </row>
    <row r="1509" spans="2:20" x14ac:dyDescent="0.3">
      <c r="B1509" s="18" t="s">
        <v>3312</v>
      </c>
      <c r="C1509" s="13">
        <v>91</v>
      </c>
      <c r="D1509" s="21" t="s">
        <v>3313</v>
      </c>
      <c r="E1509" s="24">
        <v>4</v>
      </c>
      <c r="G1509" s="2">
        <f t="shared" si="85"/>
        <v>1490</v>
      </c>
      <c r="H1509" s="5">
        <v>0</v>
      </c>
      <c r="I1509" s="13">
        <v>32</v>
      </c>
      <c r="L1509" s="4"/>
      <c r="M1509" s="7"/>
      <c r="O1509" s="7"/>
      <c r="T1509" s="7"/>
    </row>
    <row r="1510" spans="2:20" x14ac:dyDescent="0.3">
      <c r="B1510" s="18" t="s">
        <v>3314</v>
      </c>
      <c r="C1510" s="13">
        <v>90</v>
      </c>
      <c r="D1510" s="21" t="s">
        <v>3315</v>
      </c>
      <c r="E1510" s="24">
        <v>3</v>
      </c>
      <c r="G1510" s="2">
        <f t="shared" si="85"/>
        <v>1491</v>
      </c>
      <c r="H1510" s="5">
        <v>0</v>
      </c>
      <c r="I1510" s="13">
        <v>32</v>
      </c>
      <c r="L1510" s="4"/>
      <c r="M1510" s="7"/>
      <c r="O1510" s="7"/>
      <c r="T1510" s="7"/>
    </row>
    <row r="1511" spans="2:20" x14ac:dyDescent="0.3">
      <c r="B1511" s="18" t="s">
        <v>3316</v>
      </c>
      <c r="C1511" s="13">
        <v>89</v>
      </c>
      <c r="D1511" s="21" t="s">
        <v>3317</v>
      </c>
      <c r="E1511" s="24">
        <v>27</v>
      </c>
      <c r="G1511" s="2">
        <f t="shared" si="85"/>
        <v>1492</v>
      </c>
      <c r="H1511" s="5">
        <v>0</v>
      </c>
      <c r="I1511" s="13">
        <v>32</v>
      </c>
      <c r="L1511" s="4"/>
      <c r="M1511" s="7"/>
      <c r="O1511" s="7"/>
      <c r="T1511" s="7"/>
    </row>
    <row r="1512" spans="2:20" x14ac:dyDescent="0.3">
      <c r="B1512" s="18" t="s">
        <v>3318</v>
      </c>
      <c r="C1512" s="13">
        <v>88</v>
      </c>
      <c r="D1512" s="21" t="s">
        <v>3319</v>
      </c>
      <c r="E1512" s="24">
        <v>26</v>
      </c>
      <c r="G1512" s="2">
        <f t="shared" si="85"/>
        <v>1493</v>
      </c>
      <c r="H1512" s="5">
        <v>0</v>
      </c>
      <c r="I1512" s="13">
        <v>32</v>
      </c>
      <c r="L1512" s="4"/>
      <c r="M1512" s="7"/>
      <c r="O1512" s="7"/>
      <c r="T1512" s="7"/>
    </row>
    <row r="1513" spans="2:20" x14ac:dyDescent="0.3">
      <c r="B1513" s="18" t="s">
        <v>3320</v>
      </c>
      <c r="C1513" s="13">
        <v>113</v>
      </c>
      <c r="D1513" s="21" t="s">
        <v>3321</v>
      </c>
      <c r="E1513" s="24">
        <v>25</v>
      </c>
      <c r="G1513" s="2">
        <f t="shared" si="85"/>
        <v>1494</v>
      </c>
      <c r="H1513" s="5">
        <v>0</v>
      </c>
      <c r="I1513" s="13">
        <v>32</v>
      </c>
      <c r="L1513" s="4"/>
      <c r="M1513" s="7"/>
      <c r="O1513" s="7"/>
      <c r="T1513" s="7"/>
    </row>
    <row r="1514" spans="2:20" x14ac:dyDescent="0.3">
      <c r="B1514" s="18" t="s">
        <v>3322</v>
      </c>
      <c r="C1514" s="13">
        <v>112</v>
      </c>
      <c r="D1514" s="21" t="s">
        <v>3323</v>
      </c>
      <c r="E1514" s="24">
        <v>24</v>
      </c>
      <c r="G1514" s="2">
        <f t="shared" si="85"/>
        <v>1495</v>
      </c>
      <c r="H1514" s="5">
        <v>0</v>
      </c>
      <c r="I1514" s="13">
        <v>32</v>
      </c>
      <c r="L1514" s="4"/>
      <c r="M1514" s="7"/>
      <c r="O1514" s="7"/>
      <c r="T1514" s="7"/>
    </row>
    <row r="1515" spans="2:20" x14ac:dyDescent="0.3">
      <c r="B1515" s="18" t="s">
        <v>3324</v>
      </c>
      <c r="C1515" s="13">
        <v>111</v>
      </c>
      <c r="D1515" s="21" t="s">
        <v>3325</v>
      </c>
      <c r="E1515" s="24">
        <v>23</v>
      </c>
      <c r="G1515" s="2">
        <f t="shared" si="85"/>
        <v>1496</v>
      </c>
      <c r="H1515" s="5">
        <v>0</v>
      </c>
      <c r="I1515" s="13">
        <v>32</v>
      </c>
      <c r="L1515" s="4"/>
      <c r="M1515" s="7"/>
      <c r="O1515" s="7"/>
      <c r="T1515" s="7"/>
    </row>
    <row r="1516" spans="2:20" x14ac:dyDescent="0.3">
      <c r="B1516" s="18" t="s">
        <v>3326</v>
      </c>
      <c r="C1516" s="13">
        <v>110</v>
      </c>
      <c r="D1516" s="21" t="s">
        <v>3327</v>
      </c>
      <c r="E1516" s="24">
        <v>22</v>
      </c>
      <c r="G1516" s="2">
        <f t="shared" si="85"/>
        <v>1497</v>
      </c>
      <c r="H1516" s="5">
        <v>0</v>
      </c>
      <c r="I1516" s="13">
        <v>32</v>
      </c>
      <c r="L1516" s="4"/>
      <c r="M1516" s="7"/>
      <c r="O1516" s="7"/>
      <c r="T1516" s="7"/>
    </row>
    <row r="1517" spans="2:20" x14ac:dyDescent="0.3">
      <c r="B1517" s="18" t="s">
        <v>3328</v>
      </c>
      <c r="C1517" s="13">
        <v>109</v>
      </c>
      <c r="D1517" s="21" t="s">
        <v>3329</v>
      </c>
      <c r="E1517" s="24">
        <v>21</v>
      </c>
      <c r="G1517" s="2">
        <f t="shared" si="85"/>
        <v>1498</v>
      </c>
      <c r="H1517" s="5">
        <v>0</v>
      </c>
      <c r="I1517" s="13">
        <v>32</v>
      </c>
      <c r="L1517" s="4"/>
      <c r="M1517" s="7"/>
      <c r="O1517" s="7"/>
      <c r="T1517" s="7"/>
    </row>
    <row r="1518" spans="2:20" x14ac:dyDescent="0.3">
      <c r="B1518" s="18" t="s">
        <v>3330</v>
      </c>
      <c r="C1518" s="13">
        <v>108</v>
      </c>
      <c r="D1518" s="21" t="s">
        <v>3331</v>
      </c>
      <c r="E1518" s="24">
        <v>20</v>
      </c>
      <c r="G1518" s="2">
        <f t="shared" si="85"/>
        <v>1499</v>
      </c>
      <c r="H1518" s="5">
        <v>0</v>
      </c>
      <c r="I1518" s="13">
        <v>32</v>
      </c>
      <c r="L1518" s="4"/>
      <c r="M1518" s="7"/>
      <c r="O1518" s="7"/>
      <c r="T1518" s="7"/>
    </row>
    <row r="1519" spans="2:20" ht="15" thickBot="1" x14ac:dyDescent="0.35">
      <c r="B1519" s="18" t="s">
        <v>3332</v>
      </c>
      <c r="C1519" s="13">
        <v>1</v>
      </c>
      <c r="D1519" s="21" t="s">
        <v>3333</v>
      </c>
      <c r="E1519" s="24">
        <v>2</v>
      </c>
      <c r="G1519" s="3">
        <f t="shared" si="85"/>
        <v>1500</v>
      </c>
      <c r="H1519" s="14">
        <v>0</v>
      </c>
      <c r="I1519" s="15">
        <v>32</v>
      </c>
      <c r="L1519" s="4"/>
      <c r="M1519" s="7"/>
      <c r="O1519" s="7"/>
      <c r="T1519" s="7"/>
    </row>
    <row r="1520" spans="2:20" ht="15" thickTop="1" x14ac:dyDescent="0.3">
      <c r="B1520" s="18" t="s">
        <v>3334</v>
      </c>
      <c r="C1520" s="13">
        <v>10</v>
      </c>
      <c r="D1520" s="21" t="s">
        <v>3335</v>
      </c>
      <c r="E1520" s="24">
        <v>19</v>
      </c>
      <c r="L1520" s="4"/>
      <c r="M1520" s="7"/>
      <c r="O1520" s="7"/>
      <c r="T1520" s="7"/>
    </row>
    <row r="1521" spans="2:20" x14ac:dyDescent="0.3">
      <c r="B1521" s="18" t="s">
        <v>3336</v>
      </c>
      <c r="C1521" s="13">
        <v>11</v>
      </c>
      <c r="D1521" s="21" t="s">
        <v>3337</v>
      </c>
      <c r="E1521" s="24">
        <v>18</v>
      </c>
      <c r="L1521" s="4"/>
      <c r="M1521" s="7"/>
      <c r="O1521" s="7"/>
      <c r="T1521" s="7"/>
    </row>
    <row r="1522" spans="2:20" x14ac:dyDescent="0.3">
      <c r="B1522" s="18" t="s">
        <v>3338</v>
      </c>
      <c r="C1522" s="13">
        <v>12</v>
      </c>
      <c r="D1522" s="21" t="s">
        <v>3339</v>
      </c>
      <c r="E1522" s="24">
        <v>17</v>
      </c>
      <c r="L1522" s="4"/>
      <c r="M1522" s="7"/>
      <c r="O1522" s="7"/>
      <c r="T1522" s="7"/>
    </row>
    <row r="1523" spans="2:20" x14ac:dyDescent="0.3">
      <c r="B1523" s="18" t="s">
        <v>3340</v>
      </c>
      <c r="C1523" s="13">
        <v>13</v>
      </c>
      <c r="D1523" s="21" t="s">
        <v>3341</v>
      </c>
      <c r="E1523" s="24">
        <v>16</v>
      </c>
      <c r="L1523" s="4"/>
      <c r="M1523" s="7"/>
      <c r="O1523" s="7"/>
      <c r="T1523" s="7"/>
    </row>
    <row r="1524" spans="2:20" x14ac:dyDescent="0.3">
      <c r="B1524" s="18" t="s">
        <v>3342</v>
      </c>
      <c r="C1524" s="13">
        <v>14</v>
      </c>
      <c r="D1524" s="21" t="s">
        <v>3343</v>
      </c>
      <c r="E1524" s="24">
        <v>15</v>
      </c>
      <c r="L1524" s="4"/>
      <c r="M1524" s="7"/>
      <c r="O1524" s="7"/>
      <c r="T1524" s="7"/>
    </row>
    <row r="1525" spans="2:20" x14ac:dyDescent="0.3">
      <c r="B1525" s="18" t="s">
        <v>3344</v>
      </c>
      <c r="C1525" s="13">
        <v>15</v>
      </c>
      <c r="D1525" s="21" t="s">
        <v>3345</v>
      </c>
      <c r="E1525" s="24">
        <v>14</v>
      </c>
      <c r="L1525" s="4"/>
      <c r="M1525" s="7"/>
      <c r="O1525" s="7"/>
      <c r="T1525" s="7"/>
    </row>
    <row r="1526" spans="2:20" x14ac:dyDescent="0.3">
      <c r="B1526" s="18" t="s">
        <v>3346</v>
      </c>
      <c r="C1526" s="13">
        <v>16</v>
      </c>
      <c r="D1526" s="21" t="s">
        <v>3347</v>
      </c>
      <c r="E1526" s="24">
        <v>13</v>
      </c>
      <c r="L1526" s="4"/>
      <c r="M1526" s="7"/>
      <c r="O1526" s="7"/>
      <c r="T1526" s="7"/>
    </row>
    <row r="1527" spans="2:20" x14ac:dyDescent="0.3">
      <c r="B1527" s="18" t="s">
        <v>3348</v>
      </c>
      <c r="C1527" s="13">
        <v>17</v>
      </c>
      <c r="D1527" s="21" t="s">
        <v>3349</v>
      </c>
      <c r="E1527" s="24">
        <v>12</v>
      </c>
      <c r="L1527" s="4"/>
      <c r="M1527" s="7"/>
      <c r="O1527" s="7"/>
      <c r="T1527" s="7"/>
    </row>
    <row r="1528" spans="2:20" x14ac:dyDescent="0.3">
      <c r="B1528" s="18" t="s">
        <v>3350</v>
      </c>
      <c r="C1528" s="13">
        <v>18</v>
      </c>
      <c r="D1528" s="21" t="s">
        <v>3351</v>
      </c>
      <c r="E1528" s="24">
        <v>11</v>
      </c>
      <c r="L1528" s="4"/>
      <c r="M1528" s="7"/>
      <c r="O1528" s="7"/>
    </row>
    <row r="1529" spans="2:20" x14ac:dyDescent="0.3">
      <c r="B1529" s="18" t="s">
        <v>3352</v>
      </c>
      <c r="C1529" s="13">
        <v>19</v>
      </c>
      <c r="D1529" s="21" t="s">
        <v>3353</v>
      </c>
      <c r="E1529" s="24">
        <v>10</v>
      </c>
      <c r="L1529" s="4"/>
      <c r="M1529" s="7"/>
      <c r="O1529" s="7"/>
      <c r="T1529" s="7"/>
    </row>
    <row r="1530" spans="2:20" x14ac:dyDescent="0.3">
      <c r="B1530" s="18" t="s">
        <v>3354</v>
      </c>
      <c r="C1530" s="13">
        <v>2</v>
      </c>
      <c r="D1530" s="21" t="s">
        <v>3355</v>
      </c>
      <c r="E1530" s="24">
        <v>1</v>
      </c>
      <c r="L1530" s="4"/>
      <c r="M1530" s="7"/>
      <c r="O1530" s="7"/>
      <c r="T1530" s="7"/>
    </row>
    <row r="1531" spans="2:20" x14ac:dyDescent="0.3">
      <c r="B1531" s="18" t="s">
        <v>3356</v>
      </c>
      <c r="C1531" s="13">
        <v>20</v>
      </c>
      <c r="D1531" s="21" t="s">
        <v>3357</v>
      </c>
      <c r="E1531" s="24">
        <v>7</v>
      </c>
      <c r="L1531" s="4"/>
      <c r="M1531" s="7"/>
      <c r="O1531" s="7"/>
      <c r="T1531" s="7"/>
    </row>
    <row r="1532" spans="2:20" x14ac:dyDescent="0.3">
      <c r="B1532" s="18" t="s">
        <v>3358</v>
      </c>
      <c r="C1532" s="13">
        <v>21</v>
      </c>
      <c r="D1532" s="21" t="s">
        <v>3359</v>
      </c>
      <c r="E1532" s="24">
        <v>6</v>
      </c>
      <c r="L1532" s="4"/>
      <c r="M1532" s="7"/>
      <c r="O1532" s="7"/>
      <c r="T1532" s="7"/>
    </row>
    <row r="1533" spans="2:20" x14ac:dyDescent="0.3">
      <c r="B1533" s="18" t="s">
        <v>3360</v>
      </c>
      <c r="C1533" s="13">
        <v>22</v>
      </c>
      <c r="D1533" s="21" t="s">
        <v>3361</v>
      </c>
      <c r="E1533" s="24">
        <v>5</v>
      </c>
      <c r="L1533" s="4"/>
      <c r="M1533" s="7"/>
      <c r="O1533" s="7"/>
      <c r="T1533" s="7"/>
    </row>
    <row r="1534" spans="2:20" x14ac:dyDescent="0.3">
      <c r="B1534" s="18" t="s">
        <v>3362</v>
      </c>
      <c r="C1534" s="13">
        <v>23</v>
      </c>
      <c r="D1534" s="21" t="s">
        <v>3363</v>
      </c>
      <c r="E1534" s="24">
        <v>4</v>
      </c>
      <c r="L1534" s="4"/>
      <c r="M1534" s="7"/>
      <c r="O1534" s="7"/>
      <c r="T1534" s="7"/>
    </row>
    <row r="1535" spans="2:20" x14ac:dyDescent="0.3">
      <c r="B1535" s="18" t="s">
        <v>3364</v>
      </c>
      <c r="C1535" s="13">
        <v>24</v>
      </c>
      <c r="D1535" s="21" t="s">
        <v>3365</v>
      </c>
      <c r="E1535" s="24">
        <v>3</v>
      </c>
      <c r="L1535" s="4"/>
      <c r="M1535" s="7"/>
      <c r="O1535" s="7"/>
      <c r="T1535" s="7"/>
    </row>
    <row r="1536" spans="2:20" x14ac:dyDescent="0.3">
      <c r="B1536" s="18" t="s">
        <v>3366</v>
      </c>
      <c r="C1536" s="13">
        <v>25</v>
      </c>
      <c r="D1536" s="21" t="s">
        <v>3367</v>
      </c>
      <c r="E1536" s="24">
        <v>2</v>
      </c>
      <c r="L1536" s="4"/>
      <c r="M1536" s="7"/>
      <c r="O1536" s="7"/>
      <c r="T1536" s="7"/>
    </row>
    <row r="1537" spans="2:20" x14ac:dyDescent="0.3">
      <c r="B1537" s="18" t="s">
        <v>3368</v>
      </c>
      <c r="C1537" s="13">
        <v>26</v>
      </c>
      <c r="D1537" s="21" t="s">
        <v>3369</v>
      </c>
      <c r="E1537" s="24">
        <v>1</v>
      </c>
      <c r="L1537" s="4"/>
      <c r="M1537" s="7"/>
      <c r="O1537" s="7"/>
      <c r="T1537" s="7"/>
    </row>
    <row r="1538" spans="2:20" x14ac:dyDescent="0.3">
      <c r="B1538" s="18" t="s">
        <v>3370</v>
      </c>
      <c r="C1538" s="13">
        <v>27</v>
      </c>
      <c r="D1538" s="21" t="s">
        <v>3371</v>
      </c>
      <c r="E1538" s="24">
        <v>73</v>
      </c>
      <c r="L1538" s="4"/>
      <c r="M1538" s="7"/>
      <c r="O1538" s="7"/>
      <c r="T1538" s="7"/>
    </row>
    <row r="1539" spans="2:20" x14ac:dyDescent="0.3">
      <c r="B1539" s="18" t="s">
        <v>3372</v>
      </c>
      <c r="C1539" s="13">
        <v>28</v>
      </c>
      <c r="D1539" s="21" t="s">
        <v>3373</v>
      </c>
      <c r="E1539" s="24">
        <v>74</v>
      </c>
      <c r="L1539" s="4"/>
      <c r="M1539" s="7"/>
      <c r="O1539" s="7"/>
      <c r="T1539" s="7"/>
    </row>
    <row r="1540" spans="2:20" x14ac:dyDescent="0.3">
      <c r="B1540" s="18" t="s">
        <v>3374</v>
      </c>
      <c r="C1540" s="13">
        <v>29</v>
      </c>
      <c r="D1540" s="21" t="s">
        <v>3375</v>
      </c>
      <c r="E1540" s="24">
        <v>75</v>
      </c>
      <c r="L1540" s="4"/>
      <c r="M1540" s="7"/>
      <c r="O1540" s="7"/>
      <c r="T1540" s="7"/>
    </row>
    <row r="1541" spans="2:20" x14ac:dyDescent="0.3">
      <c r="B1541" s="18" t="s">
        <v>3376</v>
      </c>
      <c r="C1541" s="13">
        <v>3</v>
      </c>
      <c r="D1541" s="21" t="s">
        <v>3377</v>
      </c>
      <c r="E1541" s="24">
        <v>76</v>
      </c>
      <c r="L1541" s="4"/>
      <c r="M1541" s="7"/>
      <c r="O1541" s="7"/>
      <c r="T1541" s="7"/>
    </row>
    <row r="1542" spans="2:20" x14ac:dyDescent="0.3">
      <c r="B1542" s="18" t="s">
        <v>3378</v>
      </c>
      <c r="C1542" s="13">
        <v>4</v>
      </c>
      <c r="D1542" s="21" t="s">
        <v>3379</v>
      </c>
      <c r="E1542" s="24">
        <v>77</v>
      </c>
      <c r="L1542" s="4"/>
      <c r="M1542" s="7"/>
      <c r="O1542" s="7"/>
      <c r="T1542" s="7"/>
    </row>
    <row r="1543" spans="2:20" x14ac:dyDescent="0.3">
      <c r="B1543" s="18" t="s">
        <v>3380</v>
      </c>
      <c r="C1543" s="13">
        <v>5</v>
      </c>
      <c r="D1543" s="21" t="s">
        <v>3381</v>
      </c>
      <c r="E1543" s="24">
        <v>78</v>
      </c>
      <c r="L1543" s="4"/>
      <c r="M1543" s="7"/>
      <c r="O1543" s="7"/>
      <c r="T1543" s="7"/>
    </row>
    <row r="1544" spans="2:20" x14ac:dyDescent="0.3">
      <c r="B1544" s="18" t="s">
        <v>3382</v>
      </c>
      <c r="C1544" s="13">
        <v>6</v>
      </c>
      <c r="D1544" s="21" t="s">
        <v>3383</v>
      </c>
      <c r="E1544" s="24">
        <v>79</v>
      </c>
      <c r="L1544" s="4"/>
      <c r="M1544" s="7"/>
      <c r="O1544" s="7"/>
      <c r="T1544" s="7"/>
    </row>
    <row r="1545" spans="2:20" x14ac:dyDescent="0.3">
      <c r="B1545" s="18" t="s">
        <v>3384</v>
      </c>
      <c r="C1545" s="13">
        <v>7</v>
      </c>
      <c r="D1545" s="21" t="s">
        <v>3385</v>
      </c>
      <c r="E1545" s="24">
        <v>55</v>
      </c>
      <c r="L1545" s="4"/>
      <c r="M1545" s="7"/>
      <c r="O1545" s="7"/>
      <c r="T1545" s="7"/>
    </row>
    <row r="1546" spans="2:20" x14ac:dyDescent="0.3">
      <c r="B1546" s="18" t="s">
        <v>3386</v>
      </c>
      <c r="C1546" s="13">
        <v>8</v>
      </c>
      <c r="D1546" s="21" t="s">
        <v>3387</v>
      </c>
      <c r="E1546" s="24">
        <v>56</v>
      </c>
      <c r="L1546" s="4"/>
      <c r="M1546" s="7"/>
      <c r="O1546" s="7"/>
      <c r="T1546" s="7"/>
    </row>
    <row r="1547" spans="2:20" x14ac:dyDescent="0.3">
      <c r="B1547" s="18" t="s">
        <v>3388</v>
      </c>
      <c r="C1547" s="13">
        <v>9</v>
      </c>
      <c r="D1547" s="21" t="s">
        <v>3389</v>
      </c>
      <c r="E1547" s="24">
        <v>57</v>
      </c>
      <c r="L1547" s="4"/>
      <c r="M1547" s="7"/>
      <c r="O1547" s="7"/>
      <c r="T1547" s="7"/>
    </row>
    <row r="1548" spans="2:20" x14ac:dyDescent="0.3">
      <c r="B1548" s="18" t="s">
        <v>3390</v>
      </c>
      <c r="C1548" s="13">
        <v>58</v>
      </c>
      <c r="D1548" s="21" t="s">
        <v>3391</v>
      </c>
      <c r="E1548" s="24">
        <v>58</v>
      </c>
      <c r="L1548" s="4"/>
      <c r="M1548" s="7"/>
      <c r="O1548" s="7"/>
      <c r="T1548" s="7"/>
    </row>
    <row r="1549" spans="2:20" x14ac:dyDescent="0.3">
      <c r="B1549" s="18" t="s">
        <v>3392</v>
      </c>
      <c r="C1549" s="13">
        <v>49</v>
      </c>
      <c r="D1549" s="21" t="s">
        <v>3393</v>
      </c>
      <c r="E1549" s="24">
        <v>59</v>
      </c>
      <c r="L1549" s="4"/>
      <c r="M1549" s="7"/>
      <c r="O1549" s="7"/>
      <c r="T1549" s="7"/>
    </row>
    <row r="1550" spans="2:20" x14ac:dyDescent="0.3">
      <c r="B1550" s="18" t="s">
        <v>3394</v>
      </c>
      <c r="C1550" s="13">
        <v>48</v>
      </c>
      <c r="D1550" s="21" t="s">
        <v>3395</v>
      </c>
      <c r="E1550" s="24">
        <v>60</v>
      </c>
      <c r="L1550" s="4"/>
      <c r="M1550" s="7"/>
      <c r="O1550" s="7"/>
      <c r="T1550" s="7"/>
    </row>
    <row r="1551" spans="2:20" x14ac:dyDescent="0.3">
      <c r="B1551" s="18" t="s">
        <v>3396</v>
      </c>
      <c r="C1551" s="13">
        <v>47</v>
      </c>
      <c r="D1551" s="21" t="s">
        <v>3397</v>
      </c>
      <c r="E1551" s="24">
        <v>61</v>
      </c>
      <c r="L1551" s="4"/>
      <c r="M1551" s="7"/>
      <c r="O1551" s="7"/>
      <c r="T1551" s="7"/>
    </row>
    <row r="1552" spans="2:20" x14ac:dyDescent="0.3">
      <c r="B1552" s="18" t="s">
        <v>3398</v>
      </c>
      <c r="C1552" s="13">
        <v>46</v>
      </c>
      <c r="D1552" s="21" t="s">
        <v>3399</v>
      </c>
      <c r="E1552" s="24">
        <v>62</v>
      </c>
      <c r="L1552" s="4"/>
      <c r="M1552" s="7"/>
      <c r="O1552" s="7"/>
      <c r="T1552" s="7"/>
    </row>
    <row r="1553" spans="2:20" x14ac:dyDescent="0.3">
      <c r="B1553" s="18" t="s">
        <v>3400</v>
      </c>
      <c r="C1553" s="13">
        <v>45</v>
      </c>
      <c r="D1553" s="21" t="s">
        <v>3401</v>
      </c>
      <c r="E1553" s="24">
        <v>63</v>
      </c>
      <c r="L1553" s="4"/>
      <c r="M1553" s="7"/>
      <c r="O1553" s="7"/>
      <c r="T1553" s="7"/>
    </row>
    <row r="1554" spans="2:20" x14ac:dyDescent="0.3">
      <c r="B1554" s="18" t="s">
        <v>3402</v>
      </c>
      <c r="C1554" s="13">
        <v>44</v>
      </c>
      <c r="D1554" s="21" t="s">
        <v>3403</v>
      </c>
      <c r="E1554" s="24">
        <v>64</v>
      </c>
      <c r="L1554" s="4"/>
      <c r="M1554" s="7"/>
      <c r="O1554" s="7"/>
      <c r="T1554" s="7"/>
    </row>
    <row r="1555" spans="2:20" x14ac:dyDescent="0.3">
      <c r="B1555" s="18" t="s">
        <v>3404</v>
      </c>
      <c r="C1555" s="13">
        <v>43</v>
      </c>
      <c r="D1555" s="21" t="s">
        <v>3405</v>
      </c>
      <c r="E1555" s="24">
        <v>65</v>
      </c>
      <c r="L1555" s="4"/>
      <c r="M1555" s="7"/>
      <c r="O1555" s="7"/>
      <c r="T1555" s="7"/>
    </row>
    <row r="1556" spans="2:20" x14ac:dyDescent="0.3">
      <c r="B1556" s="18" t="s">
        <v>3406</v>
      </c>
      <c r="C1556" s="13">
        <v>42</v>
      </c>
      <c r="D1556" s="21" t="s">
        <v>3407</v>
      </c>
      <c r="E1556" s="24">
        <v>66</v>
      </c>
      <c r="L1556" s="4"/>
      <c r="M1556" s="7"/>
      <c r="O1556" s="7"/>
      <c r="T1556" s="7"/>
    </row>
    <row r="1557" spans="2:20" x14ac:dyDescent="0.3">
      <c r="B1557" s="18" t="s">
        <v>3408</v>
      </c>
      <c r="C1557" s="13">
        <v>41</v>
      </c>
      <c r="D1557" s="21" t="s">
        <v>3409</v>
      </c>
      <c r="E1557" s="24">
        <v>67</v>
      </c>
      <c r="L1557" s="4"/>
      <c r="M1557" s="7"/>
      <c r="O1557" s="7"/>
      <c r="T1557" s="7"/>
    </row>
    <row r="1558" spans="2:20" x14ac:dyDescent="0.3">
      <c r="B1558" s="18" t="s">
        <v>3410</v>
      </c>
      <c r="C1558" s="13">
        <v>40</v>
      </c>
      <c r="D1558" s="21" t="s">
        <v>3411</v>
      </c>
      <c r="E1558" s="24">
        <v>68</v>
      </c>
      <c r="L1558" s="4"/>
      <c r="M1558" s="7"/>
      <c r="O1558" s="7"/>
      <c r="T1558" s="7"/>
    </row>
    <row r="1559" spans="2:20" x14ac:dyDescent="0.3">
      <c r="B1559" s="18" t="s">
        <v>3412</v>
      </c>
      <c r="C1559" s="13">
        <v>57</v>
      </c>
      <c r="D1559" s="21" t="s">
        <v>3413</v>
      </c>
      <c r="E1559" s="24">
        <v>69</v>
      </c>
      <c r="L1559" s="4"/>
      <c r="M1559" s="7"/>
      <c r="O1559" s="7"/>
      <c r="T1559" s="7"/>
    </row>
    <row r="1560" spans="2:20" x14ac:dyDescent="0.3">
      <c r="B1560" s="18" t="s">
        <v>3414</v>
      </c>
      <c r="C1560" s="13">
        <v>39</v>
      </c>
      <c r="D1560" s="21" t="s">
        <v>3415</v>
      </c>
      <c r="E1560" s="24">
        <v>70</v>
      </c>
      <c r="L1560" s="4"/>
      <c r="M1560" s="7"/>
      <c r="O1560" s="7"/>
      <c r="T1560" s="7"/>
    </row>
    <row r="1561" spans="2:20" x14ac:dyDescent="0.3">
      <c r="B1561" s="18" t="s">
        <v>3416</v>
      </c>
      <c r="C1561" s="13">
        <v>38</v>
      </c>
      <c r="D1561" s="21" t="s">
        <v>3417</v>
      </c>
      <c r="E1561" s="24">
        <v>71</v>
      </c>
      <c r="L1561" s="4"/>
      <c r="M1561" s="7"/>
      <c r="O1561" s="7"/>
      <c r="T1561" s="7"/>
    </row>
    <row r="1562" spans="2:20" x14ac:dyDescent="0.3">
      <c r="B1562" s="18" t="s">
        <v>3418</v>
      </c>
      <c r="C1562" s="13">
        <v>37</v>
      </c>
      <c r="D1562" s="21" t="s">
        <v>3419</v>
      </c>
      <c r="E1562" s="24">
        <v>72</v>
      </c>
      <c r="L1562" s="4"/>
      <c r="M1562" s="7"/>
      <c r="O1562" s="7"/>
      <c r="T1562" s="7"/>
    </row>
    <row r="1563" spans="2:20" x14ac:dyDescent="0.3">
      <c r="B1563" s="18" t="s">
        <v>3420</v>
      </c>
      <c r="C1563" s="13">
        <v>36</v>
      </c>
      <c r="D1563" s="21" t="s">
        <v>3421</v>
      </c>
      <c r="E1563" s="24">
        <v>36</v>
      </c>
      <c r="L1563" s="4"/>
      <c r="M1563" s="7"/>
      <c r="O1563" s="7"/>
      <c r="T1563" s="7"/>
    </row>
    <row r="1564" spans="2:20" x14ac:dyDescent="0.3">
      <c r="B1564" s="18" t="s">
        <v>3422</v>
      </c>
      <c r="C1564" s="13">
        <v>35</v>
      </c>
      <c r="D1564" s="21" t="s">
        <v>3423</v>
      </c>
      <c r="E1564" s="24">
        <v>35</v>
      </c>
      <c r="L1564" s="4"/>
      <c r="M1564" s="7"/>
      <c r="O1564" s="7"/>
      <c r="T1564" s="7"/>
    </row>
    <row r="1565" spans="2:20" x14ac:dyDescent="0.3">
      <c r="B1565" s="18" t="s">
        <v>3424</v>
      </c>
      <c r="C1565" s="13">
        <v>34</v>
      </c>
      <c r="D1565" s="21" t="s">
        <v>3425</v>
      </c>
      <c r="E1565" s="24">
        <v>34</v>
      </c>
      <c r="L1565" s="4"/>
      <c r="M1565" s="7"/>
      <c r="O1565" s="7"/>
      <c r="T1565" s="7"/>
    </row>
    <row r="1566" spans="2:20" x14ac:dyDescent="0.3">
      <c r="B1566" s="18" t="s">
        <v>3426</v>
      </c>
      <c r="C1566" s="13">
        <v>33</v>
      </c>
      <c r="D1566" s="21" t="s">
        <v>3427</v>
      </c>
      <c r="E1566" s="24">
        <v>33</v>
      </c>
      <c r="L1566" s="4"/>
      <c r="M1566" s="7"/>
      <c r="O1566" s="7"/>
      <c r="T1566" s="7"/>
    </row>
    <row r="1567" spans="2:20" x14ac:dyDescent="0.3">
      <c r="B1567" s="18" t="s">
        <v>3428</v>
      </c>
      <c r="C1567" s="13">
        <v>32</v>
      </c>
      <c r="D1567" s="21" t="s">
        <v>3429</v>
      </c>
      <c r="E1567" s="24">
        <v>32</v>
      </c>
      <c r="L1567" s="4"/>
      <c r="M1567" s="7"/>
      <c r="O1567" s="7"/>
    </row>
    <row r="1568" spans="2:20" x14ac:dyDescent="0.3">
      <c r="B1568" s="18" t="s">
        <v>3430</v>
      </c>
      <c r="C1568" s="13">
        <v>31</v>
      </c>
      <c r="D1568" s="21" t="s">
        <v>3431</v>
      </c>
      <c r="E1568" s="24">
        <v>31</v>
      </c>
      <c r="L1568" s="4"/>
      <c r="M1568" s="7"/>
      <c r="O1568" s="7"/>
      <c r="T1568" s="7"/>
    </row>
    <row r="1569" spans="2:20" x14ac:dyDescent="0.3">
      <c r="B1569" s="18" t="s">
        <v>3432</v>
      </c>
      <c r="C1569" s="13">
        <v>30</v>
      </c>
      <c r="D1569" s="21" t="s">
        <v>3433</v>
      </c>
      <c r="E1569" s="24">
        <v>30</v>
      </c>
      <c r="L1569" s="4"/>
      <c r="M1569" s="7"/>
      <c r="O1569" s="7"/>
      <c r="T1569" s="7"/>
    </row>
    <row r="1570" spans="2:20" x14ac:dyDescent="0.3">
      <c r="B1570" s="18" t="s">
        <v>3434</v>
      </c>
      <c r="C1570" s="13">
        <v>56</v>
      </c>
      <c r="D1570" s="21" t="s">
        <v>3435</v>
      </c>
      <c r="E1570" s="24">
        <v>54</v>
      </c>
      <c r="L1570" s="4"/>
      <c r="M1570" s="7"/>
      <c r="O1570" s="7"/>
      <c r="T1570" s="7"/>
    </row>
    <row r="1571" spans="2:20" x14ac:dyDescent="0.3">
      <c r="B1571" s="18" t="s">
        <v>3436</v>
      </c>
      <c r="C1571" s="13">
        <v>55</v>
      </c>
      <c r="D1571" s="21" t="s">
        <v>3437</v>
      </c>
      <c r="E1571" s="24">
        <v>53</v>
      </c>
      <c r="L1571" s="4"/>
      <c r="M1571" s="7"/>
      <c r="O1571" s="7"/>
    </row>
    <row r="1572" spans="2:20" x14ac:dyDescent="0.3">
      <c r="B1572" s="18" t="s">
        <v>3438</v>
      </c>
      <c r="C1572" s="13">
        <v>54</v>
      </c>
      <c r="D1572" s="21" t="s">
        <v>3439</v>
      </c>
      <c r="E1572" s="24">
        <v>52</v>
      </c>
      <c r="L1572" s="4"/>
      <c r="M1572" s="7"/>
      <c r="O1572" s="7"/>
      <c r="T1572" s="7"/>
    </row>
    <row r="1573" spans="2:20" x14ac:dyDescent="0.3">
      <c r="B1573" s="18" t="s">
        <v>3440</v>
      </c>
      <c r="C1573" s="13">
        <v>53</v>
      </c>
      <c r="D1573" s="21" t="s">
        <v>3441</v>
      </c>
      <c r="E1573" s="24">
        <v>51</v>
      </c>
      <c r="L1573" s="4"/>
      <c r="M1573" s="7"/>
      <c r="O1573" s="7"/>
      <c r="T1573" s="7"/>
    </row>
    <row r="1574" spans="2:20" x14ac:dyDescent="0.3">
      <c r="B1574" s="18" t="s">
        <v>3442</v>
      </c>
      <c r="C1574" s="13">
        <v>52</v>
      </c>
      <c r="D1574" s="21" t="s">
        <v>3443</v>
      </c>
      <c r="E1574" s="24">
        <v>50</v>
      </c>
      <c r="L1574" s="4"/>
      <c r="M1574" s="7"/>
      <c r="O1574" s="7"/>
      <c r="T1574" s="7"/>
    </row>
    <row r="1575" spans="2:20" x14ac:dyDescent="0.3">
      <c r="B1575" s="18" t="s">
        <v>3444</v>
      </c>
      <c r="C1575" s="13">
        <v>51</v>
      </c>
      <c r="D1575" s="21" t="s">
        <v>3445</v>
      </c>
      <c r="E1575" s="24">
        <v>49</v>
      </c>
      <c r="L1575" s="4"/>
      <c r="M1575" s="7"/>
      <c r="O1575" s="7"/>
      <c r="T1575" s="7"/>
    </row>
    <row r="1576" spans="2:20" x14ac:dyDescent="0.3">
      <c r="B1576" s="18" t="s">
        <v>3446</v>
      </c>
      <c r="C1576" s="13">
        <v>50</v>
      </c>
      <c r="D1576" s="21" t="s">
        <v>3447</v>
      </c>
      <c r="E1576" s="24">
        <v>48</v>
      </c>
      <c r="L1576" s="4"/>
      <c r="M1576" s="7"/>
      <c r="O1576" s="7"/>
      <c r="T1576" s="7"/>
    </row>
    <row r="1577" spans="2:20" x14ac:dyDescent="0.3">
      <c r="B1577" s="18" t="s">
        <v>3448</v>
      </c>
      <c r="C1577" s="13">
        <v>59</v>
      </c>
      <c r="D1577" s="21" t="s">
        <v>3449</v>
      </c>
      <c r="E1577" s="24">
        <v>47</v>
      </c>
      <c r="L1577" s="4"/>
      <c r="M1577" s="7"/>
      <c r="O1577" s="7"/>
      <c r="T1577" s="7"/>
    </row>
    <row r="1578" spans="2:20" x14ac:dyDescent="0.3">
      <c r="B1578" s="18" t="s">
        <v>3450</v>
      </c>
      <c r="C1578" s="13">
        <v>68</v>
      </c>
      <c r="D1578" s="21" t="s">
        <v>3451</v>
      </c>
      <c r="E1578" s="24">
        <v>29</v>
      </c>
      <c r="L1578" s="4"/>
      <c r="M1578" s="7"/>
      <c r="O1578" s="7"/>
      <c r="T1578" s="7"/>
    </row>
    <row r="1579" spans="2:20" x14ac:dyDescent="0.3">
      <c r="B1579" s="18" t="s">
        <v>3452</v>
      </c>
      <c r="C1579" s="13">
        <v>69</v>
      </c>
      <c r="D1579" s="21" t="s">
        <v>3453</v>
      </c>
      <c r="E1579" s="24">
        <v>46</v>
      </c>
      <c r="L1579" s="4"/>
      <c r="M1579" s="7"/>
      <c r="O1579" s="7"/>
      <c r="T1579" s="7"/>
    </row>
    <row r="1580" spans="2:20" x14ac:dyDescent="0.3">
      <c r="B1580" s="18" t="s">
        <v>3454</v>
      </c>
      <c r="C1580" s="13">
        <v>70</v>
      </c>
      <c r="D1580" s="21" t="s">
        <v>3455</v>
      </c>
      <c r="E1580" s="24">
        <v>45</v>
      </c>
      <c r="L1580" s="4"/>
      <c r="M1580" s="7"/>
      <c r="O1580" s="7"/>
      <c r="T1580" s="7"/>
    </row>
    <row r="1581" spans="2:20" x14ac:dyDescent="0.3">
      <c r="B1581" s="18" t="s">
        <v>3456</v>
      </c>
      <c r="C1581" s="13">
        <v>71</v>
      </c>
      <c r="D1581" s="21" t="s">
        <v>3457</v>
      </c>
      <c r="E1581" s="24">
        <v>44</v>
      </c>
      <c r="L1581" s="4"/>
      <c r="M1581" s="7"/>
      <c r="O1581" s="7"/>
      <c r="T1581" s="7"/>
    </row>
    <row r="1582" spans="2:20" x14ac:dyDescent="0.3">
      <c r="B1582" s="18" t="s">
        <v>3458</v>
      </c>
      <c r="C1582" s="13">
        <v>72</v>
      </c>
      <c r="D1582" s="21" t="s">
        <v>3459</v>
      </c>
      <c r="E1582" s="24">
        <v>43</v>
      </c>
      <c r="L1582" s="4"/>
      <c r="M1582" s="7"/>
      <c r="O1582" s="7"/>
      <c r="T1582" s="7"/>
    </row>
    <row r="1583" spans="2:20" x14ac:dyDescent="0.3">
      <c r="B1583" s="18" t="s">
        <v>3460</v>
      </c>
      <c r="C1583" s="13">
        <v>73</v>
      </c>
      <c r="D1583" s="21" t="s">
        <v>3461</v>
      </c>
      <c r="E1583" s="24">
        <v>42</v>
      </c>
      <c r="L1583" s="4"/>
      <c r="M1583" s="7"/>
      <c r="O1583" s="7"/>
      <c r="T1583" s="7"/>
    </row>
    <row r="1584" spans="2:20" x14ac:dyDescent="0.3">
      <c r="B1584" s="18" t="s">
        <v>3462</v>
      </c>
      <c r="C1584" s="13">
        <v>74</v>
      </c>
      <c r="D1584" s="21" t="s">
        <v>3463</v>
      </c>
      <c r="E1584" s="24">
        <v>41</v>
      </c>
      <c r="L1584" s="4"/>
      <c r="M1584" s="7"/>
      <c r="O1584" s="7"/>
      <c r="T1584" s="7"/>
    </row>
    <row r="1585" spans="2:20" x14ac:dyDescent="0.3">
      <c r="B1585" s="18" t="s">
        <v>3464</v>
      </c>
      <c r="C1585" s="13">
        <v>75</v>
      </c>
      <c r="D1585" s="21" t="s">
        <v>3465</v>
      </c>
      <c r="E1585" s="24">
        <v>40</v>
      </c>
      <c r="L1585" s="4"/>
      <c r="M1585" s="7"/>
      <c r="O1585" s="7"/>
      <c r="T1585" s="7"/>
    </row>
    <row r="1586" spans="2:20" x14ac:dyDescent="0.3">
      <c r="B1586" s="18" t="s">
        <v>3466</v>
      </c>
      <c r="C1586" s="13">
        <v>76</v>
      </c>
      <c r="D1586" s="21" t="s">
        <v>3467</v>
      </c>
      <c r="E1586" s="24">
        <v>39</v>
      </c>
      <c r="L1586" s="4"/>
      <c r="M1586" s="7"/>
      <c r="O1586" s="7"/>
      <c r="T1586" s="7"/>
    </row>
    <row r="1587" spans="2:20" x14ac:dyDescent="0.3">
      <c r="B1587" s="18" t="s">
        <v>3468</v>
      </c>
      <c r="C1587" s="13">
        <v>77</v>
      </c>
      <c r="D1587" s="21" t="s">
        <v>3469</v>
      </c>
      <c r="E1587" s="24">
        <v>38</v>
      </c>
      <c r="L1587" s="4"/>
      <c r="M1587" s="7"/>
      <c r="O1587" s="7"/>
      <c r="T1587" s="7"/>
    </row>
    <row r="1588" spans="2:20" x14ac:dyDescent="0.3">
      <c r="B1588" s="18" t="s">
        <v>3470</v>
      </c>
      <c r="C1588" s="13">
        <v>60</v>
      </c>
      <c r="D1588" s="21" t="s">
        <v>3471</v>
      </c>
      <c r="E1588" s="24">
        <v>37</v>
      </c>
      <c r="L1588" s="4"/>
      <c r="M1588" s="7"/>
      <c r="O1588" s="7"/>
      <c r="T1588" s="7"/>
    </row>
    <row r="1589" spans="2:20" x14ac:dyDescent="0.3">
      <c r="B1589" s="18" t="s">
        <v>3472</v>
      </c>
      <c r="C1589" s="13">
        <v>78</v>
      </c>
      <c r="D1589" s="21" t="s">
        <v>3473</v>
      </c>
      <c r="E1589" s="24">
        <v>28</v>
      </c>
      <c r="L1589" s="4"/>
      <c r="M1589" s="7"/>
      <c r="O1589" s="7"/>
      <c r="T1589" s="7"/>
    </row>
    <row r="1590" spans="2:20" x14ac:dyDescent="0.3">
      <c r="B1590" s="18" t="s">
        <v>3474</v>
      </c>
      <c r="C1590" s="13">
        <v>79</v>
      </c>
      <c r="D1590" s="21" t="s">
        <v>3475</v>
      </c>
      <c r="E1590" s="24">
        <v>9</v>
      </c>
      <c r="L1590" s="4"/>
      <c r="M1590" s="7"/>
      <c r="O1590" s="7"/>
      <c r="T1590" s="7"/>
    </row>
    <row r="1591" spans="2:20" x14ac:dyDescent="0.3">
      <c r="B1591" s="18" t="s">
        <v>3476</v>
      </c>
      <c r="C1591" s="13">
        <v>80</v>
      </c>
      <c r="D1591" s="21" t="s">
        <v>3477</v>
      </c>
      <c r="E1591" s="24">
        <v>8</v>
      </c>
      <c r="L1591" s="4"/>
      <c r="M1591" s="7"/>
      <c r="O1591" s="7"/>
      <c r="T1591" s="7"/>
    </row>
    <row r="1592" spans="2:20" x14ac:dyDescent="0.3">
      <c r="B1592" s="18" t="s">
        <v>3478</v>
      </c>
      <c r="C1592" s="13">
        <v>81</v>
      </c>
      <c r="D1592" s="21" t="s">
        <v>3479</v>
      </c>
      <c r="E1592" s="24">
        <v>7</v>
      </c>
      <c r="L1592" s="4"/>
      <c r="M1592" s="7"/>
      <c r="O1592" s="7"/>
      <c r="T1592" s="7"/>
    </row>
    <row r="1593" spans="2:20" x14ac:dyDescent="0.3">
      <c r="B1593" s="18" t="s">
        <v>3480</v>
      </c>
      <c r="C1593" s="13">
        <v>82</v>
      </c>
      <c r="D1593" s="21" t="s">
        <v>3481</v>
      </c>
      <c r="E1593" s="24">
        <v>6</v>
      </c>
      <c r="L1593" s="4"/>
      <c r="M1593" s="7"/>
      <c r="O1593" s="7"/>
      <c r="T1593" s="7"/>
    </row>
    <row r="1594" spans="2:20" x14ac:dyDescent="0.3">
      <c r="B1594" s="18" t="s">
        <v>3482</v>
      </c>
      <c r="C1594" s="13">
        <v>83</v>
      </c>
      <c r="D1594" s="21" t="s">
        <v>3483</v>
      </c>
      <c r="E1594" s="24">
        <v>5</v>
      </c>
      <c r="L1594" s="4"/>
      <c r="M1594" s="7"/>
      <c r="O1594" s="7"/>
      <c r="T1594" s="7"/>
    </row>
    <row r="1595" spans="2:20" x14ac:dyDescent="0.3">
      <c r="B1595" s="18" t="s">
        <v>3484</v>
      </c>
      <c r="C1595" s="13">
        <v>84</v>
      </c>
      <c r="D1595" s="21" t="s">
        <v>3485</v>
      </c>
      <c r="E1595" s="24">
        <v>4</v>
      </c>
      <c r="L1595" s="4"/>
      <c r="M1595" s="7"/>
      <c r="O1595" s="7"/>
      <c r="T1595" s="7"/>
    </row>
    <row r="1596" spans="2:20" x14ac:dyDescent="0.3">
      <c r="B1596" s="18" t="s">
        <v>3486</v>
      </c>
      <c r="C1596" s="13">
        <v>85</v>
      </c>
      <c r="D1596" s="21" t="s">
        <v>3487</v>
      </c>
      <c r="E1596" s="24">
        <v>3</v>
      </c>
      <c r="L1596" s="4"/>
      <c r="M1596" s="7"/>
      <c r="O1596" s="7"/>
      <c r="T1596" s="7"/>
    </row>
    <row r="1597" spans="2:20" x14ac:dyDescent="0.3">
      <c r="B1597" s="18" t="s">
        <v>3488</v>
      </c>
      <c r="C1597" s="13">
        <v>86</v>
      </c>
      <c r="D1597" s="21" t="s">
        <v>3489</v>
      </c>
      <c r="E1597" s="24">
        <v>27</v>
      </c>
      <c r="L1597" s="4"/>
      <c r="M1597" s="7"/>
      <c r="O1597" s="7"/>
      <c r="T1597" s="7"/>
    </row>
    <row r="1598" spans="2:20" x14ac:dyDescent="0.3">
      <c r="B1598" s="18" t="s">
        <v>3490</v>
      </c>
      <c r="C1598" s="13">
        <v>87</v>
      </c>
      <c r="D1598" s="21" t="s">
        <v>3491</v>
      </c>
      <c r="E1598" s="24">
        <v>26</v>
      </c>
      <c r="L1598" s="4"/>
      <c r="M1598" s="7"/>
      <c r="O1598" s="7"/>
      <c r="T1598" s="7"/>
    </row>
    <row r="1599" spans="2:20" x14ac:dyDescent="0.3">
      <c r="B1599" s="18" t="s">
        <v>3492</v>
      </c>
      <c r="C1599" s="13">
        <v>61</v>
      </c>
      <c r="D1599" s="21" t="s">
        <v>3493</v>
      </c>
      <c r="E1599" s="24">
        <v>25</v>
      </c>
      <c r="L1599" s="4"/>
      <c r="M1599" s="7"/>
      <c r="O1599" s="7"/>
      <c r="T1599" s="7"/>
    </row>
    <row r="1600" spans="2:20" x14ac:dyDescent="0.3">
      <c r="B1600" s="18" t="s">
        <v>3494</v>
      </c>
      <c r="C1600" s="13">
        <v>62</v>
      </c>
      <c r="D1600" s="21" t="s">
        <v>3495</v>
      </c>
      <c r="E1600" s="24">
        <v>24</v>
      </c>
      <c r="L1600" s="4"/>
      <c r="M1600" s="7"/>
      <c r="O1600" s="7"/>
      <c r="T1600" s="7"/>
    </row>
    <row r="1601" spans="2:20" x14ac:dyDescent="0.3">
      <c r="B1601" s="18" t="s">
        <v>3496</v>
      </c>
      <c r="C1601" s="13">
        <v>63</v>
      </c>
      <c r="D1601" s="21" t="s">
        <v>3497</v>
      </c>
      <c r="E1601" s="24">
        <v>23</v>
      </c>
      <c r="L1601" s="4"/>
      <c r="M1601" s="7"/>
      <c r="O1601" s="7"/>
      <c r="T1601" s="7"/>
    </row>
    <row r="1602" spans="2:20" x14ac:dyDescent="0.3">
      <c r="B1602" s="18" t="s">
        <v>3498</v>
      </c>
      <c r="C1602" s="13">
        <v>64</v>
      </c>
      <c r="D1602" s="21" t="s">
        <v>3499</v>
      </c>
      <c r="E1602" s="24">
        <v>22</v>
      </c>
      <c r="L1602" s="4"/>
      <c r="M1602" s="7"/>
      <c r="O1602" s="7"/>
      <c r="T1602" s="7"/>
    </row>
    <row r="1603" spans="2:20" x14ac:dyDescent="0.3">
      <c r="B1603" s="18" t="s">
        <v>3500</v>
      </c>
      <c r="C1603" s="13">
        <v>65</v>
      </c>
      <c r="D1603" s="21" t="s">
        <v>3501</v>
      </c>
      <c r="E1603" s="24">
        <v>21</v>
      </c>
      <c r="L1603" s="4"/>
      <c r="M1603" s="7"/>
      <c r="O1603" s="7"/>
      <c r="T1603" s="7"/>
    </row>
    <row r="1604" spans="2:20" x14ac:dyDescent="0.3">
      <c r="B1604" s="18" t="s">
        <v>3502</v>
      </c>
      <c r="C1604" s="13">
        <v>66</v>
      </c>
      <c r="D1604" s="21" t="s">
        <v>3503</v>
      </c>
      <c r="E1604" s="24">
        <v>20</v>
      </c>
      <c r="L1604" s="4"/>
      <c r="M1604" s="7"/>
      <c r="O1604" s="7"/>
    </row>
    <row r="1605" spans="2:20" x14ac:dyDescent="0.3">
      <c r="B1605" s="18" t="s">
        <v>3504</v>
      </c>
      <c r="C1605" s="13">
        <v>67</v>
      </c>
      <c r="D1605" s="21" t="s">
        <v>3505</v>
      </c>
      <c r="E1605" s="24">
        <v>2</v>
      </c>
      <c r="L1605" s="4"/>
      <c r="M1605" s="7"/>
      <c r="O1605" s="7"/>
      <c r="T1605" s="7"/>
    </row>
    <row r="1606" spans="2:20" x14ac:dyDescent="0.3">
      <c r="B1606" s="18" t="s">
        <v>3506</v>
      </c>
      <c r="C1606" s="13">
        <v>107</v>
      </c>
      <c r="D1606" s="21" t="s">
        <v>3507</v>
      </c>
      <c r="E1606" s="24">
        <v>19</v>
      </c>
      <c r="L1606" s="4"/>
      <c r="M1606" s="7"/>
      <c r="O1606" s="7"/>
      <c r="T1606" s="7"/>
    </row>
    <row r="1607" spans="2:20" x14ac:dyDescent="0.3">
      <c r="B1607" s="18" t="s">
        <v>3508</v>
      </c>
      <c r="C1607" s="13">
        <v>106</v>
      </c>
      <c r="D1607" s="21" t="s">
        <v>3509</v>
      </c>
      <c r="E1607" s="24">
        <v>18</v>
      </c>
      <c r="L1607" s="4"/>
      <c r="M1607" s="7"/>
      <c r="O1607" s="7"/>
      <c r="T1607" s="7"/>
    </row>
    <row r="1608" spans="2:20" x14ac:dyDescent="0.3">
      <c r="B1608" s="18" t="s">
        <v>3510</v>
      </c>
      <c r="C1608" s="13">
        <v>105</v>
      </c>
      <c r="D1608" s="21" t="s">
        <v>3511</v>
      </c>
      <c r="E1608" s="24">
        <v>17</v>
      </c>
      <c r="L1608" s="4"/>
      <c r="M1608" s="7"/>
      <c r="O1608" s="7"/>
      <c r="T1608" s="7"/>
    </row>
    <row r="1609" spans="2:20" x14ac:dyDescent="0.3">
      <c r="B1609" s="18" t="s">
        <v>3512</v>
      </c>
      <c r="C1609" s="13">
        <v>104</v>
      </c>
      <c r="D1609" s="21" t="s">
        <v>3513</v>
      </c>
      <c r="E1609" s="24">
        <v>16</v>
      </c>
      <c r="L1609" s="4"/>
      <c r="M1609" s="7"/>
      <c r="O1609" s="7"/>
      <c r="T1609" s="7"/>
    </row>
    <row r="1610" spans="2:20" x14ac:dyDescent="0.3">
      <c r="B1610" s="18" t="s">
        <v>3514</v>
      </c>
      <c r="C1610" s="13">
        <v>103</v>
      </c>
      <c r="D1610" s="21" t="s">
        <v>3515</v>
      </c>
      <c r="E1610" s="24">
        <v>15</v>
      </c>
      <c r="L1610" s="4"/>
      <c r="M1610" s="7"/>
      <c r="O1610" s="7"/>
      <c r="T1610" s="7"/>
    </row>
    <row r="1611" spans="2:20" x14ac:dyDescent="0.3">
      <c r="B1611" s="18" t="s">
        <v>3516</v>
      </c>
      <c r="C1611" s="13">
        <v>102</v>
      </c>
      <c r="D1611" s="21" t="s">
        <v>3517</v>
      </c>
      <c r="E1611" s="24">
        <v>14</v>
      </c>
      <c r="L1611" s="4"/>
      <c r="M1611" s="7"/>
      <c r="O1611" s="7"/>
      <c r="T1611" s="7"/>
    </row>
    <row r="1612" spans="2:20" x14ac:dyDescent="0.3">
      <c r="B1612" s="18" t="s">
        <v>3518</v>
      </c>
      <c r="C1612" s="13">
        <v>101</v>
      </c>
      <c r="D1612" s="21" t="s">
        <v>3519</v>
      </c>
      <c r="E1612" s="24">
        <v>13</v>
      </c>
      <c r="L1612" s="4"/>
      <c r="M1612" s="7"/>
      <c r="O1612" s="7"/>
      <c r="T1612" s="7"/>
    </row>
    <row r="1613" spans="2:20" x14ac:dyDescent="0.3">
      <c r="B1613" s="18" t="s">
        <v>3520</v>
      </c>
      <c r="C1613" s="13">
        <v>100</v>
      </c>
      <c r="D1613" s="21" t="s">
        <v>3521</v>
      </c>
      <c r="E1613" s="24">
        <v>12</v>
      </c>
      <c r="L1613" s="4"/>
      <c r="M1613" s="7"/>
      <c r="O1613" s="7"/>
      <c r="T1613" s="7"/>
    </row>
    <row r="1614" spans="2:20" x14ac:dyDescent="0.3">
      <c r="B1614" s="18" t="s">
        <v>3522</v>
      </c>
      <c r="C1614" s="13">
        <v>99</v>
      </c>
      <c r="D1614" s="21" t="s">
        <v>3523</v>
      </c>
      <c r="E1614" s="24">
        <v>11</v>
      </c>
      <c r="L1614" s="4"/>
      <c r="M1614" s="7"/>
      <c r="O1614" s="7"/>
      <c r="T1614" s="7"/>
    </row>
    <row r="1615" spans="2:20" x14ac:dyDescent="0.3">
      <c r="B1615" s="18" t="s">
        <v>3524</v>
      </c>
      <c r="C1615" s="13">
        <v>98</v>
      </c>
      <c r="D1615" s="21" t="s">
        <v>3525</v>
      </c>
      <c r="E1615" s="24">
        <v>10</v>
      </c>
      <c r="L1615" s="4"/>
      <c r="M1615" s="7"/>
      <c r="O1615" s="7"/>
      <c r="T1615" s="7"/>
    </row>
    <row r="1616" spans="2:20" x14ac:dyDescent="0.3">
      <c r="B1616" s="18" t="s">
        <v>3526</v>
      </c>
      <c r="C1616" s="13">
        <v>97</v>
      </c>
      <c r="D1616" s="21" t="s">
        <v>3527</v>
      </c>
      <c r="E1616" s="24">
        <v>1</v>
      </c>
      <c r="L1616" s="4"/>
      <c r="M1616" s="7"/>
      <c r="O1616" s="7"/>
      <c r="T1616" s="7"/>
    </row>
    <row r="1617" spans="2:20" x14ac:dyDescent="0.3">
      <c r="B1617" s="18" t="s">
        <v>3528</v>
      </c>
      <c r="C1617" s="13">
        <v>96</v>
      </c>
      <c r="D1617" s="21" t="s">
        <v>3529</v>
      </c>
      <c r="E1617" s="24">
        <v>70</v>
      </c>
      <c r="L1617" s="4"/>
      <c r="M1617" s="7"/>
      <c r="O1617" s="7"/>
      <c r="T1617" s="7"/>
    </row>
    <row r="1618" spans="2:20" x14ac:dyDescent="0.3">
      <c r="B1618" s="18" t="s">
        <v>3530</v>
      </c>
      <c r="C1618" s="13">
        <v>95</v>
      </c>
      <c r="D1618" s="21" t="s">
        <v>3531</v>
      </c>
      <c r="E1618" s="24">
        <v>71</v>
      </c>
      <c r="L1618" s="4"/>
      <c r="M1618" s="7"/>
      <c r="O1618" s="7"/>
      <c r="T1618" s="7"/>
    </row>
    <row r="1619" spans="2:20" x14ac:dyDescent="0.3">
      <c r="B1619" s="18" t="s">
        <v>3532</v>
      </c>
      <c r="C1619" s="13">
        <v>94</v>
      </c>
      <c r="D1619" s="21" t="s">
        <v>3533</v>
      </c>
      <c r="E1619" s="24">
        <v>72</v>
      </c>
      <c r="L1619" s="4"/>
      <c r="M1619" s="7"/>
      <c r="O1619" s="7"/>
      <c r="T1619" s="7"/>
    </row>
    <row r="1620" spans="2:20" x14ac:dyDescent="0.3">
      <c r="B1620" s="18" t="s">
        <v>3534</v>
      </c>
      <c r="C1620" s="13">
        <v>93</v>
      </c>
      <c r="D1620" s="21" t="s">
        <v>3535</v>
      </c>
      <c r="E1620" s="24">
        <v>73</v>
      </c>
      <c r="L1620" s="4"/>
      <c r="M1620" s="7"/>
      <c r="O1620" s="7"/>
      <c r="T1620" s="7"/>
    </row>
    <row r="1621" spans="2:20" x14ac:dyDescent="0.3">
      <c r="B1621" s="18" t="s">
        <v>3536</v>
      </c>
      <c r="C1621" s="13">
        <v>92</v>
      </c>
      <c r="D1621" s="21" t="s">
        <v>3537</v>
      </c>
      <c r="E1621" s="24">
        <v>74</v>
      </c>
      <c r="L1621" s="4"/>
      <c r="M1621" s="7"/>
      <c r="O1621" s="7"/>
      <c r="T1621" s="7"/>
    </row>
    <row r="1622" spans="2:20" x14ac:dyDescent="0.3">
      <c r="B1622" s="18" t="s">
        <v>3538</v>
      </c>
      <c r="C1622" s="13">
        <v>91</v>
      </c>
      <c r="D1622" s="21" t="s">
        <v>3539</v>
      </c>
      <c r="E1622" s="24">
        <v>75</v>
      </c>
      <c r="L1622" s="4"/>
      <c r="M1622" s="7"/>
      <c r="O1622" s="7"/>
      <c r="T1622" s="7"/>
    </row>
    <row r="1623" spans="2:20" x14ac:dyDescent="0.3">
      <c r="B1623" s="18" t="s">
        <v>3540</v>
      </c>
      <c r="C1623" s="13">
        <v>90</v>
      </c>
      <c r="D1623" s="21" t="s">
        <v>3541</v>
      </c>
      <c r="E1623" s="24">
        <v>76</v>
      </c>
      <c r="L1623" s="4"/>
      <c r="M1623" s="7"/>
      <c r="O1623" s="7"/>
      <c r="T1623" s="7"/>
    </row>
    <row r="1624" spans="2:20" x14ac:dyDescent="0.3">
      <c r="B1624" s="18" t="s">
        <v>3542</v>
      </c>
      <c r="C1624" s="13">
        <v>89</v>
      </c>
      <c r="D1624" s="21" t="s">
        <v>3543</v>
      </c>
      <c r="E1624" s="24">
        <v>53</v>
      </c>
      <c r="L1624" s="4"/>
      <c r="M1624" s="7"/>
      <c r="O1624" s="7"/>
      <c r="T1624" s="7"/>
    </row>
    <row r="1625" spans="2:20" x14ac:dyDescent="0.3">
      <c r="B1625" s="18" t="s">
        <v>3544</v>
      </c>
      <c r="C1625" s="13">
        <v>88</v>
      </c>
      <c r="D1625" s="21" t="s">
        <v>3545</v>
      </c>
      <c r="E1625" s="24">
        <v>54</v>
      </c>
      <c r="L1625" s="4"/>
      <c r="M1625" s="7"/>
      <c r="O1625" s="7"/>
      <c r="T1625" s="7"/>
    </row>
    <row r="1626" spans="2:20" x14ac:dyDescent="0.3">
      <c r="B1626" s="18" t="s">
        <v>3546</v>
      </c>
      <c r="C1626" s="13">
        <v>114</v>
      </c>
      <c r="D1626" s="21" t="s">
        <v>3547</v>
      </c>
      <c r="E1626" s="24">
        <v>55</v>
      </c>
      <c r="L1626" s="4"/>
      <c r="M1626" s="7"/>
      <c r="O1626" s="7"/>
      <c r="T1626" s="7"/>
    </row>
    <row r="1627" spans="2:20" x14ac:dyDescent="0.3">
      <c r="B1627" s="18" t="s">
        <v>3548</v>
      </c>
      <c r="C1627" s="13">
        <v>113</v>
      </c>
      <c r="D1627" s="21" t="s">
        <v>3549</v>
      </c>
      <c r="E1627" s="24">
        <v>56</v>
      </c>
      <c r="L1627" s="4"/>
      <c r="M1627" s="7"/>
      <c r="O1627" s="7"/>
      <c r="T1627" s="7"/>
    </row>
    <row r="1628" spans="2:20" x14ac:dyDescent="0.3">
      <c r="B1628" s="18" t="s">
        <v>3550</v>
      </c>
      <c r="C1628" s="13">
        <v>112</v>
      </c>
      <c r="D1628" s="21" t="s">
        <v>3551</v>
      </c>
      <c r="E1628" s="24">
        <v>57</v>
      </c>
      <c r="L1628" s="4"/>
      <c r="M1628" s="7"/>
      <c r="O1628" s="7"/>
      <c r="T1628" s="7"/>
    </row>
    <row r="1629" spans="2:20" x14ac:dyDescent="0.3">
      <c r="B1629" s="18" t="s">
        <v>3552</v>
      </c>
      <c r="C1629" s="13">
        <v>111</v>
      </c>
      <c r="D1629" s="21" t="s">
        <v>3553</v>
      </c>
      <c r="E1629" s="24">
        <v>58</v>
      </c>
      <c r="L1629" s="4"/>
      <c r="M1629" s="7"/>
      <c r="O1629" s="7"/>
      <c r="T1629" s="7"/>
    </row>
    <row r="1630" spans="2:20" x14ac:dyDescent="0.3">
      <c r="B1630" s="18" t="s">
        <v>3554</v>
      </c>
      <c r="C1630" s="13">
        <v>110</v>
      </c>
      <c r="D1630" s="21" t="s">
        <v>3555</v>
      </c>
      <c r="E1630" s="24">
        <v>59</v>
      </c>
      <c r="L1630" s="4"/>
      <c r="M1630" s="7"/>
      <c r="O1630" s="7"/>
      <c r="T1630" s="7"/>
    </row>
    <row r="1631" spans="2:20" x14ac:dyDescent="0.3">
      <c r="B1631" s="18" t="s">
        <v>3556</v>
      </c>
      <c r="C1631" s="13">
        <v>109</v>
      </c>
      <c r="D1631" s="21" t="s">
        <v>3557</v>
      </c>
      <c r="E1631" s="24">
        <v>77</v>
      </c>
      <c r="L1631" s="4"/>
      <c r="M1631" s="7"/>
      <c r="O1631" s="7"/>
      <c r="T1631" s="7"/>
    </row>
    <row r="1632" spans="2:20" x14ac:dyDescent="0.3">
      <c r="B1632" s="18" t="s">
        <v>3558</v>
      </c>
      <c r="C1632" s="13">
        <v>108</v>
      </c>
      <c r="D1632" s="21" t="s">
        <v>3559</v>
      </c>
      <c r="E1632" s="24">
        <v>60</v>
      </c>
      <c r="L1632" s="4"/>
      <c r="M1632" s="7"/>
      <c r="O1632" s="7"/>
      <c r="T1632" s="7"/>
    </row>
    <row r="1633" spans="2:20" x14ac:dyDescent="0.3">
      <c r="B1633" s="18" t="s">
        <v>3560</v>
      </c>
      <c r="C1633" s="13">
        <v>1</v>
      </c>
      <c r="D1633" s="21" t="s">
        <v>3561</v>
      </c>
      <c r="E1633" s="24">
        <v>61</v>
      </c>
      <c r="L1633" s="4"/>
      <c r="M1633" s="7"/>
      <c r="O1633" s="7"/>
      <c r="T1633" s="7"/>
    </row>
    <row r="1634" spans="2:20" x14ac:dyDescent="0.3">
      <c r="B1634" s="18" t="s">
        <v>3562</v>
      </c>
      <c r="C1634" s="13">
        <v>10</v>
      </c>
      <c r="D1634" s="21" t="s">
        <v>3563</v>
      </c>
      <c r="E1634" s="24">
        <v>62</v>
      </c>
      <c r="L1634" s="4"/>
      <c r="M1634" s="7"/>
      <c r="O1634" s="7"/>
      <c r="T1634" s="7"/>
    </row>
    <row r="1635" spans="2:20" x14ac:dyDescent="0.3">
      <c r="B1635" s="18" t="s">
        <v>3564</v>
      </c>
      <c r="C1635" s="13">
        <v>11</v>
      </c>
      <c r="D1635" s="21" t="s">
        <v>3565</v>
      </c>
      <c r="E1635" s="24">
        <v>63</v>
      </c>
      <c r="L1635" s="4"/>
      <c r="M1635" s="7"/>
      <c r="O1635" s="7"/>
      <c r="T1635" s="7"/>
    </row>
    <row r="1636" spans="2:20" x14ac:dyDescent="0.3">
      <c r="B1636" s="18" t="s">
        <v>3566</v>
      </c>
      <c r="C1636" s="13">
        <v>12</v>
      </c>
      <c r="D1636" s="21" t="s">
        <v>3567</v>
      </c>
      <c r="E1636" s="24">
        <v>64</v>
      </c>
      <c r="L1636" s="4"/>
      <c r="M1636" s="7"/>
      <c r="O1636" s="7"/>
      <c r="T1636" s="7"/>
    </row>
    <row r="1637" spans="2:20" x14ac:dyDescent="0.3">
      <c r="B1637" s="18" t="s">
        <v>3568</v>
      </c>
      <c r="C1637" s="13">
        <v>13</v>
      </c>
      <c r="D1637" s="21" t="s">
        <v>3569</v>
      </c>
      <c r="E1637" s="24">
        <v>65</v>
      </c>
      <c r="L1637" s="4"/>
      <c r="M1637" s="7"/>
      <c r="O1637" s="7"/>
    </row>
    <row r="1638" spans="2:20" x14ac:dyDescent="0.3">
      <c r="B1638" s="18" t="s">
        <v>3570</v>
      </c>
      <c r="C1638" s="13">
        <v>14</v>
      </c>
      <c r="D1638" s="21" t="s">
        <v>3571</v>
      </c>
      <c r="E1638" s="24">
        <v>66</v>
      </c>
      <c r="L1638" s="4"/>
      <c r="M1638" s="7"/>
      <c r="O1638" s="7"/>
      <c r="T1638" s="7"/>
    </row>
    <row r="1639" spans="2:20" x14ac:dyDescent="0.3">
      <c r="B1639" s="18" t="s">
        <v>3572</v>
      </c>
      <c r="C1639" s="13">
        <v>15</v>
      </c>
      <c r="D1639" s="21" t="s">
        <v>3573</v>
      </c>
      <c r="E1639" s="24">
        <v>67</v>
      </c>
      <c r="L1639" s="4"/>
      <c r="M1639" s="7"/>
      <c r="O1639" s="7"/>
      <c r="T1639" s="7"/>
    </row>
    <row r="1640" spans="2:20" x14ac:dyDescent="0.3">
      <c r="B1640" s="18" t="s">
        <v>3574</v>
      </c>
      <c r="C1640" s="13">
        <v>16</v>
      </c>
      <c r="D1640" s="21" t="s">
        <v>3575</v>
      </c>
      <c r="E1640" s="24">
        <v>68</v>
      </c>
      <c r="L1640" s="4"/>
      <c r="M1640" s="7"/>
      <c r="O1640" s="7"/>
      <c r="T1640" s="7"/>
    </row>
    <row r="1641" spans="2:20" x14ac:dyDescent="0.3">
      <c r="B1641" s="18" t="s">
        <v>3576</v>
      </c>
      <c r="C1641" s="13">
        <v>17</v>
      </c>
      <c r="D1641" s="21" t="s">
        <v>3577</v>
      </c>
      <c r="E1641" s="24">
        <v>69</v>
      </c>
      <c r="L1641" s="4"/>
      <c r="M1641" s="7"/>
      <c r="O1641" s="7"/>
      <c r="T1641" s="7"/>
    </row>
    <row r="1642" spans="2:20" x14ac:dyDescent="0.3">
      <c r="B1642" s="18" t="s">
        <v>3578</v>
      </c>
      <c r="C1642" s="13">
        <v>18</v>
      </c>
      <c r="D1642" s="21" t="s">
        <v>3579</v>
      </c>
      <c r="E1642" s="24">
        <v>78</v>
      </c>
      <c r="L1642" s="4"/>
      <c r="M1642" s="7"/>
      <c r="O1642" s="7"/>
      <c r="T1642" s="7"/>
    </row>
    <row r="1643" spans="2:20" x14ac:dyDescent="0.3">
      <c r="B1643" s="18" t="s">
        <v>3580</v>
      </c>
      <c r="C1643" s="13">
        <v>19</v>
      </c>
      <c r="D1643" s="21" t="s">
        <v>3581</v>
      </c>
      <c r="E1643" s="24">
        <v>35</v>
      </c>
      <c r="L1643" s="4"/>
      <c r="M1643" s="7"/>
      <c r="O1643" s="7"/>
      <c r="T1643" s="7"/>
    </row>
    <row r="1644" spans="2:20" x14ac:dyDescent="0.3">
      <c r="B1644" s="18" t="s">
        <v>3582</v>
      </c>
      <c r="C1644" s="13">
        <v>2</v>
      </c>
      <c r="D1644" s="21" t="s">
        <v>3583</v>
      </c>
      <c r="E1644" s="24">
        <v>34</v>
      </c>
      <c r="L1644" s="4"/>
      <c r="M1644" s="7"/>
      <c r="O1644" s="7"/>
      <c r="T1644" s="7"/>
    </row>
    <row r="1645" spans="2:20" x14ac:dyDescent="0.3">
      <c r="B1645" s="18" t="s">
        <v>3584</v>
      </c>
      <c r="C1645" s="13">
        <v>20</v>
      </c>
      <c r="D1645" s="21" t="s">
        <v>3585</v>
      </c>
      <c r="E1645" s="24">
        <v>33</v>
      </c>
      <c r="L1645" s="4"/>
      <c r="M1645" s="7"/>
      <c r="O1645" s="7"/>
      <c r="T1645" s="7"/>
    </row>
    <row r="1646" spans="2:20" x14ac:dyDescent="0.3">
      <c r="B1646" s="18" t="s">
        <v>3586</v>
      </c>
      <c r="C1646" s="13">
        <v>21</v>
      </c>
      <c r="D1646" s="21" t="s">
        <v>3587</v>
      </c>
      <c r="E1646" s="24">
        <v>32</v>
      </c>
      <c r="L1646" s="4"/>
      <c r="M1646" s="7"/>
      <c r="O1646" s="7"/>
      <c r="T1646" s="7"/>
    </row>
    <row r="1647" spans="2:20" x14ac:dyDescent="0.3">
      <c r="B1647" s="18" t="s">
        <v>3588</v>
      </c>
      <c r="C1647" s="13">
        <v>22</v>
      </c>
      <c r="D1647" s="21" t="s">
        <v>3589</v>
      </c>
      <c r="E1647" s="24">
        <v>31</v>
      </c>
      <c r="L1647" s="4"/>
      <c r="M1647" s="7"/>
      <c r="O1647" s="7"/>
      <c r="T1647" s="7"/>
    </row>
    <row r="1648" spans="2:20" x14ac:dyDescent="0.3">
      <c r="B1648" s="18" t="s">
        <v>3590</v>
      </c>
      <c r="C1648" s="13">
        <v>23</v>
      </c>
      <c r="D1648" s="21" t="s">
        <v>3591</v>
      </c>
      <c r="E1648" s="24">
        <v>30</v>
      </c>
      <c r="L1648" s="4"/>
      <c r="M1648" s="7"/>
      <c r="O1648" s="7"/>
      <c r="T1648" s="7"/>
    </row>
    <row r="1649" spans="2:20" x14ac:dyDescent="0.3">
      <c r="B1649" s="18" t="s">
        <v>3592</v>
      </c>
      <c r="C1649" s="13">
        <v>24</v>
      </c>
      <c r="D1649" s="21" t="s">
        <v>3593</v>
      </c>
      <c r="E1649" s="24">
        <v>29</v>
      </c>
      <c r="L1649" s="4"/>
      <c r="M1649" s="7"/>
      <c r="O1649" s="7"/>
      <c r="T1649" s="7"/>
    </row>
    <row r="1650" spans="2:20" x14ac:dyDescent="0.3">
      <c r="B1650" s="18" t="s">
        <v>3594</v>
      </c>
      <c r="C1650" s="13">
        <v>25</v>
      </c>
      <c r="D1650" s="21" t="s">
        <v>3595</v>
      </c>
      <c r="E1650" s="24">
        <v>52</v>
      </c>
      <c r="L1650" s="4"/>
      <c r="M1650" s="7"/>
      <c r="O1650" s="7"/>
      <c r="T1650" s="7"/>
    </row>
    <row r="1651" spans="2:20" x14ac:dyDescent="0.3">
      <c r="B1651" s="18" t="s">
        <v>3596</v>
      </c>
      <c r="C1651" s="13">
        <v>26</v>
      </c>
      <c r="D1651" s="21" t="s">
        <v>3597</v>
      </c>
      <c r="E1651" s="24">
        <v>51</v>
      </c>
      <c r="L1651" s="4"/>
      <c r="M1651" s="7"/>
      <c r="O1651" s="7"/>
      <c r="T1651" s="7"/>
    </row>
    <row r="1652" spans="2:20" x14ac:dyDescent="0.3">
      <c r="B1652" s="18" t="s">
        <v>3598</v>
      </c>
      <c r="C1652" s="13">
        <v>27</v>
      </c>
      <c r="D1652" s="21" t="s">
        <v>3599</v>
      </c>
      <c r="E1652" s="24">
        <v>50</v>
      </c>
      <c r="L1652" s="4"/>
      <c r="M1652" s="7"/>
      <c r="O1652" s="7"/>
      <c r="T1652" s="7"/>
    </row>
    <row r="1653" spans="2:20" x14ac:dyDescent="0.3">
      <c r="B1653" s="18" t="s">
        <v>3600</v>
      </c>
      <c r="C1653" s="13">
        <v>28</v>
      </c>
      <c r="D1653" s="21" t="s">
        <v>3601</v>
      </c>
      <c r="E1653" s="24">
        <v>49</v>
      </c>
      <c r="L1653" s="4"/>
      <c r="M1653" s="7"/>
      <c r="O1653" s="7"/>
      <c r="T1653" s="7"/>
    </row>
    <row r="1654" spans="2:20" x14ac:dyDescent="0.3">
      <c r="B1654" s="18" t="s">
        <v>3602</v>
      </c>
      <c r="C1654" s="13">
        <v>29</v>
      </c>
      <c r="D1654" s="21" t="s">
        <v>3603</v>
      </c>
      <c r="E1654" s="24">
        <v>48</v>
      </c>
      <c r="L1654" s="4"/>
      <c r="M1654" s="7"/>
      <c r="O1654" s="7"/>
      <c r="T1654" s="7"/>
    </row>
    <row r="1655" spans="2:20" x14ac:dyDescent="0.3">
      <c r="B1655" s="18" t="s">
        <v>3604</v>
      </c>
      <c r="C1655" s="13">
        <v>3</v>
      </c>
      <c r="D1655" s="21" t="s">
        <v>3605</v>
      </c>
      <c r="E1655" s="24">
        <v>47</v>
      </c>
      <c r="L1655" s="4"/>
      <c r="M1655" s="7"/>
      <c r="O1655" s="7"/>
      <c r="T1655" s="7"/>
    </row>
    <row r="1656" spans="2:20" x14ac:dyDescent="0.3">
      <c r="B1656" s="18" t="s">
        <v>3606</v>
      </c>
      <c r="C1656" s="13">
        <v>4</v>
      </c>
      <c r="D1656" s="21" t="s">
        <v>3607</v>
      </c>
      <c r="E1656" s="24">
        <v>46</v>
      </c>
      <c r="L1656" s="4"/>
      <c r="M1656" s="7"/>
      <c r="O1656" s="7"/>
      <c r="T1656" s="7"/>
    </row>
    <row r="1657" spans="2:20" x14ac:dyDescent="0.3">
      <c r="B1657" s="18" t="s">
        <v>3608</v>
      </c>
      <c r="C1657" s="13">
        <v>5</v>
      </c>
      <c r="D1657" s="21" t="s">
        <v>3609</v>
      </c>
      <c r="E1657" s="24">
        <v>28</v>
      </c>
      <c r="L1657" s="4"/>
      <c r="M1657" s="7"/>
      <c r="O1657" s="7"/>
      <c r="T1657" s="7"/>
    </row>
    <row r="1658" spans="2:20" x14ac:dyDescent="0.3">
      <c r="B1658" s="18" t="s">
        <v>3610</v>
      </c>
      <c r="C1658" s="13">
        <v>6</v>
      </c>
      <c r="D1658" s="21" t="s">
        <v>3611</v>
      </c>
      <c r="E1658" s="24">
        <v>45</v>
      </c>
      <c r="L1658" s="4"/>
      <c r="M1658" s="7"/>
      <c r="O1658" s="7"/>
      <c r="T1658" s="7"/>
    </row>
    <row r="1659" spans="2:20" x14ac:dyDescent="0.3">
      <c r="B1659" s="18" t="s">
        <v>3612</v>
      </c>
      <c r="C1659" s="13">
        <v>7</v>
      </c>
      <c r="D1659" s="21" t="s">
        <v>3613</v>
      </c>
      <c r="E1659" s="24">
        <v>44</v>
      </c>
      <c r="L1659" s="4"/>
      <c r="M1659" s="7"/>
      <c r="O1659" s="7"/>
      <c r="T1659" s="7"/>
    </row>
    <row r="1660" spans="2:20" x14ac:dyDescent="0.3">
      <c r="B1660" s="18" t="s">
        <v>3614</v>
      </c>
      <c r="C1660" s="13">
        <v>8</v>
      </c>
      <c r="D1660" s="21" t="s">
        <v>3615</v>
      </c>
      <c r="E1660" s="24">
        <v>43</v>
      </c>
      <c r="L1660" s="4"/>
      <c r="M1660" s="7"/>
      <c r="O1660" s="7"/>
      <c r="T1660" s="7"/>
    </row>
    <row r="1661" spans="2:20" x14ac:dyDescent="0.3">
      <c r="B1661" s="18" t="s">
        <v>3616</v>
      </c>
      <c r="C1661" s="13">
        <v>9</v>
      </c>
      <c r="D1661" s="21" t="s">
        <v>3617</v>
      </c>
      <c r="E1661" s="24">
        <v>42</v>
      </c>
      <c r="L1661" s="4"/>
      <c r="M1661" s="7"/>
      <c r="O1661" s="7"/>
      <c r="T1661" s="7"/>
    </row>
    <row r="1662" spans="2:20" x14ac:dyDescent="0.3">
      <c r="B1662" s="18" t="s">
        <v>3618</v>
      </c>
      <c r="C1662" s="13">
        <v>58</v>
      </c>
      <c r="D1662" s="21" t="s">
        <v>3619</v>
      </c>
      <c r="E1662" s="24">
        <v>41</v>
      </c>
      <c r="L1662" s="4"/>
      <c r="M1662" s="7"/>
      <c r="O1662" s="7"/>
      <c r="T1662" s="7"/>
    </row>
    <row r="1663" spans="2:20" x14ac:dyDescent="0.3">
      <c r="B1663" s="18" t="s">
        <v>3620</v>
      </c>
      <c r="C1663" s="13">
        <v>49</v>
      </c>
      <c r="D1663" s="21" t="s">
        <v>3621</v>
      </c>
      <c r="E1663" s="24">
        <v>40</v>
      </c>
      <c r="L1663" s="4"/>
      <c r="M1663" s="7"/>
      <c r="O1663" s="7"/>
      <c r="T1663" s="7"/>
    </row>
    <row r="1664" spans="2:20" x14ac:dyDescent="0.3">
      <c r="B1664" s="18" t="s">
        <v>3622</v>
      </c>
      <c r="C1664" s="13">
        <v>48</v>
      </c>
      <c r="D1664" s="21" t="s">
        <v>3623</v>
      </c>
      <c r="E1664" s="24">
        <v>39</v>
      </c>
      <c r="L1664" s="4"/>
      <c r="M1664" s="7"/>
      <c r="O1664" s="7"/>
      <c r="T1664" s="7"/>
    </row>
    <row r="1665" spans="2:20" x14ac:dyDescent="0.3">
      <c r="B1665" s="18" t="s">
        <v>3624</v>
      </c>
      <c r="C1665" s="13">
        <v>47</v>
      </c>
      <c r="D1665" s="21" t="s">
        <v>3625</v>
      </c>
      <c r="E1665" s="24">
        <v>38</v>
      </c>
      <c r="L1665" s="4"/>
      <c r="M1665" s="7"/>
      <c r="O1665" s="7"/>
      <c r="T1665" s="7"/>
    </row>
    <row r="1666" spans="2:20" x14ac:dyDescent="0.3">
      <c r="B1666" s="18" t="s">
        <v>3626</v>
      </c>
      <c r="C1666" s="13">
        <v>46</v>
      </c>
      <c r="D1666" s="21" t="s">
        <v>3627</v>
      </c>
      <c r="E1666" s="24">
        <v>37</v>
      </c>
      <c r="L1666" s="4"/>
      <c r="M1666" s="7"/>
      <c r="O1666" s="7"/>
      <c r="T1666" s="7"/>
    </row>
    <row r="1667" spans="2:20" x14ac:dyDescent="0.3">
      <c r="B1667" s="18" t="s">
        <v>3628</v>
      </c>
      <c r="C1667" s="13">
        <v>45</v>
      </c>
      <c r="D1667" s="21" t="s">
        <v>3629</v>
      </c>
      <c r="E1667" s="24">
        <v>36</v>
      </c>
      <c r="L1667" s="4"/>
      <c r="M1667" s="7"/>
      <c r="O1667" s="7"/>
      <c r="T1667" s="7"/>
    </row>
    <row r="1668" spans="2:20" x14ac:dyDescent="0.3">
      <c r="B1668" s="18" t="s">
        <v>3630</v>
      </c>
      <c r="C1668" s="13">
        <v>44</v>
      </c>
      <c r="D1668" s="21" t="s">
        <v>3631</v>
      </c>
      <c r="E1668" s="24">
        <v>27</v>
      </c>
      <c r="L1668" s="4"/>
      <c r="M1668" s="7"/>
      <c r="O1668" s="7"/>
      <c r="T1668" s="7"/>
    </row>
    <row r="1669" spans="2:20" x14ac:dyDescent="0.3">
      <c r="B1669" s="18" t="s">
        <v>3632</v>
      </c>
      <c r="C1669" s="13">
        <v>43</v>
      </c>
      <c r="D1669" s="21" t="s">
        <v>3633</v>
      </c>
      <c r="E1669" s="24">
        <v>9</v>
      </c>
      <c r="L1669" s="4"/>
      <c r="M1669" s="7"/>
      <c r="O1669" s="7"/>
      <c r="T1669" s="7"/>
    </row>
    <row r="1670" spans="2:20" x14ac:dyDescent="0.3">
      <c r="B1670" s="18" t="s">
        <v>3634</v>
      </c>
      <c r="C1670" s="13">
        <v>42</v>
      </c>
      <c r="D1670" s="21" t="s">
        <v>3635</v>
      </c>
      <c r="E1670" s="24">
        <v>8</v>
      </c>
      <c r="L1670" s="4"/>
      <c r="M1670" s="7"/>
      <c r="O1670" s="7"/>
    </row>
    <row r="1671" spans="2:20" x14ac:dyDescent="0.3">
      <c r="B1671" s="18" t="s">
        <v>3636</v>
      </c>
      <c r="C1671" s="13">
        <v>41</v>
      </c>
      <c r="D1671" s="21" t="s">
        <v>3637</v>
      </c>
      <c r="E1671" s="24">
        <v>7</v>
      </c>
      <c r="L1671" s="4"/>
      <c r="M1671" s="7"/>
      <c r="O1671" s="7"/>
      <c r="T1671" s="7"/>
    </row>
    <row r="1672" spans="2:20" x14ac:dyDescent="0.3">
      <c r="B1672" s="18" t="s">
        <v>3638</v>
      </c>
      <c r="C1672" s="13">
        <v>40</v>
      </c>
      <c r="D1672" s="21" t="s">
        <v>3639</v>
      </c>
      <c r="E1672" s="24">
        <v>6</v>
      </c>
      <c r="L1672" s="4"/>
      <c r="M1672" s="7"/>
      <c r="O1672" s="7"/>
      <c r="T1672" s="7"/>
    </row>
    <row r="1673" spans="2:20" x14ac:dyDescent="0.3">
      <c r="B1673" s="18" t="s">
        <v>3640</v>
      </c>
      <c r="C1673" s="13">
        <v>57</v>
      </c>
      <c r="D1673" s="21" t="s">
        <v>3641</v>
      </c>
      <c r="E1673" s="24">
        <v>5</v>
      </c>
      <c r="L1673" s="4"/>
      <c r="M1673" s="7"/>
      <c r="O1673" s="7"/>
      <c r="T1673" s="7"/>
    </row>
    <row r="1674" spans="2:20" x14ac:dyDescent="0.3">
      <c r="B1674" s="18" t="s">
        <v>3642</v>
      </c>
      <c r="C1674" s="13">
        <v>39</v>
      </c>
      <c r="D1674" s="21" t="s">
        <v>3643</v>
      </c>
      <c r="E1674" s="24">
        <v>4</v>
      </c>
      <c r="L1674" s="4"/>
      <c r="M1674" s="7"/>
      <c r="O1674" s="7"/>
      <c r="T1674" s="7"/>
    </row>
    <row r="1675" spans="2:20" x14ac:dyDescent="0.3">
      <c r="B1675" s="18" t="s">
        <v>3644</v>
      </c>
      <c r="C1675" s="13">
        <v>38</v>
      </c>
      <c r="D1675" s="21" t="s">
        <v>3645</v>
      </c>
      <c r="E1675" s="24">
        <v>3</v>
      </c>
      <c r="L1675" s="4"/>
      <c r="M1675" s="7"/>
      <c r="O1675" s="7"/>
      <c r="T1675" s="7"/>
    </row>
    <row r="1676" spans="2:20" x14ac:dyDescent="0.3">
      <c r="B1676" s="18" t="s">
        <v>3646</v>
      </c>
      <c r="C1676" s="13">
        <v>37</v>
      </c>
      <c r="D1676" s="21" t="s">
        <v>3647</v>
      </c>
      <c r="E1676" s="24">
        <v>26</v>
      </c>
      <c r="L1676" s="4"/>
      <c r="M1676" s="7"/>
      <c r="O1676" s="7"/>
      <c r="T1676" s="7"/>
    </row>
    <row r="1677" spans="2:20" x14ac:dyDescent="0.3">
      <c r="B1677" s="18" t="s">
        <v>3648</v>
      </c>
      <c r="C1677" s="13">
        <v>36</v>
      </c>
      <c r="D1677" s="21" t="s">
        <v>3649</v>
      </c>
      <c r="E1677" s="24">
        <v>25</v>
      </c>
      <c r="L1677" s="4"/>
      <c r="M1677" s="7"/>
      <c r="O1677" s="7"/>
      <c r="T1677" s="7"/>
    </row>
    <row r="1678" spans="2:20" x14ac:dyDescent="0.3">
      <c r="B1678" s="18" t="s">
        <v>3650</v>
      </c>
      <c r="C1678" s="13">
        <v>35</v>
      </c>
      <c r="D1678" s="21" t="s">
        <v>3651</v>
      </c>
      <c r="E1678" s="24">
        <v>24</v>
      </c>
      <c r="L1678" s="4"/>
      <c r="M1678" s="7"/>
      <c r="O1678" s="7"/>
      <c r="T1678" s="7"/>
    </row>
    <row r="1679" spans="2:20" x14ac:dyDescent="0.3">
      <c r="B1679" s="18" t="s">
        <v>3652</v>
      </c>
      <c r="C1679" s="13">
        <v>34</v>
      </c>
      <c r="D1679" s="21" t="s">
        <v>3653</v>
      </c>
      <c r="E1679" s="24">
        <v>23</v>
      </c>
      <c r="L1679" s="4"/>
      <c r="M1679" s="7"/>
      <c r="O1679" s="7"/>
      <c r="T1679" s="7"/>
    </row>
    <row r="1680" spans="2:20" x14ac:dyDescent="0.3">
      <c r="B1680" s="18" t="s">
        <v>3654</v>
      </c>
      <c r="C1680" s="13">
        <v>33</v>
      </c>
      <c r="D1680" s="21" t="s">
        <v>3655</v>
      </c>
      <c r="E1680" s="24">
        <v>22</v>
      </c>
      <c r="L1680" s="4"/>
      <c r="M1680" s="7"/>
      <c r="O1680" s="7"/>
      <c r="T1680" s="7"/>
    </row>
    <row r="1681" spans="2:20" x14ac:dyDescent="0.3">
      <c r="B1681" s="18" t="s">
        <v>3656</v>
      </c>
      <c r="C1681" s="13">
        <v>32</v>
      </c>
      <c r="D1681" s="21" t="s">
        <v>3657</v>
      </c>
      <c r="E1681" s="24">
        <v>21</v>
      </c>
      <c r="L1681" s="4"/>
      <c r="M1681" s="7"/>
      <c r="O1681" s="7"/>
      <c r="T1681" s="7"/>
    </row>
    <row r="1682" spans="2:20" x14ac:dyDescent="0.3">
      <c r="B1682" s="18" t="s">
        <v>3658</v>
      </c>
      <c r="C1682" s="13">
        <v>31</v>
      </c>
      <c r="D1682" s="21" t="s">
        <v>3659</v>
      </c>
      <c r="E1682" s="24">
        <v>20</v>
      </c>
      <c r="L1682" s="4"/>
      <c r="M1682" s="7"/>
      <c r="O1682" s="7"/>
      <c r="T1682" s="7"/>
    </row>
    <row r="1683" spans="2:20" x14ac:dyDescent="0.3">
      <c r="B1683" s="18" t="s">
        <v>3660</v>
      </c>
      <c r="C1683" s="13">
        <v>30</v>
      </c>
      <c r="D1683" s="21" t="s">
        <v>3661</v>
      </c>
      <c r="E1683" s="24">
        <v>2</v>
      </c>
      <c r="L1683" s="4"/>
      <c r="M1683" s="7"/>
      <c r="O1683" s="7"/>
      <c r="T1683" s="7"/>
    </row>
    <row r="1684" spans="2:20" x14ac:dyDescent="0.3">
      <c r="B1684" s="18" t="s">
        <v>3662</v>
      </c>
      <c r="C1684" s="13">
        <v>56</v>
      </c>
      <c r="D1684" s="21" t="s">
        <v>3663</v>
      </c>
      <c r="E1684" s="24">
        <v>19</v>
      </c>
      <c r="L1684" s="4"/>
      <c r="M1684" s="7"/>
      <c r="O1684" s="7"/>
      <c r="T1684" s="7"/>
    </row>
    <row r="1685" spans="2:20" x14ac:dyDescent="0.3">
      <c r="B1685" s="18" t="s">
        <v>3664</v>
      </c>
      <c r="C1685" s="13">
        <v>55</v>
      </c>
      <c r="D1685" s="21" t="s">
        <v>3665</v>
      </c>
      <c r="E1685" s="24">
        <v>18</v>
      </c>
      <c r="L1685" s="4"/>
      <c r="M1685" s="7"/>
      <c r="O1685" s="7"/>
      <c r="T1685" s="7"/>
    </row>
    <row r="1686" spans="2:20" x14ac:dyDescent="0.3">
      <c r="B1686" s="18" t="s">
        <v>3666</v>
      </c>
      <c r="C1686" s="13">
        <v>54</v>
      </c>
      <c r="D1686" s="21" t="s">
        <v>3667</v>
      </c>
      <c r="E1686" s="24">
        <v>17</v>
      </c>
      <c r="L1686" s="4"/>
      <c r="M1686" s="7"/>
      <c r="O1686" s="7"/>
      <c r="T1686" s="7"/>
    </row>
    <row r="1687" spans="2:20" x14ac:dyDescent="0.3">
      <c r="B1687" s="18" t="s">
        <v>3668</v>
      </c>
      <c r="C1687" s="13">
        <v>53</v>
      </c>
      <c r="D1687" s="21" t="s">
        <v>3669</v>
      </c>
      <c r="E1687" s="24">
        <v>16</v>
      </c>
      <c r="L1687" s="4"/>
      <c r="M1687" s="7"/>
      <c r="O1687" s="7"/>
      <c r="T1687" s="7"/>
    </row>
    <row r="1688" spans="2:20" x14ac:dyDescent="0.3">
      <c r="B1688" s="18" t="s">
        <v>3670</v>
      </c>
      <c r="C1688" s="13">
        <v>52</v>
      </c>
      <c r="D1688" s="21" t="s">
        <v>3671</v>
      </c>
      <c r="E1688" s="24">
        <v>15</v>
      </c>
      <c r="L1688" s="4"/>
      <c r="M1688" s="7"/>
      <c r="O1688" s="7"/>
      <c r="T1688" s="7"/>
    </row>
    <row r="1689" spans="2:20" x14ac:dyDescent="0.3">
      <c r="B1689" s="18" t="s">
        <v>3672</v>
      </c>
      <c r="C1689" s="13">
        <v>51</v>
      </c>
      <c r="D1689" s="21" t="s">
        <v>3673</v>
      </c>
      <c r="E1689" s="24">
        <v>14</v>
      </c>
      <c r="L1689" s="4"/>
      <c r="M1689" s="7"/>
      <c r="O1689" s="7"/>
      <c r="T1689" s="7"/>
    </row>
    <row r="1690" spans="2:20" x14ac:dyDescent="0.3">
      <c r="B1690" s="18" t="s">
        <v>3674</v>
      </c>
      <c r="C1690" s="13">
        <v>50</v>
      </c>
      <c r="D1690" s="21" t="s">
        <v>3675</v>
      </c>
      <c r="E1690" s="24">
        <v>13</v>
      </c>
      <c r="L1690" s="4"/>
      <c r="M1690" s="7"/>
      <c r="O1690" s="7"/>
      <c r="T1690" s="7"/>
    </row>
    <row r="1691" spans="2:20" x14ac:dyDescent="0.3">
      <c r="B1691" s="18" t="s">
        <v>3676</v>
      </c>
      <c r="C1691" s="13">
        <v>59</v>
      </c>
      <c r="D1691" s="21" t="s">
        <v>3677</v>
      </c>
      <c r="E1691" s="24">
        <v>12</v>
      </c>
      <c r="L1691" s="4"/>
      <c r="M1691" s="7"/>
      <c r="O1691" s="7"/>
      <c r="T1691" s="7"/>
    </row>
    <row r="1692" spans="2:20" x14ac:dyDescent="0.3">
      <c r="B1692" s="18" t="s">
        <v>3678</v>
      </c>
      <c r="C1692" s="13">
        <v>68</v>
      </c>
      <c r="D1692" s="21" t="s">
        <v>3679</v>
      </c>
      <c r="E1692" s="24">
        <v>11</v>
      </c>
      <c r="L1692" s="4"/>
      <c r="M1692" s="7"/>
      <c r="O1692" s="7"/>
      <c r="T1692" s="7"/>
    </row>
    <row r="1693" spans="2:20" x14ac:dyDescent="0.3">
      <c r="B1693" s="18" t="s">
        <v>3680</v>
      </c>
      <c r="C1693" s="13">
        <v>69</v>
      </c>
      <c r="D1693" s="21" t="s">
        <v>3681</v>
      </c>
      <c r="E1693" s="24">
        <v>10</v>
      </c>
      <c r="L1693" s="4"/>
      <c r="M1693" s="7"/>
      <c r="O1693" s="7"/>
      <c r="T1693" s="7"/>
    </row>
    <row r="1694" spans="2:20" x14ac:dyDescent="0.3">
      <c r="B1694" s="18" t="s">
        <v>3682</v>
      </c>
      <c r="C1694" s="13">
        <v>70</v>
      </c>
      <c r="D1694" s="21" t="s">
        <v>3683</v>
      </c>
      <c r="E1694" s="24">
        <v>1</v>
      </c>
      <c r="L1694" s="4"/>
      <c r="M1694" s="7"/>
      <c r="O1694" s="7"/>
      <c r="T1694" s="7"/>
    </row>
    <row r="1695" spans="2:20" x14ac:dyDescent="0.3">
      <c r="B1695" s="18" t="s">
        <v>3684</v>
      </c>
      <c r="C1695" s="13">
        <v>71</v>
      </c>
      <c r="D1695" s="21" t="s">
        <v>3685</v>
      </c>
      <c r="E1695" s="24">
        <v>70</v>
      </c>
      <c r="L1695" s="4"/>
      <c r="M1695" s="7"/>
      <c r="O1695" s="7"/>
      <c r="T1695" s="7"/>
    </row>
    <row r="1696" spans="2:20" x14ac:dyDescent="0.3">
      <c r="B1696" s="18" t="s">
        <v>3686</v>
      </c>
      <c r="C1696" s="13">
        <v>72</v>
      </c>
      <c r="D1696" s="21" t="s">
        <v>3687</v>
      </c>
      <c r="E1696" s="24">
        <v>71</v>
      </c>
      <c r="L1696" s="4"/>
      <c r="M1696" s="7"/>
      <c r="O1696" s="7"/>
      <c r="T1696" s="7"/>
    </row>
    <row r="1697" spans="2:20" x14ac:dyDescent="0.3">
      <c r="B1697" s="18" t="s">
        <v>3688</v>
      </c>
      <c r="C1697" s="13">
        <v>73</v>
      </c>
      <c r="D1697" s="21" t="s">
        <v>3689</v>
      </c>
      <c r="E1697" s="24">
        <v>72</v>
      </c>
      <c r="L1697" s="4"/>
      <c r="M1697" s="7"/>
      <c r="O1697" s="7"/>
      <c r="T1697" s="7"/>
    </row>
    <row r="1698" spans="2:20" x14ac:dyDescent="0.3">
      <c r="B1698" s="18" t="s">
        <v>3690</v>
      </c>
      <c r="C1698" s="13">
        <v>74</v>
      </c>
      <c r="D1698" s="21" t="s">
        <v>3691</v>
      </c>
      <c r="E1698" s="24">
        <v>73</v>
      </c>
      <c r="L1698" s="4"/>
      <c r="M1698" s="7"/>
      <c r="O1698" s="7"/>
      <c r="T1698" s="7"/>
    </row>
    <row r="1699" spans="2:20" x14ac:dyDescent="0.3">
      <c r="B1699" s="18" t="s">
        <v>3692</v>
      </c>
      <c r="C1699" s="13">
        <v>75</v>
      </c>
      <c r="D1699" s="21" t="s">
        <v>3693</v>
      </c>
      <c r="E1699" s="24">
        <v>74</v>
      </c>
      <c r="L1699" s="4"/>
      <c r="M1699" s="7"/>
      <c r="O1699" s="7"/>
      <c r="T1699" s="7"/>
    </row>
    <row r="1700" spans="2:20" x14ac:dyDescent="0.3">
      <c r="B1700" s="18" t="s">
        <v>3694</v>
      </c>
      <c r="C1700" s="13">
        <v>76</v>
      </c>
      <c r="D1700" s="21" t="s">
        <v>3695</v>
      </c>
      <c r="E1700" s="24">
        <v>75</v>
      </c>
      <c r="L1700" s="4"/>
      <c r="M1700" s="7"/>
      <c r="O1700" s="7"/>
      <c r="T1700" s="7"/>
    </row>
    <row r="1701" spans="2:20" x14ac:dyDescent="0.3">
      <c r="B1701" s="18" t="s">
        <v>3696</v>
      </c>
      <c r="C1701" s="13">
        <v>77</v>
      </c>
      <c r="D1701" s="21" t="s">
        <v>3697</v>
      </c>
      <c r="E1701" s="24">
        <v>76</v>
      </c>
      <c r="L1701" s="4"/>
      <c r="M1701" s="7"/>
      <c r="O1701" s="7"/>
      <c r="T1701" s="7"/>
    </row>
    <row r="1702" spans="2:20" x14ac:dyDescent="0.3">
      <c r="B1702" s="18" t="s">
        <v>3698</v>
      </c>
      <c r="C1702" s="13">
        <v>60</v>
      </c>
      <c r="D1702" s="21" t="s">
        <v>3699</v>
      </c>
      <c r="E1702" s="24">
        <v>53</v>
      </c>
      <c r="L1702" s="4"/>
      <c r="M1702" s="7"/>
      <c r="O1702" s="7"/>
      <c r="T1702" s="7"/>
    </row>
    <row r="1703" spans="2:20" x14ac:dyDescent="0.3">
      <c r="B1703" s="18" t="s">
        <v>3700</v>
      </c>
      <c r="C1703" s="13">
        <v>78</v>
      </c>
      <c r="D1703" s="21" t="s">
        <v>3701</v>
      </c>
      <c r="E1703" s="24">
        <v>54</v>
      </c>
      <c r="L1703" s="4"/>
      <c r="M1703" s="7"/>
      <c r="O1703" s="7"/>
    </row>
    <row r="1704" spans="2:20" x14ac:dyDescent="0.3">
      <c r="B1704" s="18" t="s">
        <v>3702</v>
      </c>
      <c r="C1704" s="13">
        <v>79</v>
      </c>
      <c r="D1704" s="21" t="s">
        <v>3703</v>
      </c>
      <c r="E1704" s="24">
        <v>55</v>
      </c>
      <c r="L1704" s="4"/>
      <c r="M1704" s="7"/>
      <c r="O1704" s="7"/>
      <c r="T1704" s="7"/>
    </row>
    <row r="1705" spans="2:20" x14ac:dyDescent="0.3">
      <c r="B1705" s="18" t="s">
        <v>3704</v>
      </c>
      <c r="C1705" s="13">
        <v>80</v>
      </c>
      <c r="D1705" s="21" t="s">
        <v>3705</v>
      </c>
      <c r="E1705" s="24">
        <v>56</v>
      </c>
      <c r="L1705" s="4"/>
      <c r="M1705" s="7"/>
      <c r="O1705" s="7"/>
      <c r="T1705" s="7"/>
    </row>
    <row r="1706" spans="2:20" x14ac:dyDescent="0.3">
      <c r="B1706" s="18" t="s">
        <v>3706</v>
      </c>
      <c r="C1706" s="13">
        <v>81</v>
      </c>
      <c r="D1706" s="21" t="s">
        <v>3707</v>
      </c>
      <c r="E1706" s="24">
        <v>57</v>
      </c>
      <c r="L1706" s="4"/>
      <c r="M1706" s="7"/>
      <c r="O1706" s="7"/>
      <c r="T1706" s="7"/>
    </row>
    <row r="1707" spans="2:20" x14ac:dyDescent="0.3">
      <c r="B1707" s="18" t="s">
        <v>3708</v>
      </c>
      <c r="C1707" s="13">
        <v>82</v>
      </c>
      <c r="D1707" s="21" t="s">
        <v>3709</v>
      </c>
      <c r="E1707" s="24">
        <v>58</v>
      </c>
      <c r="L1707" s="4"/>
      <c r="M1707" s="7"/>
      <c r="O1707" s="7"/>
      <c r="T1707" s="7"/>
    </row>
    <row r="1708" spans="2:20" x14ac:dyDescent="0.3">
      <c r="B1708" s="18" t="s">
        <v>3710</v>
      </c>
      <c r="C1708" s="13">
        <v>83</v>
      </c>
      <c r="D1708" s="21" t="s">
        <v>3711</v>
      </c>
      <c r="E1708" s="24">
        <v>59</v>
      </c>
      <c r="L1708" s="4"/>
      <c r="M1708" s="7"/>
      <c r="O1708" s="7"/>
      <c r="T1708" s="7"/>
    </row>
    <row r="1709" spans="2:20" x14ac:dyDescent="0.3">
      <c r="B1709" s="18" t="s">
        <v>3712</v>
      </c>
      <c r="C1709" s="13">
        <v>84</v>
      </c>
      <c r="D1709" s="21" t="s">
        <v>3713</v>
      </c>
      <c r="E1709" s="24">
        <v>77</v>
      </c>
      <c r="L1709" s="4"/>
      <c r="M1709" s="7"/>
      <c r="O1709" s="7"/>
      <c r="T1709" s="7"/>
    </row>
    <row r="1710" spans="2:20" x14ac:dyDescent="0.3">
      <c r="B1710" s="18" t="s">
        <v>3714</v>
      </c>
      <c r="C1710" s="13">
        <v>85</v>
      </c>
      <c r="D1710" s="21" t="s">
        <v>3715</v>
      </c>
      <c r="E1710" s="24">
        <v>60</v>
      </c>
      <c r="L1710" s="4"/>
      <c r="M1710" s="7"/>
      <c r="O1710" s="7"/>
      <c r="T1710" s="7"/>
    </row>
    <row r="1711" spans="2:20" x14ac:dyDescent="0.3">
      <c r="B1711" s="18" t="s">
        <v>3716</v>
      </c>
      <c r="C1711" s="13">
        <v>86</v>
      </c>
      <c r="D1711" s="21" t="s">
        <v>3717</v>
      </c>
      <c r="E1711" s="24">
        <v>61</v>
      </c>
      <c r="L1711" s="4"/>
      <c r="M1711" s="7"/>
      <c r="O1711" s="7"/>
      <c r="T1711" s="7"/>
    </row>
    <row r="1712" spans="2:20" x14ac:dyDescent="0.3">
      <c r="B1712" s="18" t="s">
        <v>3718</v>
      </c>
      <c r="C1712" s="13">
        <v>87</v>
      </c>
      <c r="D1712" s="21" t="s">
        <v>3719</v>
      </c>
      <c r="E1712" s="24">
        <v>62</v>
      </c>
      <c r="L1712" s="4"/>
      <c r="M1712" s="7"/>
      <c r="O1712" s="7"/>
      <c r="T1712" s="7"/>
    </row>
    <row r="1713" spans="2:20" x14ac:dyDescent="0.3">
      <c r="B1713" s="18" t="s">
        <v>3720</v>
      </c>
      <c r="C1713" s="13">
        <v>61</v>
      </c>
      <c r="D1713" s="21" t="s">
        <v>3721</v>
      </c>
      <c r="E1713" s="24">
        <v>63</v>
      </c>
      <c r="L1713" s="4"/>
      <c r="M1713" s="7"/>
      <c r="O1713" s="7"/>
      <c r="T1713" s="7"/>
    </row>
    <row r="1714" spans="2:20" x14ac:dyDescent="0.3">
      <c r="B1714" s="18" t="s">
        <v>3722</v>
      </c>
      <c r="C1714" s="13">
        <v>62</v>
      </c>
      <c r="D1714" s="21" t="s">
        <v>3723</v>
      </c>
      <c r="E1714" s="24">
        <v>64</v>
      </c>
      <c r="L1714" s="4"/>
      <c r="M1714" s="7"/>
      <c r="O1714" s="7"/>
      <c r="T1714" s="7"/>
    </row>
    <row r="1715" spans="2:20" x14ac:dyDescent="0.3">
      <c r="B1715" s="18" t="s">
        <v>3724</v>
      </c>
      <c r="C1715" s="13">
        <v>63</v>
      </c>
      <c r="D1715" s="21" t="s">
        <v>3725</v>
      </c>
      <c r="E1715" s="24">
        <v>65</v>
      </c>
      <c r="L1715" s="4"/>
      <c r="M1715" s="7"/>
      <c r="O1715" s="7"/>
      <c r="T1715" s="7"/>
    </row>
    <row r="1716" spans="2:20" x14ac:dyDescent="0.3">
      <c r="B1716" s="18" t="s">
        <v>3726</v>
      </c>
      <c r="C1716" s="13">
        <v>64</v>
      </c>
      <c r="D1716" s="21" t="s">
        <v>3727</v>
      </c>
      <c r="E1716" s="24">
        <v>66</v>
      </c>
      <c r="L1716" s="4"/>
      <c r="M1716" s="7"/>
      <c r="O1716" s="7"/>
      <c r="T1716" s="7"/>
    </row>
    <row r="1717" spans="2:20" x14ac:dyDescent="0.3">
      <c r="B1717" s="18" t="s">
        <v>3728</v>
      </c>
      <c r="C1717" s="13">
        <v>65</v>
      </c>
      <c r="D1717" s="21" t="s">
        <v>3729</v>
      </c>
      <c r="E1717" s="24">
        <v>67</v>
      </c>
      <c r="L1717" s="4"/>
      <c r="M1717" s="7"/>
      <c r="O1717" s="7"/>
      <c r="T1717" s="7"/>
    </row>
    <row r="1718" spans="2:20" x14ac:dyDescent="0.3">
      <c r="B1718" s="18" t="s">
        <v>3730</v>
      </c>
      <c r="C1718" s="13">
        <v>66</v>
      </c>
      <c r="D1718" s="21" t="s">
        <v>3731</v>
      </c>
      <c r="E1718" s="24">
        <v>68</v>
      </c>
      <c r="L1718" s="4"/>
      <c r="M1718" s="7"/>
      <c r="O1718" s="7"/>
      <c r="T1718" s="7"/>
    </row>
    <row r="1719" spans="2:20" x14ac:dyDescent="0.3">
      <c r="B1719" s="18" t="s">
        <v>3732</v>
      </c>
      <c r="C1719" s="13">
        <v>67</v>
      </c>
      <c r="D1719" s="21" t="s">
        <v>3733</v>
      </c>
      <c r="E1719" s="24">
        <v>69</v>
      </c>
      <c r="L1719" s="4"/>
      <c r="M1719" s="7"/>
      <c r="O1719" s="7"/>
      <c r="T1719" s="7"/>
    </row>
    <row r="1720" spans="2:20" x14ac:dyDescent="0.3">
      <c r="B1720" s="18" t="s">
        <v>3734</v>
      </c>
      <c r="C1720" s="13">
        <v>107</v>
      </c>
      <c r="D1720" s="21" t="s">
        <v>3735</v>
      </c>
      <c r="E1720" s="24">
        <v>35</v>
      </c>
      <c r="L1720" s="4"/>
      <c r="M1720" s="7"/>
      <c r="O1720" s="7"/>
      <c r="T1720" s="7"/>
    </row>
    <row r="1721" spans="2:20" x14ac:dyDescent="0.3">
      <c r="B1721" s="18" t="s">
        <v>3736</v>
      </c>
      <c r="C1721" s="13">
        <v>106</v>
      </c>
      <c r="D1721" s="21" t="s">
        <v>3737</v>
      </c>
      <c r="E1721" s="24">
        <v>34</v>
      </c>
      <c r="L1721" s="4"/>
      <c r="M1721" s="7"/>
      <c r="O1721" s="7"/>
      <c r="T1721" s="7"/>
    </row>
    <row r="1722" spans="2:20" x14ac:dyDescent="0.3">
      <c r="B1722" s="18" t="s">
        <v>3738</v>
      </c>
      <c r="C1722" s="13">
        <v>105</v>
      </c>
      <c r="D1722" s="21" t="s">
        <v>3739</v>
      </c>
      <c r="E1722" s="24">
        <v>33</v>
      </c>
      <c r="L1722" s="4"/>
      <c r="M1722" s="7"/>
      <c r="O1722" s="7"/>
      <c r="T1722" s="7"/>
    </row>
    <row r="1723" spans="2:20" x14ac:dyDescent="0.3">
      <c r="B1723" s="18" t="s">
        <v>3740</v>
      </c>
      <c r="C1723" s="13">
        <v>104</v>
      </c>
      <c r="D1723" s="21" t="s">
        <v>3741</v>
      </c>
      <c r="E1723" s="24">
        <v>32</v>
      </c>
      <c r="L1723" s="4"/>
      <c r="M1723" s="7"/>
      <c r="O1723" s="7"/>
      <c r="T1723" s="7"/>
    </row>
    <row r="1724" spans="2:20" x14ac:dyDescent="0.3">
      <c r="B1724" s="18" t="s">
        <v>3742</v>
      </c>
      <c r="C1724" s="13">
        <v>103</v>
      </c>
      <c r="D1724" s="21" t="s">
        <v>3743</v>
      </c>
      <c r="E1724" s="24">
        <v>31</v>
      </c>
      <c r="L1724" s="4"/>
      <c r="M1724" s="7"/>
      <c r="O1724" s="7"/>
      <c r="T1724" s="7"/>
    </row>
    <row r="1725" spans="2:20" x14ac:dyDescent="0.3">
      <c r="B1725" s="18" t="s">
        <v>3744</v>
      </c>
      <c r="C1725" s="13">
        <v>102</v>
      </c>
      <c r="D1725" s="21" t="s">
        <v>3745</v>
      </c>
      <c r="E1725" s="24">
        <v>30</v>
      </c>
      <c r="L1725" s="4"/>
      <c r="M1725" s="7"/>
      <c r="O1725" s="7"/>
      <c r="T1725" s="7"/>
    </row>
    <row r="1726" spans="2:20" x14ac:dyDescent="0.3">
      <c r="B1726" s="18" t="s">
        <v>3746</v>
      </c>
      <c r="C1726" s="13">
        <v>101</v>
      </c>
      <c r="D1726" s="21" t="s">
        <v>3747</v>
      </c>
      <c r="E1726" s="24">
        <v>29</v>
      </c>
      <c r="L1726" s="4"/>
      <c r="M1726" s="7"/>
      <c r="O1726" s="7"/>
      <c r="T1726" s="7"/>
    </row>
    <row r="1727" spans="2:20" x14ac:dyDescent="0.3">
      <c r="B1727" s="18" t="s">
        <v>3748</v>
      </c>
      <c r="C1727" s="13">
        <v>100</v>
      </c>
      <c r="D1727" s="21" t="s">
        <v>3749</v>
      </c>
      <c r="E1727" s="24">
        <v>52</v>
      </c>
      <c r="L1727" s="4"/>
      <c r="M1727" s="7"/>
      <c r="O1727" s="7"/>
      <c r="T1727" s="7"/>
    </row>
    <row r="1728" spans="2:20" x14ac:dyDescent="0.3">
      <c r="B1728" s="18" t="s">
        <v>3750</v>
      </c>
      <c r="C1728" s="13">
        <v>99</v>
      </c>
      <c r="D1728" s="21" t="s">
        <v>3751</v>
      </c>
      <c r="E1728" s="24">
        <v>51</v>
      </c>
      <c r="L1728" s="4"/>
      <c r="M1728" s="7"/>
      <c r="O1728" s="7"/>
      <c r="T1728" s="7"/>
    </row>
    <row r="1729" spans="2:20" x14ac:dyDescent="0.3">
      <c r="B1729" s="18" t="s">
        <v>3752</v>
      </c>
      <c r="C1729" s="13">
        <v>98</v>
      </c>
      <c r="D1729" s="21" t="s">
        <v>3753</v>
      </c>
      <c r="E1729" s="24">
        <v>50</v>
      </c>
      <c r="L1729" s="4"/>
      <c r="M1729" s="7"/>
      <c r="O1729" s="7"/>
      <c r="T1729" s="7"/>
    </row>
    <row r="1730" spans="2:20" x14ac:dyDescent="0.3">
      <c r="B1730" s="18" t="s">
        <v>3754</v>
      </c>
      <c r="C1730" s="13">
        <v>115</v>
      </c>
      <c r="D1730" s="21" t="s">
        <v>3755</v>
      </c>
      <c r="E1730" s="24">
        <v>49</v>
      </c>
      <c r="L1730" s="4"/>
      <c r="M1730" s="7"/>
      <c r="O1730" s="7"/>
      <c r="T1730" s="7"/>
    </row>
    <row r="1731" spans="2:20" x14ac:dyDescent="0.3">
      <c r="B1731" s="18" t="s">
        <v>3756</v>
      </c>
      <c r="C1731" s="13">
        <v>97</v>
      </c>
      <c r="D1731" s="21" t="s">
        <v>3757</v>
      </c>
      <c r="E1731" s="24">
        <v>48</v>
      </c>
      <c r="L1731" s="4"/>
      <c r="M1731" s="7"/>
      <c r="O1731" s="7"/>
      <c r="T1731" s="7"/>
    </row>
    <row r="1732" spans="2:20" x14ac:dyDescent="0.3">
      <c r="B1732" s="18" t="s">
        <v>3758</v>
      </c>
      <c r="C1732" s="13">
        <v>96</v>
      </c>
      <c r="D1732" s="21" t="s">
        <v>3759</v>
      </c>
      <c r="E1732" s="24">
        <v>47</v>
      </c>
      <c r="L1732" s="4"/>
      <c r="M1732" s="7"/>
      <c r="O1732" s="7"/>
      <c r="T1732" s="7"/>
    </row>
    <row r="1733" spans="2:20" x14ac:dyDescent="0.3">
      <c r="B1733" s="18" t="s">
        <v>3760</v>
      </c>
      <c r="C1733" s="13">
        <v>95</v>
      </c>
      <c r="D1733" s="21" t="s">
        <v>3761</v>
      </c>
      <c r="E1733" s="24">
        <v>46</v>
      </c>
      <c r="L1733" s="4"/>
      <c r="M1733" s="7"/>
      <c r="O1733" s="7"/>
      <c r="T1733" s="7"/>
    </row>
    <row r="1734" spans="2:20" x14ac:dyDescent="0.3">
      <c r="B1734" s="18" t="s">
        <v>3762</v>
      </c>
      <c r="C1734" s="13">
        <v>94</v>
      </c>
      <c r="D1734" s="21" t="s">
        <v>3763</v>
      </c>
      <c r="E1734" s="24">
        <v>28</v>
      </c>
      <c r="L1734" s="4"/>
      <c r="M1734" s="7"/>
      <c r="O1734" s="7"/>
      <c r="T1734" s="7"/>
    </row>
    <row r="1735" spans="2:20" x14ac:dyDescent="0.3">
      <c r="B1735" s="18" t="s">
        <v>3764</v>
      </c>
      <c r="C1735" s="13">
        <v>93</v>
      </c>
      <c r="D1735" s="21" t="s">
        <v>3765</v>
      </c>
      <c r="E1735" s="24">
        <v>45</v>
      </c>
      <c r="L1735" s="4"/>
      <c r="M1735" s="7"/>
      <c r="O1735" s="7"/>
      <c r="T1735" s="7"/>
    </row>
    <row r="1736" spans="2:20" x14ac:dyDescent="0.3">
      <c r="B1736" s="18" t="s">
        <v>3766</v>
      </c>
      <c r="C1736" s="13">
        <v>92</v>
      </c>
      <c r="D1736" s="21" t="s">
        <v>3767</v>
      </c>
      <c r="E1736" s="24">
        <v>44</v>
      </c>
      <c r="L1736" s="4"/>
      <c r="M1736" s="7"/>
      <c r="O1736" s="7"/>
    </row>
    <row r="1737" spans="2:20" x14ac:dyDescent="0.3">
      <c r="B1737" s="18" t="s">
        <v>3768</v>
      </c>
      <c r="C1737" s="13">
        <v>91</v>
      </c>
      <c r="D1737" s="21" t="s">
        <v>3769</v>
      </c>
      <c r="E1737" s="24">
        <v>43</v>
      </c>
      <c r="L1737" s="4"/>
      <c r="M1737" s="7"/>
      <c r="O1737" s="7"/>
      <c r="T1737" s="7"/>
    </row>
    <row r="1738" spans="2:20" x14ac:dyDescent="0.3">
      <c r="B1738" s="18" t="s">
        <v>3770</v>
      </c>
      <c r="C1738" s="13">
        <v>90</v>
      </c>
      <c r="D1738" s="21" t="s">
        <v>3771</v>
      </c>
      <c r="E1738" s="24">
        <v>42</v>
      </c>
      <c r="L1738" s="4"/>
      <c r="M1738" s="7"/>
      <c r="O1738" s="7"/>
      <c r="T1738" s="7"/>
    </row>
    <row r="1739" spans="2:20" x14ac:dyDescent="0.3">
      <c r="B1739" s="18" t="s">
        <v>3772</v>
      </c>
      <c r="C1739" s="13">
        <v>89</v>
      </c>
      <c r="D1739" s="21" t="s">
        <v>3773</v>
      </c>
      <c r="E1739" s="24">
        <v>41</v>
      </c>
      <c r="L1739" s="4"/>
      <c r="M1739" s="7"/>
      <c r="O1739" s="7"/>
      <c r="T1739" s="7"/>
    </row>
    <row r="1740" spans="2:20" x14ac:dyDescent="0.3">
      <c r="B1740" s="18" t="s">
        <v>3774</v>
      </c>
      <c r="C1740" s="13">
        <v>88</v>
      </c>
      <c r="D1740" s="21" t="s">
        <v>3775</v>
      </c>
      <c r="E1740" s="24">
        <v>40</v>
      </c>
      <c r="L1740" s="4"/>
      <c r="M1740" s="7"/>
      <c r="O1740" s="7"/>
      <c r="T1740" s="7"/>
    </row>
    <row r="1741" spans="2:20" x14ac:dyDescent="0.3">
      <c r="B1741" s="18" t="s">
        <v>3776</v>
      </c>
      <c r="C1741" s="13">
        <v>114</v>
      </c>
      <c r="D1741" s="21" t="s">
        <v>3777</v>
      </c>
      <c r="E1741" s="24">
        <v>39</v>
      </c>
      <c r="L1741" s="4"/>
      <c r="M1741" s="7"/>
      <c r="O1741" s="7"/>
      <c r="T1741" s="7"/>
    </row>
    <row r="1742" spans="2:20" x14ac:dyDescent="0.3">
      <c r="B1742" s="18" t="s">
        <v>3778</v>
      </c>
      <c r="C1742" s="13">
        <v>113</v>
      </c>
      <c r="D1742" s="21" t="s">
        <v>3779</v>
      </c>
      <c r="E1742" s="24">
        <v>38</v>
      </c>
      <c r="L1742" s="4"/>
      <c r="M1742" s="7"/>
      <c r="O1742" s="7"/>
      <c r="T1742" s="7"/>
    </row>
    <row r="1743" spans="2:20" x14ac:dyDescent="0.3">
      <c r="B1743" s="18" t="s">
        <v>3780</v>
      </c>
      <c r="C1743" s="13">
        <v>112</v>
      </c>
      <c r="D1743" s="21" t="s">
        <v>3781</v>
      </c>
      <c r="E1743" s="24">
        <v>37</v>
      </c>
      <c r="L1743" s="4"/>
      <c r="M1743" s="7"/>
      <c r="O1743" s="7"/>
      <c r="T1743" s="7"/>
    </row>
    <row r="1744" spans="2:20" x14ac:dyDescent="0.3">
      <c r="B1744" s="18" t="s">
        <v>3782</v>
      </c>
      <c r="C1744" s="13">
        <v>111</v>
      </c>
      <c r="D1744" s="21" t="s">
        <v>3783</v>
      </c>
      <c r="E1744" s="24">
        <v>36</v>
      </c>
      <c r="L1744" s="4"/>
      <c r="M1744" s="7"/>
      <c r="O1744" s="7"/>
      <c r="T1744" s="7"/>
    </row>
    <row r="1745" spans="2:20" x14ac:dyDescent="0.3">
      <c r="B1745" s="18" t="s">
        <v>3784</v>
      </c>
      <c r="C1745" s="13">
        <v>110</v>
      </c>
      <c r="D1745" s="21" t="s">
        <v>3785</v>
      </c>
      <c r="E1745" s="24">
        <v>27</v>
      </c>
      <c r="L1745" s="4"/>
      <c r="M1745" s="7"/>
      <c r="O1745" s="7"/>
      <c r="T1745" s="7"/>
    </row>
    <row r="1746" spans="2:20" x14ac:dyDescent="0.3">
      <c r="B1746" s="18" t="s">
        <v>3786</v>
      </c>
      <c r="C1746" s="13">
        <v>109</v>
      </c>
      <c r="D1746" s="21" t="s">
        <v>3787</v>
      </c>
      <c r="E1746" s="24">
        <v>9</v>
      </c>
      <c r="L1746" s="4"/>
      <c r="M1746" s="7"/>
      <c r="O1746" s="7"/>
      <c r="T1746" s="7"/>
    </row>
    <row r="1747" spans="2:20" x14ac:dyDescent="0.3">
      <c r="B1747" s="18" t="s">
        <v>3788</v>
      </c>
      <c r="C1747" s="13">
        <v>108</v>
      </c>
      <c r="D1747" s="21" t="s">
        <v>3789</v>
      </c>
      <c r="E1747" s="24">
        <v>8</v>
      </c>
      <c r="L1747" s="4"/>
      <c r="M1747" s="7"/>
      <c r="O1747" s="7"/>
      <c r="T1747" s="7"/>
    </row>
    <row r="1748" spans="2:20" x14ac:dyDescent="0.3">
      <c r="B1748" s="18" t="s">
        <v>3790</v>
      </c>
      <c r="C1748" s="13">
        <v>1</v>
      </c>
      <c r="D1748" s="21" t="s">
        <v>3791</v>
      </c>
      <c r="E1748" s="24">
        <v>7</v>
      </c>
      <c r="L1748" s="4"/>
      <c r="M1748" s="7"/>
      <c r="O1748" s="7"/>
      <c r="T1748" s="7"/>
    </row>
    <row r="1749" spans="2:20" x14ac:dyDescent="0.3">
      <c r="B1749" s="18" t="s">
        <v>3792</v>
      </c>
      <c r="C1749" s="13">
        <v>10</v>
      </c>
      <c r="D1749" s="21" t="s">
        <v>3793</v>
      </c>
      <c r="E1749" s="24">
        <v>6</v>
      </c>
      <c r="L1749" s="4"/>
      <c r="M1749" s="7"/>
      <c r="O1749" s="7"/>
      <c r="T1749" s="7"/>
    </row>
    <row r="1750" spans="2:20" x14ac:dyDescent="0.3">
      <c r="B1750" s="18" t="s">
        <v>3794</v>
      </c>
      <c r="C1750" s="13">
        <v>11</v>
      </c>
      <c r="D1750" s="21" t="s">
        <v>3795</v>
      </c>
      <c r="E1750" s="24">
        <v>5</v>
      </c>
      <c r="L1750" s="4"/>
      <c r="M1750" s="7"/>
      <c r="O1750" s="7"/>
      <c r="T1750" s="7"/>
    </row>
    <row r="1751" spans="2:20" x14ac:dyDescent="0.3">
      <c r="B1751" s="18" t="s">
        <v>3796</v>
      </c>
      <c r="C1751" s="13">
        <v>12</v>
      </c>
      <c r="D1751" s="21" t="s">
        <v>3797</v>
      </c>
      <c r="E1751" s="24">
        <v>4</v>
      </c>
      <c r="L1751" s="4"/>
      <c r="M1751" s="7"/>
      <c r="O1751" s="7"/>
      <c r="T1751" s="7"/>
    </row>
    <row r="1752" spans="2:20" x14ac:dyDescent="0.3">
      <c r="B1752" s="18" t="s">
        <v>3798</v>
      </c>
      <c r="C1752" s="13">
        <v>13</v>
      </c>
      <c r="D1752" s="21" t="s">
        <v>3799</v>
      </c>
      <c r="E1752" s="24">
        <v>3</v>
      </c>
      <c r="L1752" s="4"/>
      <c r="M1752" s="7"/>
      <c r="O1752" s="7"/>
      <c r="T1752" s="7"/>
    </row>
    <row r="1753" spans="2:20" x14ac:dyDescent="0.3">
      <c r="B1753" s="18" t="s">
        <v>3800</v>
      </c>
      <c r="C1753" s="13">
        <v>14</v>
      </c>
      <c r="D1753" s="21" t="s">
        <v>3801</v>
      </c>
      <c r="E1753" s="24">
        <v>26</v>
      </c>
      <c r="L1753" s="4"/>
      <c r="M1753" s="7"/>
      <c r="O1753" s="7"/>
      <c r="T1753" s="7"/>
    </row>
    <row r="1754" spans="2:20" x14ac:dyDescent="0.3">
      <c r="B1754" s="18" t="s">
        <v>3802</v>
      </c>
      <c r="C1754" s="13">
        <v>15</v>
      </c>
      <c r="D1754" s="21" t="s">
        <v>3803</v>
      </c>
      <c r="E1754" s="24">
        <v>25</v>
      </c>
      <c r="L1754" s="4"/>
      <c r="M1754" s="7"/>
      <c r="O1754" s="7"/>
      <c r="T1754" s="7"/>
    </row>
    <row r="1755" spans="2:20" x14ac:dyDescent="0.3">
      <c r="B1755" s="18" t="s">
        <v>3804</v>
      </c>
      <c r="C1755" s="13">
        <v>16</v>
      </c>
      <c r="D1755" s="21" t="s">
        <v>3805</v>
      </c>
      <c r="E1755" s="24">
        <v>24</v>
      </c>
      <c r="L1755" s="4"/>
      <c r="M1755" s="7"/>
      <c r="O1755" s="7"/>
      <c r="T1755" s="7"/>
    </row>
    <row r="1756" spans="2:20" x14ac:dyDescent="0.3">
      <c r="B1756" s="18" t="s">
        <v>3806</v>
      </c>
      <c r="C1756" s="13">
        <v>17</v>
      </c>
      <c r="D1756" s="21" t="s">
        <v>3807</v>
      </c>
      <c r="E1756" s="24">
        <v>23</v>
      </c>
      <c r="L1756" s="4"/>
      <c r="M1756" s="7"/>
      <c r="O1756" s="7"/>
      <c r="T1756" s="7"/>
    </row>
    <row r="1757" spans="2:20" x14ac:dyDescent="0.3">
      <c r="B1757" s="18" t="s">
        <v>3808</v>
      </c>
      <c r="C1757" s="13">
        <v>18</v>
      </c>
      <c r="D1757" s="21" t="s">
        <v>3809</v>
      </c>
      <c r="E1757" s="24">
        <v>22</v>
      </c>
      <c r="L1757" s="4"/>
      <c r="M1757" s="7"/>
      <c r="O1757" s="7"/>
      <c r="T1757" s="7"/>
    </row>
    <row r="1758" spans="2:20" x14ac:dyDescent="0.3">
      <c r="B1758" s="18" t="s">
        <v>3810</v>
      </c>
      <c r="C1758" s="13">
        <v>19</v>
      </c>
      <c r="D1758" s="21" t="s">
        <v>3811</v>
      </c>
      <c r="E1758" s="24">
        <v>21</v>
      </c>
      <c r="L1758" s="4"/>
      <c r="M1758" s="7"/>
      <c r="O1758" s="7"/>
      <c r="T1758" s="7"/>
    </row>
    <row r="1759" spans="2:20" x14ac:dyDescent="0.3">
      <c r="B1759" s="18" t="s">
        <v>3812</v>
      </c>
      <c r="C1759" s="13">
        <v>2</v>
      </c>
      <c r="D1759" s="21" t="s">
        <v>3813</v>
      </c>
      <c r="E1759" s="24">
        <v>20</v>
      </c>
      <c r="L1759" s="4"/>
      <c r="M1759" s="7"/>
      <c r="O1759" s="7"/>
      <c r="T1759" s="7"/>
    </row>
    <row r="1760" spans="2:20" x14ac:dyDescent="0.3">
      <c r="B1760" s="18" t="s">
        <v>3814</v>
      </c>
      <c r="C1760" s="13">
        <v>20</v>
      </c>
      <c r="D1760" s="21" t="s">
        <v>3815</v>
      </c>
      <c r="E1760" s="24">
        <v>2</v>
      </c>
      <c r="L1760" s="4"/>
      <c r="M1760" s="7"/>
      <c r="O1760" s="7"/>
      <c r="T1760" s="7"/>
    </row>
    <row r="1761" spans="2:20" x14ac:dyDescent="0.3">
      <c r="B1761" s="18" t="s">
        <v>3816</v>
      </c>
      <c r="C1761" s="13">
        <v>21</v>
      </c>
      <c r="D1761" s="21" t="s">
        <v>3817</v>
      </c>
      <c r="E1761" s="24">
        <v>19</v>
      </c>
      <c r="L1761" s="4"/>
      <c r="M1761" s="7"/>
      <c r="O1761" s="7"/>
      <c r="T1761" s="7"/>
    </row>
    <row r="1762" spans="2:20" x14ac:dyDescent="0.3">
      <c r="B1762" s="18" t="s">
        <v>3818</v>
      </c>
      <c r="C1762" s="13">
        <v>22</v>
      </c>
      <c r="D1762" s="21" t="s">
        <v>3819</v>
      </c>
      <c r="E1762" s="24">
        <v>18</v>
      </c>
      <c r="L1762" s="4"/>
      <c r="M1762" s="7"/>
      <c r="O1762" s="7"/>
      <c r="T1762" s="7"/>
    </row>
    <row r="1763" spans="2:20" x14ac:dyDescent="0.3">
      <c r="B1763" s="18" t="s">
        <v>3820</v>
      </c>
      <c r="C1763" s="13">
        <v>23</v>
      </c>
      <c r="D1763" s="21" t="s">
        <v>3821</v>
      </c>
      <c r="E1763" s="24">
        <v>17</v>
      </c>
      <c r="L1763" s="4"/>
      <c r="M1763" s="7"/>
      <c r="O1763" s="7"/>
      <c r="T1763" s="7"/>
    </row>
    <row r="1764" spans="2:20" x14ac:dyDescent="0.3">
      <c r="B1764" s="18" t="s">
        <v>3822</v>
      </c>
      <c r="C1764" s="13">
        <v>24</v>
      </c>
      <c r="D1764" s="21" t="s">
        <v>3823</v>
      </c>
      <c r="E1764" s="24">
        <v>16</v>
      </c>
      <c r="L1764" s="4"/>
      <c r="M1764" s="7"/>
      <c r="O1764" s="7"/>
      <c r="T1764" s="7"/>
    </row>
    <row r="1765" spans="2:20" x14ac:dyDescent="0.3">
      <c r="B1765" s="18" t="s">
        <v>3824</v>
      </c>
      <c r="C1765" s="13">
        <v>25</v>
      </c>
      <c r="D1765" s="21" t="s">
        <v>3825</v>
      </c>
      <c r="E1765" s="24">
        <v>15</v>
      </c>
      <c r="L1765" s="4"/>
      <c r="M1765" s="7"/>
      <c r="O1765" s="7"/>
      <c r="T1765" s="7"/>
    </row>
    <row r="1766" spans="2:20" x14ac:dyDescent="0.3">
      <c r="B1766" s="18" t="s">
        <v>3826</v>
      </c>
      <c r="C1766" s="13">
        <v>26</v>
      </c>
      <c r="D1766" s="21" t="s">
        <v>3827</v>
      </c>
      <c r="E1766" s="24">
        <v>14</v>
      </c>
      <c r="L1766" s="4"/>
      <c r="M1766" s="7"/>
      <c r="O1766" s="7"/>
      <c r="T1766" s="7"/>
    </row>
    <row r="1767" spans="2:20" x14ac:dyDescent="0.3">
      <c r="B1767" s="18" t="s">
        <v>3828</v>
      </c>
      <c r="C1767" s="13">
        <v>27</v>
      </c>
      <c r="D1767" s="21" t="s">
        <v>3829</v>
      </c>
      <c r="E1767" s="24">
        <v>13</v>
      </c>
      <c r="L1767" s="4"/>
      <c r="M1767" s="7"/>
      <c r="O1767" s="7"/>
      <c r="T1767" s="7"/>
    </row>
    <row r="1768" spans="2:20" x14ac:dyDescent="0.3">
      <c r="B1768" s="18" t="s">
        <v>3830</v>
      </c>
      <c r="C1768" s="13">
        <v>28</v>
      </c>
      <c r="D1768" s="21" t="s">
        <v>3831</v>
      </c>
      <c r="E1768" s="24">
        <v>12</v>
      </c>
      <c r="L1768" s="4"/>
      <c r="M1768" s="7"/>
      <c r="O1768" s="7"/>
      <c r="T1768" s="7"/>
    </row>
    <row r="1769" spans="2:20" x14ac:dyDescent="0.3">
      <c r="B1769" s="18" t="s">
        <v>3832</v>
      </c>
      <c r="C1769" s="13">
        <v>29</v>
      </c>
      <c r="D1769" s="21" t="s">
        <v>3833</v>
      </c>
      <c r="E1769" s="24">
        <v>11</v>
      </c>
      <c r="L1769" s="4"/>
      <c r="M1769" s="7"/>
      <c r="O1769" s="7"/>
    </row>
    <row r="1770" spans="2:20" x14ac:dyDescent="0.3">
      <c r="B1770" s="18" t="s">
        <v>3834</v>
      </c>
      <c r="C1770" s="13">
        <v>3</v>
      </c>
      <c r="D1770" s="21" t="s">
        <v>3835</v>
      </c>
      <c r="E1770" s="24">
        <v>10</v>
      </c>
      <c r="L1770" s="4"/>
      <c r="M1770" s="7"/>
      <c r="O1770" s="7"/>
      <c r="T1770" s="7"/>
    </row>
    <row r="1771" spans="2:20" x14ac:dyDescent="0.3">
      <c r="B1771" s="18" t="s">
        <v>3836</v>
      </c>
      <c r="C1771" s="13">
        <v>4</v>
      </c>
      <c r="D1771" s="21" t="s">
        <v>3837</v>
      </c>
      <c r="E1771" s="24">
        <v>1</v>
      </c>
      <c r="L1771" s="4"/>
      <c r="M1771" s="7"/>
      <c r="O1771" s="7"/>
      <c r="T1771" s="7"/>
    </row>
    <row r="1772" spans="2:20" x14ac:dyDescent="0.3">
      <c r="B1772" s="18" t="s">
        <v>3838</v>
      </c>
      <c r="C1772" s="13">
        <v>5</v>
      </c>
      <c r="D1772" s="21" t="s">
        <v>3839</v>
      </c>
      <c r="E1772" s="24">
        <v>70</v>
      </c>
      <c r="L1772" s="4"/>
      <c r="M1772" s="7"/>
      <c r="O1772" s="7"/>
      <c r="T1772" s="7"/>
    </row>
    <row r="1773" spans="2:20" x14ac:dyDescent="0.3">
      <c r="B1773" s="18" t="s">
        <v>3840</v>
      </c>
      <c r="C1773" s="13">
        <v>6</v>
      </c>
      <c r="D1773" s="21" t="s">
        <v>3841</v>
      </c>
      <c r="E1773" s="24">
        <v>71</v>
      </c>
      <c r="L1773" s="4"/>
      <c r="M1773" s="7"/>
      <c r="O1773" s="7"/>
      <c r="T1773" s="7"/>
    </row>
    <row r="1774" spans="2:20" x14ac:dyDescent="0.3">
      <c r="B1774" s="18" t="s">
        <v>3842</v>
      </c>
      <c r="C1774" s="13">
        <v>7</v>
      </c>
      <c r="D1774" s="21" t="s">
        <v>3843</v>
      </c>
      <c r="E1774" s="24">
        <v>72</v>
      </c>
      <c r="L1774" s="4"/>
      <c r="M1774" s="7"/>
      <c r="O1774" s="7"/>
      <c r="T1774" s="7"/>
    </row>
    <row r="1775" spans="2:20" x14ac:dyDescent="0.3">
      <c r="B1775" s="18" t="s">
        <v>3844</v>
      </c>
      <c r="C1775" s="13">
        <v>8</v>
      </c>
      <c r="D1775" s="21" t="s">
        <v>3845</v>
      </c>
      <c r="E1775" s="24">
        <v>73</v>
      </c>
      <c r="L1775" s="4"/>
      <c r="M1775" s="7"/>
      <c r="O1775" s="7"/>
      <c r="T1775" s="7"/>
    </row>
    <row r="1776" spans="2:20" x14ac:dyDescent="0.3">
      <c r="B1776" s="18" t="s">
        <v>3846</v>
      </c>
      <c r="C1776" s="13">
        <v>9</v>
      </c>
      <c r="D1776" s="21" t="s">
        <v>3847</v>
      </c>
      <c r="E1776" s="24">
        <v>74</v>
      </c>
      <c r="L1776" s="4"/>
      <c r="M1776" s="7"/>
      <c r="O1776" s="7"/>
      <c r="T1776" s="7"/>
    </row>
    <row r="1777" spans="2:20" x14ac:dyDescent="0.3">
      <c r="B1777" s="18" t="s">
        <v>3848</v>
      </c>
      <c r="C1777" s="13">
        <v>58</v>
      </c>
      <c r="D1777" s="21" t="s">
        <v>3849</v>
      </c>
      <c r="E1777" s="24">
        <v>75</v>
      </c>
      <c r="L1777" s="4"/>
      <c r="M1777" s="7"/>
      <c r="O1777" s="7"/>
      <c r="T1777" s="7"/>
    </row>
    <row r="1778" spans="2:20" x14ac:dyDescent="0.3">
      <c r="B1778" s="18" t="s">
        <v>3850</v>
      </c>
      <c r="C1778" s="13">
        <v>49</v>
      </c>
      <c r="D1778" s="21" t="s">
        <v>3851</v>
      </c>
      <c r="E1778" s="24">
        <v>76</v>
      </c>
      <c r="L1778" s="4"/>
      <c r="M1778" s="7"/>
      <c r="O1778" s="7"/>
      <c r="T1778" s="7"/>
    </row>
    <row r="1779" spans="2:20" x14ac:dyDescent="0.3">
      <c r="B1779" s="18" t="s">
        <v>3852</v>
      </c>
      <c r="C1779" s="13">
        <v>48</v>
      </c>
      <c r="D1779" s="21" t="s">
        <v>3853</v>
      </c>
      <c r="E1779" s="24">
        <v>53</v>
      </c>
      <c r="L1779" s="4"/>
      <c r="M1779" s="7"/>
      <c r="O1779" s="7"/>
      <c r="T1779" s="7"/>
    </row>
    <row r="1780" spans="2:20" x14ac:dyDescent="0.3">
      <c r="B1780" s="18" t="s">
        <v>3854</v>
      </c>
      <c r="C1780" s="13">
        <v>47</v>
      </c>
      <c r="D1780" s="21" t="s">
        <v>3855</v>
      </c>
      <c r="E1780" s="24">
        <v>54</v>
      </c>
      <c r="L1780" s="4"/>
      <c r="M1780" s="7"/>
      <c r="O1780" s="7"/>
      <c r="T1780" s="7"/>
    </row>
    <row r="1781" spans="2:20" x14ac:dyDescent="0.3">
      <c r="B1781" s="18" t="s">
        <v>3856</v>
      </c>
      <c r="C1781" s="13">
        <v>46</v>
      </c>
      <c r="D1781" s="21" t="s">
        <v>3857</v>
      </c>
      <c r="E1781" s="24">
        <v>55</v>
      </c>
      <c r="L1781" s="4"/>
      <c r="M1781" s="7"/>
      <c r="O1781" s="7"/>
      <c r="T1781" s="7"/>
    </row>
    <row r="1782" spans="2:20" x14ac:dyDescent="0.3">
      <c r="B1782" s="18" t="s">
        <v>3858</v>
      </c>
      <c r="C1782" s="13">
        <v>45</v>
      </c>
      <c r="D1782" s="21" t="s">
        <v>3859</v>
      </c>
      <c r="E1782" s="24">
        <v>56</v>
      </c>
      <c r="L1782" s="4"/>
      <c r="M1782" s="7"/>
      <c r="O1782" s="7"/>
      <c r="T1782" s="7"/>
    </row>
    <row r="1783" spans="2:20" x14ac:dyDescent="0.3">
      <c r="B1783" s="18" t="s">
        <v>3860</v>
      </c>
      <c r="C1783" s="13">
        <v>44</v>
      </c>
      <c r="D1783" s="21" t="s">
        <v>3861</v>
      </c>
      <c r="E1783" s="24">
        <v>57</v>
      </c>
      <c r="L1783" s="4"/>
      <c r="M1783" s="7"/>
      <c r="O1783" s="7"/>
      <c r="T1783" s="7"/>
    </row>
    <row r="1784" spans="2:20" x14ac:dyDescent="0.3">
      <c r="B1784" s="18" t="s">
        <v>3862</v>
      </c>
      <c r="C1784" s="13">
        <v>43</v>
      </c>
      <c r="D1784" s="21" t="s">
        <v>3863</v>
      </c>
      <c r="E1784" s="24">
        <v>58</v>
      </c>
      <c r="L1784" s="4"/>
      <c r="M1784" s="7"/>
      <c r="O1784" s="7"/>
      <c r="T1784" s="7"/>
    </row>
    <row r="1785" spans="2:20" x14ac:dyDescent="0.3">
      <c r="B1785" s="18" t="s">
        <v>3864</v>
      </c>
      <c r="C1785" s="13">
        <v>42</v>
      </c>
      <c r="D1785" s="21" t="s">
        <v>3865</v>
      </c>
      <c r="E1785" s="24">
        <v>59</v>
      </c>
      <c r="L1785" s="4"/>
      <c r="M1785" s="7"/>
      <c r="O1785" s="7"/>
      <c r="T1785" s="7"/>
    </row>
    <row r="1786" spans="2:20" x14ac:dyDescent="0.3">
      <c r="B1786" s="18" t="s">
        <v>3866</v>
      </c>
      <c r="C1786" s="13">
        <v>41</v>
      </c>
      <c r="D1786" s="21" t="s">
        <v>3867</v>
      </c>
      <c r="E1786" s="24">
        <v>60</v>
      </c>
      <c r="L1786" s="4"/>
      <c r="M1786" s="7"/>
      <c r="O1786" s="7"/>
      <c r="T1786" s="7"/>
    </row>
    <row r="1787" spans="2:20" x14ac:dyDescent="0.3">
      <c r="B1787" s="18" t="s">
        <v>3868</v>
      </c>
      <c r="C1787" s="13">
        <v>40</v>
      </c>
      <c r="D1787" s="21" t="s">
        <v>3869</v>
      </c>
      <c r="E1787" s="24">
        <v>61</v>
      </c>
      <c r="L1787" s="4"/>
      <c r="M1787" s="7"/>
      <c r="O1787" s="7"/>
      <c r="T1787" s="7"/>
    </row>
    <row r="1788" spans="2:20" x14ac:dyDescent="0.3">
      <c r="B1788" s="18" t="s">
        <v>3870</v>
      </c>
      <c r="C1788" s="13">
        <v>57</v>
      </c>
      <c r="D1788" s="21" t="s">
        <v>3871</v>
      </c>
      <c r="E1788" s="24">
        <v>62</v>
      </c>
      <c r="L1788" s="4"/>
      <c r="M1788" s="7"/>
      <c r="O1788" s="7"/>
      <c r="T1788" s="7"/>
    </row>
    <row r="1789" spans="2:20" x14ac:dyDescent="0.3">
      <c r="B1789" s="18" t="s">
        <v>3872</v>
      </c>
      <c r="C1789" s="13">
        <v>39</v>
      </c>
      <c r="D1789" s="21" t="s">
        <v>3873</v>
      </c>
      <c r="E1789" s="24">
        <v>63</v>
      </c>
      <c r="L1789" s="4"/>
      <c r="M1789" s="7"/>
      <c r="O1789" s="7"/>
      <c r="T1789" s="7"/>
    </row>
    <row r="1790" spans="2:20" x14ac:dyDescent="0.3">
      <c r="B1790" s="18" t="s">
        <v>3874</v>
      </c>
      <c r="C1790" s="13">
        <v>38</v>
      </c>
      <c r="D1790" s="21" t="s">
        <v>3875</v>
      </c>
      <c r="E1790" s="24">
        <v>64</v>
      </c>
      <c r="L1790" s="4"/>
      <c r="M1790" s="7"/>
      <c r="O1790" s="7"/>
      <c r="T1790" s="7"/>
    </row>
    <row r="1791" spans="2:20" x14ac:dyDescent="0.3">
      <c r="B1791" s="18" t="s">
        <v>3876</v>
      </c>
      <c r="C1791" s="13">
        <v>37</v>
      </c>
      <c r="D1791" s="21" t="s">
        <v>3877</v>
      </c>
      <c r="E1791" s="24">
        <v>65</v>
      </c>
      <c r="L1791" s="4"/>
      <c r="M1791" s="7"/>
      <c r="O1791" s="7"/>
      <c r="T1791" s="7"/>
    </row>
    <row r="1792" spans="2:20" x14ac:dyDescent="0.3">
      <c r="B1792" s="18" t="s">
        <v>3878</v>
      </c>
      <c r="C1792" s="13">
        <v>36</v>
      </c>
      <c r="D1792" s="21" t="s">
        <v>3879</v>
      </c>
      <c r="E1792" s="24">
        <v>66</v>
      </c>
      <c r="L1792" s="4"/>
      <c r="M1792" s="7"/>
      <c r="O1792" s="7"/>
      <c r="T1792" s="7"/>
    </row>
    <row r="1793" spans="2:20" x14ac:dyDescent="0.3">
      <c r="B1793" s="18" t="s">
        <v>3880</v>
      </c>
      <c r="C1793" s="13">
        <v>35</v>
      </c>
      <c r="D1793" s="21" t="s">
        <v>3881</v>
      </c>
      <c r="E1793" s="24">
        <v>67</v>
      </c>
      <c r="L1793" s="4"/>
      <c r="M1793" s="7"/>
      <c r="O1793" s="7"/>
      <c r="T1793" s="7"/>
    </row>
    <row r="1794" spans="2:20" x14ac:dyDescent="0.3">
      <c r="B1794" s="18" t="s">
        <v>3882</v>
      </c>
      <c r="C1794" s="13">
        <v>34</v>
      </c>
      <c r="D1794" s="21" t="s">
        <v>3883</v>
      </c>
      <c r="E1794" s="24">
        <v>68</v>
      </c>
      <c r="L1794" s="4"/>
      <c r="M1794" s="7"/>
      <c r="O1794" s="7"/>
      <c r="T1794" s="7"/>
    </row>
    <row r="1795" spans="2:20" x14ac:dyDescent="0.3">
      <c r="B1795" s="18" t="s">
        <v>3884</v>
      </c>
      <c r="C1795" s="13">
        <v>33</v>
      </c>
      <c r="D1795" s="21" t="s">
        <v>3885</v>
      </c>
      <c r="E1795" s="24">
        <v>69</v>
      </c>
      <c r="L1795" s="4"/>
      <c r="M1795" s="7"/>
      <c r="O1795" s="7"/>
      <c r="T1795" s="7"/>
    </row>
    <row r="1796" spans="2:20" x14ac:dyDescent="0.3">
      <c r="B1796" s="18" t="s">
        <v>3886</v>
      </c>
      <c r="C1796" s="13">
        <v>32</v>
      </c>
      <c r="D1796" s="21" t="s">
        <v>3887</v>
      </c>
      <c r="E1796" s="24">
        <v>35</v>
      </c>
      <c r="L1796" s="4"/>
      <c r="M1796" s="7"/>
      <c r="O1796" s="7"/>
      <c r="T1796" s="7"/>
    </row>
    <row r="1797" spans="2:20" x14ac:dyDescent="0.3">
      <c r="B1797" s="18" t="s">
        <v>3888</v>
      </c>
      <c r="C1797" s="13">
        <v>31</v>
      </c>
      <c r="D1797" s="21" t="s">
        <v>3889</v>
      </c>
      <c r="E1797" s="24">
        <v>34</v>
      </c>
      <c r="L1797" s="4"/>
      <c r="M1797" s="7"/>
      <c r="O1797" s="7"/>
      <c r="T1797" s="7"/>
    </row>
    <row r="1798" spans="2:20" x14ac:dyDescent="0.3">
      <c r="B1798" s="18" t="s">
        <v>3890</v>
      </c>
      <c r="C1798" s="13">
        <v>30</v>
      </c>
      <c r="D1798" s="21" t="s">
        <v>3891</v>
      </c>
      <c r="E1798" s="24">
        <v>33</v>
      </c>
      <c r="L1798" s="4"/>
      <c r="M1798" s="7"/>
      <c r="O1798" s="7"/>
      <c r="T1798" s="7"/>
    </row>
    <row r="1799" spans="2:20" x14ac:dyDescent="0.3">
      <c r="B1799" s="18" t="s">
        <v>3892</v>
      </c>
      <c r="C1799" s="13">
        <v>56</v>
      </c>
      <c r="D1799" s="21" t="s">
        <v>3893</v>
      </c>
      <c r="E1799" s="24">
        <v>32</v>
      </c>
      <c r="L1799" s="4"/>
      <c r="M1799" s="7"/>
      <c r="O1799" s="7"/>
      <c r="T1799" s="7"/>
    </row>
    <row r="1800" spans="2:20" x14ac:dyDescent="0.3">
      <c r="B1800" s="18" t="s">
        <v>3894</v>
      </c>
      <c r="C1800" s="13">
        <v>55</v>
      </c>
      <c r="D1800" s="21" t="s">
        <v>3895</v>
      </c>
      <c r="E1800" s="24">
        <v>31</v>
      </c>
      <c r="L1800" s="4"/>
      <c r="M1800" s="7"/>
      <c r="O1800" s="7"/>
      <c r="T1800" s="7"/>
    </row>
    <row r="1801" spans="2:20" x14ac:dyDescent="0.3">
      <c r="B1801" s="18" t="s">
        <v>3896</v>
      </c>
      <c r="C1801" s="13">
        <v>54</v>
      </c>
      <c r="D1801" s="21" t="s">
        <v>3897</v>
      </c>
      <c r="E1801" s="24">
        <v>30</v>
      </c>
      <c r="L1801" s="4"/>
      <c r="M1801" s="7"/>
      <c r="O1801" s="7"/>
      <c r="T1801" s="7"/>
    </row>
    <row r="1802" spans="2:20" x14ac:dyDescent="0.3">
      <c r="B1802" s="18" t="s">
        <v>3898</v>
      </c>
      <c r="C1802" s="13">
        <v>53</v>
      </c>
      <c r="D1802" s="21" t="s">
        <v>3899</v>
      </c>
      <c r="E1802" s="24">
        <v>29</v>
      </c>
      <c r="L1802" s="4"/>
      <c r="M1802" s="7"/>
      <c r="O1802" s="7"/>
    </row>
    <row r="1803" spans="2:20" x14ac:dyDescent="0.3">
      <c r="B1803" s="18" t="s">
        <v>3900</v>
      </c>
      <c r="C1803" s="13">
        <v>52</v>
      </c>
      <c r="D1803" s="21" t="s">
        <v>3901</v>
      </c>
      <c r="E1803" s="24">
        <v>52</v>
      </c>
      <c r="L1803" s="4"/>
      <c r="M1803" s="7"/>
      <c r="O1803" s="7"/>
      <c r="T1803" s="7"/>
    </row>
    <row r="1804" spans="2:20" x14ac:dyDescent="0.3">
      <c r="B1804" s="18" t="s">
        <v>3902</v>
      </c>
      <c r="C1804" s="13">
        <v>51</v>
      </c>
      <c r="D1804" s="21" t="s">
        <v>3903</v>
      </c>
      <c r="E1804" s="24">
        <v>51</v>
      </c>
      <c r="L1804" s="4"/>
      <c r="M1804" s="7"/>
      <c r="O1804" s="7"/>
      <c r="T1804" s="7"/>
    </row>
    <row r="1805" spans="2:20" x14ac:dyDescent="0.3">
      <c r="B1805" s="18" t="s">
        <v>3904</v>
      </c>
      <c r="C1805" s="13">
        <v>50</v>
      </c>
      <c r="D1805" s="21" t="s">
        <v>3905</v>
      </c>
      <c r="E1805" s="24">
        <v>50</v>
      </c>
      <c r="L1805" s="4"/>
      <c r="M1805" s="7"/>
      <c r="O1805" s="7"/>
      <c r="T1805" s="7"/>
    </row>
    <row r="1806" spans="2:20" x14ac:dyDescent="0.3">
      <c r="B1806" s="18" t="s">
        <v>3906</v>
      </c>
      <c r="C1806" s="13">
        <v>59</v>
      </c>
      <c r="D1806" s="21" t="s">
        <v>3907</v>
      </c>
      <c r="E1806" s="24">
        <v>49</v>
      </c>
      <c r="L1806" s="4"/>
      <c r="M1806" s="7"/>
      <c r="O1806" s="7"/>
      <c r="T1806" s="7"/>
    </row>
    <row r="1807" spans="2:20" x14ac:dyDescent="0.3">
      <c r="B1807" s="18" t="s">
        <v>3908</v>
      </c>
      <c r="C1807" s="13">
        <v>68</v>
      </c>
      <c r="D1807" s="21" t="s">
        <v>3909</v>
      </c>
      <c r="E1807" s="24">
        <v>48</v>
      </c>
      <c r="L1807" s="4"/>
      <c r="M1807" s="7"/>
      <c r="O1807" s="7"/>
      <c r="T1807" s="7"/>
    </row>
    <row r="1808" spans="2:20" x14ac:dyDescent="0.3">
      <c r="B1808" s="18" t="s">
        <v>3910</v>
      </c>
      <c r="C1808" s="13">
        <v>69</v>
      </c>
      <c r="D1808" s="21" t="s">
        <v>3911</v>
      </c>
      <c r="E1808" s="24">
        <v>47</v>
      </c>
      <c r="L1808" s="4"/>
      <c r="M1808" s="7"/>
      <c r="O1808" s="7"/>
      <c r="T1808" s="7"/>
    </row>
    <row r="1809" spans="2:20" x14ac:dyDescent="0.3">
      <c r="B1809" s="18" t="s">
        <v>3912</v>
      </c>
      <c r="C1809" s="13">
        <v>70</v>
      </c>
      <c r="D1809" s="21" t="s">
        <v>3913</v>
      </c>
      <c r="E1809" s="24">
        <v>46</v>
      </c>
      <c r="L1809" s="4"/>
      <c r="M1809" s="7"/>
      <c r="O1809" s="7"/>
      <c r="T1809" s="7"/>
    </row>
    <row r="1810" spans="2:20" x14ac:dyDescent="0.3">
      <c r="B1810" s="18" t="s">
        <v>3914</v>
      </c>
      <c r="C1810" s="13">
        <v>71</v>
      </c>
      <c r="D1810" s="21" t="s">
        <v>3915</v>
      </c>
      <c r="E1810" s="24">
        <v>28</v>
      </c>
      <c r="L1810" s="4"/>
      <c r="M1810" s="7"/>
      <c r="O1810" s="7"/>
      <c r="T1810" s="7"/>
    </row>
    <row r="1811" spans="2:20" x14ac:dyDescent="0.3">
      <c r="B1811" s="18" t="s">
        <v>3916</v>
      </c>
      <c r="C1811" s="13">
        <v>72</v>
      </c>
      <c r="D1811" s="21" t="s">
        <v>3917</v>
      </c>
      <c r="E1811" s="24">
        <v>45</v>
      </c>
      <c r="L1811" s="4"/>
      <c r="M1811" s="7"/>
      <c r="O1811" s="7"/>
      <c r="T1811" s="7"/>
    </row>
    <row r="1812" spans="2:20" x14ac:dyDescent="0.3">
      <c r="B1812" s="18" t="s">
        <v>3918</v>
      </c>
      <c r="C1812" s="13">
        <v>73</v>
      </c>
      <c r="D1812" s="21" t="s">
        <v>3919</v>
      </c>
      <c r="E1812" s="24">
        <v>44</v>
      </c>
      <c r="L1812" s="4"/>
      <c r="M1812" s="7"/>
      <c r="O1812" s="7"/>
      <c r="T1812" s="7"/>
    </row>
    <row r="1813" spans="2:20" x14ac:dyDescent="0.3">
      <c r="B1813" s="18" t="s">
        <v>3920</v>
      </c>
      <c r="C1813" s="13">
        <v>74</v>
      </c>
      <c r="D1813" s="21" t="s">
        <v>3921</v>
      </c>
      <c r="E1813" s="24">
        <v>43</v>
      </c>
      <c r="L1813" s="4"/>
      <c r="M1813" s="7"/>
      <c r="O1813" s="7"/>
      <c r="T1813" s="7"/>
    </row>
    <row r="1814" spans="2:20" x14ac:dyDescent="0.3">
      <c r="B1814" s="18" t="s">
        <v>3922</v>
      </c>
      <c r="C1814" s="13">
        <v>75</v>
      </c>
      <c r="D1814" s="21" t="s">
        <v>3923</v>
      </c>
      <c r="E1814" s="24">
        <v>42</v>
      </c>
      <c r="L1814" s="4"/>
      <c r="M1814" s="7"/>
      <c r="O1814" s="7"/>
      <c r="T1814" s="7"/>
    </row>
    <row r="1815" spans="2:20" x14ac:dyDescent="0.3">
      <c r="B1815" s="18" t="s">
        <v>3924</v>
      </c>
      <c r="C1815" s="13">
        <v>76</v>
      </c>
      <c r="D1815" s="21" t="s">
        <v>3925</v>
      </c>
      <c r="E1815" s="24">
        <v>41</v>
      </c>
      <c r="L1815" s="4"/>
      <c r="M1815" s="7"/>
      <c r="O1815" s="7"/>
      <c r="T1815" s="7"/>
    </row>
    <row r="1816" spans="2:20" x14ac:dyDescent="0.3">
      <c r="B1816" s="18" t="s">
        <v>3926</v>
      </c>
      <c r="C1816" s="13">
        <v>77</v>
      </c>
      <c r="D1816" s="21" t="s">
        <v>3927</v>
      </c>
      <c r="E1816" s="24">
        <v>40</v>
      </c>
      <c r="L1816" s="4"/>
      <c r="M1816" s="7"/>
      <c r="O1816" s="7"/>
      <c r="T1816" s="7"/>
    </row>
    <row r="1817" spans="2:20" x14ac:dyDescent="0.3">
      <c r="B1817" s="18" t="s">
        <v>3928</v>
      </c>
      <c r="C1817" s="13">
        <v>60</v>
      </c>
      <c r="D1817" s="21" t="s">
        <v>3929</v>
      </c>
      <c r="E1817" s="24">
        <v>39</v>
      </c>
      <c r="L1817" s="4"/>
      <c r="M1817" s="7"/>
      <c r="O1817" s="7"/>
      <c r="T1817" s="7"/>
    </row>
    <row r="1818" spans="2:20" x14ac:dyDescent="0.3">
      <c r="B1818" s="18" t="s">
        <v>3930</v>
      </c>
      <c r="C1818" s="13">
        <v>78</v>
      </c>
      <c r="D1818" s="21" t="s">
        <v>3931</v>
      </c>
      <c r="E1818" s="24">
        <v>38</v>
      </c>
      <c r="L1818" s="4"/>
      <c r="M1818" s="7"/>
      <c r="O1818" s="7"/>
      <c r="T1818" s="7"/>
    </row>
    <row r="1819" spans="2:20" x14ac:dyDescent="0.3">
      <c r="B1819" s="18" t="s">
        <v>3932</v>
      </c>
      <c r="C1819" s="13">
        <v>79</v>
      </c>
      <c r="D1819" s="21" t="s">
        <v>3933</v>
      </c>
      <c r="E1819" s="24">
        <v>37</v>
      </c>
      <c r="L1819" s="4"/>
      <c r="M1819" s="7"/>
      <c r="O1819" s="7"/>
      <c r="T1819" s="7"/>
    </row>
    <row r="1820" spans="2:20" x14ac:dyDescent="0.3">
      <c r="B1820" s="18" t="s">
        <v>3934</v>
      </c>
      <c r="C1820" s="13">
        <v>80</v>
      </c>
      <c r="D1820" s="21" t="s">
        <v>3935</v>
      </c>
      <c r="E1820" s="24">
        <v>36</v>
      </c>
      <c r="L1820" s="4"/>
      <c r="M1820" s="7"/>
      <c r="O1820" s="7"/>
      <c r="T1820" s="7"/>
    </row>
    <row r="1821" spans="2:20" x14ac:dyDescent="0.3">
      <c r="B1821" s="18" t="s">
        <v>3936</v>
      </c>
      <c r="C1821" s="13">
        <v>81</v>
      </c>
      <c r="D1821" s="21" t="s">
        <v>3937</v>
      </c>
      <c r="E1821" s="24">
        <v>27</v>
      </c>
      <c r="L1821" s="4"/>
      <c r="M1821" s="7"/>
      <c r="O1821" s="7"/>
      <c r="T1821" s="7"/>
    </row>
    <row r="1822" spans="2:20" x14ac:dyDescent="0.3">
      <c r="B1822" s="18" t="s">
        <v>3938</v>
      </c>
      <c r="C1822" s="13">
        <v>82</v>
      </c>
      <c r="D1822" s="21" t="s">
        <v>3939</v>
      </c>
      <c r="E1822" s="24">
        <v>9</v>
      </c>
      <c r="L1822" s="4"/>
      <c r="M1822" s="7"/>
      <c r="O1822" s="7"/>
      <c r="T1822" s="7"/>
    </row>
    <row r="1823" spans="2:20" x14ac:dyDescent="0.3">
      <c r="B1823" s="18" t="s">
        <v>3940</v>
      </c>
      <c r="C1823" s="13">
        <v>83</v>
      </c>
      <c r="D1823" s="21" t="s">
        <v>3941</v>
      </c>
      <c r="E1823" s="24">
        <v>8</v>
      </c>
      <c r="L1823" s="4"/>
      <c r="M1823" s="7"/>
      <c r="O1823" s="7"/>
      <c r="T1823" s="7"/>
    </row>
    <row r="1824" spans="2:20" x14ac:dyDescent="0.3">
      <c r="B1824" s="18" t="s">
        <v>3942</v>
      </c>
      <c r="C1824" s="13">
        <v>84</v>
      </c>
      <c r="D1824" s="21" t="s">
        <v>3943</v>
      </c>
      <c r="E1824" s="24">
        <v>7</v>
      </c>
      <c r="L1824" s="4"/>
      <c r="M1824" s="7"/>
      <c r="O1824" s="7"/>
      <c r="T1824" s="7"/>
    </row>
    <row r="1825" spans="2:20" x14ac:dyDescent="0.3">
      <c r="B1825" s="18" t="s">
        <v>3944</v>
      </c>
      <c r="C1825" s="13">
        <v>85</v>
      </c>
      <c r="D1825" s="21" t="s">
        <v>3945</v>
      </c>
      <c r="E1825" s="24">
        <v>6</v>
      </c>
      <c r="L1825" s="4"/>
      <c r="M1825" s="7"/>
      <c r="O1825" s="7"/>
      <c r="T1825" s="7"/>
    </row>
    <row r="1826" spans="2:20" x14ac:dyDescent="0.3">
      <c r="B1826" s="18" t="s">
        <v>3946</v>
      </c>
      <c r="C1826" s="13">
        <v>86</v>
      </c>
      <c r="D1826" s="21" t="s">
        <v>3947</v>
      </c>
      <c r="E1826" s="24">
        <v>5</v>
      </c>
      <c r="L1826" s="4"/>
      <c r="M1826" s="7"/>
      <c r="O1826" s="7"/>
      <c r="T1826" s="7"/>
    </row>
    <row r="1827" spans="2:20" x14ac:dyDescent="0.3">
      <c r="B1827" s="18" t="s">
        <v>3948</v>
      </c>
      <c r="C1827" s="13">
        <v>87</v>
      </c>
      <c r="D1827" s="21" t="s">
        <v>3949</v>
      </c>
      <c r="E1827" s="24">
        <v>4</v>
      </c>
      <c r="L1827" s="4"/>
      <c r="M1827" s="7"/>
      <c r="O1827" s="7"/>
      <c r="T1827" s="7"/>
    </row>
    <row r="1828" spans="2:20" x14ac:dyDescent="0.3">
      <c r="B1828" s="18" t="s">
        <v>3950</v>
      </c>
      <c r="C1828" s="13">
        <v>61</v>
      </c>
      <c r="D1828" s="21" t="s">
        <v>3951</v>
      </c>
      <c r="E1828" s="24">
        <v>3</v>
      </c>
      <c r="L1828" s="4"/>
      <c r="M1828" s="7"/>
      <c r="O1828" s="7"/>
      <c r="T1828" s="7"/>
    </row>
    <row r="1829" spans="2:20" x14ac:dyDescent="0.3">
      <c r="B1829" s="18" t="s">
        <v>3952</v>
      </c>
      <c r="C1829" s="13">
        <v>62</v>
      </c>
      <c r="D1829" s="21" t="s">
        <v>3953</v>
      </c>
      <c r="E1829" s="24">
        <v>26</v>
      </c>
      <c r="L1829" s="4"/>
      <c r="M1829" s="7"/>
      <c r="O1829" s="7"/>
      <c r="T1829" s="7"/>
    </row>
    <row r="1830" spans="2:20" x14ac:dyDescent="0.3">
      <c r="B1830" s="18" t="s">
        <v>3954</v>
      </c>
      <c r="C1830" s="13">
        <v>63</v>
      </c>
      <c r="D1830" s="21" t="s">
        <v>3955</v>
      </c>
      <c r="E1830" s="24">
        <v>25</v>
      </c>
      <c r="L1830" s="4"/>
      <c r="M1830" s="7"/>
      <c r="O1830" s="7"/>
      <c r="T1830" s="7"/>
    </row>
    <row r="1831" spans="2:20" x14ac:dyDescent="0.3">
      <c r="B1831" s="18" t="s">
        <v>3956</v>
      </c>
      <c r="C1831" s="13">
        <v>64</v>
      </c>
      <c r="D1831" s="21" t="s">
        <v>3957</v>
      </c>
      <c r="E1831" s="24">
        <v>24</v>
      </c>
      <c r="L1831" s="4"/>
      <c r="M1831" s="7"/>
      <c r="O1831" s="7"/>
      <c r="T1831" s="7"/>
    </row>
    <row r="1832" spans="2:20" x14ac:dyDescent="0.3">
      <c r="B1832" s="18" t="s">
        <v>3958</v>
      </c>
      <c r="C1832" s="13">
        <v>65</v>
      </c>
      <c r="D1832" s="21" t="s">
        <v>3959</v>
      </c>
      <c r="E1832" s="24">
        <v>23</v>
      </c>
      <c r="L1832" s="4"/>
      <c r="M1832" s="7"/>
      <c r="O1832" s="7"/>
      <c r="T1832" s="7"/>
    </row>
    <row r="1833" spans="2:20" x14ac:dyDescent="0.3">
      <c r="B1833" s="18" t="s">
        <v>3960</v>
      </c>
      <c r="C1833" s="13">
        <v>66</v>
      </c>
      <c r="D1833" s="21" t="s">
        <v>3961</v>
      </c>
      <c r="E1833" s="24">
        <v>22</v>
      </c>
      <c r="L1833" s="4"/>
      <c r="M1833" s="7"/>
      <c r="O1833" s="7"/>
      <c r="T1833" s="7"/>
    </row>
    <row r="1834" spans="2:20" x14ac:dyDescent="0.3">
      <c r="B1834" s="18" t="s">
        <v>3962</v>
      </c>
      <c r="C1834" s="13">
        <v>67</v>
      </c>
      <c r="D1834" s="21" t="s">
        <v>3963</v>
      </c>
      <c r="E1834" s="24">
        <v>21</v>
      </c>
      <c r="L1834" s="4"/>
      <c r="M1834" s="7"/>
      <c r="O1834" s="7"/>
      <c r="T1834" s="7"/>
    </row>
    <row r="1835" spans="2:20" x14ac:dyDescent="0.3">
      <c r="B1835" s="18" t="s">
        <v>3964</v>
      </c>
      <c r="C1835" s="13">
        <v>116</v>
      </c>
      <c r="D1835" s="21" t="s">
        <v>3965</v>
      </c>
      <c r="E1835" s="24">
        <v>20</v>
      </c>
      <c r="L1835" s="4"/>
      <c r="M1835" s="7"/>
      <c r="O1835" s="7"/>
      <c r="T1835" s="7"/>
    </row>
    <row r="1836" spans="2:20" x14ac:dyDescent="0.3">
      <c r="B1836" s="18" t="s">
        <v>3966</v>
      </c>
      <c r="C1836" s="13">
        <v>107</v>
      </c>
      <c r="D1836" s="21" t="s">
        <v>3967</v>
      </c>
      <c r="E1836" s="24">
        <v>2</v>
      </c>
      <c r="L1836" s="4"/>
      <c r="M1836" s="7"/>
      <c r="O1836" s="7"/>
      <c r="T1836" s="7"/>
    </row>
    <row r="1837" spans="2:20" x14ac:dyDescent="0.3">
      <c r="B1837" s="18" t="s">
        <v>3968</v>
      </c>
      <c r="C1837" s="13">
        <v>106</v>
      </c>
      <c r="D1837" s="21" t="s">
        <v>3969</v>
      </c>
      <c r="E1837" s="24">
        <v>19</v>
      </c>
      <c r="L1837" s="4"/>
      <c r="M1837" s="7"/>
      <c r="O1837" s="7"/>
    </row>
    <row r="1838" spans="2:20" x14ac:dyDescent="0.3">
      <c r="B1838" s="18" t="s">
        <v>3970</v>
      </c>
      <c r="C1838" s="13">
        <v>105</v>
      </c>
      <c r="D1838" s="21" t="s">
        <v>3971</v>
      </c>
      <c r="E1838" s="24">
        <v>18</v>
      </c>
      <c r="L1838" s="4"/>
      <c r="M1838" s="7"/>
      <c r="O1838" s="7"/>
      <c r="T1838" s="7"/>
    </row>
    <row r="1839" spans="2:20" x14ac:dyDescent="0.3">
      <c r="B1839" s="18" t="s">
        <v>3972</v>
      </c>
      <c r="C1839" s="13">
        <v>104</v>
      </c>
      <c r="D1839" s="21" t="s">
        <v>3973</v>
      </c>
      <c r="E1839" s="24">
        <v>17</v>
      </c>
      <c r="L1839" s="4"/>
      <c r="M1839" s="7"/>
      <c r="O1839" s="7"/>
      <c r="T1839" s="7"/>
    </row>
    <row r="1840" spans="2:20" x14ac:dyDescent="0.3">
      <c r="B1840" s="18" t="s">
        <v>3974</v>
      </c>
      <c r="C1840" s="13">
        <v>103</v>
      </c>
      <c r="D1840" s="21" t="s">
        <v>3975</v>
      </c>
      <c r="E1840" s="24">
        <v>16</v>
      </c>
      <c r="L1840" s="4"/>
      <c r="M1840" s="7"/>
      <c r="O1840" s="7"/>
      <c r="T1840" s="7"/>
    </row>
    <row r="1841" spans="2:20" x14ac:dyDescent="0.3">
      <c r="B1841" s="18" t="s">
        <v>3976</v>
      </c>
      <c r="C1841" s="13">
        <v>102</v>
      </c>
      <c r="D1841" s="21" t="s">
        <v>3977</v>
      </c>
      <c r="E1841" s="24">
        <v>15</v>
      </c>
      <c r="L1841" s="4"/>
      <c r="M1841" s="7"/>
      <c r="O1841" s="7"/>
      <c r="T1841" s="7"/>
    </row>
    <row r="1842" spans="2:20" x14ac:dyDescent="0.3">
      <c r="B1842" s="18" t="s">
        <v>3978</v>
      </c>
      <c r="C1842" s="13">
        <v>101</v>
      </c>
      <c r="D1842" s="21" t="s">
        <v>3979</v>
      </c>
      <c r="E1842" s="24">
        <v>14</v>
      </c>
      <c r="L1842" s="4"/>
      <c r="M1842" s="7"/>
      <c r="O1842" s="7"/>
      <c r="T1842" s="7"/>
    </row>
    <row r="1843" spans="2:20" x14ac:dyDescent="0.3">
      <c r="B1843" s="18" t="s">
        <v>3980</v>
      </c>
      <c r="C1843" s="13">
        <v>100</v>
      </c>
      <c r="D1843" s="21" t="s">
        <v>3981</v>
      </c>
      <c r="E1843" s="24">
        <v>13</v>
      </c>
      <c r="L1843" s="4"/>
      <c r="M1843" s="7"/>
      <c r="O1843" s="7"/>
      <c r="T1843" s="7"/>
    </row>
    <row r="1844" spans="2:20" x14ac:dyDescent="0.3">
      <c r="B1844" s="18" t="s">
        <v>3982</v>
      </c>
      <c r="C1844" s="13">
        <v>99</v>
      </c>
      <c r="D1844" s="21" t="s">
        <v>3983</v>
      </c>
      <c r="E1844" s="24">
        <v>12</v>
      </c>
      <c r="L1844" s="4"/>
      <c r="M1844" s="7"/>
      <c r="O1844" s="7"/>
      <c r="T1844" s="7"/>
    </row>
    <row r="1845" spans="2:20" x14ac:dyDescent="0.3">
      <c r="B1845" s="18" t="s">
        <v>3984</v>
      </c>
      <c r="C1845" s="13">
        <v>98</v>
      </c>
      <c r="D1845" s="21" t="s">
        <v>3985</v>
      </c>
      <c r="E1845" s="24">
        <v>11</v>
      </c>
      <c r="L1845" s="4"/>
      <c r="M1845" s="7"/>
      <c r="O1845" s="7"/>
      <c r="T1845" s="7"/>
    </row>
    <row r="1846" spans="2:20" x14ac:dyDescent="0.3">
      <c r="B1846" s="18" t="s">
        <v>3986</v>
      </c>
      <c r="C1846" s="13">
        <v>115</v>
      </c>
      <c r="D1846" s="21" t="s">
        <v>3987</v>
      </c>
      <c r="E1846" s="24">
        <v>10</v>
      </c>
      <c r="L1846" s="4"/>
      <c r="M1846" s="7"/>
      <c r="O1846" s="7"/>
      <c r="T1846" s="7"/>
    </row>
    <row r="1847" spans="2:20" x14ac:dyDescent="0.3">
      <c r="B1847" s="18" t="s">
        <v>3988</v>
      </c>
      <c r="C1847" s="13">
        <v>97</v>
      </c>
      <c r="D1847" s="21" t="s">
        <v>3989</v>
      </c>
      <c r="E1847" s="24">
        <v>1</v>
      </c>
      <c r="L1847" s="4"/>
      <c r="M1847" s="7"/>
      <c r="O1847" s="7"/>
      <c r="T1847" s="7"/>
    </row>
    <row r="1848" spans="2:20" x14ac:dyDescent="0.3">
      <c r="B1848" s="18" t="s">
        <v>3990</v>
      </c>
      <c r="C1848" s="13">
        <v>96</v>
      </c>
      <c r="D1848" s="21" t="s">
        <v>3991</v>
      </c>
      <c r="E1848" s="24">
        <v>67</v>
      </c>
      <c r="L1848" s="4"/>
      <c r="M1848" s="7"/>
      <c r="O1848" s="7"/>
      <c r="T1848" s="7"/>
    </row>
    <row r="1849" spans="2:20" x14ac:dyDescent="0.3">
      <c r="B1849" s="18" t="s">
        <v>3992</v>
      </c>
      <c r="C1849" s="13">
        <v>95</v>
      </c>
      <c r="D1849" s="21" t="s">
        <v>3993</v>
      </c>
      <c r="E1849" s="24">
        <v>68</v>
      </c>
      <c r="L1849" s="4"/>
      <c r="M1849" s="7"/>
      <c r="O1849" s="7"/>
      <c r="T1849" s="7"/>
    </row>
    <row r="1850" spans="2:20" x14ac:dyDescent="0.3">
      <c r="B1850" s="18" t="s">
        <v>3994</v>
      </c>
      <c r="C1850" s="13">
        <v>94</v>
      </c>
      <c r="D1850" s="21" t="s">
        <v>3995</v>
      </c>
      <c r="E1850" s="24">
        <v>69</v>
      </c>
      <c r="L1850" s="4"/>
      <c r="M1850" s="7"/>
      <c r="O1850" s="7"/>
      <c r="T1850" s="7"/>
    </row>
    <row r="1851" spans="2:20" x14ac:dyDescent="0.3">
      <c r="B1851" s="18" t="s">
        <v>3996</v>
      </c>
      <c r="C1851" s="13">
        <v>93</v>
      </c>
      <c r="D1851" s="21" t="s">
        <v>3997</v>
      </c>
      <c r="E1851" s="24">
        <v>70</v>
      </c>
      <c r="L1851" s="4"/>
      <c r="M1851" s="7"/>
      <c r="O1851" s="7"/>
      <c r="T1851" s="7"/>
    </row>
    <row r="1852" spans="2:20" x14ac:dyDescent="0.3">
      <c r="B1852" s="18" t="s">
        <v>3998</v>
      </c>
      <c r="C1852" s="13">
        <v>92</v>
      </c>
      <c r="D1852" s="21" t="s">
        <v>3999</v>
      </c>
      <c r="E1852" s="24">
        <v>71</v>
      </c>
      <c r="L1852" s="4"/>
      <c r="M1852" s="7"/>
      <c r="O1852" s="7"/>
      <c r="T1852" s="7"/>
    </row>
    <row r="1853" spans="2:20" x14ac:dyDescent="0.3">
      <c r="B1853" s="18" t="s">
        <v>4000</v>
      </c>
      <c r="C1853" s="13">
        <v>91</v>
      </c>
      <c r="D1853" s="21" t="s">
        <v>4001</v>
      </c>
      <c r="E1853" s="24">
        <v>72</v>
      </c>
      <c r="L1853" s="4"/>
      <c r="M1853" s="7"/>
      <c r="O1853" s="7"/>
      <c r="T1853" s="7"/>
    </row>
    <row r="1854" spans="2:20" x14ac:dyDescent="0.3">
      <c r="B1854" s="18" t="s">
        <v>4002</v>
      </c>
      <c r="C1854" s="13">
        <v>90</v>
      </c>
      <c r="D1854" s="21" t="s">
        <v>4003</v>
      </c>
      <c r="E1854" s="24">
        <v>73</v>
      </c>
      <c r="L1854" s="4"/>
      <c r="M1854" s="7"/>
      <c r="O1854" s="7"/>
      <c r="T1854" s="7"/>
    </row>
    <row r="1855" spans="2:20" x14ac:dyDescent="0.3">
      <c r="B1855" s="18" t="s">
        <v>4004</v>
      </c>
      <c r="C1855" s="13">
        <v>89</v>
      </c>
      <c r="D1855" s="21" t="s">
        <v>4005</v>
      </c>
      <c r="E1855" s="24">
        <v>51</v>
      </c>
      <c r="L1855" s="4"/>
      <c r="M1855" s="7"/>
      <c r="O1855" s="7"/>
      <c r="T1855" s="7"/>
    </row>
    <row r="1856" spans="2:20" x14ac:dyDescent="0.3">
      <c r="B1856" s="18" t="s">
        <v>4006</v>
      </c>
      <c r="C1856" s="13">
        <v>88</v>
      </c>
      <c r="D1856" s="21" t="s">
        <v>4007</v>
      </c>
      <c r="E1856" s="24">
        <v>52</v>
      </c>
      <c r="L1856" s="4"/>
      <c r="M1856" s="7"/>
      <c r="O1856" s="7"/>
      <c r="T1856" s="7"/>
    </row>
    <row r="1857" spans="2:20" x14ac:dyDescent="0.3">
      <c r="B1857" s="18" t="s">
        <v>4008</v>
      </c>
      <c r="C1857" s="13">
        <v>114</v>
      </c>
      <c r="D1857" s="21" t="s">
        <v>4009</v>
      </c>
      <c r="E1857" s="24">
        <v>53</v>
      </c>
      <c r="L1857" s="4"/>
      <c r="M1857" s="7"/>
      <c r="O1857" s="7"/>
      <c r="T1857" s="7"/>
    </row>
    <row r="1858" spans="2:20" x14ac:dyDescent="0.3">
      <c r="B1858" s="18" t="s">
        <v>4010</v>
      </c>
      <c r="C1858" s="13">
        <v>113</v>
      </c>
      <c r="D1858" s="21" t="s">
        <v>4011</v>
      </c>
      <c r="E1858" s="24">
        <v>54</v>
      </c>
      <c r="L1858" s="4"/>
      <c r="M1858" s="7"/>
      <c r="O1858" s="7"/>
      <c r="T1858" s="7"/>
    </row>
    <row r="1859" spans="2:20" x14ac:dyDescent="0.3">
      <c r="B1859" s="18" t="s">
        <v>4012</v>
      </c>
      <c r="C1859" s="13">
        <v>112</v>
      </c>
      <c r="D1859" s="21" t="s">
        <v>4013</v>
      </c>
      <c r="E1859" s="24">
        <v>55</v>
      </c>
      <c r="L1859" s="4"/>
      <c r="M1859" s="7"/>
      <c r="O1859" s="7"/>
      <c r="T1859" s="7"/>
    </row>
    <row r="1860" spans="2:20" x14ac:dyDescent="0.3">
      <c r="B1860" s="18" t="s">
        <v>4014</v>
      </c>
      <c r="C1860" s="13">
        <v>111</v>
      </c>
      <c r="D1860" s="21" t="s">
        <v>4015</v>
      </c>
      <c r="E1860" s="24">
        <v>56</v>
      </c>
      <c r="L1860" s="4"/>
      <c r="M1860" s="7"/>
      <c r="O1860" s="7"/>
      <c r="T1860" s="7"/>
    </row>
    <row r="1861" spans="2:20" x14ac:dyDescent="0.3">
      <c r="B1861" s="18" t="s">
        <v>4016</v>
      </c>
      <c r="C1861" s="13">
        <v>110</v>
      </c>
      <c r="D1861" s="21" t="s">
        <v>4017</v>
      </c>
      <c r="E1861" s="24">
        <v>74</v>
      </c>
      <c r="L1861" s="4"/>
      <c r="M1861" s="7"/>
      <c r="O1861" s="7"/>
      <c r="T1861" s="7"/>
    </row>
    <row r="1862" spans="2:20" x14ac:dyDescent="0.3">
      <c r="B1862" s="18" t="s">
        <v>4018</v>
      </c>
      <c r="C1862" s="13">
        <v>109</v>
      </c>
      <c r="D1862" s="21" t="s">
        <v>4019</v>
      </c>
      <c r="E1862" s="24">
        <v>57</v>
      </c>
      <c r="L1862" s="4"/>
      <c r="M1862" s="7"/>
      <c r="O1862" s="7"/>
      <c r="T1862" s="7"/>
    </row>
    <row r="1863" spans="2:20" x14ac:dyDescent="0.3">
      <c r="B1863" s="18" t="s">
        <v>4020</v>
      </c>
      <c r="C1863" s="13">
        <v>108</v>
      </c>
      <c r="D1863" s="21" t="s">
        <v>4021</v>
      </c>
      <c r="E1863" s="24">
        <v>58</v>
      </c>
      <c r="L1863" s="4"/>
      <c r="M1863" s="7"/>
      <c r="O1863" s="7"/>
      <c r="T1863" s="7"/>
    </row>
    <row r="1864" spans="2:20" x14ac:dyDescent="0.3">
      <c r="B1864" s="18" t="s">
        <v>4022</v>
      </c>
      <c r="C1864" s="13">
        <v>1</v>
      </c>
      <c r="D1864" s="21" t="s">
        <v>4023</v>
      </c>
      <c r="E1864" s="24">
        <v>59</v>
      </c>
      <c r="L1864" s="4"/>
      <c r="M1864" s="7"/>
      <c r="O1864" s="7"/>
      <c r="T1864" s="7"/>
    </row>
    <row r="1865" spans="2:20" x14ac:dyDescent="0.3">
      <c r="B1865" s="18" t="s">
        <v>4024</v>
      </c>
      <c r="C1865" s="13">
        <v>10</v>
      </c>
      <c r="D1865" s="21" t="s">
        <v>4025</v>
      </c>
      <c r="E1865" s="24">
        <v>60</v>
      </c>
      <c r="L1865" s="4"/>
      <c r="M1865" s="7"/>
      <c r="O1865" s="7"/>
      <c r="T1865" s="7"/>
    </row>
    <row r="1866" spans="2:20" x14ac:dyDescent="0.3">
      <c r="B1866" s="18" t="s">
        <v>4026</v>
      </c>
      <c r="C1866" s="13">
        <v>11</v>
      </c>
      <c r="D1866" s="21" t="s">
        <v>4027</v>
      </c>
      <c r="E1866" s="24">
        <v>61</v>
      </c>
      <c r="L1866" s="4"/>
      <c r="M1866" s="7"/>
      <c r="O1866" s="7"/>
      <c r="T1866" s="7"/>
    </row>
    <row r="1867" spans="2:20" x14ac:dyDescent="0.3">
      <c r="B1867" s="18" t="s">
        <v>4028</v>
      </c>
      <c r="C1867" s="13">
        <v>12</v>
      </c>
      <c r="D1867" s="21" t="s">
        <v>4029</v>
      </c>
      <c r="E1867" s="24">
        <v>62</v>
      </c>
      <c r="L1867" s="4"/>
      <c r="M1867" s="7"/>
      <c r="O1867" s="7"/>
      <c r="T1867" s="7"/>
    </row>
    <row r="1868" spans="2:20" x14ac:dyDescent="0.3">
      <c r="B1868" s="18" t="s">
        <v>4030</v>
      </c>
      <c r="C1868" s="13">
        <v>13</v>
      </c>
      <c r="D1868" s="21" t="s">
        <v>4031</v>
      </c>
      <c r="E1868" s="24">
        <v>63</v>
      </c>
      <c r="L1868" s="4"/>
      <c r="M1868" s="7"/>
      <c r="O1868" s="7"/>
      <c r="T1868" s="7"/>
    </row>
    <row r="1869" spans="2:20" x14ac:dyDescent="0.3">
      <c r="B1869" s="18" t="s">
        <v>4032</v>
      </c>
      <c r="C1869" s="13">
        <v>14</v>
      </c>
      <c r="D1869" s="21" t="s">
        <v>4033</v>
      </c>
      <c r="E1869" s="24">
        <v>64</v>
      </c>
      <c r="L1869" s="4"/>
      <c r="M1869" s="7"/>
      <c r="O1869" s="7"/>
      <c r="T1869" s="7"/>
    </row>
    <row r="1870" spans="2:20" x14ac:dyDescent="0.3">
      <c r="B1870" s="18" t="s">
        <v>4034</v>
      </c>
      <c r="C1870" s="13">
        <v>15</v>
      </c>
      <c r="D1870" s="21" t="s">
        <v>4035</v>
      </c>
      <c r="E1870" s="24">
        <v>65</v>
      </c>
      <c r="L1870" s="4"/>
      <c r="M1870" s="7"/>
      <c r="O1870" s="7"/>
      <c r="T1870" s="7"/>
    </row>
    <row r="1871" spans="2:20" x14ac:dyDescent="0.3">
      <c r="B1871" s="18" t="s">
        <v>4036</v>
      </c>
      <c r="C1871" s="13">
        <v>16</v>
      </c>
      <c r="D1871" s="21" t="s">
        <v>4037</v>
      </c>
      <c r="E1871" s="24">
        <v>66</v>
      </c>
      <c r="L1871" s="4"/>
      <c r="M1871" s="7"/>
      <c r="O1871" s="7"/>
      <c r="T1871" s="7"/>
    </row>
    <row r="1872" spans="2:20" x14ac:dyDescent="0.3">
      <c r="B1872" s="18" t="s">
        <v>4038</v>
      </c>
      <c r="C1872" s="13">
        <v>17</v>
      </c>
      <c r="D1872" s="21" t="s">
        <v>4039</v>
      </c>
      <c r="E1872" s="24">
        <v>75</v>
      </c>
      <c r="L1872" s="4"/>
      <c r="M1872" s="7"/>
      <c r="O1872" s="7"/>
      <c r="T1872" s="7"/>
    </row>
    <row r="1873" spans="2:20" x14ac:dyDescent="0.3">
      <c r="B1873" s="18" t="s">
        <v>4040</v>
      </c>
      <c r="C1873" s="13">
        <v>18</v>
      </c>
      <c r="D1873" s="21" t="s">
        <v>4041</v>
      </c>
      <c r="E1873" s="24">
        <v>34</v>
      </c>
      <c r="L1873" s="4"/>
      <c r="M1873" s="7"/>
      <c r="O1873" s="7"/>
      <c r="T1873" s="7"/>
    </row>
    <row r="1874" spans="2:20" x14ac:dyDescent="0.3">
      <c r="B1874" s="18" t="s">
        <v>4042</v>
      </c>
      <c r="C1874" s="13">
        <v>19</v>
      </c>
      <c r="D1874" s="21" t="s">
        <v>4043</v>
      </c>
      <c r="E1874" s="24">
        <v>33</v>
      </c>
      <c r="L1874" s="4"/>
      <c r="M1874" s="7"/>
      <c r="O1874" s="7"/>
      <c r="T1874" s="7"/>
    </row>
    <row r="1875" spans="2:20" x14ac:dyDescent="0.3">
      <c r="B1875" s="18" t="s">
        <v>4044</v>
      </c>
      <c r="C1875" s="13">
        <v>2</v>
      </c>
      <c r="D1875" s="21" t="s">
        <v>4045</v>
      </c>
      <c r="E1875" s="24">
        <v>32</v>
      </c>
      <c r="L1875" s="4"/>
      <c r="M1875" s="7"/>
      <c r="O1875" s="7"/>
      <c r="T1875" s="7"/>
    </row>
    <row r="1876" spans="2:20" x14ac:dyDescent="0.3">
      <c r="B1876" s="18" t="s">
        <v>4046</v>
      </c>
      <c r="C1876" s="13">
        <v>20</v>
      </c>
      <c r="D1876" s="21" t="s">
        <v>4047</v>
      </c>
      <c r="E1876" s="24">
        <v>31</v>
      </c>
      <c r="L1876" s="4"/>
      <c r="M1876" s="7"/>
      <c r="O1876" s="7"/>
      <c r="T1876" s="7"/>
    </row>
    <row r="1877" spans="2:20" x14ac:dyDescent="0.3">
      <c r="B1877" s="18" t="s">
        <v>4048</v>
      </c>
      <c r="C1877" s="13">
        <v>21</v>
      </c>
      <c r="D1877" s="21" t="s">
        <v>4049</v>
      </c>
      <c r="E1877" s="24">
        <v>30</v>
      </c>
      <c r="L1877" s="4"/>
      <c r="M1877" s="7"/>
      <c r="O1877" s="7"/>
      <c r="T1877" s="7"/>
    </row>
    <row r="1878" spans="2:20" x14ac:dyDescent="0.3">
      <c r="B1878" s="18" t="s">
        <v>4050</v>
      </c>
      <c r="C1878" s="13">
        <v>22</v>
      </c>
      <c r="D1878" s="21" t="s">
        <v>4051</v>
      </c>
      <c r="E1878" s="24">
        <v>29</v>
      </c>
      <c r="L1878" s="4"/>
      <c r="M1878" s="7"/>
      <c r="O1878" s="7"/>
      <c r="T1878" s="7"/>
    </row>
    <row r="1879" spans="2:20" x14ac:dyDescent="0.3">
      <c r="B1879" s="18" t="s">
        <v>4052</v>
      </c>
      <c r="C1879" s="13">
        <v>23</v>
      </c>
      <c r="D1879" s="21" t="s">
        <v>4053</v>
      </c>
      <c r="E1879" s="24">
        <v>28</v>
      </c>
      <c r="L1879" s="4"/>
      <c r="M1879" s="7"/>
      <c r="O1879" s="7"/>
      <c r="T1879" s="7"/>
    </row>
    <row r="1880" spans="2:20" x14ac:dyDescent="0.3">
      <c r="B1880" s="18" t="s">
        <v>4054</v>
      </c>
      <c r="C1880" s="13">
        <v>24</v>
      </c>
      <c r="D1880" s="21" t="s">
        <v>4055</v>
      </c>
      <c r="E1880" s="24">
        <v>50</v>
      </c>
      <c r="L1880" s="4"/>
      <c r="M1880" s="7"/>
      <c r="O1880" s="7"/>
    </row>
    <row r="1881" spans="2:20" x14ac:dyDescent="0.3">
      <c r="B1881" s="18" t="s">
        <v>4056</v>
      </c>
      <c r="C1881" s="13">
        <v>25</v>
      </c>
      <c r="D1881" s="21" t="s">
        <v>4057</v>
      </c>
      <c r="E1881" s="24">
        <v>49</v>
      </c>
      <c r="L1881" s="4"/>
      <c r="M1881" s="7"/>
      <c r="O1881" s="7"/>
      <c r="T1881" s="7"/>
    </row>
    <row r="1882" spans="2:20" x14ac:dyDescent="0.3">
      <c r="B1882" s="18" t="s">
        <v>4058</v>
      </c>
      <c r="C1882" s="13">
        <v>26</v>
      </c>
      <c r="D1882" s="21" t="s">
        <v>4059</v>
      </c>
      <c r="E1882" s="24">
        <v>48</v>
      </c>
      <c r="L1882" s="4"/>
      <c r="M1882" s="7"/>
      <c r="O1882" s="7"/>
      <c r="T1882" s="7"/>
    </row>
    <row r="1883" spans="2:20" x14ac:dyDescent="0.3">
      <c r="B1883" s="18" t="s">
        <v>4060</v>
      </c>
      <c r="C1883" s="13">
        <v>27</v>
      </c>
      <c r="D1883" s="21" t="s">
        <v>4061</v>
      </c>
      <c r="E1883" s="24">
        <v>47</v>
      </c>
      <c r="L1883" s="4"/>
      <c r="M1883" s="7"/>
      <c r="O1883" s="7"/>
      <c r="T1883" s="7"/>
    </row>
    <row r="1884" spans="2:20" x14ac:dyDescent="0.3">
      <c r="B1884" s="18" t="s">
        <v>4062</v>
      </c>
      <c r="C1884" s="13">
        <v>28</v>
      </c>
      <c r="D1884" s="21" t="s">
        <v>4063</v>
      </c>
      <c r="E1884" s="24">
        <v>46</v>
      </c>
      <c r="L1884" s="4"/>
      <c r="M1884" s="7"/>
      <c r="O1884" s="7"/>
      <c r="T1884" s="7"/>
    </row>
    <row r="1885" spans="2:20" x14ac:dyDescent="0.3">
      <c r="B1885" s="18" t="s">
        <v>4064</v>
      </c>
      <c r="C1885" s="13">
        <v>29</v>
      </c>
      <c r="D1885" s="21" t="s">
        <v>4065</v>
      </c>
      <c r="E1885" s="24">
        <v>45</v>
      </c>
      <c r="L1885" s="4"/>
      <c r="M1885" s="7"/>
      <c r="O1885" s="7"/>
      <c r="T1885" s="7"/>
    </row>
    <row r="1886" spans="2:20" x14ac:dyDescent="0.3">
      <c r="B1886" s="18" t="s">
        <v>4066</v>
      </c>
      <c r="C1886" s="13">
        <v>3</v>
      </c>
      <c r="D1886" s="21" t="s">
        <v>4067</v>
      </c>
      <c r="E1886" s="24">
        <v>27</v>
      </c>
      <c r="L1886" s="4"/>
      <c r="M1886" s="7"/>
      <c r="O1886" s="7"/>
      <c r="T1886" s="7"/>
    </row>
    <row r="1887" spans="2:20" x14ac:dyDescent="0.3">
      <c r="B1887" s="18" t="s">
        <v>4068</v>
      </c>
      <c r="C1887" s="13">
        <v>30</v>
      </c>
      <c r="D1887" s="21" t="s">
        <v>4069</v>
      </c>
      <c r="E1887" s="24">
        <v>44</v>
      </c>
      <c r="L1887" s="4"/>
      <c r="M1887" s="7"/>
      <c r="O1887" s="7"/>
      <c r="T1887" s="7"/>
    </row>
    <row r="1888" spans="2:20" x14ac:dyDescent="0.3">
      <c r="B1888" s="18" t="s">
        <v>4070</v>
      </c>
      <c r="C1888" s="13">
        <v>4</v>
      </c>
      <c r="D1888" s="21" t="s">
        <v>4071</v>
      </c>
      <c r="E1888" s="24">
        <v>43</v>
      </c>
      <c r="L1888" s="4"/>
      <c r="M1888" s="7"/>
      <c r="O1888" s="7"/>
      <c r="T1888" s="7"/>
    </row>
    <row r="1889" spans="2:20" x14ac:dyDescent="0.3">
      <c r="B1889" s="18" t="s">
        <v>4072</v>
      </c>
      <c r="C1889" s="13">
        <v>5</v>
      </c>
      <c r="D1889" s="21" t="s">
        <v>4073</v>
      </c>
      <c r="E1889" s="24">
        <v>42</v>
      </c>
      <c r="L1889" s="4"/>
      <c r="M1889" s="7"/>
      <c r="O1889" s="7"/>
      <c r="T1889" s="7"/>
    </row>
    <row r="1890" spans="2:20" x14ac:dyDescent="0.3">
      <c r="B1890" s="18" t="s">
        <v>4074</v>
      </c>
      <c r="C1890" s="13">
        <v>6</v>
      </c>
      <c r="D1890" s="21" t="s">
        <v>4075</v>
      </c>
      <c r="E1890" s="24">
        <v>41</v>
      </c>
      <c r="L1890" s="4"/>
      <c r="M1890" s="7"/>
      <c r="O1890" s="7"/>
      <c r="T1890" s="7"/>
    </row>
    <row r="1891" spans="2:20" x14ac:dyDescent="0.3">
      <c r="B1891" s="18" t="s">
        <v>4076</v>
      </c>
      <c r="C1891" s="13">
        <v>7</v>
      </c>
      <c r="D1891" s="21" t="s">
        <v>4077</v>
      </c>
      <c r="E1891" s="24">
        <v>40</v>
      </c>
      <c r="L1891" s="4"/>
      <c r="M1891" s="7"/>
      <c r="O1891" s="7"/>
      <c r="T1891" s="7"/>
    </row>
    <row r="1892" spans="2:20" x14ac:dyDescent="0.3">
      <c r="B1892" s="18" t="s">
        <v>4078</v>
      </c>
      <c r="C1892" s="13">
        <v>8</v>
      </c>
      <c r="D1892" s="21" t="s">
        <v>4079</v>
      </c>
      <c r="E1892" s="24">
        <v>39</v>
      </c>
      <c r="L1892" s="4"/>
      <c r="M1892" s="7"/>
      <c r="O1892" s="7"/>
      <c r="T1892" s="7"/>
    </row>
    <row r="1893" spans="2:20" x14ac:dyDescent="0.3">
      <c r="B1893" s="18" t="s">
        <v>4080</v>
      </c>
      <c r="C1893" s="13">
        <v>9</v>
      </c>
      <c r="D1893" s="21" t="s">
        <v>4081</v>
      </c>
      <c r="E1893" s="24">
        <v>38</v>
      </c>
      <c r="L1893" s="4"/>
      <c r="M1893" s="7"/>
      <c r="O1893" s="7"/>
      <c r="T1893" s="7"/>
    </row>
    <row r="1894" spans="2:20" x14ac:dyDescent="0.3">
      <c r="B1894" s="18" t="s">
        <v>4082</v>
      </c>
      <c r="C1894" s="13">
        <v>60</v>
      </c>
      <c r="D1894" s="21" t="s">
        <v>4083</v>
      </c>
      <c r="E1894" s="24">
        <v>37</v>
      </c>
      <c r="L1894" s="4"/>
      <c r="M1894" s="7"/>
      <c r="O1894" s="7"/>
      <c r="T1894" s="7"/>
    </row>
    <row r="1895" spans="2:20" x14ac:dyDescent="0.3">
      <c r="B1895" s="18" t="s">
        <v>4084</v>
      </c>
      <c r="C1895" s="13">
        <v>51</v>
      </c>
      <c r="D1895" s="21" t="s">
        <v>4085</v>
      </c>
      <c r="E1895" s="24">
        <v>36</v>
      </c>
      <c r="L1895" s="4"/>
      <c r="M1895" s="7"/>
      <c r="O1895" s="7"/>
      <c r="T1895" s="7"/>
    </row>
    <row r="1896" spans="2:20" x14ac:dyDescent="0.3">
      <c r="B1896" s="18" t="s">
        <v>4086</v>
      </c>
      <c r="C1896" s="13">
        <v>50</v>
      </c>
      <c r="D1896" s="21" t="s">
        <v>4087</v>
      </c>
      <c r="E1896" s="24">
        <v>35</v>
      </c>
      <c r="L1896" s="4"/>
      <c r="M1896" s="7"/>
      <c r="O1896" s="7"/>
      <c r="T1896" s="7"/>
    </row>
    <row r="1897" spans="2:20" x14ac:dyDescent="0.3">
      <c r="B1897" s="18" t="s">
        <v>4088</v>
      </c>
      <c r="C1897" s="13">
        <v>49</v>
      </c>
      <c r="D1897" s="21" t="s">
        <v>4089</v>
      </c>
      <c r="E1897" s="24">
        <v>26</v>
      </c>
      <c r="L1897" s="4"/>
      <c r="M1897" s="7"/>
      <c r="O1897" s="7"/>
      <c r="T1897" s="7"/>
    </row>
    <row r="1898" spans="2:20" x14ac:dyDescent="0.3">
      <c r="B1898" s="18" t="s">
        <v>4090</v>
      </c>
      <c r="C1898" s="13">
        <v>48</v>
      </c>
      <c r="D1898" s="21" t="s">
        <v>4091</v>
      </c>
      <c r="E1898" s="24">
        <v>9</v>
      </c>
      <c r="L1898" s="4"/>
      <c r="M1898" s="7"/>
      <c r="O1898" s="7"/>
      <c r="T1898" s="7"/>
    </row>
    <row r="1899" spans="2:20" x14ac:dyDescent="0.3">
      <c r="B1899" s="18" t="s">
        <v>4092</v>
      </c>
      <c r="C1899" s="13">
        <v>47</v>
      </c>
      <c r="D1899" s="21" t="s">
        <v>4093</v>
      </c>
      <c r="E1899" s="24">
        <v>8</v>
      </c>
      <c r="L1899" s="4"/>
      <c r="M1899" s="7"/>
      <c r="O1899" s="7"/>
      <c r="T1899" s="7"/>
    </row>
    <row r="1900" spans="2:20" x14ac:dyDescent="0.3">
      <c r="B1900" s="18" t="s">
        <v>4094</v>
      </c>
      <c r="C1900" s="13">
        <v>46</v>
      </c>
      <c r="D1900" s="21" t="s">
        <v>4095</v>
      </c>
      <c r="E1900" s="24">
        <v>7</v>
      </c>
      <c r="L1900" s="4"/>
      <c r="M1900" s="7"/>
      <c r="O1900" s="7"/>
      <c r="T1900" s="7"/>
    </row>
    <row r="1901" spans="2:20" x14ac:dyDescent="0.3">
      <c r="B1901" s="18" t="s">
        <v>4096</v>
      </c>
      <c r="C1901" s="13">
        <v>45</v>
      </c>
      <c r="D1901" s="21" t="s">
        <v>4097</v>
      </c>
      <c r="E1901" s="24">
        <v>6</v>
      </c>
      <c r="L1901" s="4"/>
      <c r="M1901" s="7"/>
      <c r="O1901" s="7"/>
      <c r="T1901" s="7"/>
    </row>
    <row r="1902" spans="2:20" x14ac:dyDescent="0.3">
      <c r="B1902" s="18" t="s">
        <v>4098</v>
      </c>
      <c r="C1902" s="13">
        <v>44</v>
      </c>
      <c r="D1902" s="21" t="s">
        <v>4099</v>
      </c>
      <c r="E1902" s="24">
        <v>5</v>
      </c>
      <c r="L1902" s="4"/>
      <c r="M1902" s="7"/>
      <c r="O1902" s="7"/>
      <c r="T1902" s="7"/>
    </row>
    <row r="1903" spans="2:20" x14ac:dyDescent="0.3">
      <c r="B1903" s="18" t="s">
        <v>4100</v>
      </c>
      <c r="C1903" s="13">
        <v>43</v>
      </c>
      <c r="D1903" s="21" t="s">
        <v>4101</v>
      </c>
      <c r="E1903" s="24">
        <v>4</v>
      </c>
      <c r="L1903" s="4"/>
      <c r="M1903" s="7"/>
      <c r="O1903" s="7"/>
      <c r="T1903" s="7"/>
    </row>
    <row r="1904" spans="2:20" x14ac:dyDescent="0.3">
      <c r="B1904" s="18" t="s">
        <v>4102</v>
      </c>
      <c r="C1904" s="13">
        <v>42</v>
      </c>
      <c r="D1904" s="21" t="s">
        <v>4103</v>
      </c>
      <c r="E1904" s="24">
        <v>3</v>
      </c>
      <c r="L1904" s="4"/>
      <c r="M1904" s="7"/>
      <c r="O1904" s="7"/>
      <c r="T1904" s="7"/>
    </row>
    <row r="1905" spans="2:20" x14ac:dyDescent="0.3">
      <c r="B1905" s="18" t="s">
        <v>4104</v>
      </c>
      <c r="C1905" s="13">
        <v>59</v>
      </c>
      <c r="D1905" s="21" t="s">
        <v>4105</v>
      </c>
      <c r="E1905" s="24">
        <v>25</v>
      </c>
      <c r="L1905" s="4"/>
      <c r="M1905" s="7"/>
      <c r="O1905" s="7"/>
      <c r="T1905" s="7"/>
    </row>
    <row r="1906" spans="2:20" x14ac:dyDescent="0.3">
      <c r="B1906" s="18" t="s">
        <v>4106</v>
      </c>
      <c r="C1906" s="13">
        <v>41</v>
      </c>
      <c r="D1906" s="21" t="s">
        <v>4107</v>
      </c>
      <c r="E1906" s="24">
        <v>24</v>
      </c>
      <c r="L1906" s="4"/>
      <c r="M1906" s="7"/>
      <c r="O1906" s="7"/>
      <c r="T1906" s="7"/>
    </row>
    <row r="1907" spans="2:20" x14ac:dyDescent="0.3">
      <c r="B1907" s="18" t="s">
        <v>4108</v>
      </c>
      <c r="C1907" s="13">
        <v>40</v>
      </c>
      <c r="D1907" s="21" t="s">
        <v>4109</v>
      </c>
      <c r="E1907" s="24">
        <v>23</v>
      </c>
      <c r="L1907" s="4"/>
      <c r="M1907" s="7"/>
      <c r="O1907" s="7"/>
      <c r="T1907" s="7"/>
    </row>
    <row r="1908" spans="2:20" x14ac:dyDescent="0.3">
      <c r="B1908" s="18" t="s">
        <v>4110</v>
      </c>
      <c r="C1908" s="13">
        <v>39</v>
      </c>
      <c r="D1908" s="21" t="s">
        <v>4111</v>
      </c>
      <c r="E1908" s="24">
        <v>22</v>
      </c>
      <c r="L1908" s="4"/>
      <c r="M1908" s="7"/>
      <c r="O1908" s="7"/>
      <c r="T1908" s="7"/>
    </row>
    <row r="1909" spans="2:20" x14ac:dyDescent="0.3">
      <c r="B1909" s="18" t="s">
        <v>4112</v>
      </c>
      <c r="C1909" s="13">
        <v>38</v>
      </c>
      <c r="D1909" s="21" t="s">
        <v>4113</v>
      </c>
      <c r="E1909" s="24">
        <v>21</v>
      </c>
      <c r="L1909" s="4"/>
      <c r="M1909" s="7"/>
      <c r="O1909" s="7"/>
      <c r="T1909" s="7"/>
    </row>
    <row r="1910" spans="2:20" x14ac:dyDescent="0.3">
      <c r="B1910" s="18" t="s">
        <v>4114</v>
      </c>
      <c r="C1910" s="13">
        <v>37</v>
      </c>
      <c r="D1910" s="21" t="s">
        <v>4115</v>
      </c>
      <c r="E1910" s="24">
        <v>20</v>
      </c>
      <c r="L1910" s="4"/>
      <c r="M1910" s="7"/>
      <c r="O1910" s="7"/>
      <c r="T1910" s="7"/>
    </row>
    <row r="1911" spans="2:20" x14ac:dyDescent="0.3">
      <c r="B1911" s="18" t="s">
        <v>4116</v>
      </c>
      <c r="C1911" s="13">
        <v>36</v>
      </c>
      <c r="D1911" s="21" t="s">
        <v>4117</v>
      </c>
      <c r="E1911" s="24">
        <v>2</v>
      </c>
      <c r="L1911" s="4"/>
      <c r="M1911" s="7"/>
      <c r="O1911" s="7"/>
      <c r="T1911" s="7"/>
    </row>
    <row r="1912" spans="2:20" x14ac:dyDescent="0.3">
      <c r="B1912" s="18" t="s">
        <v>4118</v>
      </c>
      <c r="C1912" s="13">
        <v>35</v>
      </c>
      <c r="D1912" s="21" t="s">
        <v>4119</v>
      </c>
      <c r="E1912" s="24">
        <v>19</v>
      </c>
      <c r="L1912" s="4"/>
      <c r="M1912" s="7"/>
      <c r="O1912" s="7"/>
      <c r="T1912" s="7"/>
    </row>
    <row r="1913" spans="2:20" x14ac:dyDescent="0.3">
      <c r="B1913" s="18" t="s">
        <v>4120</v>
      </c>
      <c r="C1913" s="13">
        <v>34</v>
      </c>
      <c r="D1913" s="21" t="s">
        <v>4121</v>
      </c>
      <c r="E1913" s="24">
        <v>18</v>
      </c>
      <c r="L1913" s="4"/>
      <c r="M1913" s="7"/>
      <c r="O1913" s="7"/>
      <c r="T1913" s="7"/>
    </row>
    <row r="1914" spans="2:20" x14ac:dyDescent="0.3">
      <c r="B1914" s="18" t="s">
        <v>4122</v>
      </c>
      <c r="C1914" s="13">
        <v>33</v>
      </c>
      <c r="D1914" s="21" t="s">
        <v>4123</v>
      </c>
      <c r="E1914" s="24">
        <v>17</v>
      </c>
      <c r="L1914" s="4"/>
      <c r="M1914" s="7"/>
      <c r="O1914" s="7"/>
      <c r="T1914" s="7"/>
    </row>
    <row r="1915" spans="2:20" x14ac:dyDescent="0.3">
      <c r="B1915" s="18" t="s">
        <v>4124</v>
      </c>
      <c r="C1915" s="13">
        <v>32</v>
      </c>
      <c r="D1915" s="21" t="s">
        <v>4125</v>
      </c>
      <c r="E1915" s="24">
        <v>16</v>
      </c>
      <c r="L1915" s="4"/>
      <c r="M1915" s="7"/>
      <c r="O1915" s="7"/>
      <c r="T1915" s="7"/>
    </row>
    <row r="1916" spans="2:20" x14ac:dyDescent="0.3">
      <c r="B1916" s="18" t="s">
        <v>4126</v>
      </c>
      <c r="C1916" s="13">
        <v>58</v>
      </c>
      <c r="D1916" s="21" t="s">
        <v>4127</v>
      </c>
      <c r="E1916" s="24">
        <v>15</v>
      </c>
      <c r="L1916" s="4"/>
      <c r="M1916" s="7"/>
      <c r="O1916" s="7"/>
      <c r="T1916" s="7"/>
    </row>
    <row r="1917" spans="2:20" x14ac:dyDescent="0.3">
      <c r="B1917" s="18" t="s">
        <v>4128</v>
      </c>
      <c r="C1917" s="13">
        <v>31</v>
      </c>
      <c r="D1917" s="21" t="s">
        <v>4129</v>
      </c>
      <c r="E1917" s="24">
        <v>14</v>
      </c>
      <c r="L1917" s="4"/>
      <c r="M1917" s="7"/>
      <c r="O1917" s="7"/>
      <c r="T1917" s="7"/>
    </row>
    <row r="1918" spans="2:20" x14ac:dyDescent="0.3">
      <c r="B1918" s="18" t="s">
        <v>4130</v>
      </c>
      <c r="C1918" s="13">
        <v>57</v>
      </c>
      <c r="D1918" s="21" t="s">
        <v>4131</v>
      </c>
      <c r="E1918" s="24">
        <v>13</v>
      </c>
      <c r="L1918" s="4"/>
      <c r="M1918" s="7"/>
      <c r="O1918" s="7"/>
      <c r="T1918" s="7"/>
    </row>
    <row r="1919" spans="2:20" x14ac:dyDescent="0.3">
      <c r="B1919" s="18" t="s">
        <v>4132</v>
      </c>
      <c r="C1919" s="13">
        <v>56</v>
      </c>
      <c r="D1919" s="21" t="s">
        <v>4133</v>
      </c>
      <c r="E1919" s="24">
        <v>12</v>
      </c>
      <c r="L1919" s="4"/>
      <c r="M1919" s="7"/>
      <c r="O1919" s="7"/>
    </row>
    <row r="1920" spans="2:20" x14ac:dyDescent="0.3">
      <c r="B1920" s="18" t="s">
        <v>4134</v>
      </c>
      <c r="C1920" s="13">
        <v>55</v>
      </c>
      <c r="D1920" s="21" t="s">
        <v>4135</v>
      </c>
      <c r="E1920" s="24">
        <v>11</v>
      </c>
      <c r="L1920" s="4"/>
      <c r="M1920" s="7"/>
      <c r="O1920" s="7"/>
      <c r="T1920" s="7"/>
    </row>
    <row r="1921" spans="2:20" x14ac:dyDescent="0.3">
      <c r="B1921" s="18" t="s">
        <v>4136</v>
      </c>
      <c r="C1921" s="13">
        <v>54</v>
      </c>
      <c r="D1921" s="21" t="s">
        <v>4137</v>
      </c>
      <c r="E1921" s="24">
        <v>10</v>
      </c>
      <c r="L1921" s="4"/>
      <c r="M1921" s="7"/>
      <c r="O1921" s="7"/>
      <c r="T1921" s="7"/>
    </row>
    <row r="1922" spans="2:20" x14ac:dyDescent="0.3">
      <c r="B1922" s="18" t="s">
        <v>4138</v>
      </c>
      <c r="C1922" s="13">
        <v>53</v>
      </c>
      <c r="D1922" s="21" t="s">
        <v>4139</v>
      </c>
      <c r="E1922" s="24">
        <v>1</v>
      </c>
      <c r="L1922" s="4"/>
      <c r="M1922" s="7"/>
      <c r="O1922" s="7"/>
      <c r="T1922" s="7"/>
    </row>
    <row r="1923" spans="2:20" x14ac:dyDescent="0.3">
      <c r="B1923" s="18" t="s">
        <v>4140</v>
      </c>
      <c r="C1923" s="13">
        <v>52</v>
      </c>
      <c r="D1923" s="21" t="s">
        <v>4141</v>
      </c>
      <c r="E1923" s="24">
        <v>67</v>
      </c>
      <c r="L1923" s="4"/>
      <c r="M1923" s="7"/>
      <c r="O1923" s="7"/>
    </row>
    <row r="1924" spans="2:20" x14ac:dyDescent="0.3">
      <c r="B1924" s="18" t="s">
        <v>4142</v>
      </c>
      <c r="C1924" s="13">
        <v>61</v>
      </c>
      <c r="D1924" s="21" t="s">
        <v>4143</v>
      </c>
      <c r="E1924" s="24">
        <v>68</v>
      </c>
      <c r="L1924" s="4"/>
      <c r="M1924" s="7"/>
      <c r="O1924" s="7"/>
      <c r="T1924" s="7"/>
    </row>
    <row r="1925" spans="2:20" x14ac:dyDescent="0.3">
      <c r="B1925" s="18" t="s">
        <v>4144</v>
      </c>
      <c r="C1925" s="13">
        <v>70</v>
      </c>
      <c r="D1925" s="21" t="s">
        <v>4145</v>
      </c>
      <c r="E1925" s="24">
        <v>69</v>
      </c>
      <c r="L1925" s="4"/>
      <c r="M1925" s="7"/>
      <c r="O1925" s="7"/>
      <c r="T1925" s="7"/>
    </row>
    <row r="1926" spans="2:20" x14ac:dyDescent="0.3">
      <c r="B1926" s="18" t="s">
        <v>4146</v>
      </c>
      <c r="C1926" s="13">
        <v>71</v>
      </c>
      <c r="D1926" s="21" t="s">
        <v>4147</v>
      </c>
      <c r="E1926" s="24">
        <v>70</v>
      </c>
      <c r="L1926" s="4"/>
      <c r="M1926" s="7"/>
      <c r="O1926" s="7"/>
      <c r="T1926" s="7"/>
    </row>
    <row r="1927" spans="2:20" x14ac:dyDescent="0.3">
      <c r="B1927" s="18" t="s">
        <v>4148</v>
      </c>
      <c r="C1927" s="13">
        <v>72</v>
      </c>
      <c r="D1927" s="21" t="s">
        <v>4149</v>
      </c>
      <c r="E1927" s="24">
        <v>71</v>
      </c>
      <c r="L1927" s="4"/>
      <c r="M1927" s="7"/>
      <c r="O1927" s="7"/>
      <c r="T1927" s="7"/>
    </row>
    <row r="1928" spans="2:20" x14ac:dyDescent="0.3">
      <c r="B1928" s="18" t="s">
        <v>4150</v>
      </c>
      <c r="C1928" s="13">
        <v>73</v>
      </c>
      <c r="D1928" s="21" t="s">
        <v>4151</v>
      </c>
      <c r="E1928" s="24">
        <v>72</v>
      </c>
      <c r="L1928" s="4"/>
      <c r="M1928" s="7"/>
      <c r="O1928" s="7"/>
      <c r="T1928" s="7"/>
    </row>
    <row r="1929" spans="2:20" x14ac:dyDescent="0.3">
      <c r="B1929" s="18" t="s">
        <v>4152</v>
      </c>
      <c r="C1929" s="13">
        <v>74</v>
      </c>
      <c r="D1929" s="21" t="s">
        <v>4153</v>
      </c>
      <c r="E1929" s="24">
        <v>73</v>
      </c>
      <c r="L1929" s="4"/>
      <c r="M1929" s="7"/>
      <c r="O1929" s="7"/>
      <c r="T1929" s="7"/>
    </row>
    <row r="1930" spans="2:20" x14ac:dyDescent="0.3">
      <c r="B1930" s="18" t="s">
        <v>4154</v>
      </c>
      <c r="C1930" s="13">
        <v>75</v>
      </c>
      <c r="D1930" s="21" t="s">
        <v>4155</v>
      </c>
      <c r="E1930" s="24">
        <v>51</v>
      </c>
      <c r="L1930" s="4"/>
      <c r="M1930" s="7"/>
      <c r="O1930" s="7"/>
      <c r="T1930" s="7"/>
    </row>
    <row r="1931" spans="2:20" x14ac:dyDescent="0.3">
      <c r="B1931" s="18" t="s">
        <v>4156</v>
      </c>
      <c r="C1931" s="13">
        <v>76</v>
      </c>
      <c r="D1931" s="21" t="s">
        <v>4157</v>
      </c>
      <c r="E1931" s="24">
        <v>52</v>
      </c>
      <c r="L1931" s="4"/>
      <c r="M1931" s="7"/>
      <c r="O1931" s="7"/>
      <c r="T1931" s="7"/>
    </row>
    <row r="1932" spans="2:20" x14ac:dyDescent="0.3">
      <c r="B1932" s="18" t="s">
        <v>4158</v>
      </c>
      <c r="C1932" s="13">
        <v>77</v>
      </c>
      <c r="D1932" s="21" t="s">
        <v>4159</v>
      </c>
      <c r="E1932" s="24">
        <v>53</v>
      </c>
      <c r="L1932" s="4"/>
      <c r="M1932" s="7"/>
      <c r="O1932" s="7"/>
      <c r="T1932" s="7"/>
    </row>
    <row r="1933" spans="2:20" x14ac:dyDescent="0.3">
      <c r="B1933" s="18" t="s">
        <v>4160</v>
      </c>
      <c r="C1933" s="13">
        <v>78</v>
      </c>
      <c r="D1933" s="21" t="s">
        <v>4161</v>
      </c>
      <c r="E1933" s="24">
        <v>54</v>
      </c>
      <c r="L1933" s="4"/>
      <c r="M1933" s="7"/>
      <c r="O1933" s="7"/>
      <c r="T1933" s="7"/>
    </row>
    <row r="1934" spans="2:20" x14ac:dyDescent="0.3">
      <c r="B1934" s="18" t="s">
        <v>4162</v>
      </c>
      <c r="C1934" s="13">
        <v>79</v>
      </c>
      <c r="D1934" s="21" t="s">
        <v>4163</v>
      </c>
      <c r="E1934" s="24">
        <v>55</v>
      </c>
      <c r="L1934" s="4"/>
      <c r="M1934" s="7"/>
      <c r="O1934" s="7"/>
      <c r="T1934" s="7"/>
    </row>
    <row r="1935" spans="2:20" x14ac:dyDescent="0.3">
      <c r="B1935" s="18" t="s">
        <v>4164</v>
      </c>
      <c r="C1935" s="13">
        <v>62</v>
      </c>
      <c r="D1935" s="21" t="s">
        <v>4165</v>
      </c>
      <c r="E1935" s="24">
        <v>56</v>
      </c>
      <c r="L1935" s="4"/>
      <c r="M1935" s="7"/>
      <c r="O1935" s="7"/>
      <c r="T1935" s="7"/>
    </row>
    <row r="1936" spans="2:20" x14ac:dyDescent="0.3">
      <c r="B1936" s="18" t="s">
        <v>4166</v>
      </c>
      <c r="C1936" s="13">
        <v>80</v>
      </c>
      <c r="D1936" s="21" t="s">
        <v>4167</v>
      </c>
      <c r="E1936" s="24">
        <v>74</v>
      </c>
      <c r="L1936" s="4"/>
      <c r="M1936" s="7"/>
      <c r="O1936" s="7"/>
      <c r="T1936" s="7"/>
    </row>
    <row r="1937" spans="2:20" x14ac:dyDescent="0.3">
      <c r="B1937" s="18" t="s">
        <v>4168</v>
      </c>
      <c r="C1937" s="13">
        <v>81</v>
      </c>
      <c r="D1937" s="21" t="s">
        <v>4169</v>
      </c>
      <c r="E1937" s="24">
        <v>57</v>
      </c>
      <c r="L1937" s="4"/>
      <c r="M1937" s="7"/>
      <c r="O1937" s="7"/>
      <c r="T1937" s="7"/>
    </row>
    <row r="1938" spans="2:20" x14ac:dyDescent="0.3">
      <c r="B1938" s="18" t="s">
        <v>4170</v>
      </c>
      <c r="C1938" s="13">
        <v>82</v>
      </c>
      <c r="D1938" s="21" t="s">
        <v>4171</v>
      </c>
      <c r="E1938" s="24">
        <v>58</v>
      </c>
      <c r="L1938" s="4"/>
      <c r="M1938" s="7"/>
      <c r="O1938" s="7"/>
      <c r="T1938" s="7"/>
    </row>
    <row r="1939" spans="2:20" x14ac:dyDescent="0.3">
      <c r="B1939" s="18" t="s">
        <v>4172</v>
      </c>
      <c r="C1939" s="13">
        <v>83</v>
      </c>
      <c r="D1939" s="21" t="s">
        <v>4173</v>
      </c>
      <c r="E1939" s="24">
        <v>59</v>
      </c>
      <c r="L1939" s="4"/>
      <c r="M1939" s="7"/>
      <c r="O1939" s="7"/>
      <c r="T1939" s="7"/>
    </row>
    <row r="1940" spans="2:20" x14ac:dyDescent="0.3">
      <c r="B1940" s="18" t="s">
        <v>4174</v>
      </c>
      <c r="C1940" s="13">
        <v>84</v>
      </c>
      <c r="D1940" s="21" t="s">
        <v>4175</v>
      </c>
      <c r="E1940" s="24">
        <v>60</v>
      </c>
      <c r="L1940" s="4"/>
      <c r="M1940" s="7"/>
      <c r="O1940" s="7"/>
      <c r="T1940" s="7"/>
    </row>
    <row r="1941" spans="2:20" x14ac:dyDescent="0.3">
      <c r="B1941" s="18" t="s">
        <v>4176</v>
      </c>
      <c r="C1941" s="13">
        <v>85</v>
      </c>
      <c r="D1941" s="21" t="s">
        <v>4177</v>
      </c>
      <c r="E1941" s="24">
        <v>61</v>
      </c>
      <c r="L1941" s="4"/>
      <c r="M1941" s="7"/>
      <c r="O1941" s="7"/>
      <c r="T1941" s="7"/>
    </row>
    <row r="1942" spans="2:20" x14ac:dyDescent="0.3">
      <c r="B1942" s="18" t="s">
        <v>4178</v>
      </c>
      <c r="C1942" s="13">
        <v>86</v>
      </c>
      <c r="D1942" s="21" t="s">
        <v>4179</v>
      </c>
      <c r="E1942" s="24">
        <v>62</v>
      </c>
      <c r="L1942" s="4"/>
      <c r="M1942" s="7"/>
      <c r="O1942" s="7"/>
      <c r="T1942" s="7"/>
    </row>
    <row r="1943" spans="2:20" x14ac:dyDescent="0.3">
      <c r="B1943" s="18" t="s">
        <v>4180</v>
      </c>
      <c r="C1943" s="13">
        <v>87</v>
      </c>
      <c r="D1943" s="21" t="s">
        <v>4181</v>
      </c>
      <c r="E1943" s="24">
        <v>63</v>
      </c>
      <c r="L1943" s="4"/>
      <c r="M1943" s="7"/>
      <c r="O1943" s="7"/>
      <c r="T1943" s="7"/>
    </row>
    <row r="1944" spans="2:20" x14ac:dyDescent="0.3">
      <c r="B1944" s="18" t="s">
        <v>4182</v>
      </c>
      <c r="C1944" s="13">
        <v>88</v>
      </c>
      <c r="D1944" s="21" t="s">
        <v>4183</v>
      </c>
      <c r="E1944" s="24">
        <v>64</v>
      </c>
      <c r="L1944" s="4"/>
      <c r="M1944" s="7"/>
      <c r="O1944" s="7"/>
      <c r="T1944" s="7"/>
    </row>
    <row r="1945" spans="2:20" x14ac:dyDescent="0.3">
      <c r="B1945" s="18" t="s">
        <v>4184</v>
      </c>
      <c r="C1945" s="13">
        <v>89</v>
      </c>
      <c r="D1945" s="21" t="s">
        <v>4185</v>
      </c>
      <c r="E1945" s="24">
        <v>65</v>
      </c>
      <c r="L1945" s="4"/>
      <c r="M1945" s="7"/>
      <c r="O1945" s="7"/>
      <c r="T1945" s="7"/>
    </row>
    <row r="1946" spans="2:20" x14ac:dyDescent="0.3">
      <c r="B1946" s="18" t="s">
        <v>4186</v>
      </c>
      <c r="C1946" s="13">
        <v>63</v>
      </c>
      <c r="D1946" s="21" t="s">
        <v>4187</v>
      </c>
      <c r="E1946" s="24">
        <v>66</v>
      </c>
      <c r="L1946" s="4"/>
      <c r="M1946" s="7"/>
      <c r="O1946" s="7"/>
      <c r="T1946" s="7"/>
    </row>
    <row r="1947" spans="2:20" x14ac:dyDescent="0.3">
      <c r="B1947" s="18" t="s">
        <v>4188</v>
      </c>
      <c r="C1947" s="13">
        <v>90</v>
      </c>
      <c r="D1947" s="21" t="s">
        <v>4189</v>
      </c>
      <c r="E1947" s="24">
        <v>34</v>
      </c>
      <c r="L1947" s="4"/>
      <c r="M1947" s="7"/>
      <c r="O1947" s="7"/>
      <c r="T1947" s="7"/>
    </row>
    <row r="1948" spans="2:20" x14ac:dyDescent="0.3">
      <c r="B1948" s="18" t="s">
        <v>4190</v>
      </c>
      <c r="C1948" s="13">
        <v>64</v>
      </c>
      <c r="D1948" s="21" t="s">
        <v>4191</v>
      </c>
      <c r="E1948" s="24">
        <v>33</v>
      </c>
      <c r="L1948" s="4"/>
      <c r="M1948" s="7"/>
      <c r="O1948" s="7"/>
      <c r="T1948" s="7"/>
    </row>
    <row r="1949" spans="2:20" x14ac:dyDescent="0.3">
      <c r="B1949" s="18" t="s">
        <v>4192</v>
      </c>
      <c r="C1949" s="13">
        <v>65</v>
      </c>
      <c r="D1949" s="21" t="s">
        <v>4193</v>
      </c>
      <c r="E1949" s="24">
        <v>32</v>
      </c>
      <c r="L1949" s="4"/>
      <c r="M1949" s="7"/>
      <c r="O1949" s="7"/>
      <c r="T1949" s="7"/>
    </row>
    <row r="1950" spans="2:20" x14ac:dyDescent="0.3">
      <c r="B1950" s="18" t="s">
        <v>4194</v>
      </c>
      <c r="C1950" s="13">
        <v>66</v>
      </c>
      <c r="D1950" s="21" t="s">
        <v>4195</v>
      </c>
      <c r="E1950" s="24">
        <v>31</v>
      </c>
      <c r="L1950" s="4"/>
      <c r="M1950" s="7"/>
      <c r="O1950" s="7"/>
      <c r="T1950" s="7"/>
    </row>
    <row r="1951" spans="2:20" x14ac:dyDescent="0.3">
      <c r="B1951" s="18" t="s">
        <v>4196</v>
      </c>
      <c r="C1951" s="13">
        <v>67</v>
      </c>
      <c r="D1951" s="21" t="s">
        <v>4197</v>
      </c>
      <c r="E1951" s="24">
        <v>30</v>
      </c>
      <c r="L1951" s="4"/>
      <c r="M1951" s="7"/>
      <c r="O1951" s="7"/>
      <c r="T1951" s="7"/>
    </row>
    <row r="1952" spans="2:20" x14ac:dyDescent="0.3">
      <c r="B1952" s="18" t="s">
        <v>4198</v>
      </c>
      <c r="C1952" s="13">
        <v>68</v>
      </c>
      <c r="D1952" s="21" t="s">
        <v>4199</v>
      </c>
      <c r="E1952" s="24">
        <v>29</v>
      </c>
      <c r="L1952" s="4"/>
      <c r="M1952" s="7"/>
      <c r="O1952" s="7"/>
      <c r="T1952" s="7"/>
    </row>
    <row r="1953" spans="2:20" x14ac:dyDescent="0.3">
      <c r="B1953" s="18" t="s">
        <v>4200</v>
      </c>
      <c r="C1953" s="13">
        <v>69</v>
      </c>
      <c r="D1953" s="21" t="s">
        <v>4201</v>
      </c>
      <c r="E1953" s="24">
        <v>28</v>
      </c>
      <c r="L1953" s="4"/>
      <c r="M1953" s="7"/>
      <c r="O1953" s="7"/>
      <c r="T1953" s="7"/>
    </row>
    <row r="1954" spans="2:20" x14ac:dyDescent="0.3">
      <c r="B1954" s="18" t="s">
        <v>4202</v>
      </c>
      <c r="C1954" s="13">
        <v>111</v>
      </c>
      <c r="D1954" s="21" t="s">
        <v>4203</v>
      </c>
      <c r="E1954" s="24">
        <v>50</v>
      </c>
      <c r="L1954" s="4"/>
      <c r="M1954" s="7"/>
      <c r="O1954" s="7"/>
      <c r="T1954" s="7"/>
    </row>
    <row r="1955" spans="2:20" x14ac:dyDescent="0.3">
      <c r="B1955" s="18" t="s">
        <v>4204</v>
      </c>
      <c r="C1955" s="13">
        <v>110</v>
      </c>
      <c r="D1955" s="21" t="s">
        <v>4205</v>
      </c>
      <c r="E1955" s="24">
        <v>49</v>
      </c>
      <c r="L1955" s="4"/>
      <c r="M1955" s="7"/>
      <c r="O1955" s="7"/>
      <c r="T1955" s="7"/>
    </row>
    <row r="1956" spans="2:20" x14ac:dyDescent="0.3">
      <c r="B1956" s="18" t="s">
        <v>4206</v>
      </c>
      <c r="C1956" s="13">
        <v>109</v>
      </c>
      <c r="D1956" s="21" t="s">
        <v>4207</v>
      </c>
      <c r="E1956" s="24">
        <v>48</v>
      </c>
      <c r="L1956" s="4"/>
      <c r="M1956" s="7"/>
      <c r="O1956" s="7"/>
    </row>
    <row r="1957" spans="2:20" x14ac:dyDescent="0.3">
      <c r="B1957" s="18" t="s">
        <v>4208</v>
      </c>
      <c r="C1957" s="13">
        <v>108</v>
      </c>
      <c r="D1957" s="21" t="s">
        <v>4209</v>
      </c>
      <c r="E1957" s="24">
        <v>47</v>
      </c>
      <c r="L1957" s="4"/>
      <c r="M1957" s="7"/>
      <c r="O1957" s="7"/>
      <c r="T1957" s="7"/>
    </row>
    <row r="1958" spans="2:20" x14ac:dyDescent="0.3">
      <c r="B1958" s="18" t="s">
        <v>4210</v>
      </c>
      <c r="C1958" s="13">
        <v>107</v>
      </c>
      <c r="D1958" s="21" t="s">
        <v>4211</v>
      </c>
      <c r="E1958" s="24">
        <v>46</v>
      </c>
      <c r="L1958" s="4"/>
      <c r="M1958" s="7"/>
      <c r="O1958" s="7"/>
      <c r="T1958" s="7"/>
    </row>
    <row r="1959" spans="2:20" x14ac:dyDescent="0.3">
      <c r="B1959" s="18" t="s">
        <v>4212</v>
      </c>
      <c r="C1959" s="13">
        <v>106</v>
      </c>
      <c r="D1959" s="21" t="s">
        <v>4213</v>
      </c>
      <c r="E1959" s="24">
        <v>45</v>
      </c>
      <c r="L1959" s="4"/>
      <c r="M1959" s="7"/>
      <c r="O1959" s="7"/>
      <c r="T1959" s="7"/>
    </row>
    <row r="1960" spans="2:20" x14ac:dyDescent="0.3">
      <c r="B1960" s="18" t="s">
        <v>4214</v>
      </c>
      <c r="C1960" s="13">
        <v>105</v>
      </c>
      <c r="D1960" s="21" t="s">
        <v>4215</v>
      </c>
      <c r="E1960" s="24">
        <v>27</v>
      </c>
      <c r="L1960" s="4"/>
      <c r="M1960" s="7"/>
      <c r="O1960" s="7"/>
      <c r="T1960" s="7"/>
    </row>
    <row r="1961" spans="2:20" x14ac:dyDescent="0.3">
      <c r="B1961" s="18" t="s">
        <v>4216</v>
      </c>
      <c r="C1961" s="13">
        <v>104</v>
      </c>
      <c r="D1961" s="21" t="s">
        <v>4217</v>
      </c>
      <c r="E1961" s="24">
        <v>44</v>
      </c>
      <c r="L1961" s="4"/>
      <c r="M1961" s="7"/>
      <c r="O1961" s="7"/>
      <c r="T1961" s="7"/>
    </row>
    <row r="1962" spans="2:20" x14ac:dyDescent="0.3">
      <c r="B1962" s="18" t="s">
        <v>4218</v>
      </c>
      <c r="C1962" s="13">
        <v>103</v>
      </c>
      <c r="D1962" s="21" t="s">
        <v>4219</v>
      </c>
      <c r="E1962" s="24">
        <v>43</v>
      </c>
      <c r="L1962" s="4"/>
      <c r="M1962" s="7"/>
      <c r="O1962" s="7"/>
      <c r="T1962" s="7"/>
    </row>
    <row r="1963" spans="2:20" x14ac:dyDescent="0.3">
      <c r="B1963" s="18" t="s">
        <v>4220</v>
      </c>
      <c r="C1963" s="13">
        <v>102</v>
      </c>
      <c r="D1963" s="21" t="s">
        <v>4221</v>
      </c>
      <c r="E1963" s="24">
        <v>42</v>
      </c>
      <c r="L1963" s="4"/>
      <c r="M1963" s="7"/>
      <c r="O1963" s="7"/>
      <c r="T1963" s="7"/>
    </row>
    <row r="1964" spans="2:20" x14ac:dyDescent="0.3">
      <c r="B1964" s="18" t="s">
        <v>4222</v>
      </c>
      <c r="C1964" s="13">
        <v>101</v>
      </c>
      <c r="D1964" s="21" t="s">
        <v>4223</v>
      </c>
      <c r="E1964" s="24">
        <v>41</v>
      </c>
      <c r="L1964" s="4"/>
      <c r="M1964" s="7"/>
      <c r="O1964" s="7"/>
      <c r="T1964" s="7"/>
    </row>
    <row r="1965" spans="2:20" x14ac:dyDescent="0.3">
      <c r="B1965" s="18" t="s">
        <v>4224</v>
      </c>
      <c r="C1965" s="13">
        <v>100</v>
      </c>
      <c r="D1965" s="21" t="s">
        <v>4225</v>
      </c>
      <c r="E1965" s="24">
        <v>40</v>
      </c>
      <c r="L1965" s="4"/>
      <c r="M1965" s="7"/>
      <c r="O1965" s="7"/>
      <c r="T1965" s="7"/>
    </row>
    <row r="1966" spans="2:20" x14ac:dyDescent="0.3">
      <c r="B1966" s="18" t="s">
        <v>4226</v>
      </c>
      <c r="C1966" s="13">
        <v>99</v>
      </c>
      <c r="D1966" s="21" t="s">
        <v>4227</v>
      </c>
      <c r="E1966" s="24">
        <v>39</v>
      </c>
      <c r="L1966" s="4"/>
      <c r="M1966" s="7"/>
      <c r="O1966" s="7"/>
      <c r="T1966" s="7"/>
    </row>
    <row r="1967" spans="2:20" x14ac:dyDescent="0.3">
      <c r="B1967" s="18" t="s">
        <v>4228</v>
      </c>
      <c r="C1967" s="13">
        <v>98</v>
      </c>
      <c r="D1967" s="21" t="s">
        <v>4229</v>
      </c>
      <c r="E1967" s="24">
        <v>38</v>
      </c>
      <c r="L1967" s="4"/>
      <c r="M1967" s="7"/>
      <c r="O1967" s="7"/>
      <c r="T1967" s="7"/>
    </row>
    <row r="1968" spans="2:20" x14ac:dyDescent="0.3">
      <c r="B1968" s="18" t="s">
        <v>4230</v>
      </c>
      <c r="C1968" s="13">
        <v>97</v>
      </c>
      <c r="D1968" s="21" t="s">
        <v>4231</v>
      </c>
      <c r="E1968" s="24">
        <v>37</v>
      </c>
      <c r="L1968" s="4"/>
      <c r="M1968" s="7"/>
      <c r="O1968" s="7"/>
      <c r="T1968" s="7"/>
    </row>
    <row r="1969" spans="2:20" x14ac:dyDescent="0.3">
      <c r="B1969" s="18" t="s">
        <v>4232</v>
      </c>
      <c r="C1969" s="13">
        <v>96</v>
      </c>
      <c r="D1969" s="21" t="s">
        <v>4233</v>
      </c>
      <c r="E1969" s="24">
        <v>36</v>
      </c>
      <c r="L1969" s="4"/>
      <c r="M1969" s="7"/>
      <c r="O1969" s="7"/>
      <c r="T1969" s="7"/>
    </row>
    <row r="1970" spans="2:20" x14ac:dyDescent="0.3">
      <c r="B1970" s="18" t="s">
        <v>4234</v>
      </c>
      <c r="C1970" s="13">
        <v>95</v>
      </c>
      <c r="D1970" s="21" t="s">
        <v>4235</v>
      </c>
      <c r="E1970" s="24">
        <v>35</v>
      </c>
      <c r="L1970" s="4"/>
      <c r="M1970" s="7"/>
      <c r="O1970" s="7"/>
      <c r="T1970" s="7"/>
    </row>
    <row r="1971" spans="2:20" x14ac:dyDescent="0.3">
      <c r="B1971" s="18" t="s">
        <v>4236</v>
      </c>
      <c r="C1971" s="13">
        <v>94</v>
      </c>
      <c r="D1971" s="21" t="s">
        <v>4237</v>
      </c>
      <c r="E1971" s="24">
        <v>26</v>
      </c>
      <c r="L1971" s="4"/>
      <c r="M1971" s="7"/>
      <c r="O1971" s="7"/>
      <c r="T1971" s="7"/>
    </row>
    <row r="1972" spans="2:20" x14ac:dyDescent="0.3">
      <c r="B1972" s="18" t="s">
        <v>4238</v>
      </c>
      <c r="C1972" s="13">
        <v>93</v>
      </c>
      <c r="D1972" s="21" t="s">
        <v>4239</v>
      </c>
      <c r="E1972" s="24">
        <v>9</v>
      </c>
      <c r="L1972" s="4"/>
      <c r="M1972" s="7"/>
      <c r="O1972" s="7"/>
      <c r="T1972" s="7"/>
    </row>
    <row r="1973" spans="2:20" x14ac:dyDescent="0.3">
      <c r="B1973" s="18" t="s">
        <v>4240</v>
      </c>
      <c r="C1973" s="13">
        <v>92</v>
      </c>
      <c r="D1973" s="21" t="s">
        <v>4241</v>
      </c>
      <c r="E1973" s="24">
        <v>8</v>
      </c>
      <c r="L1973" s="4"/>
      <c r="M1973" s="7"/>
      <c r="O1973" s="7"/>
      <c r="T1973" s="7"/>
    </row>
    <row r="1974" spans="2:20" x14ac:dyDescent="0.3">
      <c r="B1974" s="18" t="s">
        <v>4242</v>
      </c>
      <c r="C1974" s="13">
        <v>91</v>
      </c>
      <c r="D1974" s="21" t="s">
        <v>4243</v>
      </c>
      <c r="E1974" s="24">
        <v>7</v>
      </c>
      <c r="L1974" s="4"/>
      <c r="M1974" s="7"/>
      <c r="O1974" s="7"/>
      <c r="T1974" s="7"/>
    </row>
    <row r="1975" spans="2:20" x14ac:dyDescent="0.3">
      <c r="B1975" s="18" t="s">
        <v>4244</v>
      </c>
      <c r="C1975" s="13">
        <v>117</v>
      </c>
      <c r="D1975" s="21" t="s">
        <v>4245</v>
      </c>
      <c r="E1975" s="24">
        <v>6</v>
      </c>
      <c r="L1975" s="4"/>
      <c r="M1975" s="7"/>
      <c r="O1975" s="7"/>
      <c r="T1975" s="7"/>
    </row>
    <row r="1976" spans="2:20" x14ac:dyDescent="0.3">
      <c r="B1976" s="18" t="s">
        <v>4246</v>
      </c>
      <c r="C1976" s="13">
        <v>116</v>
      </c>
      <c r="D1976" s="21" t="s">
        <v>4247</v>
      </c>
      <c r="E1976" s="24">
        <v>5</v>
      </c>
      <c r="L1976" s="4"/>
      <c r="M1976" s="7"/>
      <c r="O1976" s="7"/>
      <c r="T1976" s="7"/>
    </row>
    <row r="1977" spans="2:20" x14ac:dyDescent="0.3">
      <c r="B1977" s="18" t="s">
        <v>4248</v>
      </c>
      <c r="C1977" s="13">
        <v>115</v>
      </c>
      <c r="D1977" s="21" t="s">
        <v>4249</v>
      </c>
      <c r="E1977" s="24">
        <v>4</v>
      </c>
      <c r="L1977" s="4"/>
      <c r="M1977" s="7"/>
      <c r="O1977" s="7"/>
      <c r="T1977" s="7"/>
    </row>
    <row r="1978" spans="2:20" x14ac:dyDescent="0.3">
      <c r="B1978" s="18" t="s">
        <v>4250</v>
      </c>
      <c r="C1978" s="13">
        <v>114</v>
      </c>
      <c r="D1978" s="21" t="s">
        <v>4251</v>
      </c>
      <c r="E1978" s="24">
        <v>3</v>
      </c>
      <c r="L1978" s="4"/>
      <c r="M1978" s="7"/>
      <c r="O1978" s="7"/>
      <c r="T1978" s="7"/>
    </row>
    <row r="1979" spans="2:20" x14ac:dyDescent="0.3">
      <c r="B1979" s="18" t="s">
        <v>4252</v>
      </c>
      <c r="C1979" s="13">
        <v>113</v>
      </c>
      <c r="D1979" s="21" t="s">
        <v>4253</v>
      </c>
      <c r="E1979" s="24">
        <v>25</v>
      </c>
      <c r="L1979" s="4"/>
      <c r="M1979" s="7"/>
      <c r="O1979" s="7"/>
      <c r="T1979" s="7"/>
    </row>
    <row r="1980" spans="2:20" x14ac:dyDescent="0.3">
      <c r="B1980" s="18" t="s">
        <v>4254</v>
      </c>
      <c r="C1980" s="13">
        <v>112</v>
      </c>
      <c r="D1980" s="21" t="s">
        <v>4255</v>
      </c>
      <c r="E1980" s="24">
        <v>24</v>
      </c>
      <c r="L1980" s="4"/>
      <c r="M1980" s="7"/>
      <c r="O1980" s="7"/>
      <c r="T1980" s="7"/>
    </row>
    <row r="1981" spans="2:20" x14ac:dyDescent="0.3">
      <c r="B1981" s="18" t="s">
        <v>4256</v>
      </c>
      <c r="C1981" s="13">
        <v>1</v>
      </c>
      <c r="D1981" s="21" t="s">
        <v>4257</v>
      </c>
      <c r="E1981" s="24">
        <v>23</v>
      </c>
      <c r="L1981" s="4"/>
      <c r="M1981" s="7"/>
      <c r="O1981" s="7"/>
      <c r="T1981" s="7"/>
    </row>
    <row r="1982" spans="2:20" x14ac:dyDescent="0.3">
      <c r="B1982" s="18" t="s">
        <v>4258</v>
      </c>
      <c r="C1982" s="13">
        <v>10</v>
      </c>
      <c r="D1982" s="21" t="s">
        <v>4259</v>
      </c>
      <c r="E1982" s="24">
        <v>22</v>
      </c>
      <c r="L1982" s="4"/>
      <c r="M1982" s="7"/>
      <c r="O1982" s="7"/>
      <c r="T1982" s="7"/>
    </row>
    <row r="1983" spans="2:20" x14ac:dyDescent="0.3">
      <c r="B1983" s="18" t="s">
        <v>4260</v>
      </c>
      <c r="C1983" s="13">
        <v>11</v>
      </c>
      <c r="D1983" s="21" t="s">
        <v>4261</v>
      </c>
      <c r="E1983" s="24">
        <v>21</v>
      </c>
      <c r="L1983" s="4"/>
      <c r="M1983" s="7"/>
      <c r="O1983" s="7"/>
      <c r="T1983" s="7"/>
    </row>
    <row r="1984" spans="2:20" x14ac:dyDescent="0.3">
      <c r="B1984" s="18" t="s">
        <v>4262</v>
      </c>
      <c r="C1984" s="13">
        <v>12</v>
      </c>
      <c r="D1984" s="21" t="s">
        <v>4263</v>
      </c>
      <c r="E1984" s="24">
        <v>20</v>
      </c>
      <c r="L1984" s="4"/>
      <c r="M1984" s="7"/>
      <c r="O1984" s="7"/>
      <c r="T1984" s="7"/>
    </row>
    <row r="1985" spans="2:20" x14ac:dyDescent="0.3">
      <c r="B1985" s="18" t="s">
        <v>4264</v>
      </c>
      <c r="C1985" s="13">
        <v>13</v>
      </c>
      <c r="D1985" s="21" t="s">
        <v>4265</v>
      </c>
      <c r="E1985" s="24">
        <v>2</v>
      </c>
      <c r="L1985" s="4"/>
      <c r="M1985" s="7"/>
      <c r="O1985" s="7"/>
      <c r="T1985" s="7"/>
    </row>
    <row r="1986" spans="2:20" x14ac:dyDescent="0.3">
      <c r="B1986" s="18" t="s">
        <v>4266</v>
      </c>
      <c r="C1986" s="13">
        <v>14</v>
      </c>
      <c r="D1986" s="21" t="s">
        <v>4267</v>
      </c>
      <c r="E1986" s="24">
        <v>19</v>
      </c>
      <c r="L1986" s="4"/>
      <c r="M1986" s="7"/>
      <c r="O1986" s="7"/>
      <c r="T1986" s="7"/>
    </row>
    <row r="1987" spans="2:20" x14ac:dyDescent="0.3">
      <c r="B1987" s="18" t="s">
        <v>4268</v>
      </c>
      <c r="C1987" s="13">
        <v>15</v>
      </c>
      <c r="D1987" s="21" t="s">
        <v>4269</v>
      </c>
      <c r="E1987" s="24">
        <v>18</v>
      </c>
      <c r="L1987" s="4"/>
      <c r="M1987" s="7"/>
      <c r="O1987" s="7"/>
      <c r="T1987" s="7"/>
    </row>
    <row r="1988" spans="2:20" x14ac:dyDescent="0.3">
      <c r="B1988" s="18" t="s">
        <v>4270</v>
      </c>
      <c r="C1988" s="13">
        <v>16</v>
      </c>
      <c r="D1988" s="21" t="s">
        <v>4271</v>
      </c>
      <c r="E1988" s="24">
        <v>17</v>
      </c>
      <c r="L1988" s="4"/>
      <c r="M1988" s="7"/>
      <c r="O1988" s="7"/>
      <c r="T1988" s="7"/>
    </row>
    <row r="1989" spans="2:20" x14ac:dyDescent="0.3">
      <c r="B1989" s="18" t="s">
        <v>4272</v>
      </c>
      <c r="C1989" s="13">
        <v>17</v>
      </c>
      <c r="D1989" s="21" t="s">
        <v>4273</v>
      </c>
      <c r="E1989" s="24">
        <v>16</v>
      </c>
      <c r="L1989" s="4"/>
      <c r="M1989" s="7"/>
      <c r="O1989" s="7"/>
      <c r="T1989" s="7"/>
    </row>
    <row r="1990" spans="2:20" x14ac:dyDescent="0.3">
      <c r="B1990" s="18" t="s">
        <v>4274</v>
      </c>
      <c r="C1990" s="13">
        <v>18</v>
      </c>
      <c r="D1990" s="21" t="s">
        <v>4275</v>
      </c>
      <c r="E1990" s="24">
        <v>15</v>
      </c>
      <c r="L1990" s="4"/>
      <c r="M1990" s="7"/>
      <c r="O1990" s="7"/>
      <c r="T1990" s="7"/>
    </row>
    <row r="1991" spans="2:20" x14ac:dyDescent="0.3">
      <c r="B1991" s="18" t="s">
        <v>4276</v>
      </c>
      <c r="C1991" s="13">
        <v>19</v>
      </c>
      <c r="D1991" s="21" t="s">
        <v>4277</v>
      </c>
      <c r="E1991" s="24">
        <v>14</v>
      </c>
      <c r="L1991" s="4"/>
      <c r="M1991" s="7"/>
      <c r="O1991" s="7"/>
      <c r="T1991" s="7"/>
    </row>
    <row r="1992" spans="2:20" x14ac:dyDescent="0.3">
      <c r="B1992" s="18" t="s">
        <v>4278</v>
      </c>
      <c r="C1992" s="13">
        <v>2</v>
      </c>
      <c r="D1992" s="21" t="s">
        <v>4279</v>
      </c>
      <c r="E1992" s="24">
        <v>13</v>
      </c>
      <c r="L1992" s="4"/>
      <c r="M1992" s="7"/>
      <c r="O1992" s="7"/>
      <c r="T1992" s="7"/>
    </row>
    <row r="1993" spans="2:20" x14ac:dyDescent="0.3">
      <c r="B1993" s="18" t="s">
        <v>4280</v>
      </c>
      <c r="C1993" s="13">
        <v>20</v>
      </c>
      <c r="D1993" s="21" t="s">
        <v>4281</v>
      </c>
      <c r="E1993" s="24">
        <v>12</v>
      </c>
      <c r="L1993" s="4"/>
      <c r="M1993" s="7"/>
      <c r="O1993" s="7"/>
      <c r="T1993" s="7"/>
    </row>
    <row r="1994" spans="2:20" x14ac:dyDescent="0.3">
      <c r="B1994" s="18" t="s">
        <v>4282</v>
      </c>
      <c r="C1994" s="13">
        <v>21</v>
      </c>
      <c r="D1994" s="21" t="s">
        <v>4283</v>
      </c>
      <c r="E1994" s="24">
        <v>11</v>
      </c>
      <c r="L1994" s="4"/>
      <c r="M1994" s="7"/>
      <c r="O1994" s="7"/>
    </row>
    <row r="1995" spans="2:20" x14ac:dyDescent="0.3">
      <c r="B1995" s="18" t="s">
        <v>4284</v>
      </c>
      <c r="C1995" s="13">
        <v>22</v>
      </c>
      <c r="D1995" s="21" t="s">
        <v>4285</v>
      </c>
      <c r="E1995" s="24">
        <v>10</v>
      </c>
      <c r="L1995" s="4"/>
      <c r="M1995" s="7"/>
      <c r="O1995" s="7"/>
      <c r="T1995" s="7"/>
    </row>
    <row r="1996" spans="2:20" x14ac:dyDescent="0.3">
      <c r="B1996" s="18" t="s">
        <v>4286</v>
      </c>
      <c r="C1996" s="13">
        <v>23</v>
      </c>
      <c r="D1996" s="21" t="s">
        <v>4287</v>
      </c>
      <c r="E1996" s="24">
        <v>1</v>
      </c>
      <c r="L1996" s="4"/>
      <c r="M1996" s="7"/>
      <c r="O1996" s="7"/>
      <c r="T1996" s="7"/>
    </row>
    <row r="1997" spans="2:20" x14ac:dyDescent="0.3">
      <c r="B1997" s="18" t="s">
        <v>4288</v>
      </c>
      <c r="C1997" s="13">
        <v>24</v>
      </c>
      <c r="D1997" s="21" t="s">
        <v>4289</v>
      </c>
      <c r="E1997" s="24">
        <v>67</v>
      </c>
      <c r="L1997" s="4"/>
      <c r="M1997" s="7"/>
      <c r="O1997" s="7"/>
      <c r="T1997" s="7"/>
    </row>
    <row r="1998" spans="2:20" x14ac:dyDescent="0.3">
      <c r="B1998" s="18" t="s">
        <v>4290</v>
      </c>
      <c r="C1998" s="13">
        <v>25</v>
      </c>
      <c r="D1998" s="21" t="s">
        <v>4291</v>
      </c>
      <c r="E1998" s="24">
        <v>68</v>
      </c>
      <c r="L1998" s="4"/>
      <c r="M1998" s="7"/>
      <c r="O1998" s="7"/>
      <c r="T1998" s="7"/>
    </row>
    <row r="1999" spans="2:20" x14ac:dyDescent="0.3">
      <c r="B1999" s="18" t="s">
        <v>4292</v>
      </c>
      <c r="C1999" s="13">
        <v>26</v>
      </c>
      <c r="D1999" s="21" t="s">
        <v>4293</v>
      </c>
      <c r="E1999" s="24">
        <v>69</v>
      </c>
      <c r="L1999" s="4"/>
      <c r="M1999" s="7"/>
      <c r="O1999" s="7"/>
      <c r="T1999" s="7"/>
    </row>
    <row r="2000" spans="2:20" x14ac:dyDescent="0.3">
      <c r="B2000" s="18" t="s">
        <v>4294</v>
      </c>
      <c r="C2000" s="13">
        <v>27</v>
      </c>
      <c r="D2000" s="21" t="s">
        <v>4295</v>
      </c>
      <c r="E2000" s="24">
        <v>70</v>
      </c>
      <c r="L2000" s="4"/>
      <c r="M2000" s="7"/>
      <c r="O2000" s="7"/>
      <c r="T2000" s="7"/>
    </row>
    <row r="2001" spans="2:20" x14ac:dyDescent="0.3">
      <c r="B2001" s="18" t="s">
        <v>4296</v>
      </c>
      <c r="C2001" s="13">
        <v>28</v>
      </c>
      <c r="D2001" s="21" t="s">
        <v>4297</v>
      </c>
      <c r="E2001" s="24">
        <v>71</v>
      </c>
      <c r="L2001" s="4"/>
      <c r="M2001" s="7"/>
      <c r="O2001" s="7"/>
      <c r="T2001" s="7"/>
    </row>
    <row r="2002" spans="2:20" x14ac:dyDescent="0.3">
      <c r="B2002" s="18" t="s">
        <v>4298</v>
      </c>
      <c r="C2002" s="13">
        <v>29</v>
      </c>
      <c r="D2002" s="21" t="s">
        <v>4299</v>
      </c>
      <c r="E2002" s="24">
        <v>72</v>
      </c>
      <c r="L2002" s="4"/>
      <c r="M2002" s="7"/>
      <c r="O2002" s="7"/>
      <c r="T2002" s="7"/>
    </row>
    <row r="2003" spans="2:20" x14ac:dyDescent="0.3">
      <c r="B2003" s="18" t="s">
        <v>4300</v>
      </c>
      <c r="C2003" s="13">
        <v>3</v>
      </c>
      <c r="D2003" s="21" t="s">
        <v>4301</v>
      </c>
      <c r="E2003" s="24">
        <v>73</v>
      </c>
      <c r="L2003" s="4"/>
      <c r="M2003" s="7"/>
      <c r="O2003" s="7"/>
      <c r="T2003" s="7"/>
    </row>
    <row r="2004" spans="2:20" x14ac:dyDescent="0.3">
      <c r="B2004" s="18" t="s">
        <v>4302</v>
      </c>
      <c r="C2004" s="13">
        <v>30</v>
      </c>
      <c r="D2004" s="21" t="s">
        <v>4303</v>
      </c>
      <c r="E2004" s="24">
        <v>51</v>
      </c>
      <c r="L2004" s="4"/>
      <c r="M2004" s="7"/>
      <c r="O2004" s="7"/>
      <c r="T2004" s="7"/>
    </row>
    <row r="2005" spans="2:20" x14ac:dyDescent="0.3">
      <c r="B2005" s="18" t="s">
        <v>4304</v>
      </c>
      <c r="C2005" s="13">
        <v>4</v>
      </c>
      <c r="D2005" s="21" t="s">
        <v>4305</v>
      </c>
      <c r="E2005" s="24">
        <v>52</v>
      </c>
      <c r="L2005" s="4"/>
      <c r="M2005" s="7"/>
      <c r="O2005" s="7"/>
      <c r="T2005" s="7"/>
    </row>
    <row r="2006" spans="2:20" x14ac:dyDescent="0.3">
      <c r="B2006" s="18" t="s">
        <v>4306</v>
      </c>
      <c r="C2006" s="13">
        <v>5</v>
      </c>
      <c r="D2006" s="21" t="s">
        <v>4307</v>
      </c>
      <c r="E2006" s="24">
        <v>53</v>
      </c>
      <c r="L2006" s="4"/>
      <c r="M2006" s="7"/>
      <c r="O2006" s="7"/>
      <c r="T2006" s="7"/>
    </row>
    <row r="2007" spans="2:20" x14ac:dyDescent="0.3">
      <c r="B2007" s="18" t="s">
        <v>4308</v>
      </c>
      <c r="C2007" s="13">
        <v>6</v>
      </c>
      <c r="D2007" s="21" t="s">
        <v>4309</v>
      </c>
      <c r="E2007" s="24">
        <v>54</v>
      </c>
      <c r="L2007" s="4"/>
      <c r="M2007" s="7"/>
      <c r="O2007" s="7"/>
      <c r="T2007" s="7"/>
    </row>
    <row r="2008" spans="2:20" x14ac:dyDescent="0.3">
      <c r="B2008" s="18" t="s">
        <v>4310</v>
      </c>
      <c r="C2008" s="13">
        <v>7</v>
      </c>
      <c r="D2008" s="21" t="s">
        <v>4311</v>
      </c>
      <c r="E2008" s="24">
        <v>55</v>
      </c>
      <c r="L2008" s="4"/>
      <c r="M2008" s="7"/>
      <c r="O2008" s="7"/>
      <c r="T2008" s="7"/>
    </row>
    <row r="2009" spans="2:20" x14ac:dyDescent="0.3">
      <c r="B2009" s="18" t="s">
        <v>4312</v>
      </c>
      <c r="C2009" s="13">
        <v>8</v>
      </c>
      <c r="D2009" s="21" t="s">
        <v>4313</v>
      </c>
      <c r="E2009" s="24">
        <v>56</v>
      </c>
      <c r="L2009" s="4"/>
      <c r="M2009" s="7"/>
      <c r="O2009" s="7"/>
      <c r="T2009" s="7"/>
    </row>
    <row r="2010" spans="2:20" x14ac:dyDescent="0.3">
      <c r="B2010" s="18" t="s">
        <v>4314</v>
      </c>
      <c r="C2010" s="13">
        <v>9</v>
      </c>
      <c r="D2010" s="21" t="s">
        <v>4315</v>
      </c>
      <c r="E2010" s="24">
        <v>57</v>
      </c>
      <c r="L2010" s="4"/>
      <c r="M2010" s="7"/>
      <c r="O2010" s="7"/>
      <c r="T2010" s="7"/>
    </row>
    <row r="2011" spans="2:20" x14ac:dyDescent="0.3">
      <c r="B2011" s="18" t="s">
        <v>4316</v>
      </c>
      <c r="C2011" s="13">
        <v>60</v>
      </c>
      <c r="D2011" s="21" t="s">
        <v>4317</v>
      </c>
      <c r="E2011" s="24">
        <v>58</v>
      </c>
      <c r="L2011" s="4"/>
      <c r="M2011" s="7"/>
      <c r="O2011" s="7"/>
      <c r="T2011" s="7"/>
    </row>
    <row r="2012" spans="2:20" x14ac:dyDescent="0.3">
      <c r="B2012" s="18" t="s">
        <v>4318</v>
      </c>
      <c r="C2012" s="13">
        <v>51</v>
      </c>
      <c r="D2012" s="21" t="s">
        <v>4319</v>
      </c>
      <c r="E2012" s="24">
        <v>59</v>
      </c>
      <c r="L2012" s="4"/>
      <c r="M2012" s="7"/>
      <c r="O2012" s="7"/>
      <c r="T2012" s="7"/>
    </row>
    <row r="2013" spans="2:20" x14ac:dyDescent="0.3">
      <c r="B2013" s="18" t="s">
        <v>4320</v>
      </c>
      <c r="C2013" s="13">
        <v>50</v>
      </c>
      <c r="D2013" s="21" t="s">
        <v>4321</v>
      </c>
      <c r="E2013" s="24">
        <v>60</v>
      </c>
      <c r="L2013" s="4"/>
      <c r="M2013" s="7"/>
      <c r="O2013" s="7"/>
      <c r="T2013" s="7"/>
    </row>
    <row r="2014" spans="2:20" x14ac:dyDescent="0.3">
      <c r="B2014" s="18" t="s">
        <v>4322</v>
      </c>
      <c r="C2014" s="13">
        <v>49</v>
      </c>
      <c r="D2014" s="21" t="s">
        <v>4323</v>
      </c>
      <c r="E2014" s="24">
        <v>61</v>
      </c>
      <c r="L2014" s="4"/>
      <c r="M2014" s="7"/>
      <c r="O2014" s="7"/>
      <c r="T2014" s="7"/>
    </row>
    <row r="2015" spans="2:20" x14ac:dyDescent="0.3">
      <c r="B2015" s="18" t="s">
        <v>4324</v>
      </c>
      <c r="C2015" s="13">
        <v>48</v>
      </c>
      <c r="D2015" s="21" t="s">
        <v>4325</v>
      </c>
      <c r="E2015" s="24">
        <v>62</v>
      </c>
      <c r="L2015" s="4"/>
      <c r="M2015" s="7"/>
      <c r="O2015" s="7"/>
      <c r="T2015" s="7"/>
    </row>
    <row r="2016" spans="2:20" x14ac:dyDescent="0.3">
      <c r="B2016" s="18" t="s">
        <v>4326</v>
      </c>
      <c r="C2016" s="13">
        <v>47</v>
      </c>
      <c r="D2016" s="21" t="s">
        <v>4327</v>
      </c>
      <c r="E2016" s="24">
        <v>63</v>
      </c>
      <c r="L2016" s="4"/>
      <c r="M2016" s="7"/>
      <c r="O2016" s="7"/>
      <c r="T2016" s="7"/>
    </row>
    <row r="2017" spans="2:20" x14ac:dyDescent="0.3">
      <c r="B2017" s="18" t="s">
        <v>4328</v>
      </c>
      <c r="C2017" s="13">
        <v>46</v>
      </c>
      <c r="D2017" s="21" t="s">
        <v>4329</v>
      </c>
      <c r="E2017" s="24">
        <v>64</v>
      </c>
      <c r="L2017" s="4"/>
      <c r="M2017" s="7"/>
      <c r="O2017" s="7"/>
      <c r="T2017" s="7"/>
    </row>
    <row r="2018" spans="2:20" x14ac:dyDescent="0.3">
      <c r="B2018" s="18" t="s">
        <v>4330</v>
      </c>
      <c r="C2018" s="13">
        <v>45</v>
      </c>
      <c r="D2018" s="21" t="s">
        <v>4331</v>
      </c>
      <c r="E2018" s="24">
        <v>65</v>
      </c>
      <c r="L2018" s="4"/>
      <c r="M2018" s="7"/>
      <c r="O2018" s="7"/>
      <c r="T2018" s="7"/>
    </row>
    <row r="2019" spans="2:20" x14ac:dyDescent="0.3">
      <c r="B2019" s="18" t="s">
        <v>4332</v>
      </c>
      <c r="C2019" s="13">
        <v>44</v>
      </c>
      <c r="D2019" s="21" t="s">
        <v>4333</v>
      </c>
      <c r="E2019" s="24">
        <v>66</v>
      </c>
      <c r="L2019" s="4"/>
      <c r="M2019" s="7"/>
      <c r="O2019" s="7"/>
      <c r="T2019" s="7"/>
    </row>
    <row r="2020" spans="2:20" x14ac:dyDescent="0.3">
      <c r="B2020" s="18" t="s">
        <v>4334</v>
      </c>
      <c r="C2020" s="13">
        <v>43</v>
      </c>
      <c r="D2020" s="21" t="s">
        <v>4335</v>
      </c>
      <c r="E2020" s="24">
        <v>34</v>
      </c>
      <c r="L2020" s="4"/>
      <c r="M2020" s="7"/>
      <c r="O2020" s="7"/>
      <c r="T2020" s="7"/>
    </row>
    <row r="2021" spans="2:20" x14ac:dyDescent="0.3">
      <c r="B2021" s="18" t="s">
        <v>4336</v>
      </c>
      <c r="C2021" s="13">
        <v>42</v>
      </c>
      <c r="D2021" s="21" t="s">
        <v>4337</v>
      </c>
      <c r="E2021" s="24">
        <v>33</v>
      </c>
      <c r="L2021" s="4"/>
      <c r="M2021" s="7"/>
      <c r="O2021" s="7"/>
      <c r="T2021" s="7"/>
    </row>
    <row r="2022" spans="2:20" x14ac:dyDescent="0.3">
      <c r="B2022" s="18" t="s">
        <v>4338</v>
      </c>
      <c r="C2022" s="13">
        <v>59</v>
      </c>
      <c r="D2022" s="21" t="s">
        <v>4339</v>
      </c>
      <c r="E2022" s="24">
        <v>32</v>
      </c>
      <c r="L2022" s="4"/>
      <c r="M2022" s="7"/>
      <c r="O2022" s="7"/>
      <c r="T2022" s="7"/>
    </row>
    <row r="2023" spans="2:20" x14ac:dyDescent="0.3">
      <c r="B2023" s="18" t="s">
        <v>4340</v>
      </c>
      <c r="C2023" s="13">
        <v>41</v>
      </c>
      <c r="D2023" s="21" t="s">
        <v>4341</v>
      </c>
      <c r="E2023" s="24">
        <v>31</v>
      </c>
      <c r="L2023" s="4"/>
      <c r="M2023" s="7"/>
      <c r="O2023" s="7"/>
      <c r="T2023" s="7"/>
    </row>
    <row r="2024" spans="2:20" x14ac:dyDescent="0.3">
      <c r="B2024" s="18" t="s">
        <v>4342</v>
      </c>
      <c r="C2024" s="13">
        <v>40</v>
      </c>
      <c r="D2024" s="21" t="s">
        <v>4343</v>
      </c>
      <c r="E2024" s="24">
        <v>30</v>
      </c>
      <c r="L2024" s="4"/>
      <c r="M2024" s="7"/>
      <c r="O2024" s="7"/>
      <c r="T2024" s="7"/>
    </row>
    <row r="2025" spans="2:20" x14ac:dyDescent="0.3">
      <c r="B2025" s="18" t="s">
        <v>4344</v>
      </c>
      <c r="C2025" s="13">
        <v>39</v>
      </c>
      <c r="D2025" s="21" t="s">
        <v>4345</v>
      </c>
      <c r="E2025" s="24">
        <v>29</v>
      </c>
      <c r="L2025" s="4"/>
      <c r="M2025" s="7"/>
      <c r="O2025" s="7"/>
      <c r="T2025" s="7"/>
    </row>
    <row r="2026" spans="2:20" x14ac:dyDescent="0.3">
      <c r="B2026" s="18" t="s">
        <v>4346</v>
      </c>
      <c r="C2026" s="13">
        <v>38</v>
      </c>
      <c r="D2026" s="21" t="s">
        <v>4347</v>
      </c>
      <c r="E2026" s="24">
        <v>28</v>
      </c>
      <c r="L2026" s="4"/>
      <c r="M2026" s="7"/>
      <c r="O2026" s="7"/>
    </row>
    <row r="2027" spans="2:20" x14ac:dyDescent="0.3">
      <c r="B2027" s="18" t="s">
        <v>4348</v>
      </c>
      <c r="C2027" s="13">
        <v>37</v>
      </c>
      <c r="D2027" s="21" t="s">
        <v>4349</v>
      </c>
      <c r="E2027" s="24">
        <v>50</v>
      </c>
      <c r="L2027" s="4"/>
      <c r="M2027" s="7"/>
      <c r="O2027" s="7"/>
      <c r="T2027" s="7"/>
    </row>
    <row r="2028" spans="2:20" x14ac:dyDescent="0.3">
      <c r="B2028" s="18" t="s">
        <v>4350</v>
      </c>
      <c r="C2028" s="13">
        <v>36</v>
      </c>
      <c r="D2028" s="21" t="s">
        <v>4351</v>
      </c>
      <c r="E2028" s="24">
        <v>49</v>
      </c>
      <c r="L2028" s="4"/>
      <c r="M2028" s="7"/>
      <c r="O2028" s="7"/>
      <c r="T2028" s="7"/>
    </row>
    <row r="2029" spans="2:20" x14ac:dyDescent="0.3">
      <c r="B2029" s="18" t="s">
        <v>4352</v>
      </c>
      <c r="C2029" s="13">
        <v>35</v>
      </c>
      <c r="D2029" s="21" t="s">
        <v>4353</v>
      </c>
      <c r="E2029" s="24">
        <v>48</v>
      </c>
      <c r="L2029" s="4"/>
      <c r="M2029" s="7"/>
      <c r="O2029" s="7"/>
      <c r="T2029" s="7"/>
    </row>
    <row r="2030" spans="2:20" x14ac:dyDescent="0.3">
      <c r="B2030" s="18" t="s">
        <v>4354</v>
      </c>
      <c r="C2030" s="13">
        <v>34</v>
      </c>
      <c r="D2030" s="21" t="s">
        <v>4355</v>
      </c>
      <c r="E2030" s="24">
        <v>47</v>
      </c>
      <c r="L2030" s="4"/>
      <c r="M2030" s="7"/>
      <c r="O2030" s="7"/>
      <c r="T2030" s="7"/>
    </row>
    <row r="2031" spans="2:20" x14ac:dyDescent="0.3">
      <c r="B2031" s="18" t="s">
        <v>4356</v>
      </c>
      <c r="C2031" s="13">
        <v>33</v>
      </c>
      <c r="D2031" s="21" t="s">
        <v>4357</v>
      </c>
      <c r="E2031" s="24">
        <v>46</v>
      </c>
      <c r="L2031" s="4"/>
      <c r="M2031" s="7"/>
      <c r="O2031" s="7"/>
      <c r="T2031" s="7"/>
    </row>
    <row r="2032" spans="2:20" x14ac:dyDescent="0.3">
      <c r="B2032" s="18" t="s">
        <v>4358</v>
      </c>
      <c r="C2032" s="13">
        <v>32</v>
      </c>
      <c r="D2032" s="21" t="s">
        <v>4359</v>
      </c>
      <c r="E2032" s="24">
        <v>45</v>
      </c>
      <c r="L2032" s="4"/>
      <c r="M2032" s="7"/>
      <c r="O2032" s="7"/>
      <c r="T2032" s="7"/>
    </row>
    <row r="2033" spans="2:20" x14ac:dyDescent="0.3">
      <c r="B2033" s="18" t="s">
        <v>4360</v>
      </c>
      <c r="C2033" s="13">
        <v>58</v>
      </c>
      <c r="D2033" s="21" t="s">
        <v>4361</v>
      </c>
      <c r="E2033" s="24">
        <v>27</v>
      </c>
      <c r="L2033" s="4"/>
      <c r="M2033" s="7"/>
      <c r="O2033" s="7"/>
      <c r="T2033" s="7"/>
    </row>
    <row r="2034" spans="2:20" x14ac:dyDescent="0.3">
      <c r="B2034" s="18" t="s">
        <v>4362</v>
      </c>
      <c r="C2034" s="13">
        <v>31</v>
      </c>
      <c r="D2034" s="21" t="s">
        <v>4363</v>
      </c>
      <c r="E2034" s="24">
        <v>44</v>
      </c>
      <c r="L2034" s="4"/>
      <c r="M2034" s="7"/>
      <c r="O2034" s="7"/>
      <c r="T2034" s="7"/>
    </row>
    <row r="2035" spans="2:20" x14ac:dyDescent="0.3">
      <c r="B2035" s="18" t="s">
        <v>4364</v>
      </c>
      <c r="C2035" s="13">
        <v>57</v>
      </c>
      <c r="D2035" s="21" t="s">
        <v>4365</v>
      </c>
      <c r="E2035" s="24">
        <v>43</v>
      </c>
      <c r="L2035" s="4"/>
      <c r="M2035" s="7"/>
      <c r="O2035" s="7"/>
      <c r="T2035" s="7"/>
    </row>
    <row r="2036" spans="2:20" x14ac:dyDescent="0.3">
      <c r="B2036" s="18" t="s">
        <v>4366</v>
      </c>
      <c r="C2036" s="13">
        <v>56</v>
      </c>
      <c r="D2036" s="21" t="s">
        <v>4367</v>
      </c>
      <c r="E2036" s="24">
        <v>42</v>
      </c>
      <c r="L2036" s="4"/>
      <c r="M2036" s="7"/>
      <c r="O2036" s="7"/>
      <c r="T2036" s="7"/>
    </row>
    <row r="2037" spans="2:20" x14ac:dyDescent="0.3">
      <c r="B2037" s="18" t="s">
        <v>4368</v>
      </c>
      <c r="C2037" s="13">
        <v>55</v>
      </c>
      <c r="D2037" s="21" t="s">
        <v>4369</v>
      </c>
      <c r="E2037" s="24">
        <v>41</v>
      </c>
      <c r="L2037" s="4"/>
      <c r="M2037" s="7"/>
      <c r="O2037" s="7"/>
      <c r="T2037" s="7"/>
    </row>
    <row r="2038" spans="2:20" x14ac:dyDescent="0.3">
      <c r="B2038" s="18" t="s">
        <v>4370</v>
      </c>
      <c r="C2038" s="13">
        <v>54</v>
      </c>
      <c r="D2038" s="21" t="s">
        <v>4371</v>
      </c>
      <c r="E2038" s="24">
        <v>40</v>
      </c>
      <c r="L2038" s="4"/>
      <c r="M2038" s="7"/>
      <c r="O2038" s="7"/>
      <c r="T2038" s="7"/>
    </row>
    <row r="2039" spans="2:20" x14ac:dyDescent="0.3">
      <c r="B2039" s="18" t="s">
        <v>4372</v>
      </c>
      <c r="C2039" s="13">
        <v>53</v>
      </c>
      <c r="D2039" s="21" t="s">
        <v>4373</v>
      </c>
      <c r="E2039" s="24">
        <v>39</v>
      </c>
      <c r="L2039" s="4"/>
      <c r="M2039" s="7"/>
      <c r="O2039" s="7"/>
      <c r="T2039" s="7"/>
    </row>
    <row r="2040" spans="2:20" x14ac:dyDescent="0.3">
      <c r="B2040" s="18" t="s">
        <v>4374</v>
      </c>
      <c r="C2040" s="13">
        <v>52</v>
      </c>
      <c r="D2040" s="21" t="s">
        <v>4375</v>
      </c>
      <c r="E2040" s="24">
        <v>38</v>
      </c>
      <c r="L2040" s="4"/>
      <c r="M2040" s="7"/>
      <c r="O2040" s="7"/>
      <c r="T2040" s="7"/>
    </row>
    <row r="2041" spans="2:20" x14ac:dyDescent="0.3">
      <c r="B2041" s="18" t="s">
        <v>4376</v>
      </c>
      <c r="C2041" s="13">
        <v>61</v>
      </c>
      <c r="D2041" s="21" t="s">
        <v>4377</v>
      </c>
      <c r="E2041" s="24">
        <v>37</v>
      </c>
      <c r="L2041" s="4"/>
      <c r="M2041" s="7"/>
      <c r="O2041" s="7"/>
      <c r="T2041" s="7"/>
    </row>
    <row r="2042" spans="2:20" x14ac:dyDescent="0.3">
      <c r="B2042" s="18" t="s">
        <v>4378</v>
      </c>
      <c r="C2042" s="13">
        <v>70</v>
      </c>
      <c r="D2042" s="21" t="s">
        <v>4379</v>
      </c>
      <c r="E2042" s="24">
        <v>36</v>
      </c>
      <c r="L2042" s="4"/>
      <c r="M2042" s="7"/>
      <c r="O2042" s="7"/>
      <c r="T2042" s="7"/>
    </row>
    <row r="2043" spans="2:20" x14ac:dyDescent="0.3">
      <c r="B2043" s="18" t="s">
        <v>4380</v>
      </c>
      <c r="C2043" s="13">
        <v>71</v>
      </c>
      <c r="D2043" s="21" t="s">
        <v>4381</v>
      </c>
      <c r="E2043" s="24">
        <v>35</v>
      </c>
      <c r="L2043" s="4"/>
      <c r="M2043" s="7"/>
      <c r="O2043" s="7"/>
      <c r="T2043" s="7"/>
    </row>
    <row r="2044" spans="2:20" x14ac:dyDescent="0.3">
      <c r="B2044" s="18" t="s">
        <v>4382</v>
      </c>
      <c r="C2044" s="13">
        <v>72</v>
      </c>
      <c r="D2044" s="21" t="s">
        <v>4383</v>
      </c>
      <c r="E2044" s="24">
        <v>26</v>
      </c>
      <c r="L2044" s="4"/>
      <c r="M2044" s="7"/>
      <c r="O2044" s="7"/>
      <c r="T2044" s="7"/>
    </row>
    <row r="2045" spans="2:20" x14ac:dyDescent="0.3">
      <c r="B2045" s="18" t="s">
        <v>4384</v>
      </c>
      <c r="C2045" s="13">
        <v>73</v>
      </c>
      <c r="D2045" s="21" t="s">
        <v>4385</v>
      </c>
      <c r="E2045" s="24">
        <v>9</v>
      </c>
      <c r="L2045" s="4"/>
      <c r="M2045" s="7"/>
      <c r="O2045" s="7"/>
      <c r="T2045" s="7"/>
    </row>
    <row r="2046" spans="2:20" x14ac:dyDescent="0.3">
      <c r="B2046" s="18" t="s">
        <v>4386</v>
      </c>
      <c r="C2046" s="13">
        <v>74</v>
      </c>
      <c r="D2046" s="21" t="s">
        <v>4387</v>
      </c>
      <c r="E2046" s="24">
        <v>8</v>
      </c>
      <c r="L2046" s="4"/>
      <c r="M2046" s="7"/>
      <c r="O2046" s="7"/>
      <c r="T2046" s="7"/>
    </row>
    <row r="2047" spans="2:20" x14ac:dyDescent="0.3">
      <c r="B2047" s="18" t="s">
        <v>4388</v>
      </c>
      <c r="C2047" s="13">
        <v>75</v>
      </c>
      <c r="D2047" s="21" t="s">
        <v>4389</v>
      </c>
      <c r="E2047" s="24">
        <v>7</v>
      </c>
      <c r="L2047" s="4"/>
      <c r="M2047" s="7"/>
      <c r="O2047" s="7"/>
      <c r="T2047" s="7"/>
    </row>
    <row r="2048" spans="2:20" x14ac:dyDescent="0.3">
      <c r="B2048" s="18" t="s">
        <v>4390</v>
      </c>
      <c r="C2048" s="13">
        <v>76</v>
      </c>
      <c r="D2048" s="21" t="s">
        <v>4391</v>
      </c>
      <c r="E2048" s="24">
        <v>6</v>
      </c>
      <c r="L2048" s="4"/>
      <c r="M2048" s="7"/>
      <c r="O2048" s="7"/>
      <c r="T2048" s="7"/>
    </row>
    <row r="2049" spans="2:20" x14ac:dyDescent="0.3">
      <c r="B2049" s="18" t="s">
        <v>4392</v>
      </c>
      <c r="C2049" s="13">
        <v>77</v>
      </c>
      <c r="D2049" s="21" t="s">
        <v>4393</v>
      </c>
      <c r="E2049" s="24">
        <v>5</v>
      </c>
      <c r="L2049" s="4"/>
      <c r="M2049" s="7"/>
      <c r="O2049" s="7"/>
      <c r="T2049" s="7"/>
    </row>
    <row r="2050" spans="2:20" x14ac:dyDescent="0.3">
      <c r="B2050" s="18" t="s">
        <v>4394</v>
      </c>
      <c r="C2050" s="13">
        <v>78</v>
      </c>
      <c r="D2050" s="21" t="s">
        <v>4395</v>
      </c>
      <c r="E2050" s="24">
        <v>4</v>
      </c>
      <c r="L2050" s="4"/>
      <c r="M2050" s="7"/>
      <c r="O2050" s="7"/>
      <c r="T2050" s="7"/>
    </row>
    <row r="2051" spans="2:20" x14ac:dyDescent="0.3">
      <c r="B2051" s="18" t="s">
        <v>4396</v>
      </c>
      <c r="C2051" s="13">
        <v>79</v>
      </c>
      <c r="D2051" s="21" t="s">
        <v>4397</v>
      </c>
      <c r="E2051" s="24">
        <v>3</v>
      </c>
      <c r="L2051" s="4"/>
      <c r="M2051" s="7"/>
      <c r="O2051" s="7"/>
      <c r="T2051" s="7"/>
    </row>
    <row r="2052" spans="2:20" x14ac:dyDescent="0.3">
      <c r="B2052" s="18" t="s">
        <v>4398</v>
      </c>
      <c r="C2052" s="13">
        <v>62</v>
      </c>
      <c r="D2052" s="21" t="s">
        <v>4399</v>
      </c>
      <c r="E2052" s="24">
        <v>25</v>
      </c>
      <c r="L2052" s="4"/>
      <c r="M2052" s="7"/>
      <c r="O2052" s="7"/>
      <c r="T2052" s="7"/>
    </row>
    <row r="2053" spans="2:20" x14ac:dyDescent="0.3">
      <c r="B2053" s="18" t="s">
        <v>4400</v>
      </c>
      <c r="C2053" s="13">
        <v>80</v>
      </c>
      <c r="D2053" s="21" t="s">
        <v>4401</v>
      </c>
      <c r="E2053" s="24">
        <v>24</v>
      </c>
      <c r="L2053" s="4"/>
      <c r="M2053" s="7"/>
      <c r="O2053" s="7"/>
      <c r="T2053" s="7"/>
    </row>
    <row r="2054" spans="2:20" x14ac:dyDescent="0.3">
      <c r="B2054" s="18" t="s">
        <v>4402</v>
      </c>
      <c r="C2054" s="13">
        <v>81</v>
      </c>
      <c r="D2054" s="21" t="s">
        <v>4403</v>
      </c>
      <c r="E2054" s="24">
        <v>23</v>
      </c>
      <c r="L2054" s="4"/>
      <c r="M2054" s="7"/>
      <c r="O2054" s="7"/>
      <c r="T2054" s="7"/>
    </row>
    <row r="2055" spans="2:20" x14ac:dyDescent="0.3">
      <c r="B2055" s="18" t="s">
        <v>4404</v>
      </c>
      <c r="C2055" s="13">
        <v>82</v>
      </c>
      <c r="D2055" s="21" t="s">
        <v>4405</v>
      </c>
      <c r="E2055" s="24">
        <v>22</v>
      </c>
      <c r="L2055" s="4"/>
      <c r="M2055" s="7"/>
      <c r="O2055" s="7"/>
      <c r="T2055" s="7"/>
    </row>
    <row r="2056" spans="2:20" x14ac:dyDescent="0.3">
      <c r="B2056" s="18" t="s">
        <v>4406</v>
      </c>
      <c r="C2056" s="13">
        <v>83</v>
      </c>
      <c r="D2056" s="21" t="s">
        <v>4407</v>
      </c>
      <c r="E2056" s="24">
        <v>21</v>
      </c>
      <c r="L2056" s="4"/>
      <c r="M2056" s="7"/>
      <c r="O2056" s="7"/>
      <c r="T2056" s="7"/>
    </row>
    <row r="2057" spans="2:20" x14ac:dyDescent="0.3">
      <c r="B2057" s="18" t="s">
        <v>4408</v>
      </c>
      <c r="C2057" s="13">
        <v>84</v>
      </c>
      <c r="D2057" s="21" t="s">
        <v>4409</v>
      </c>
      <c r="E2057" s="24">
        <v>20</v>
      </c>
      <c r="L2057" s="4"/>
      <c r="M2057" s="7"/>
      <c r="O2057" s="7"/>
      <c r="T2057" s="7"/>
    </row>
    <row r="2058" spans="2:20" x14ac:dyDescent="0.3">
      <c r="B2058" s="18" t="s">
        <v>4410</v>
      </c>
      <c r="C2058" s="13">
        <v>85</v>
      </c>
      <c r="D2058" s="21" t="s">
        <v>4411</v>
      </c>
      <c r="E2058" s="24">
        <v>2</v>
      </c>
      <c r="L2058" s="4"/>
      <c r="M2058" s="7"/>
      <c r="O2058" s="7"/>
    </row>
    <row r="2059" spans="2:20" x14ac:dyDescent="0.3">
      <c r="B2059" s="18" t="s">
        <v>4412</v>
      </c>
      <c r="C2059" s="13">
        <v>86</v>
      </c>
      <c r="D2059" s="21" t="s">
        <v>4413</v>
      </c>
      <c r="E2059" s="24">
        <v>19</v>
      </c>
      <c r="L2059" s="4"/>
      <c r="M2059" s="7"/>
      <c r="O2059" s="7"/>
      <c r="T2059" s="7"/>
    </row>
    <row r="2060" spans="2:20" x14ac:dyDescent="0.3">
      <c r="B2060" s="18" t="s">
        <v>4414</v>
      </c>
      <c r="C2060" s="13">
        <v>87</v>
      </c>
      <c r="D2060" s="21" t="s">
        <v>4415</v>
      </c>
      <c r="E2060" s="24">
        <v>18</v>
      </c>
      <c r="L2060" s="4"/>
      <c r="M2060" s="7"/>
      <c r="O2060" s="7"/>
      <c r="T2060" s="7"/>
    </row>
    <row r="2061" spans="2:20" x14ac:dyDescent="0.3">
      <c r="B2061" s="18" t="s">
        <v>4416</v>
      </c>
      <c r="C2061" s="13">
        <v>88</v>
      </c>
      <c r="D2061" s="21" t="s">
        <v>4417</v>
      </c>
      <c r="E2061" s="24">
        <v>17</v>
      </c>
      <c r="L2061" s="4"/>
      <c r="M2061" s="7"/>
      <c r="O2061" s="7"/>
      <c r="T2061" s="7"/>
    </row>
    <row r="2062" spans="2:20" x14ac:dyDescent="0.3">
      <c r="B2062" s="18" t="s">
        <v>4418</v>
      </c>
      <c r="C2062" s="13">
        <v>89</v>
      </c>
      <c r="D2062" s="21" t="s">
        <v>4419</v>
      </c>
      <c r="E2062" s="24">
        <v>16</v>
      </c>
      <c r="L2062" s="4"/>
      <c r="M2062" s="7"/>
      <c r="O2062" s="7"/>
      <c r="T2062" s="7"/>
    </row>
    <row r="2063" spans="2:20" x14ac:dyDescent="0.3">
      <c r="B2063" s="18" t="s">
        <v>4420</v>
      </c>
      <c r="C2063" s="13">
        <v>63</v>
      </c>
      <c r="D2063" s="21" t="s">
        <v>4421</v>
      </c>
      <c r="E2063" s="24">
        <v>15</v>
      </c>
      <c r="L2063" s="4"/>
      <c r="M2063" s="7"/>
      <c r="O2063" s="7"/>
      <c r="T2063" s="7"/>
    </row>
    <row r="2064" spans="2:20" x14ac:dyDescent="0.3">
      <c r="B2064" s="18" t="s">
        <v>4422</v>
      </c>
      <c r="C2064" s="13">
        <v>90</v>
      </c>
      <c r="D2064" s="21" t="s">
        <v>4423</v>
      </c>
      <c r="E2064" s="24">
        <v>14</v>
      </c>
      <c r="L2064" s="4"/>
      <c r="M2064" s="7"/>
      <c r="O2064" s="7"/>
      <c r="T2064" s="7"/>
    </row>
    <row r="2065" spans="2:20" x14ac:dyDescent="0.3">
      <c r="B2065" s="18" t="s">
        <v>4424</v>
      </c>
      <c r="C2065" s="13">
        <v>64</v>
      </c>
      <c r="D2065" s="21" t="s">
        <v>4425</v>
      </c>
      <c r="E2065" s="24">
        <v>13</v>
      </c>
      <c r="L2065" s="4"/>
      <c r="M2065" s="7"/>
      <c r="O2065" s="7"/>
      <c r="T2065" s="7"/>
    </row>
    <row r="2066" spans="2:20" x14ac:dyDescent="0.3">
      <c r="B2066" s="18" t="s">
        <v>4426</v>
      </c>
      <c r="C2066" s="13">
        <v>65</v>
      </c>
      <c r="D2066" s="21" t="s">
        <v>4427</v>
      </c>
      <c r="E2066" s="24">
        <v>12</v>
      </c>
    </row>
    <row r="2067" spans="2:20" x14ac:dyDescent="0.3">
      <c r="B2067" s="18" t="s">
        <v>4428</v>
      </c>
      <c r="C2067" s="13">
        <v>66</v>
      </c>
      <c r="D2067" s="21" t="s">
        <v>4429</v>
      </c>
      <c r="E2067" s="24">
        <v>11</v>
      </c>
    </row>
    <row r="2068" spans="2:20" x14ac:dyDescent="0.3">
      <c r="B2068" s="18" t="s">
        <v>4430</v>
      </c>
      <c r="C2068" s="13">
        <v>67</v>
      </c>
      <c r="D2068" s="21" t="s">
        <v>4431</v>
      </c>
      <c r="E2068" s="24">
        <v>10</v>
      </c>
    </row>
    <row r="2069" spans="2:20" x14ac:dyDescent="0.3">
      <c r="B2069" s="18" t="s">
        <v>4432</v>
      </c>
      <c r="C2069" s="13">
        <v>68</v>
      </c>
      <c r="D2069" s="21" t="s">
        <v>4433</v>
      </c>
      <c r="E2069" s="24">
        <v>1</v>
      </c>
    </row>
    <row r="2070" spans="2:20" x14ac:dyDescent="0.3">
      <c r="B2070" s="18" t="s">
        <v>4434</v>
      </c>
      <c r="C2070" s="13">
        <v>69</v>
      </c>
      <c r="D2070" s="21" t="s">
        <v>4435</v>
      </c>
      <c r="E2070" s="24">
        <v>64</v>
      </c>
    </row>
    <row r="2071" spans="2:20" x14ac:dyDescent="0.3">
      <c r="B2071" s="18" t="s">
        <v>4436</v>
      </c>
      <c r="C2071" s="13">
        <v>111</v>
      </c>
      <c r="D2071" s="21" t="s">
        <v>4437</v>
      </c>
      <c r="E2071" s="24">
        <v>65</v>
      </c>
    </row>
    <row r="2072" spans="2:20" x14ac:dyDescent="0.3">
      <c r="B2072" s="18" t="s">
        <v>4438</v>
      </c>
      <c r="C2072" s="13">
        <v>110</v>
      </c>
      <c r="D2072" s="21" t="s">
        <v>4439</v>
      </c>
      <c r="E2072" s="24">
        <v>66</v>
      </c>
    </row>
    <row r="2073" spans="2:20" x14ac:dyDescent="0.3">
      <c r="B2073" s="18" t="s">
        <v>4440</v>
      </c>
      <c r="C2073" s="13">
        <v>109</v>
      </c>
      <c r="D2073" s="21" t="s">
        <v>4441</v>
      </c>
      <c r="E2073" s="24">
        <v>67</v>
      </c>
    </row>
    <row r="2074" spans="2:20" x14ac:dyDescent="0.3">
      <c r="B2074" s="18" t="s">
        <v>4442</v>
      </c>
      <c r="C2074" s="13">
        <v>108</v>
      </c>
      <c r="D2074" s="21" t="s">
        <v>4443</v>
      </c>
      <c r="E2074" s="24">
        <v>68</v>
      </c>
    </row>
    <row r="2075" spans="2:20" x14ac:dyDescent="0.3">
      <c r="B2075" s="18" t="s">
        <v>4444</v>
      </c>
      <c r="C2075" s="13">
        <v>107</v>
      </c>
      <c r="D2075" s="21" t="s">
        <v>4445</v>
      </c>
      <c r="E2075" s="24">
        <v>69</v>
      </c>
    </row>
    <row r="2076" spans="2:20" x14ac:dyDescent="0.3">
      <c r="B2076" s="18" t="s">
        <v>4446</v>
      </c>
      <c r="C2076" s="13">
        <v>106</v>
      </c>
      <c r="D2076" s="21" t="s">
        <v>4447</v>
      </c>
      <c r="E2076" s="24">
        <v>70</v>
      </c>
    </row>
    <row r="2077" spans="2:20" x14ac:dyDescent="0.3">
      <c r="B2077" s="18" t="s">
        <v>4448</v>
      </c>
      <c r="C2077" s="13">
        <v>105</v>
      </c>
      <c r="D2077" s="21" t="s">
        <v>4449</v>
      </c>
      <c r="E2077" s="24">
        <v>49</v>
      </c>
    </row>
    <row r="2078" spans="2:20" x14ac:dyDescent="0.3">
      <c r="B2078" s="18" t="s">
        <v>4450</v>
      </c>
      <c r="C2078" s="13">
        <v>104</v>
      </c>
      <c r="D2078" s="21" t="s">
        <v>4451</v>
      </c>
      <c r="E2078" s="24">
        <v>50</v>
      </c>
    </row>
    <row r="2079" spans="2:20" x14ac:dyDescent="0.3">
      <c r="B2079" s="18" t="s">
        <v>4452</v>
      </c>
      <c r="C2079" s="13">
        <v>103</v>
      </c>
      <c r="D2079" s="21" t="s">
        <v>4453</v>
      </c>
      <c r="E2079" s="24">
        <v>51</v>
      </c>
    </row>
    <row r="2080" spans="2:20" x14ac:dyDescent="0.3">
      <c r="B2080" s="18" t="s">
        <v>4454</v>
      </c>
      <c r="C2080" s="13">
        <v>102</v>
      </c>
      <c r="D2080" s="21" t="s">
        <v>4455</v>
      </c>
      <c r="E2080" s="24">
        <v>52</v>
      </c>
    </row>
    <row r="2081" spans="2:5" x14ac:dyDescent="0.3">
      <c r="B2081" s="18" t="s">
        <v>4456</v>
      </c>
      <c r="C2081" s="13">
        <v>101</v>
      </c>
      <c r="D2081" s="21" t="s">
        <v>4457</v>
      </c>
      <c r="E2081" s="24">
        <v>53</v>
      </c>
    </row>
    <row r="2082" spans="2:5" x14ac:dyDescent="0.3">
      <c r="B2082" s="18" t="s">
        <v>4458</v>
      </c>
      <c r="C2082" s="13">
        <v>100</v>
      </c>
      <c r="D2082" s="21" t="s">
        <v>4459</v>
      </c>
      <c r="E2082" s="24">
        <v>71</v>
      </c>
    </row>
    <row r="2083" spans="2:5" x14ac:dyDescent="0.3">
      <c r="B2083" s="18" t="s">
        <v>4460</v>
      </c>
      <c r="C2083" s="13">
        <v>99</v>
      </c>
      <c r="D2083" s="21" t="s">
        <v>4461</v>
      </c>
      <c r="E2083" s="24">
        <v>54</v>
      </c>
    </row>
    <row r="2084" spans="2:5" x14ac:dyDescent="0.3">
      <c r="B2084" s="18" t="s">
        <v>4462</v>
      </c>
      <c r="C2084" s="13">
        <v>98</v>
      </c>
      <c r="D2084" s="21" t="s">
        <v>4463</v>
      </c>
      <c r="E2084" s="24">
        <v>55</v>
      </c>
    </row>
    <row r="2085" spans="2:5" x14ac:dyDescent="0.3">
      <c r="B2085" s="18" t="s">
        <v>4464</v>
      </c>
      <c r="C2085" s="13">
        <v>97</v>
      </c>
      <c r="D2085" s="21" t="s">
        <v>4465</v>
      </c>
      <c r="E2085" s="24">
        <v>56</v>
      </c>
    </row>
    <row r="2086" spans="2:5" x14ac:dyDescent="0.3">
      <c r="B2086" s="18" t="s">
        <v>4466</v>
      </c>
      <c r="C2086" s="13">
        <v>96</v>
      </c>
      <c r="D2086" s="21" t="s">
        <v>4467</v>
      </c>
      <c r="E2086" s="24">
        <v>57</v>
      </c>
    </row>
    <row r="2087" spans="2:5" x14ac:dyDescent="0.3">
      <c r="B2087" s="18" t="s">
        <v>4468</v>
      </c>
      <c r="C2087" s="13">
        <v>95</v>
      </c>
      <c r="D2087" s="21" t="s">
        <v>4469</v>
      </c>
      <c r="E2087" s="24">
        <v>58</v>
      </c>
    </row>
    <row r="2088" spans="2:5" x14ac:dyDescent="0.3">
      <c r="B2088" s="18" t="s">
        <v>4470</v>
      </c>
      <c r="C2088" s="13">
        <v>94</v>
      </c>
      <c r="D2088" s="21" t="s">
        <v>4471</v>
      </c>
      <c r="E2088" s="24">
        <v>59</v>
      </c>
    </row>
    <row r="2089" spans="2:5" x14ac:dyDescent="0.3">
      <c r="B2089" s="18" t="s">
        <v>4472</v>
      </c>
      <c r="C2089" s="13">
        <v>93</v>
      </c>
      <c r="D2089" s="21" t="s">
        <v>4473</v>
      </c>
      <c r="E2089" s="24">
        <v>60</v>
      </c>
    </row>
    <row r="2090" spans="2:5" x14ac:dyDescent="0.3">
      <c r="B2090" s="18" t="s">
        <v>4474</v>
      </c>
      <c r="C2090" s="13">
        <v>92</v>
      </c>
      <c r="D2090" s="21" t="s">
        <v>4475</v>
      </c>
      <c r="E2090" s="24">
        <v>61</v>
      </c>
    </row>
    <row r="2091" spans="2:5" x14ac:dyDescent="0.3">
      <c r="B2091" s="18" t="s">
        <v>4476</v>
      </c>
      <c r="C2091" s="13">
        <v>118</v>
      </c>
      <c r="D2091" s="21" t="s">
        <v>4477</v>
      </c>
      <c r="E2091" s="24">
        <v>62</v>
      </c>
    </row>
    <row r="2092" spans="2:5" x14ac:dyDescent="0.3">
      <c r="B2092" s="18" t="s">
        <v>4478</v>
      </c>
      <c r="C2092" s="13">
        <v>91</v>
      </c>
      <c r="D2092" s="21" t="s">
        <v>4479</v>
      </c>
      <c r="E2092" s="24">
        <v>63</v>
      </c>
    </row>
    <row r="2093" spans="2:5" x14ac:dyDescent="0.3">
      <c r="B2093" s="18" t="s">
        <v>4480</v>
      </c>
      <c r="C2093" s="13">
        <v>117</v>
      </c>
      <c r="D2093" s="21" t="s">
        <v>4481</v>
      </c>
      <c r="E2093" s="24">
        <v>72</v>
      </c>
    </row>
    <row r="2094" spans="2:5" x14ac:dyDescent="0.3">
      <c r="B2094" s="18" t="s">
        <v>4482</v>
      </c>
      <c r="C2094" s="13">
        <v>116</v>
      </c>
      <c r="D2094" s="21" t="s">
        <v>4483</v>
      </c>
      <c r="E2094" s="24">
        <v>33</v>
      </c>
    </row>
    <row r="2095" spans="2:5" x14ac:dyDescent="0.3">
      <c r="B2095" s="18" t="s">
        <v>4484</v>
      </c>
      <c r="C2095" s="13">
        <v>115</v>
      </c>
      <c r="D2095" s="21" t="s">
        <v>4485</v>
      </c>
      <c r="E2095" s="24">
        <v>32</v>
      </c>
    </row>
    <row r="2096" spans="2:5" x14ac:dyDescent="0.3">
      <c r="B2096" s="18" t="s">
        <v>4486</v>
      </c>
      <c r="C2096" s="13">
        <v>114</v>
      </c>
      <c r="D2096" s="21" t="s">
        <v>4487</v>
      </c>
      <c r="E2096" s="24">
        <v>31</v>
      </c>
    </row>
    <row r="2097" spans="2:5" x14ac:dyDescent="0.3">
      <c r="B2097" s="18" t="s">
        <v>4488</v>
      </c>
      <c r="C2097" s="13">
        <v>113</v>
      </c>
      <c r="D2097" s="21" t="s">
        <v>4489</v>
      </c>
      <c r="E2097" s="24">
        <v>30</v>
      </c>
    </row>
    <row r="2098" spans="2:5" x14ac:dyDescent="0.3">
      <c r="B2098" s="18" t="s">
        <v>4490</v>
      </c>
      <c r="C2098" s="13">
        <v>112</v>
      </c>
      <c r="D2098" s="21" t="s">
        <v>4491</v>
      </c>
      <c r="E2098" s="24">
        <v>29</v>
      </c>
    </row>
    <row r="2099" spans="2:5" x14ac:dyDescent="0.3">
      <c r="B2099" s="18" t="s">
        <v>4492</v>
      </c>
      <c r="C2099" s="13">
        <v>1</v>
      </c>
      <c r="D2099" s="21" t="s">
        <v>4493</v>
      </c>
      <c r="E2099" s="24">
        <v>28</v>
      </c>
    </row>
    <row r="2100" spans="2:5" x14ac:dyDescent="0.3">
      <c r="B2100" s="18" t="s">
        <v>4494</v>
      </c>
      <c r="C2100" s="13">
        <v>10</v>
      </c>
      <c r="D2100" s="21" t="s">
        <v>4495</v>
      </c>
      <c r="E2100" s="24">
        <v>27</v>
      </c>
    </row>
    <row r="2101" spans="2:5" x14ac:dyDescent="0.3">
      <c r="B2101" s="18" t="s">
        <v>4496</v>
      </c>
      <c r="C2101" s="13">
        <v>11</v>
      </c>
      <c r="D2101" s="21" t="s">
        <v>4497</v>
      </c>
      <c r="E2101" s="24">
        <v>48</v>
      </c>
    </row>
    <row r="2102" spans="2:5" x14ac:dyDescent="0.3">
      <c r="B2102" s="18" t="s">
        <v>4498</v>
      </c>
      <c r="C2102" s="13">
        <v>12</v>
      </c>
      <c r="D2102" s="21" t="s">
        <v>4499</v>
      </c>
      <c r="E2102" s="24">
        <v>47</v>
      </c>
    </row>
    <row r="2103" spans="2:5" x14ac:dyDescent="0.3">
      <c r="B2103" s="18" t="s">
        <v>4500</v>
      </c>
      <c r="C2103" s="13">
        <v>13</v>
      </c>
      <c r="D2103" s="21" t="s">
        <v>4501</v>
      </c>
      <c r="E2103" s="24">
        <v>46</v>
      </c>
    </row>
    <row r="2104" spans="2:5" x14ac:dyDescent="0.3">
      <c r="B2104" s="18" t="s">
        <v>4502</v>
      </c>
      <c r="C2104" s="13">
        <v>14</v>
      </c>
      <c r="D2104" s="21" t="s">
        <v>4503</v>
      </c>
      <c r="E2104" s="24">
        <v>45</v>
      </c>
    </row>
    <row r="2105" spans="2:5" x14ac:dyDescent="0.3">
      <c r="B2105" s="18" t="s">
        <v>4504</v>
      </c>
      <c r="C2105" s="13">
        <v>15</v>
      </c>
      <c r="D2105" s="21" t="s">
        <v>4505</v>
      </c>
      <c r="E2105" s="24">
        <v>44</v>
      </c>
    </row>
    <row r="2106" spans="2:5" x14ac:dyDescent="0.3">
      <c r="B2106" s="18" t="s">
        <v>4506</v>
      </c>
      <c r="C2106" s="13">
        <v>16</v>
      </c>
      <c r="D2106" s="21" t="s">
        <v>4507</v>
      </c>
      <c r="E2106" s="24">
        <v>26</v>
      </c>
    </row>
    <row r="2107" spans="2:5" x14ac:dyDescent="0.3">
      <c r="B2107" s="18" t="s">
        <v>4508</v>
      </c>
      <c r="C2107" s="13">
        <v>17</v>
      </c>
      <c r="D2107" s="21" t="s">
        <v>4509</v>
      </c>
      <c r="E2107" s="24">
        <v>43</v>
      </c>
    </row>
    <row r="2108" spans="2:5" x14ac:dyDescent="0.3">
      <c r="B2108" s="18" t="s">
        <v>4510</v>
      </c>
      <c r="C2108" s="13">
        <v>18</v>
      </c>
      <c r="D2108" s="21" t="s">
        <v>4511</v>
      </c>
      <c r="E2108" s="24">
        <v>42</v>
      </c>
    </row>
    <row r="2109" spans="2:5" x14ac:dyDescent="0.3">
      <c r="B2109" s="18" t="s">
        <v>4512</v>
      </c>
      <c r="C2109" s="13">
        <v>19</v>
      </c>
      <c r="D2109" s="21" t="s">
        <v>4513</v>
      </c>
      <c r="E2109" s="24">
        <v>41</v>
      </c>
    </row>
    <row r="2110" spans="2:5" x14ac:dyDescent="0.3">
      <c r="B2110" s="18" t="s">
        <v>4514</v>
      </c>
      <c r="C2110" s="13">
        <v>2</v>
      </c>
      <c r="D2110" s="21" t="s">
        <v>4515</v>
      </c>
      <c r="E2110" s="24">
        <v>40</v>
      </c>
    </row>
    <row r="2111" spans="2:5" x14ac:dyDescent="0.3">
      <c r="B2111" s="18" t="s">
        <v>4516</v>
      </c>
      <c r="C2111" s="13">
        <v>20</v>
      </c>
      <c r="D2111" s="21" t="s">
        <v>4517</v>
      </c>
      <c r="E2111" s="24">
        <v>39</v>
      </c>
    </row>
    <row r="2112" spans="2:5" x14ac:dyDescent="0.3">
      <c r="B2112" s="18" t="s">
        <v>4518</v>
      </c>
      <c r="C2112" s="13">
        <v>21</v>
      </c>
      <c r="D2112" s="21" t="s">
        <v>4519</v>
      </c>
      <c r="E2112" s="24">
        <v>38</v>
      </c>
    </row>
    <row r="2113" spans="2:5" x14ac:dyDescent="0.3">
      <c r="B2113" s="18" t="s">
        <v>4520</v>
      </c>
      <c r="C2113" s="13">
        <v>22</v>
      </c>
      <c r="D2113" s="21" t="s">
        <v>4521</v>
      </c>
      <c r="E2113" s="24">
        <v>37</v>
      </c>
    </row>
    <row r="2114" spans="2:5" x14ac:dyDescent="0.3">
      <c r="B2114" s="18" t="s">
        <v>4522</v>
      </c>
      <c r="C2114" s="13">
        <v>23</v>
      </c>
      <c r="D2114" s="21" t="s">
        <v>4523</v>
      </c>
      <c r="E2114" s="24">
        <v>36</v>
      </c>
    </row>
    <row r="2115" spans="2:5" x14ac:dyDescent="0.3">
      <c r="B2115" s="18" t="s">
        <v>4524</v>
      </c>
      <c r="C2115" s="13">
        <v>24</v>
      </c>
      <c r="D2115" s="21" t="s">
        <v>4525</v>
      </c>
      <c r="E2115" s="24">
        <v>35</v>
      </c>
    </row>
    <row r="2116" spans="2:5" x14ac:dyDescent="0.3">
      <c r="B2116" s="18" t="s">
        <v>4526</v>
      </c>
      <c r="C2116" s="13">
        <v>25</v>
      </c>
      <c r="D2116" s="21" t="s">
        <v>4527</v>
      </c>
      <c r="E2116" s="24">
        <v>34</v>
      </c>
    </row>
    <row r="2117" spans="2:5" x14ac:dyDescent="0.3">
      <c r="B2117" s="18" t="s">
        <v>4528</v>
      </c>
      <c r="C2117" s="13">
        <v>26</v>
      </c>
      <c r="D2117" s="21" t="s">
        <v>4529</v>
      </c>
      <c r="E2117" s="24">
        <v>25</v>
      </c>
    </row>
    <row r="2118" spans="2:5" x14ac:dyDescent="0.3">
      <c r="B2118" s="18" t="s">
        <v>4530</v>
      </c>
      <c r="C2118" s="13">
        <v>27</v>
      </c>
      <c r="D2118" s="21" t="s">
        <v>4531</v>
      </c>
      <c r="E2118" s="24">
        <v>9</v>
      </c>
    </row>
    <row r="2119" spans="2:5" x14ac:dyDescent="0.3">
      <c r="B2119" s="18" t="s">
        <v>4532</v>
      </c>
      <c r="C2119" s="13">
        <v>28</v>
      </c>
      <c r="D2119" s="21" t="s">
        <v>4533</v>
      </c>
      <c r="E2119" s="24">
        <v>8</v>
      </c>
    </row>
    <row r="2120" spans="2:5" x14ac:dyDescent="0.3">
      <c r="B2120" s="18" t="s">
        <v>4534</v>
      </c>
      <c r="C2120" s="13">
        <v>29</v>
      </c>
      <c r="D2120" s="21" t="s">
        <v>4535</v>
      </c>
      <c r="E2120" s="24">
        <v>7</v>
      </c>
    </row>
    <row r="2121" spans="2:5" x14ac:dyDescent="0.3">
      <c r="B2121" s="18" t="s">
        <v>4536</v>
      </c>
      <c r="C2121" s="13">
        <v>3</v>
      </c>
      <c r="D2121" s="21" t="s">
        <v>4537</v>
      </c>
      <c r="E2121" s="24">
        <v>6</v>
      </c>
    </row>
    <row r="2122" spans="2:5" x14ac:dyDescent="0.3">
      <c r="B2122" s="18" t="s">
        <v>4538</v>
      </c>
      <c r="C2122" s="13">
        <v>30</v>
      </c>
      <c r="D2122" s="21" t="s">
        <v>4539</v>
      </c>
      <c r="E2122" s="24">
        <v>5</v>
      </c>
    </row>
    <row r="2123" spans="2:5" x14ac:dyDescent="0.3">
      <c r="B2123" s="18" t="s">
        <v>4540</v>
      </c>
      <c r="C2123" s="13">
        <v>4</v>
      </c>
      <c r="D2123" s="21" t="s">
        <v>4541</v>
      </c>
      <c r="E2123" s="24">
        <v>4</v>
      </c>
    </row>
    <row r="2124" spans="2:5" x14ac:dyDescent="0.3">
      <c r="B2124" s="18" t="s">
        <v>4542</v>
      </c>
      <c r="C2124" s="13">
        <v>5</v>
      </c>
      <c r="D2124" s="21" t="s">
        <v>4543</v>
      </c>
      <c r="E2124" s="24">
        <v>3</v>
      </c>
    </row>
    <row r="2125" spans="2:5" x14ac:dyDescent="0.3">
      <c r="B2125" s="18" t="s">
        <v>4544</v>
      </c>
      <c r="C2125" s="13">
        <v>6</v>
      </c>
      <c r="D2125" s="21" t="s">
        <v>4545</v>
      </c>
      <c r="E2125" s="24">
        <v>24</v>
      </c>
    </row>
    <row r="2126" spans="2:5" x14ac:dyDescent="0.3">
      <c r="B2126" s="18" t="s">
        <v>4546</v>
      </c>
      <c r="C2126" s="13">
        <v>7</v>
      </c>
      <c r="D2126" s="21" t="s">
        <v>4547</v>
      </c>
      <c r="E2126" s="24">
        <v>23</v>
      </c>
    </row>
    <row r="2127" spans="2:5" x14ac:dyDescent="0.3">
      <c r="B2127" s="18" t="s">
        <v>4548</v>
      </c>
      <c r="C2127" s="13">
        <v>8</v>
      </c>
      <c r="D2127" s="21" t="s">
        <v>4549</v>
      </c>
      <c r="E2127" s="24">
        <v>22</v>
      </c>
    </row>
    <row r="2128" spans="2:5" x14ac:dyDescent="0.3">
      <c r="B2128" s="18" t="s">
        <v>4550</v>
      </c>
      <c r="C2128" s="13">
        <v>9</v>
      </c>
      <c r="D2128" s="21" t="s">
        <v>4551</v>
      </c>
      <c r="E2128" s="24">
        <v>21</v>
      </c>
    </row>
    <row r="2129" spans="2:5" x14ac:dyDescent="0.3">
      <c r="B2129" s="18" t="s">
        <v>4552</v>
      </c>
      <c r="C2129" s="13">
        <v>60</v>
      </c>
      <c r="D2129" s="21" t="s">
        <v>4553</v>
      </c>
      <c r="E2129" s="24">
        <v>20</v>
      </c>
    </row>
    <row r="2130" spans="2:5" x14ac:dyDescent="0.3">
      <c r="B2130" s="18" t="s">
        <v>4554</v>
      </c>
      <c r="C2130" s="13">
        <v>51</v>
      </c>
      <c r="D2130" s="21" t="s">
        <v>4555</v>
      </c>
      <c r="E2130" s="24">
        <v>2</v>
      </c>
    </row>
    <row r="2131" spans="2:5" x14ac:dyDescent="0.3">
      <c r="B2131" s="18" t="s">
        <v>4556</v>
      </c>
      <c r="C2131" s="13">
        <v>50</v>
      </c>
      <c r="D2131" s="21" t="s">
        <v>4557</v>
      </c>
      <c r="E2131" s="24">
        <v>19</v>
      </c>
    </row>
    <row r="2132" spans="2:5" x14ac:dyDescent="0.3">
      <c r="B2132" s="18" t="s">
        <v>4558</v>
      </c>
      <c r="C2132" s="13">
        <v>49</v>
      </c>
      <c r="D2132" s="21" t="s">
        <v>4559</v>
      </c>
      <c r="E2132" s="24">
        <v>18</v>
      </c>
    </row>
    <row r="2133" spans="2:5" x14ac:dyDescent="0.3">
      <c r="B2133" s="18" t="s">
        <v>4560</v>
      </c>
      <c r="C2133" s="13">
        <v>48</v>
      </c>
      <c r="D2133" s="21" t="s">
        <v>4561</v>
      </c>
      <c r="E2133" s="24">
        <v>17</v>
      </c>
    </row>
    <row r="2134" spans="2:5" x14ac:dyDescent="0.3">
      <c r="B2134" s="18" t="s">
        <v>4562</v>
      </c>
      <c r="C2134" s="13">
        <v>47</v>
      </c>
      <c r="D2134" s="21" t="s">
        <v>4563</v>
      </c>
      <c r="E2134" s="24">
        <v>16</v>
      </c>
    </row>
    <row r="2135" spans="2:5" x14ac:dyDescent="0.3">
      <c r="B2135" s="18" t="s">
        <v>4564</v>
      </c>
      <c r="C2135" s="13">
        <v>46</v>
      </c>
      <c r="D2135" s="21" t="s">
        <v>4565</v>
      </c>
      <c r="E2135" s="24">
        <v>15</v>
      </c>
    </row>
    <row r="2136" spans="2:5" x14ac:dyDescent="0.3">
      <c r="B2136" s="18" t="s">
        <v>4566</v>
      </c>
      <c r="C2136" s="13">
        <v>45</v>
      </c>
      <c r="D2136" s="21" t="s">
        <v>4567</v>
      </c>
      <c r="E2136" s="24">
        <v>14</v>
      </c>
    </row>
    <row r="2137" spans="2:5" x14ac:dyDescent="0.3">
      <c r="B2137" s="18" t="s">
        <v>4568</v>
      </c>
      <c r="C2137" s="13">
        <v>44</v>
      </c>
      <c r="D2137" s="21" t="s">
        <v>4569</v>
      </c>
      <c r="E2137" s="24">
        <v>13</v>
      </c>
    </row>
    <row r="2138" spans="2:5" x14ac:dyDescent="0.3">
      <c r="B2138" s="18" t="s">
        <v>4570</v>
      </c>
      <c r="C2138" s="13">
        <v>43</v>
      </c>
      <c r="D2138" s="21" t="s">
        <v>4571</v>
      </c>
      <c r="E2138" s="24">
        <v>12</v>
      </c>
    </row>
    <row r="2139" spans="2:5" x14ac:dyDescent="0.3">
      <c r="B2139" s="18" t="s">
        <v>4572</v>
      </c>
      <c r="C2139" s="13">
        <v>42</v>
      </c>
      <c r="D2139" s="21" t="s">
        <v>4573</v>
      </c>
      <c r="E2139" s="24">
        <v>11</v>
      </c>
    </row>
    <row r="2140" spans="2:5" x14ac:dyDescent="0.3">
      <c r="B2140" s="18" t="s">
        <v>4574</v>
      </c>
      <c r="C2140" s="13">
        <v>59</v>
      </c>
      <c r="D2140" s="21" t="s">
        <v>4575</v>
      </c>
      <c r="E2140" s="24">
        <v>10</v>
      </c>
    </row>
    <row r="2141" spans="2:5" x14ac:dyDescent="0.3">
      <c r="B2141" s="18" t="s">
        <v>4576</v>
      </c>
      <c r="C2141" s="13">
        <v>41</v>
      </c>
      <c r="D2141" s="21" t="s">
        <v>4577</v>
      </c>
      <c r="E2141" s="24">
        <v>1</v>
      </c>
    </row>
    <row r="2142" spans="2:5" x14ac:dyDescent="0.3">
      <c r="B2142" s="18" t="s">
        <v>4578</v>
      </c>
      <c r="C2142" s="13">
        <v>40</v>
      </c>
      <c r="D2142" s="21" t="s">
        <v>4579</v>
      </c>
      <c r="E2142" s="24">
        <v>64</v>
      </c>
    </row>
    <row r="2143" spans="2:5" x14ac:dyDescent="0.3">
      <c r="B2143" s="18" t="s">
        <v>4580</v>
      </c>
      <c r="C2143" s="13">
        <v>39</v>
      </c>
      <c r="D2143" s="21" t="s">
        <v>4581</v>
      </c>
      <c r="E2143" s="24">
        <v>65</v>
      </c>
    </row>
    <row r="2144" spans="2:5" x14ac:dyDescent="0.3">
      <c r="B2144" s="18" t="s">
        <v>4582</v>
      </c>
      <c r="C2144" s="13">
        <v>38</v>
      </c>
      <c r="D2144" s="21" t="s">
        <v>4583</v>
      </c>
      <c r="E2144" s="24">
        <v>66</v>
      </c>
    </row>
    <row r="2145" spans="2:5" x14ac:dyDescent="0.3">
      <c r="B2145" s="18" t="s">
        <v>4584</v>
      </c>
      <c r="C2145" s="13">
        <v>37</v>
      </c>
      <c r="D2145" s="21" t="s">
        <v>4585</v>
      </c>
      <c r="E2145" s="24">
        <v>67</v>
      </c>
    </row>
    <row r="2146" spans="2:5" x14ac:dyDescent="0.3">
      <c r="B2146" s="18" t="s">
        <v>4586</v>
      </c>
      <c r="C2146" s="13">
        <v>36</v>
      </c>
      <c r="D2146" s="21" t="s">
        <v>4587</v>
      </c>
      <c r="E2146" s="24">
        <v>68</v>
      </c>
    </row>
    <row r="2147" spans="2:5" x14ac:dyDescent="0.3">
      <c r="B2147" s="18" t="s">
        <v>4588</v>
      </c>
      <c r="C2147" s="13">
        <v>35</v>
      </c>
      <c r="D2147" s="21" t="s">
        <v>4589</v>
      </c>
      <c r="E2147" s="24">
        <v>69</v>
      </c>
    </row>
    <row r="2148" spans="2:5" x14ac:dyDescent="0.3">
      <c r="B2148" s="18" t="s">
        <v>4590</v>
      </c>
      <c r="C2148" s="13">
        <v>34</v>
      </c>
      <c r="D2148" s="21" t="s">
        <v>4591</v>
      </c>
      <c r="E2148" s="24">
        <v>70</v>
      </c>
    </row>
    <row r="2149" spans="2:5" x14ac:dyDescent="0.3">
      <c r="B2149" s="18" t="s">
        <v>4592</v>
      </c>
      <c r="C2149" s="13">
        <v>33</v>
      </c>
      <c r="D2149" s="21" t="s">
        <v>4593</v>
      </c>
      <c r="E2149" s="24">
        <v>49</v>
      </c>
    </row>
    <row r="2150" spans="2:5" x14ac:dyDescent="0.3">
      <c r="B2150" s="18" t="s">
        <v>4594</v>
      </c>
      <c r="C2150" s="13">
        <v>32</v>
      </c>
      <c r="D2150" s="21" t="s">
        <v>4595</v>
      </c>
      <c r="E2150" s="24">
        <v>50</v>
      </c>
    </row>
    <row r="2151" spans="2:5" x14ac:dyDescent="0.3">
      <c r="B2151" s="18" t="s">
        <v>4596</v>
      </c>
      <c r="C2151" s="13">
        <v>58</v>
      </c>
      <c r="D2151" s="21" t="s">
        <v>4597</v>
      </c>
      <c r="E2151" s="24">
        <v>51</v>
      </c>
    </row>
    <row r="2152" spans="2:5" x14ac:dyDescent="0.3">
      <c r="B2152" s="18" t="s">
        <v>4598</v>
      </c>
      <c r="C2152" s="13">
        <v>31</v>
      </c>
      <c r="D2152" s="21" t="s">
        <v>4599</v>
      </c>
      <c r="E2152" s="24">
        <v>52</v>
      </c>
    </row>
    <row r="2153" spans="2:5" x14ac:dyDescent="0.3">
      <c r="B2153" s="18" t="s">
        <v>4600</v>
      </c>
      <c r="C2153" s="13">
        <v>57</v>
      </c>
      <c r="D2153" s="21" t="s">
        <v>4601</v>
      </c>
      <c r="E2153" s="24">
        <v>53</v>
      </c>
    </row>
    <row r="2154" spans="2:5" x14ac:dyDescent="0.3">
      <c r="B2154" s="18" t="s">
        <v>4602</v>
      </c>
      <c r="C2154" s="13">
        <v>56</v>
      </c>
      <c r="D2154" s="21" t="s">
        <v>4603</v>
      </c>
      <c r="E2154" s="24">
        <v>71</v>
      </c>
    </row>
    <row r="2155" spans="2:5" x14ac:dyDescent="0.3">
      <c r="B2155" s="18" t="s">
        <v>4604</v>
      </c>
      <c r="C2155" s="13">
        <v>55</v>
      </c>
      <c r="D2155" s="21" t="s">
        <v>4605</v>
      </c>
      <c r="E2155" s="24">
        <v>54</v>
      </c>
    </row>
    <row r="2156" spans="2:5" x14ac:dyDescent="0.3">
      <c r="B2156" s="18" t="s">
        <v>4606</v>
      </c>
      <c r="C2156" s="13">
        <v>54</v>
      </c>
      <c r="D2156" s="21" t="s">
        <v>4607</v>
      </c>
      <c r="E2156" s="24">
        <v>55</v>
      </c>
    </row>
    <row r="2157" spans="2:5" x14ac:dyDescent="0.3">
      <c r="B2157" s="18" t="s">
        <v>4608</v>
      </c>
      <c r="C2157" s="13">
        <v>53</v>
      </c>
      <c r="D2157" s="21" t="s">
        <v>4609</v>
      </c>
      <c r="E2157" s="24">
        <v>56</v>
      </c>
    </row>
    <row r="2158" spans="2:5" x14ac:dyDescent="0.3">
      <c r="B2158" s="18" t="s">
        <v>4610</v>
      </c>
      <c r="C2158" s="13">
        <v>52</v>
      </c>
      <c r="D2158" s="21" t="s">
        <v>4611</v>
      </c>
      <c r="E2158" s="24">
        <v>57</v>
      </c>
    </row>
    <row r="2159" spans="2:5" x14ac:dyDescent="0.3">
      <c r="B2159" s="18" t="s">
        <v>4612</v>
      </c>
      <c r="C2159" s="13">
        <v>61</v>
      </c>
      <c r="D2159" s="21" t="s">
        <v>4613</v>
      </c>
      <c r="E2159" s="24">
        <v>58</v>
      </c>
    </row>
    <row r="2160" spans="2:5" x14ac:dyDescent="0.3">
      <c r="B2160" s="18" t="s">
        <v>4614</v>
      </c>
      <c r="C2160" s="13">
        <v>70</v>
      </c>
      <c r="D2160" s="21" t="s">
        <v>4615</v>
      </c>
      <c r="E2160" s="24">
        <v>59</v>
      </c>
    </row>
    <row r="2161" spans="2:5" x14ac:dyDescent="0.3">
      <c r="B2161" s="18" t="s">
        <v>4616</v>
      </c>
      <c r="C2161" s="13">
        <v>71</v>
      </c>
      <c r="D2161" s="21" t="s">
        <v>4617</v>
      </c>
      <c r="E2161" s="24">
        <v>60</v>
      </c>
    </row>
    <row r="2162" spans="2:5" x14ac:dyDescent="0.3">
      <c r="B2162" s="18" t="s">
        <v>4618</v>
      </c>
      <c r="C2162" s="13">
        <v>72</v>
      </c>
      <c r="D2162" s="21" t="s">
        <v>4619</v>
      </c>
      <c r="E2162" s="24">
        <v>61</v>
      </c>
    </row>
    <row r="2163" spans="2:5" x14ac:dyDescent="0.3">
      <c r="B2163" s="18" t="s">
        <v>4620</v>
      </c>
      <c r="C2163" s="13">
        <v>73</v>
      </c>
      <c r="D2163" s="21" t="s">
        <v>4621</v>
      </c>
      <c r="E2163" s="24">
        <v>62</v>
      </c>
    </row>
    <row r="2164" spans="2:5" x14ac:dyDescent="0.3">
      <c r="B2164" s="18" t="s">
        <v>4622</v>
      </c>
      <c r="C2164" s="13">
        <v>74</v>
      </c>
      <c r="D2164" s="21" t="s">
        <v>4623</v>
      </c>
      <c r="E2164" s="24">
        <v>63</v>
      </c>
    </row>
    <row r="2165" spans="2:5" x14ac:dyDescent="0.3">
      <c r="B2165" s="18" t="s">
        <v>4624</v>
      </c>
      <c r="C2165" s="13">
        <v>75</v>
      </c>
      <c r="D2165" s="21" t="s">
        <v>4625</v>
      </c>
      <c r="E2165" s="24">
        <v>33</v>
      </c>
    </row>
    <row r="2166" spans="2:5" x14ac:dyDescent="0.3">
      <c r="B2166" s="18" t="s">
        <v>4626</v>
      </c>
      <c r="C2166" s="13">
        <v>76</v>
      </c>
      <c r="D2166" s="21" t="s">
        <v>4627</v>
      </c>
      <c r="E2166" s="24">
        <v>32</v>
      </c>
    </row>
    <row r="2167" spans="2:5" x14ac:dyDescent="0.3">
      <c r="B2167" s="18" t="s">
        <v>4628</v>
      </c>
      <c r="C2167" s="13">
        <v>77</v>
      </c>
      <c r="D2167" s="21" t="s">
        <v>4629</v>
      </c>
      <c r="E2167" s="24">
        <v>31</v>
      </c>
    </row>
    <row r="2168" spans="2:5" x14ac:dyDescent="0.3">
      <c r="B2168" s="18" t="s">
        <v>4630</v>
      </c>
      <c r="C2168" s="13">
        <v>78</v>
      </c>
      <c r="D2168" s="21" t="s">
        <v>4631</v>
      </c>
      <c r="E2168" s="24">
        <v>30</v>
      </c>
    </row>
    <row r="2169" spans="2:5" x14ac:dyDescent="0.3">
      <c r="B2169" s="18" t="s">
        <v>4632</v>
      </c>
      <c r="C2169" s="13">
        <v>79</v>
      </c>
      <c r="D2169" s="21" t="s">
        <v>4633</v>
      </c>
      <c r="E2169" s="24">
        <v>29</v>
      </c>
    </row>
    <row r="2170" spans="2:5" x14ac:dyDescent="0.3">
      <c r="B2170" s="18" t="s">
        <v>4634</v>
      </c>
      <c r="C2170" s="13">
        <v>62</v>
      </c>
      <c r="D2170" s="21" t="s">
        <v>4635</v>
      </c>
      <c r="E2170" s="24">
        <v>28</v>
      </c>
    </row>
    <row r="2171" spans="2:5" x14ac:dyDescent="0.3">
      <c r="B2171" s="18" t="s">
        <v>4636</v>
      </c>
      <c r="C2171" s="13">
        <v>80</v>
      </c>
      <c r="D2171" s="21" t="s">
        <v>4637</v>
      </c>
      <c r="E2171" s="24">
        <v>27</v>
      </c>
    </row>
    <row r="2172" spans="2:5" x14ac:dyDescent="0.3">
      <c r="B2172" s="18" t="s">
        <v>4638</v>
      </c>
      <c r="C2172" s="13">
        <v>81</v>
      </c>
      <c r="D2172" s="21" t="s">
        <v>4639</v>
      </c>
      <c r="E2172" s="24">
        <v>48</v>
      </c>
    </row>
    <row r="2173" spans="2:5" x14ac:dyDescent="0.3">
      <c r="B2173" s="18" t="s">
        <v>4640</v>
      </c>
      <c r="C2173" s="13">
        <v>82</v>
      </c>
      <c r="D2173" s="21" t="s">
        <v>4641</v>
      </c>
      <c r="E2173" s="24">
        <v>47</v>
      </c>
    </row>
    <row r="2174" spans="2:5" x14ac:dyDescent="0.3">
      <c r="B2174" s="18" t="s">
        <v>4642</v>
      </c>
      <c r="C2174" s="13">
        <v>83</v>
      </c>
      <c r="D2174" s="21" t="s">
        <v>4643</v>
      </c>
      <c r="E2174" s="24">
        <v>46</v>
      </c>
    </row>
    <row r="2175" spans="2:5" x14ac:dyDescent="0.3">
      <c r="B2175" s="18" t="s">
        <v>4644</v>
      </c>
      <c r="C2175" s="13">
        <v>84</v>
      </c>
      <c r="D2175" s="21" t="s">
        <v>4645</v>
      </c>
      <c r="E2175" s="24">
        <v>45</v>
      </c>
    </row>
    <row r="2176" spans="2:5" x14ac:dyDescent="0.3">
      <c r="B2176" s="18" t="s">
        <v>4646</v>
      </c>
      <c r="C2176" s="13">
        <v>85</v>
      </c>
      <c r="D2176" s="21" t="s">
        <v>4647</v>
      </c>
      <c r="E2176" s="24">
        <v>44</v>
      </c>
    </row>
    <row r="2177" spans="2:5" x14ac:dyDescent="0.3">
      <c r="B2177" s="18" t="s">
        <v>4648</v>
      </c>
      <c r="C2177" s="13">
        <v>86</v>
      </c>
      <c r="D2177" s="21" t="s">
        <v>4649</v>
      </c>
      <c r="E2177" s="24">
        <v>26</v>
      </c>
    </row>
    <row r="2178" spans="2:5" x14ac:dyDescent="0.3">
      <c r="B2178" s="18" t="s">
        <v>4650</v>
      </c>
      <c r="C2178" s="13">
        <v>87</v>
      </c>
      <c r="D2178" s="21" t="s">
        <v>4651</v>
      </c>
      <c r="E2178" s="24">
        <v>43</v>
      </c>
    </row>
    <row r="2179" spans="2:5" x14ac:dyDescent="0.3">
      <c r="B2179" s="18" t="s">
        <v>4652</v>
      </c>
      <c r="C2179" s="13">
        <v>88</v>
      </c>
      <c r="D2179" s="21" t="s">
        <v>4653</v>
      </c>
      <c r="E2179" s="24">
        <v>42</v>
      </c>
    </row>
    <row r="2180" spans="2:5" x14ac:dyDescent="0.3">
      <c r="B2180" s="18" t="s">
        <v>4654</v>
      </c>
      <c r="C2180" s="13">
        <v>89</v>
      </c>
      <c r="D2180" s="21" t="s">
        <v>4655</v>
      </c>
      <c r="E2180" s="24">
        <v>41</v>
      </c>
    </row>
    <row r="2181" spans="2:5" x14ac:dyDescent="0.3">
      <c r="B2181" s="18" t="s">
        <v>4656</v>
      </c>
      <c r="C2181" s="13">
        <v>63</v>
      </c>
      <c r="D2181" s="21" t="s">
        <v>4657</v>
      </c>
      <c r="E2181" s="24">
        <v>40</v>
      </c>
    </row>
    <row r="2182" spans="2:5" x14ac:dyDescent="0.3">
      <c r="B2182" s="18" t="s">
        <v>4658</v>
      </c>
      <c r="C2182" s="13">
        <v>90</v>
      </c>
      <c r="D2182" s="21" t="s">
        <v>4659</v>
      </c>
      <c r="E2182" s="24">
        <v>39</v>
      </c>
    </row>
    <row r="2183" spans="2:5" x14ac:dyDescent="0.3">
      <c r="B2183" s="18" t="s">
        <v>4660</v>
      </c>
      <c r="C2183" s="13">
        <v>64</v>
      </c>
      <c r="D2183" s="21" t="s">
        <v>4661</v>
      </c>
      <c r="E2183" s="24">
        <v>38</v>
      </c>
    </row>
    <row r="2184" spans="2:5" x14ac:dyDescent="0.3">
      <c r="B2184" s="18" t="s">
        <v>4662</v>
      </c>
      <c r="C2184" s="13">
        <v>65</v>
      </c>
      <c r="D2184" s="21" t="s">
        <v>4663</v>
      </c>
      <c r="E2184" s="24">
        <v>37</v>
      </c>
    </row>
    <row r="2185" spans="2:5" x14ac:dyDescent="0.3">
      <c r="B2185" s="18" t="s">
        <v>4664</v>
      </c>
      <c r="C2185" s="13">
        <v>66</v>
      </c>
      <c r="D2185" s="21" t="s">
        <v>4665</v>
      </c>
      <c r="E2185" s="24">
        <v>36</v>
      </c>
    </row>
    <row r="2186" spans="2:5" x14ac:dyDescent="0.3">
      <c r="B2186" s="18" t="s">
        <v>4666</v>
      </c>
      <c r="C2186" s="13">
        <v>67</v>
      </c>
      <c r="D2186" s="21" t="s">
        <v>4667</v>
      </c>
      <c r="E2186" s="24">
        <v>35</v>
      </c>
    </row>
    <row r="2187" spans="2:5" x14ac:dyDescent="0.3">
      <c r="B2187" s="18" t="s">
        <v>4668</v>
      </c>
      <c r="C2187" s="13">
        <v>68</v>
      </c>
      <c r="D2187" s="21" t="s">
        <v>4669</v>
      </c>
      <c r="E2187" s="24">
        <v>34</v>
      </c>
    </row>
    <row r="2188" spans="2:5" x14ac:dyDescent="0.3">
      <c r="B2188" s="18" t="s">
        <v>4670</v>
      </c>
      <c r="C2188" s="13">
        <v>69</v>
      </c>
      <c r="D2188" s="21" t="s">
        <v>4671</v>
      </c>
      <c r="E2188" s="24">
        <v>25</v>
      </c>
    </row>
    <row r="2189" spans="2:5" x14ac:dyDescent="0.3">
      <c r="B2189" s="18" t="s">
        <v>4672</v>
      </c>
      <c r="C2189" s="13">
        <v>111</v>
      </c>
      <c r="D2189" s="21" t="s">
        <v>4673</v>
      </c>
      <c r="E2189" s="24">
        <v>9</v>
      </c>
    </row>
    <row r="2190" spans="2:5" x14ac:dyDescent="0.3">
      <c r="B2190" s="18" t="s">
        <v>4674</v>
      </c>
      <c r="C2190" s="13">
        <v>110</v>
      </c>
      <c r="D2190" s="21" t="s">
        <v>4675</v>
      </c>
      <c r="E2190" s="24">
        <v>8</v>
      </c>
    </row>
    <row r="2191" spans="2:5" x14ac:dyDescent="0.3">
      <c r="B2191" s="18" t="s">
        <v>4676</v>
      </c>
      <c r="C2191" s="13">
        <v>109</v>
      </c>
      <c r="D2191" s="21" t="s">
        <v>4677</v>
      </c>
      <c r="E2191" s="24">
        <v>7</v>
      </c>
    </row>
    <row r="2192" spans="2:5" x14ac:dyDescent="0.3">
      <c r="B2192" s="18" t="s">
        <v>4678</v>
      </c>
      <c r="C2192" s="13">
        <v>108</v>
      </c>
      <c r="D2192" s="21" t="s">
        <v>4679</v>
      </c>
      <c r="E2192" s="24">
        <v>6</v>
      </c>
    </row>
    <row r="2193" spans="2:5" x14ac:dyDescent="0.3">
      <c r="B2193" s="18" t="s">
        <v>4680</v>
      </c>
      <c r="C2193" s="13">
        <v>107</v>
      </c>
      <c r="D2193" s="21" t="s">
        <v>4681</v>
      </c>
      <c r="E2193" s="24">
        <v>5</v>
      </c>
    </row>
    <row r="2194" spans="2:5" x14ac:dyDescent="0.3">
      <c r="B2194" s="18" t="s">
        <v>4682</v>
      </c>
      <c r="C2194" s="13">
        <v>106</v>
      </c>
      <c r="D2194" s="21" t="s">
        <v>4683</v>
      </c>
      <c r="E2194" s="24">
        <v>4</v>
      </c>
    </row>
    <row r="2195" spans="2:5" x14ac:dyDescent="0.3">
      <c r="B2195" s="18" t="s">
        <v>4684</v>
      </c>
      <c r="C2195" s="13">
        <v>105</v>
      </c>
      <c r="D2195" s="21" t="s">
        <v>4685</v>
      </c>
      <c r="E2195" s="24">
        <v>3</v>
      </c>
    </row>
    <row r="2196" spans="2:5" x14ac:dyDescent="0.3">
      <c r="B2196" s="18" t="s">
        <v>4686</v>
      </c>
      <c r="C2196" s="13">
        <v>104</v>
      </c>
      <c r="D2196" s="21" t="s">
        <v>4687</v>
      </c>
      <c r="E2196" s="24">
        <v>24</v>
      </c>
    </row>
    <row r="2197" spans="2:5" x14ac:dyDescent="0.3">
      <c r="B2197" s="18" t="s">
        <v>4688</v>
      </c>
      <c r="C2197" s="13">
        <v>103</v>
      </c>
      <c r="D2197" s="21" t="s">
        <v>4689</v>
      </c>
      <c r="E2197" s="24">
        <v>23</v>
      </c>
    </row>
    <row r="2198" spans="2:5" x14ac:dyDescent="0.3">
      <c r="B2198" s="18" t="s">
        <v>4690</v>
      </c>
      <c r="C2198" s="13">
        <v>102</v>
      </c>
      <c r="D2198" s="21" t="s">
        <v>4691</v>
      </c>
      <c r="E2198" s="24">
        <v>22</v>
      </c>
    </row>
    <row r="2199" spans="2:5" x14ac:dyDescent="0.3">
      <c r="B2199" s="18" t="s">
        <v>4692</v>
      </c>
      <c r="C2199" s="13">
        <v>119</v>
      </c>
      <c r="D2199" s="21" t="s">
        <v>4693</v>
      </c>
      <c r="E2199" s="24">
        <v>21</v>
      </c>
    </row>
    <row r="2200" spans="2:5" x14ac:dyDescent="0.3">
      <c r="B2200" s="18" t="s">
        <v>4694</v>
      </c>
      <c r="C2200" s="13">
        <v>101</v>
      </c>
      <c r="D2200" s="21" t="s">
        <v>4695</v>
      </c>
      <c r="E2200" s="24">
        <v>20</v>
      </c>
    </row>
    <row r="2201" spans="2:5" x14ac:dyDescent="0.3">
      <c r="B2201" s="18" t="s">
        <v>4696</v>
      </c>
      <c r="C2201" s="13">
        <v>100</v>
      </c>
      <c r="D2201" s="21" t="s">
        <v>4697</v>
      </c>
      <c r="E2201" s="24">
        <v>2</v>
      </c>
    </row>
    <row r="2202" spans="2:5" x14ac:dyDescent="0.3">
      <c r="B2202" s="18" t="s">
        <v>4698</v>
      </c>
      <c r="C2202" s="13">
        <v>99</v>
      </c>
      <c r="D2202" s="21" t="s">
        <v>4699</v>
      </c>
      <c r="E2202" s="24">
        <v>19</v>
      </c>
    </row>
    <row r="2203" spans="2:5" x14ac:dyDescent="0.3">
      <c r="B2203" s="18" t="s">
        <v>4700</v>
      </c>
      <c r="C2203" s="13">
        <v>98</v>
      </c>
      <c r="D2203" s="21" t="s">
        <v>4701</v>
      </c>
      <c r="E2203" s="24">
        <v>18</v>
      </c>
    </row>
    <row r="2204" spans="2:5" x14ac:dyDescent="0.3">
      <c r="B2204" s="18" t="s">
        <v>4702</v>
      </c>
      <c r="C2204" s="13">
        <v>97</v>
      </c>
      <c r="D2204" s="21" t="s">
        <v>4703</v>
      </c>
      <c r="E2204" s="24">
        <v>17</v>
      </c>
    </row>
    <row r="2205" spans="2:5" x14ac:dyDescent="0.3">
      <c r="B2205" s="18" t="s">
        <v>4704</v>
      </c>
      <c r="C2205" s="13">
        <v>96</v>
      </c>
      <c r="D2205" s="21" t="s">
        <v>4705</v>
      </c>
      <c r="E2205" s="24">
        <v>16</v>
      </c>
    </row>
    <row r="2206" spans="2:5" x14ac:dyDescent="0.3">
      <c r="B2206" s="18" t="s">
        <v>4706</v>
      </c>
      <c r="C2206" s="13">
        <v>95</v>
      </c>
      <c r="D2206" s="21" t="s">
        <v>4707</v>
      </c>
      <c r="E2206" s="24">
        <v>15</v>
      </c>
    </row>
    <row r="2207" spans="2:5" x14ac:dyDescent="0.3">
      <c r="B2207" s="18" t="s">
        <v>4708</v>
      </c>
      <c r="C2207" s="13">
        <v>94</v>
      </c>
      <c r="D2207" s="21" t="s">
        <v>4709</v>
      </c>
      <c r="E2207" s="24">
        <v>14</v>
      </c>
    </row>
    <row r="2208" spans="2:5" x14ac:dyDescent="0.3">
      <c r="B2208" s="18" t="s">
        <v>4710</v>
      </c>
      <c r="C2208" s="13">
        <v>93</v>
      </c>
      <c r="D2208" s="21" t="s">
        <v>4711</v>
      </c>
      <c r="E2208" s="24">
        <v>13</v>
      </c>
    </row>
    <row r="2209" spans="2:5" x14ac:dyDescent="0.3">
      <c r="B2209" s="18" t="s">
        <v>4712</v>
      </c>
      <c r="C2209" s="13">
        <v>92</v>
      </c>
      <c r="D2209" s="21" t="s">
        <v>4713</v>
      </c>
      <c r="E2209" s="24">
        <v>12</v>
      </c>
    </row>
    <row r="2210" spans="2:5" x14ac:dyDescent="0.3">
      <c r="B2210" s="18" t="s">
        <v>4714</v>
      </c>
      <c r="C2210" s="13">
        <v>118</v>
      </c>
      <c r="D2210" s="21" t="s">
        <v>4715</v>
      </c>
      <c r="E2210" s="24">
        <v>11</v>
      </c>
    </row>
    <row r="2211" spans="2:5" x14ac:dyDescent="0.3">
      <c r="B2211" s="18" t="s">
        <v>4716</v>
      </c>
      <c r="C2211" s="13">
        <v>91</v>
      </c>
      <c r="D2211" s="21" t="s">
        <v>4717</v>
      </c>
      <c r="E2211" s="24">
        <v>10</v>
      </c>
    </row>
    <row r="2212" spans="2:5" x14ac:dyDescent="0.3">
      <c r="B2212" s="18" t="s">
        <v>4718</v>
      </c>
      <c r="C2212" s="13">
        <v>117</v>
      </c>
      <c r="D2212" s="21" t="s">
        <v>4719</v>
      </c>
      <c r="E2212" s="24">
        <v>1</v>
      </c>
    </row>
    <row r="2213" spans="2:5" x14ac:dyDescent="0.3">
      <c r="B2213" s="18" t="s">
        <v>4720</v>
      </c>
      <c r="C2213" s="13">
        <v>116</v>
      </c>
      <c r="D2213" s="21" t="s">
        <v>4721</v>
      </c>
      <c r="E2213" s="24">
        <v>64</v>
      </c>
    </row>
    <row r="2214" spans="2:5" x14ac:dyDescent="0.3">
      <c r="B2214" s="18" t="s">
        <v>4722</v>
      </c>
      <c r="C2214" s="13">
        <v>115</v>
      </c>
      <c r="D2214" s="21" t="s">
        <v>4723</v>
      </c>
      <c r="E2214" s="24">
        <v>65</v>
      </c>
    </row>
    <row r="2215" spans="2:5" x14ac:dyDescent="0.3">
      <c r="B2215" s="18" t="s">
        <v>4724</v>
      </c>
      <c r="C2215" s="13">
        <v>114</v>
      </c>
      <c r="D2215" s="21" t="s">
        <v>4725</v>
      </c>
      <c r="E2215" s="24">
        <v>66</v>
      </c>
    </row>
    <row r="2216" spans="2:5" x14ac:dyDescent="0.3">
      <c r="B2216" s="18" t="s">
        <v>4726</v>
      </c>
      <c r="C2216" s="13">
        <v>113</v>
      </c>
      <c r="D2216" s="21" t="s">
        <v>4727</v>
      </c>
      <c r="E2216" s="24">
        <v>67</v>
      </c>
    </row>
    <row r="2217" spans="2:5" x14ac:dyDescent="0.3">
      <c r="B2217" s="18" t="s">
        <v>4728</v>
      </c>
      <c r="C2217" s="13">
        <v>112</v>
      </c>
      <c r="D2217" s="21" t="s">
        <v>4729</v>
      </c>
      <c r="E2217" s="24">
        <v>68</v>
      </c>
    </row>
    <row r="2218" spans="2:5" x14ac:dyDescent="0.3">
      <c r="B2218" s="18" t="s">
        <v>4730</v>
      </c>
      <c r="C2218" s="13">
        <v>1</v>
      </c>
      <c r="D2218" s="21" t="s">
        <v>4731</v>
      </c>
      <c r="E2218" s="24">
        <v>69</v>
      </c>
    </row>
    <row r="2219" spans="2:5" x14ac:dyDescent="0.3">
      <c r="B2219" s="18" t="s">
        <v>4732</v>
      </c>
      <c r="C2219" s="13">
        <v>2</v>
      </c>
      <c r="D2219" s="21" t="s">
        <v>4733</v>
      </c>
      <c r="E2219" s="24">
        <v>70</v>
      </c>
    </row>
    <row r="2220" spans="2:5" x14ac:dyDescent="0.3">
      <c r="B2220" s="18" t="s">
        <v>4734</v>
      </c>
      <c r="C2220" s="13">
        <v>3</v>
      </c>
      <c r="D2220" s="21" t="s">
        <v>4735</v>
      </c>
      <c r="E2220" s="24">
        <v>49</v>
      </c>
    </row>
    <row r="2221" spans="2:5" x14ac:dyDescent="0.3">
      <c r="B2221" s="18" t="s">
        <v>4736</v>
      </c>
      <c r="C2221" s="13">
        <v>6</v>
      </c>
      <c r="D2221" s="21" t="s">
        <v>4737</v>
      </c>
      <c r="E2221" s="24">
        <v>50</v>
      </c>
    </row>
    <row r="2222" spans="2:5" x14ac:dyDescent="0.3">
      <c r="B2222" s="18" t="s">
        <v>4738</v>
      </c>
      <c r="C2222" s="13">
        <v>5</v>
      </c>
      <c r="D2222" s="21" t="s">
        <v>4739</v>
      </c>
      <c r="E2222" s="24">
        <v>51</v>
      </c>
    </row>
    <row r="2223" spans="2:5" x14ac:dyDescent="0.3">
      <c r="B2223" s="18" t="s">
        <v>4740</v>
      </c>
      <c r="C2223" s="13">
        <v>4</v>
      </c>
      <c r="D2223" s="21" t="s">
        <v>4741</v>
      </c>
      <c r="E2223" s="24">
        <v>52</v>
      </c>
    </row>
    <row r="2224" spans="2:5" x14ac:dyDescent="0.3">
      <c r="B2224" s="18" t="s">
        <v>4742</v>
      </c>
      <c r="C2224" s="13">
        <v>7</v>
      </c>
      <c r="D2224" s="21" t="s">
        <v>4743</v>
      </c>
      <c r="E2224" s="24">
        <v>53</v>
      </c>
    </row>
    <row r="2225" spans="2:5" x14ac:dyDescent="0.3">
      <c r="B2225" s="18" t="s">
        <v>4744</v>
      </c>
      <c r="C2225" s="13">
        <v>8</v>
      </c>
      <c r="D2225" s="21" t="s">
        <v>4745</v>
      </c>
      <c r="E2225" s="24">
        <v>54</v>
      </c>
    </row>
    <row r="2226" spans="2:5" x14ac:dyDescent="0.3">
      <c r="B2226" s="18" t="s">
        <v>4746</v>
      </c>
      <c r="C2226" s="13">
        <v>9</v>
      </c>
      <c r="D2226" s="21" t="s">
        <v>4747</v>
      </c>
      <c r="E2226" s="24">
        <v>55</v>
      </c>
    </row>
    <row r="2227" spans="2:5" x14ac:dyDescent="0.3">
      <c r="B2227" s="18" t="s">
        <v>4748</v>
      </c>
      <c r="C2227" s="13">
        <v>11</v>
      </c>
      <c r="D2227" s="21" t="s">
        <v>4749</v>
      </c>
      <c r="E2227" s="24">
        <v>56</v>
      </c>
    </row>
    <row r="2228" spans="2:5" x14ac:dyDescent="0.3">
      <c r="B2228" s="18" t="s">
        <v>4750</v>
      </c>
      <c r="C2228" s="13">
        <v>10</v>
      </c>
      <c r="D2228" s="21" t="s">
        <v>4751</v>
      </c>
      <c r="E2228" s="24">
        <v>57</v>
      </c>
    </row>
    <row r="2229" spans="2:5" x14ac:dyDescent="0.3">
      <c r="B2229" s="18" t="s">
        <v>4752</v>
      </c>
      <c r="C2229" s="13">
        <v>1</v>
      </c>
      <c r="D2229" s="21" t="s">
        <v>4753</v>
      </c>
      <c r="E2229" s="24">
        <v>58</v>
      </c>
    </row>
    <row r="2230" spans="2:5" x14ac:dyDescent="0.3">
      <c r="B2230" s="18" t="s">
        <v>4754</v>
      </c>
      <c r="C2230" s="13">
        <v>10</v>
      </c>
      <c r="D2230" s="21" t="s">
        <v>4755</v>
      </c>
      <c r="E2230" s="24">
        <v>59</v>
      </c>
    </row>
    <row r="2231" spans="2:5" x14ac:dyDescent="0.3">
      <c r="B2231" s="18" t="s">
        <v>4756</v>
      </c>
      <c r="C2231" s="13">
        <v>11</v>
      </c>
      <c r="D2231" s="21" t="s">
        <v>4757</v>
      </c>
      <c r="E2231" s="24">
        <v>60</v>
      </c>
    </row>
    <row r="2232" spans="2:5" x14ac:dyDescent="0.3">
      <c r="B2232" s="18" t="s">
        <v>4758</v>
      </c>
      <c r="C2232" s="13">
        <v>12</v>
      </c>
      <c r="D2232" s="21" t="s">
        <v>4759</v>
      </c>
      <c r="E2232" s="24">
        <v>61</v>
      </c>
    </row>
    <row r="2233" spans="2:5" x14ac:dyDescent="0.3">
      <c r="B2233" s="18" t="s">
        <v>4760</v>
      </c>
      <c r="C2233" s="13">
        <v>13</v>
      </c>
      <c r="D2233" s="21" t="s">
        <v>4761</v>
      </c>
      <c r="E2233" s="24">
        <v>62</v>
      </c>
    </row>
    <row r="2234" spans="2:5" x14ac:dyDescent="0.3">
      <c r="B2234" s="18" t="s">
        <v>4762</v>
      </c>
      <c r="C2234" s="13">
        <v>14</v>
      </c>
      <c r="D2234" s="21" t="s">
        <v>4763</v>
      </c>
      <c r="E2234" s="24">
        <v>63</v>
      </c>
    </row>
    <row r="2235" spans="2:5" x14ac:dyDescent="0.3">
      <c r="B2235" s="18" t="s">
        <v>4764</v>
      </c>
      <c r="C2235" s="13">
        <v>15</v>
      </c>
      <c r="D2235" s="21" t="s">
        <v>4765</v>
      </c>
      <c r="E2235" s="24">
        <v>33</v>
      </c>
    </row>
    <row r="2236" spans="2:5" x14ac:dyDescent="0.3">
      <c r="B2236" s="18" t="s">
        <v>4766</v>
      </c>
      <c r="C2236" s="13">
        <v>16</v>
      </c>
      <c r="D2236" s="21" t="s">
        <v>4767</v>
      </c>
      <c r="E2236" s="24">
        <v>32</v>
      </c>
    </row>
    <row r="2237" spans="2:5" x14ac:dyDescent="0.3">
      <c r="B2237" s="18" t="s">
        <v>4768</v>
      </c>
      <c r="C2237" s="13">
        <v>17</v>
      </c>
      <c r="D2237" s="21" t="s">
        <v>4769</v>
      </c>
      <c r="E2237" s="24">
        <v>31</v>
      </c>
    </row>
    <row r="2238" spans="2:5" x14ac:dyDescent="0.3">
      <c r="B2238" s="18" t="s">
        <v>4770</v>
      </c>
      <c r="C2238" s="13">
        <v>18</v>
      </c>
      <c r="D2238" s="21" t="s">
        <v>4771</v>
      </c>
      <c r="E2238" s="24">
        <v>30</v>
      </c>
    </row>
    <row r="2239" spans="2:5" x14ac:dyDescent="0.3">
      <c r="B2239" s="18" t="s">
        <v>4772</v>
      </c>
      <c r="C2239" s="13">
        <v>19</v>
      </c>
      <c r="D2239" s="21" t="s">
        <v>4773</v>
      </c>
      <c r="E2239" s="24">
        <v>29</v>
      </c>
    </row>
    <row r="2240" spans="2:5" x14ac:dyDescent="0.3">
      <c r="B2240" s="18" t="s">
        <v>4774</v>
      </c>
      <c r="C2240" s="13">
        <v>2</v>
      </c>
      <c r="D2240" s="21" t="s">
        <v>4775</v>
      </c>
      <c r="E2240" s="24">
        <v>28</v>
      </c>
    </row>
    <row r="2241" spans="2:5" x14ac:dyDescent="0.3">
      <c r="B2241" s="18" t="s">
        <v>4776</v>
      </c>
      <c r="C2241" s="13">
        <v>20</v>
      </c>
      <c r="D2241" s="21" t="s">
        <v>4777</v>
      </c>
      <c r="E2241" s="24">
        <v>27</v>
      </c>
    </row>
    <row r="2242" spans="2:5" x14ac:dyDescent="0.3">
      <c r="B2242" s="18" t="s">
        <v>4778</v>
      </c>
      <c r="C2242" s="13">
        <v>21</v>
      </c>
      <c r="D2242" s="21" t="s">
        <v>4779</v>
      </c>
      <c r="E2242" s="24">
        <v>48</v>
      </c>
    </row>
    <row r="2243" spans="2:5" x14ac:dyDescent="0.3">
      <c r="B2243" s="18" t="s">
        <v>4780</v>
      </c>
      <c r="C2243" s="13">
        <v>22</v>
      </c>
      <c r="D2243" s="21" t="s">
        <v>4781</v>
      </c>
      <c r="E2243" s="24">
        <v>47</v>
      </c>
    </row>
    <row r="2244" spans="2:5" x14ac:dyDescent="0.3">
      <c r="B2244" s="18" t="s">
        <v>4782</v>
      </c>
      <c r="C2244" s="13">
        <v>23</v>
      </c>
      <c r="D2244" s="21" t="s">
        <v>4783</v>
      </c>
      <c r="E2244" s="24">
        <v>46</v>
      </c>
    </row>
    <row r="2245" spans="2:5" x14ac:dyDescent="0.3">
      <c r="B2245" s="18" t="s">
        <v>4784</v>
      </c>
      <c r="C2245" s="13">
        <v>24</v>
      </c>
      <c r="D2245" s="21" t="s">
        <v>4785</v>
      </c>
      <c r="E2245" s="24">
        <v>45</v>
      </c>
    </row>
    <row r="2246" spans="2:5" x14ac:dyDescent="0.3">
      <c r="B2246" s="18" t="s">
        <v>4786</v>
      </c>
      <c r="C2246" s="13">
        <v>25</v>
      </c>
      <c r="D2246" s="21" t="s">
        <v>4787</v>
      </c>
      <c r="E2246" s="24">
        <v>44</v>
      </c>
    </row>
    <row r="2247" spans="2:5" x14ac:dyDescent="0.3">
      <c r="B2247" s="18" t="s">
        <v>4788</v>
      </c>
      <c r="C2247" s="13">
        <v>26</v>
      </c>
      <c r="D2247" s="21" t="s">
        <v>4789</v>
      </c>
      <c r="E2247" s="24">
        <v>26</v>
      </c>
    </row>
    <row r="2248" spans="2:5" x14ac:dyDescent="0.3">
      <c r="B2248" s="18" t="s">
        <v>4790</v>
      </c>
      <c r="C2248" s="13">
        <v>27</v>
      </c>
      <c r="D2248" s="21" t="s">
        <v>4791</v>
      </c>
      <c r="E2248" s="24">
        <v>43</v>
      </c>
    </row>
    <row r="2249" spans="2:5" x14ac:dyDescent="0.3">
      <c r="B2249" s="18" t="s">
        <v>4792</v>
      </c>
      <c r="C2249" s="13">
        <v>28</v>
      </c>
      <c r="D2249" s="21" t="s">
        <v>4793</v>
      </c>
      <c r="E2249" s="24">
        <v>42</v>
      </c>
    </row>
    <row r="2250" spans="2:5" x14ac:dyDescent="0.3">
      <c r="B2250" s="18" t="s">
        <v>4794</v>
      </c>
      <c r="C2250" s="13">
        <v>29</v>
      </c>
      <c r="D2250" s="21" t="s">
        <v>4795</v>
      </c>
      <c r="E2250" s="24">
        <v>41</v>
      </c>
    </row>
    <row r="2251" spans="2:5" x14ac:dyDescent="0.3">
      <c r="B2251" s="18" t="s">
        <v>4796</v>
      </c>
      <c r="C2251" s="13">
        <v>3</v>
      </c>
      <c r="D2251" s="21" t="s">
        <v>4797</v>
      </c>
      <c r="E2251" s="24">
        <v>40</v>
      </c>
    </row>
    <row r="2252" spans="2:5" x14ac:dyDescent="0.3">
      <c r="B2252" s="18" t="s">
        <v>4798</v>
      </c>
      <c r="C2252" s="13">
        <v>30</v>
      </c>
      <c r="D2252" s="21" t="s">
        <v>4799</v>
      </c>
      <c r="E2252" s="24">
        <v>39</v>
      </c>
    </row>
    <row r="2253" spans="2:5" x14ac:dyDescent="0.3">
      <c r="B2253" s="18" t="s">
        <v>4800</v>
      </c>
      <c r="C2253" s="13">
        <v>4</v>
      </c>
      <c r="D2253" s="21" t="s">
        <v>4801</v>
      </c>
      <c r="E2253" s="24">
        <v>38</v>
      </c>
    </row>
    <row r="2254" spans="2:5" x14ac:dyDescent="0.3">
      <c r="B2254" s="18" t="s">
        <v>4802</v>
      </c>
      <c r="C2254" s="13">
        <v>5</v>
      </c>
      <c r="D2254" s="21" t="s">
        <v>4803</v>
      </c>
      <c r="E2254" s="24">
        <v>37</v>
      </c>
    </row>
    <row r="2255" spans="2:5" x14ac:dyDescent="0.3">
      <c r="B2255" s="18" t="s">
        <v>4804</v>
      </c>
      <c r="C2255" s="13">
        <v>6</v>
      </c>
      <c r="D2255" s="21" t="s">
        <v>4805</v>
      </c>
      <c r="E2255" s="24">
        <v>36</v>
      </c>
    </row>
    <row r="2256" spans="2:5" x14ac:dyDescent="0.3">
      <c r="B2256" s="18" t="s">
        <v>4806</v>
      </c>
      <c r="C2256" s="13">
        <v>7</v>
      </c>
      <c r="D2256" s="21" t="s">
        <v>4807</v>
      </c>
      <c r="E2256" s="24">
        <v>35</v>
      </c>
    </row>
    <row r="2257" spans="2:5" x14ac:dyDescent="0.3">
      <c r="B2257" s="18" t="s">
        <v>4808</v>
      </c>
      <c r="C2257" s="13">
        <v>8</v>
      </c>
      <c r="D2257" s="21" t="s">
        <v>4809</v>
      </c>
      <c r="E2257" s="24">
        <v>34</v>
      </c>
    </row>
    <row r="2258" spans="2:5" x14ac:dyDescent="0.3">
      <c r="B2258" s="18" t="s">
        <v>4810</v>
      </c>
      <c r="C2258" s="13">
        <v>9</v>
      </c>
      <c r="D2258" s="21" t="s">
        <v>4811</v>
      </c>
      <c r="E2258" s="24">
        <v>25</v>
      </c>
    </row>
    <row r="2259" spans="2:5" x14ac:dyDescent="0.3">
      <c r="B2259" s="18" t="s">
        <v>4812</v>
      </c>
      <c r="C2259" s="13">
        <v>60</v>
      </c>
      <c r="D2259" s="21" t="s">
        <v>4813</v>
      </c>
      <c r="E2259" s="24">
        <v>9</v>
      </c>
    </row>
    <row r="2260" spans="2:5" x14ac:dyDescent="0.3">
      <c r="B2260" s="18" t="s">
        <v>4814</v>
      </c>
      <c r="C2260" s="13">
        <v>51</v>
      </c>
      <c r="D2260" s="21" t="s">
        <v>4815</v>
      </c>
      <c r="E2260" s="24">
        <v>8</v>
      </c>
    </row>
    <row r="2261" spans="2:5" x14ac:dyDescent="0.3">
      <c r="B2261" s="18" t="s">
        <v>4816</v>
      </c>
      <c r="C2261" s="13">
        <v>50</v>
      </c>
      <c r="D2261" s="21" t="s">
        <v>4817</v>
      </c>
      <c r="E2261" s="24">
        <v>7</v>
      </c>
    </row>
    <row r="2262" spans="2:5" x14ac:dyDescent="0.3">
      <c r="B2262" s="18" t="s">
        <v>4818</v>
      </c>
      <c r="C2262" s="13">
        <v>49</v>
      </c>
      <c r="D2262" s="21" t="s">
        <v>4819</v>
      </c>
      <c r="E2262" s="24">
        <v>6</v>
      </c>
    </row>
    <row r="2263" spans="2:5" x14ac:dyDescent="0.3">
      <c r="B2263" s="18" t="s">
        <v>4820</v>
      </c>
      <c r="C2263" s="13">
        <v>48</v>
      </c>
      <c r="D2263" s="21" t="s">
        <v>4821</v>
      </c>
      <c r="E2263" s="24">
        <v>5</v>
      </c>
    </row>
    <row r="2264" spans="2:5" x14ac:dyDescent="0.3">
      <c r="B2264" s="18" t="s">
        <v>4822</v>
      </c>
      <c r="C2264" s="13">
        <v>47</v>
      </c>
      <c r="D2264" s="21" t="s">
        <v>4823</v>
      </c>
      <c r="E2264" s="24">
        <v>4</v>
      </c>
    </row>
    <row r="2265" spans="2:5" x14ac:dyDescent="0.3">
      <c r="B2265" s="18" t="s">
        <v>4824</v>
      </c>
      <c r="C2265" s="13">
        <v>46</v>
      </c>
      <c r="D2265" s="21" t="s">
        <v>4825</v>
      </c>
      <c r="E2265" s="24">
        <v>3</v>
      </c>
    </row>
    <row r="2266" spans="2:5" x14ac:dyDescent="0.3">
      <c r="B2266" s="18" t="s">
        <v>4826</v>
      </c>
      <c r="C2266" s="13">
        <v>45</v>
      </c>
      <c r="D2266" s="21" t="s">
        <v>4827</v>
      </c>
      <c r="E2266" s="24">
        <v>24</v>
      </c>
    </row>
    <row r="2267" spans="2:5" x14ac:dyDescent="0.3">
      <c r="B2267" s="18" t="s">
        <v>4828</v>
      </c>
      <c r="C2267" s="13">
        <v>44</v>
      </c>
      <c r="D2267" s="21" t="s">
        <v>4829</v>
      </c>
      <c r="E2267" s="24">
        <v>23</v>
      </c>
    </row>
    <row r="2268" spans="2:5" x14ac:dyDescent="0.3">
      <c r="B2268" s="18" t="s">
        <v>4830</v>
      </c>
      <c r="C2268" s="13">
        <v>43</v>
      </c>
      <c r="D2268" s="21" t="s">
        <v>4831</v>
      </c>
      <c r="E2268" s="24">
        <v>22</v>
      </c>
    </row>
    <row r="2269" spans="2:5" x14ac:dyDescent="0.3">
      <c r="B2269" s="18" t="s">
        <v>4832</v>
      </c>
      <c r="C2269" s="13">
        <v>42</v>
      </c>
      <c r="D2269" s="21" t="s">
        <v>4833</v>
      </c>
      <c r="E2269" s="24">
        <v>21</v>
      </c>
    </row>
    <row r="2270" spans="2:5" x14ac:dyDescent="0.3">
      <c r="B2270" s="18" t="s">
        <v>4834</v>
      </c>
      <c r="C2270" s="13">
        <v>59</v>
      </c>
      <c r="D2270" s="21" t="s">
        <v>4835</v>
      </c>
      <c r="E2270" s="24">
        <v>20</v>
      </c>
    </row>
    <row r="2271" spans="2:5" x14ac:dyDescent="0.3">
      <c r="B2271" s="18" t="s">
        <v>4836</v>
      </c>
      <c r="C2271" s="13">
        <v>41</v>
      </c>
      <c r="D2271" s="21" t="s">
        <v>4837</v>
      </c>
      <c r="E2271" s="24">
        <v>2</v>
      </c>
    </row>
    <row r="2272" spans="2:5" x14ac:dyDescent="0.3">
      <c r="B2272" s="18" t="s">
        <v>4838</v>
      </c>
      <c r="C2272" s="13">
        <v>40</v>
      </c>
      <c r="D2272" s="21" t="s">
        <v>4839</v>
      </c>
      <c r="E2272" s="24">
        <v>19</v>
      </c>
    </row>
    <row r="2273" spans="2:5" x14ac:dyDescent="0.3">
      <c r="B2273" s="18" t="s">
        <v>4840</v>
      </c>
      <c r="C2273" s="13">
        <v>39</v>
      </c>
      <c r="D2273" s="21" t="s">
        <v>4841</v>
      </c>
      <c r="E2273" s="24">
        <v>18</v>
      </c>
    </row>
    <row r="2274" spans="2:5" x14ac:dyDescent="0.3">
      <c r="B2274" s="18" t="s">
        <v>4842</v>
      </c>
      <c r="C2274" s="13">
        <v>38</v>
      </c>
      <c r="D2274" s="21" t="s">
        <v>4843</v>
      </c>
      <c r="E2274" s="24">
        <v>17</v>
      </c>
    </row>
    <row r="2275" spans="2:5" x14ac:dyDescent="0.3">
      <c r="B2275" s="18" t="s">
        <v>4844</v>
      </c>
      <c r="C2275" s="13">
        <v>37</v>
      </c>
      <c r="D2275" s="21" t="s">
        <v>4845</v>
      </c>
      <c r="E2275" s="24">
        <v>16</v>
      </c>
    </row>
    <row r="2276" spans="2:5" x14ac:dyDescent="0.3">
      <c r="B2276" s="18" t="s">
        <v>4846</v>
      </c>
      <c r="C2276" s="13">
        <v>36</v>
      </c>
      <c r="D2276" s="21" t="s">
        <v>4847</v>
      </c>
      <c r="E2276" s="24">
        <v>15</v>
      </c>
    </row>
    <row r="2277" spans="2:5" x14ac:dyDescent="0.3">
      <c r="B2277" s="18" t="s">
        <v>4848</v>
      </c>
      <c r="C2277" s="13">
        <v>35</v>
      </c>
      <c r="D2277" s="21" t="s">
        <v>4849</v>
      </c>
      <c r="E2277" s="24">
        <v>14</v>
      </c>
    </row>
    <row r="2278" spans="2:5" x14ac:dyDescent="0.3">
      <c r="B2278" s="18" t="s">
        <v>4850</v>
      </c>
      <c r="C2278" s="13">
        <v>34</v>
      </c>
      <c r="D2278" s="21" t="s">
        <v>4851</v>
      </c>
      <c r="E2278" s="24">
        <v>13</v>
      </c>
    </row>
    <row r="2279" spans="2:5" x14ac:dyDescent="0.3">
      <c r="B2279" s="18" t="s">
        <v>4852</v>
      </c>
      <c r="C2279" s="13">
        <v>33</v>
      </c>
      <c r="D2279" s="21" t="s">
        <v>4853</v>
      </c>
      <c r="E2279" s="24">
        <v>12</v>
      </c>
    </row>
    <row r="2280" spans="2:5" x14ac:dyDescent="0.3">
      <c r="B2280" s="18" t="s">
        <v>4854</v>
      </c>
      <c r="C2280" s="13">
        <v>32</v>
      </c>
      <c r="D2280" s="21" t="s">
        <v>4855</v>
      </c>
      <c r="E2280" s="24">
        <v>11</v>
      </c>
    </row>
    <row r="2281" spans="2:5" x14ac:dyDescent="0.3">
      <c r="B2281" s="18" t="s">
        <v>4856</v>
      </c>
      <c r="C2281" s="13">
        <v>58</v>
      </c>
      <c r="D2281" s="21" t="s">
        <v>4857</v>
      </c>
      <c r="E2281" s="24">
        <v>10</v>
      </c>
    </row>
    <row r="2282" spans="2:5" x14ac:dyDescent="0.3">
      <c r="B2282" s="18" t="s">
        <v>4858</v>
      </c>
      <c r="C2282" s="13">
        <v>31</v>
      </c>
      <c r="D2282" s="21" t="s">
        <v>4859</v>
      </c>
      <c r="E2282" s="24">
        <v>1</v>
      </c>
    </row>
    <row r="2283" spans="2:5" x14ac:dyDescent="0.3">
      <c r="B2283" s="18" t="s">
        <v>4860</v>
      </c>
      <c r="C2283" s="13">
        <v>57</v>
      </c>
      <c r="D2283" s="21" t="s">
        <v>4861</v>
      </c>
      <c r="E2283" s="24">
        <v>5</v>
      </c>
    </row>
    <row r="2284" spans="2:5" x14ac:dyDescent="0.3">
      <c r="B2284" s="18" t="s">
        <v>4862</v>
      </c>
      <c r="C2284" s="13">
        <v>56</v>
      </c>
      <c r="D2284" s="21" t="s">
        <v>4863</v>
      </c>
      <c r="E2284" s="24">
        <v>6</v>
      </c>
    </row>
    <row r="2285" spans="2:5" x14ac:dyDescent="0.3">
      <c r="B2285" s="18" t="s">
        <v>4864</v>
      </c>
      <c r="C2285" s="13">
        <v>55</v>
      </c>
      <c r="D2285" s="21" t="s">
        <v>4865</v>
      </c>
      <c r="E2285" s="24">
        <v>4</v>
      </c>
    </row>
    <row r="2286" spans="2:5" x14ac:dyDescent="0.3">
      <c r="B2286" s="18" t="s">
        <v>4866</v>
      </c>
      <c r="C2286" s="13">
        <v>54</v>
      </c>
      <c r="D2286" s="21" t="s">
        <v>4867</v>
      </c>
      <c r="E2286" s="24">
        <v>3</v>
      </c>
    </row>
    <row r="2287" spans="2:5" x14ac:dyDescent="0.3">
      <c r="B2287" s="18" t="s">
        <v>4868</v>
      </c>
      <c r="C2287" s="13">
        <v>53</v>
      </c>
      <c r="D2287" s="21" t="s">
        <v>4869</v>
      </c>
      <c r="E2287" s="24">
        <v>2</v>
      </c>
    </row>
    <row r="2288" spans="2:5" x14ac:dyDescent="0.3">
      <c r="B2288" s="18" t="s">
        <v>4870</v>
      </c>
      <c r="C2288" s="13">
        <v>52</v>
      </c>
      <c r="D2288" s="21" t="s">
        <v>4871</v>
      </c>
      <c r="E2288" s="24">
        <v>1</v>
      </c>
    </row>
    <row r="2289" spans="2:5" x14ac:dyDescent="0.3">
      <c r="B2289" s="18" t="s">
        <v>4872</v>
      </c>
      <c r="C2289" s="13">
        <v>61</v>
      </c>
      <c r="D2289" s="21" t="s">
        <v>4873</v>
      </c>
      <c r="E2289" s="24">
        <v>61</v>
      </c>
    </row>
    <row r="2290" spans="2:5" x14ac:dyDescent="0.3">
      <c r="B2290" s="18" t="s">
        <v>4874</v>
      </c>
      <c r="C2290" s="13">
        <v>70</v>
      </c>
      <c r="D2290" s="21" t="s">
        <v>4875</v>
      </c>
      <c r="E2290" s="24">
        <v>62</v>
      </c>
    </row>
    <row r="2291" spans="2:5" x14ac:dyDescent="0.3">
      <c r="B2291" s="18" t="s">
        <v>4876</v>
      </c>
      <c r="C2291" s="13">
        <v>71</v>
      </c>
      <c r="D2291" s="21" t="s">
        <v>4877</v>
      </c>
      <c r="E2291" s="24">
        <v>63</v>
      </c>
    </row>
    <row r="2292" spans="2:5" x14ac:dyDescent="0.3">
      <c r="B2292" s="18" t="s">
        <v>4878</v>
      </c>
      <c r="C2292" s="13">
        <v>72</v>
      </c>
      <c r="D2292" s="21" t="s">
        <v>4879</v>
      </c>
      <c r="E2292" s="24">
        <v>64</v>
      </c>
    </row>
    <row r="2293" spans="2:5" x14ac:dyDescent="0.3">
      <c r="B2293" s="18" t="s">
        <v>4880</v>
      </c>
      <c r="C2293" s="13">
        <v>73</v>
      </c>
      <c r="D2293" s="21" t="s">
        <v>4881</v>
      </c>
      <c r="E2293" s="24">
        <v>65</v>
      </c>
    </row>
    <row r="2294" spans="2:5" x14ac:dyDescent="0.3">
      <c r="B2294" s="18" t="s">
        <v>4882</v>
      </c>
      <c r="C2294" s="13">
        <v>74</v>
      </c>
      <c r="D2294" s="21" t="s">
        <v>4883</v>
      </c>
      <c r="E2294" s="24">
        <v>66</v>
      </c>
    </row>
    <row r="2295" spans="2:5" x14ac:dyDescent="0.3">
      <c r="B2295" s="18" t="s">
        <v>4884</v>
      </c>
      <c r="C2295" s="13">
        <v>75</v>
      </c>
      <c r="D2295" s="21" t="s">
        <v>4885</v>
      </c>
      <c r="E2295" s="24">
        <v>67</v>
      </c>
    </row>
    <row r="2296" spans="2:5" x14ac:dyDescent="0.3">
      <c r="B2296" s="18" t="s">
        <v>4886</v>
      </c>
      <c r="C2296" s="13">
        <v>76</v>
      </c>
      <c r="D2296" s="21" t="s">
        <v>4887</v>
      </c>
      <c r="E2296" s="24">
        <v>47</v>
      </c>
    </row>
    <row r="2297" spans="2:5" x14ac:dyDescent="0.3">
      <c r="B2297" s="18" t="s">
        <v>4888</v>
      </c>
      <c r="C2297" s="13">
        <v>77</v>
      </c>
      <c r="D2297" s="21" t="s">
        <v>4889</v>
      </c>
      <c r="E2297" s="24">
        <v>48</v>
      </c>
    </row>
    <row r="2298" spans="2:5" x14ac:dyDescent="0.3">
      <c r="B2298" s="18" t="s">
        <v>4890</v>
      </c>
      <c r="C2298" s="13">
        <v>78</v>
      </c>
      <c r="D2298" s="21" t="s">
        <v>4891</v>
      </c>
      <c r="E2298" s="24">
        <v>49</v>
      </c>
    </row>
    <row r="2299" spans="2:5" x14ac:dyDescent="0.3">
      <c r="B2299" s="18" t="s">
        <v>4892</v>
      </c>
      <c r="C2299" s="13">
        <v>79</v>
      </c>
      <c r="D2299" s="21" t="s">
        <v>4893</v>
      </c>
      <c r="E2299" s="24">
        <v>50</v>
      </c>
    </row>
    <row r="2300" spans="2:5" x14ac:dyDescent="0.3">
      <c r="B2300" s="18" t="s">
        <v>4894</v>
      </c>
      <c r="C2300" s="13">
        <v>62</v>
      </c>
      <c r="D2300" s="21" t="s">
        <v>4895</v>
      </c>
      <c r="E2300" s="24">
        <v>68</v>
      </c>
    </row>
    <row r="2301" spans="2:5" x14ac:dyDescent="0.3">
      <c r="B2301" s="18" t="s">
        <v>4896</v>
      </c>
      <c r="C2301" s="13">
        <v>80</v>
      </c>
      <c r="D2301" s="21" t="s">
        <v>4897</v>
      </c>
      <c r="E2301" s="24">
        <v>51</v>
      </c>
    </row>
    <row r="2302" spans="2:5" x14ac:dyDescent="0.3">
      <c r="B2302" s="18" t="s">
        <v>4898</v>
      </c>
      <c r="C2302" s="13">
        <v>81</v>
      </c>
      <c r="D2302" s="21" t="s">
        <v>4899</v>
      </c>
      <c r="E2302" s="24">
        <v>52</v>
      </c>
    </row>
    <row r="2303" spans="2:5" x14ac:dyDescent="0.3">
      <c r="B2303" s="18" t="s">
        <v>4900</v>
      </c>
      <c r="C2303" s="13">
        <v>82</v>
      </c>
      <c r="D2303" s="21" t="s">
        <v>4901</v>
      </c>
      <c r="E2303" s="24">
        <v>53</v>
      </c>
    </row>
    <row r="2304" spans="2:5" x14ac:dyDescent="0.3">
      <c r="B2304" s="18" t="s">
        <v>4902</v>
      </c>
      <c r="C2304" s="13">
        <v>83</v>
      </c>
      <c r="D2304" s="21" t="s">
        <v>4903</v>
      </c>
      <c r="E2304" s="24">
        <v>54</v>
      </c>
    </row>
    <row r="2305" spans="2:5" x14ac:dyDescent="0.3">
      <c r="B2305" s="18" t="s">
        <v>4904</v>
      </c>
      <c r="C2305" s="13">
        <v>84</v>
      </c>
      <c r="D2305" s="21" t="s">
        <v>4905</v>
      </c>
      <c r="E2305" s="24">
        <v>55</v>
      </c>
    </row>
    <row r="2306" spans="2:5" x14ac:dyDescent="0.3">
      <c r="B2306" s="18" t="s">
        <v>4906</v>
      </c>
      <c r="C2306" s="13">
        <v>85</v>
      </c>
      <c r="D2306" s="21" t="s">
        <v>4907</v>
      </c>
      <c r="E2306" s="24">
        <v>56</v>
      </c>
    </row>
    <row r="2307" spans="2:5" x14ac:dyDescent="0.3">
      <c r="B2307" s="18" t="s">
        <v>4908</v>
      </c>
      <c r="C2307" s="13">
        <v>86</v>
      </c>
      <c r="D2307" s="21" t="s">
        <v>4909</v>
      </c>
      <c r="E2307" s="24">
        <v>57</v>
      </c>
    </row>
    <row r="2308" spans="2:5" x14ac:dyDescent="0.3">
      <c r="B2308" s="18" t="s">
        <v>4910</v>
      </c>
      <c r="C2308" s="13">
        <v>87</v>
      </c>
      <c r="D2308" s="21" t="s">
        <v>4911</v>
      </c>
      <c r="E2308" s="24">
        <v>58</v>
      </c>
    </row>
    <row r="2309" spans="2:5" x14ac:dyDescent="0.3">
      <c r="B2309" s="18" t="s">
        <v>4912</v>
      </c>
      <c r="C2309" s="13">
        <v>88</v>
      </c>
      <c r="D2309" s="21" t="s">
        <v>4913</v>
      </c>
      <c r="E2309" s="24">
        <v>59</v>
      </c>
    </row>
    <row r="2310" spans="2:5" x14ac:dyDescent="0.3">
      <c r="B2310" s="18" t="s">
        <v>4914</v>
      </c>
      <c r="C2310" s="13">
        <v>89</v>
      </c>
      <c r="D2310" s="21" t="s">
        <v>4915</v>
      </c>
      <c r="E2310" s="24">
        <v>60</v>
      </c>
    </row>
    <row r="2311" spans="2:5" x14ac:dyDescent="0.3">
      <c r="B2311" s="18" t="s">
        <v>4916</v>
      </c>
      <c r="C2311" s="13">
        <v>63</v>
      </c>
      <c r="D2311" s="21" t="s">
        <v>4917</v>
      </c>
      <c r="E2311" s="24">
        <v>69</v>
      </c>
    </row>
    <row r="2312" spans="2:5" x14ac:dyDescent="0.3">
      <c r="B2312" s="18" t="s">
        <v>4918</v>
      </c>
      <c r="C2312" s="13">
        <v>90</v>
      </c>
      <c r="D2312" s="21" t="s">
        <v>4919</v>
      </c>
      <c r="E2312" s="24">
        <v>32</v>
      </c>
    </row>
    <row r="2313" spans="2:5" x14ac:dyDescent="0.3">
      <c r="B2313" s="18" t="s">
        <v>4920</v>
      </c>
      <c r="C2313" s="13">
        <v>64</v>
      </c>
      <c r="D2313" s="21" t="s">
        <v>4921</v>
      </c>
      <c r="E2313" s="24">
        <v>31</v>
      </c>
    </row>
    <row r="2314" spans="2:5" x14ac:dyDescent="0.3">
      <c r="B2314" s="18" t="s">
        <v>4922</v>
      </c>
      <c r="C2314" s="13">
        <v>65</v>
      </c>
      <c r="D2314" s="21" t="s">
        <v>4923</v>
      </c>
      <c r="E2314" s="24">
        <v>30</v>
      </c>
    </row>
    <row r="2315" spans="2:5" x14ac:dyDescent="0.3">
      <c r="B2315" s="18" t="s">
        <v>4924</v>
      </c>
      <c r="C2315" s="13">
        <v>66</v>
      </c>
      <c r="D2315" s="21" t="s">
        <v>4925</v>
      </c>
      <c r="E2315" s="24">
        <v>29</v>
      </c>
    </row>
    <row r="2316" spans="2:5" x14ac:dyDescent="0.3">
      <c r="B2316" s="18" t="s">
        <v>4926</v>
      </c>
      <c r="C2316" s="13">
        <v>67</v>
      </c>
      <c r="D2316" s="21" t="s">
        <v>4927</v>
      </c>
      <c r="E2316" s="24">
        <v>28</v>
      </c>
    </row>
    <row r="2317" spans="2:5" x14ac:dyDescent="0.3">
      <c r="B2317" s="18" t="s">
        <v>4928</v>
      </c>
      <c r="C2317" s="13">
        <v>68</v>
      </c>
      <c r="D2317" s="21" t="s">
        <v>4929</v>
      </c>
      <c r="E2317" s="24">
        <v>27</v>
      </c>
    </row>
    <row r="2318" spans="2:5" x14ac:dyDescent="0.3">
      <c r="B2318" s="18" t="s">
        <v>4930</v>
      </c>
      <c r="C2318" s="13">
        <v>69</v>
      </c>
      <c r="D2318" s="21" t="s">
        <v>4931</v>
      </c>
      <c r="E2318" s="24">
        <v>26</v>
      </c>
    </row>
    <row r="2319" spans="2:5" x14ac:dyDescent="0.3">
      <c r="B2319" s="18" t="s">
        <v>4932</v>
      </c>
      <c r="C2319" s="13">
        <v>120</v>
      </c>
      <c r="D2319" s="21" t="s">
        <v>4933</v>
      </c>
      <c r="E2319" s="24">
        <v>46</v>
      </c>
    </row>
    <row r="2320" spans="2:5" x14ac:dyDescent="0.3">
      <c r="B2320" s="18" t="s">
        <v>4934</v>
      </c>
      <c r="C2320" s="13">
        <v>111</v>
      </c>
      <c r="D2320" s="21" t="s">
        <v>4935</v>
      </c>
      <c r="E2320" s="24">
        <v>45</v>
      </c>
    </row>
    <row r="2321" spans="2:5" x14ac:dyDescent="0.3">
      <c r="B2321" s="18" t="s">
        <v>4936</v>
      </c>
      <c r="C2321" s="13">
        <v>110</v>
      </c>
      <c r="D2321" s="21" t="s">
        <v>4937</v>
      </c>
      <c r="E2321" s="24">
        <v>44</v>
      </c>
    </row>
    <row r="2322" spans="2:5" x14ac:dyDescent="0.3">
      <c r="B2322" s="18" t="s">
        <v>4938</v>
      </c>
      <c r="C2322" s="13">
        <v>109</v>
      </c>
      <c r="D2322" s="21" t="s">
        <v>4939</v>
      </c>
      <c r="E2322" s="24">
        <v>43</v>
      </c>
    </row>
    <row r="2323" spans="2:5" x14ac:dyDescent="0.3">
      <c r="B2323" s="18" t="s">
        <v>4940</v>
      </c>
      <c r="C2323" s="13">
        <v>108</v>
      </c>
      <c r="D2323" s="21" t="s">
        <v>4941</v>
      </c>
      <c r="E2323" s="24">
        <v>25</v>
      </c>
    </row>
    <row r="2324" spans="2:5" x14ac:dyDescent="0.3">
      <c r="B2324" s="18" t="s">
        <v>4942</v>
      </c>
      <c r="C2324" s="13">
        <v>107</v>
      </c>
      <c r="D2324" s="21" t="s">
        <v>4943</v>
      </c>
      <c r="E2324" s="24">
        <v>42</v>
      </c>
    </row>
    <row r="2325" spans="2:5" x14ac:dyDescent="0.3">
      <c r="B2325" s="18" t="s">
        <v>4944</v>
      </c>
      <c r="C2325" s="13">
        <v>106</v>
      </c>
      <c r="D2325" s="21" t="s">
        <v>4945</v>
      </c>
      <c r="E2325" s="24">
        <v>41</v>
      </c>
    </row>
    <row r="2326" spans="2:5" x14ac:dyDescent="0.3">
      <c r="B2326" s="18" t="s">
        <v>4946</v>
      </c>
      <c r="C2326" s="13">
        <v>105</v>
      </c>
      <c r="D2326" s="21" t="s">
        <v>4947</v>
      </c>
      <c r="E2326" s="24">
        <v>40</v>
      </c>
    </row>
    <row r="2327" spans="2:5" x14ac:dyDescent="0.3">
      <c r="B2327" s="18" t="s">
        <v>4948</v>
      </c>
      <c r="C2327" s="13">
        <v>104</v>
      </c>
      <c r="D2327" s="21" t="s">
        <v>4949</v>
      </c>
      <c r="E2327" s="24">
        <v>39</v>
      </c>
    </row>
    <row r="2328" spans="2:5" x14ac:dyDescent="0.3">
      <c r="B2328" s="18" t="s">
        <v>4950</v>
      </c>
      <c r="C2328" s="13">
        <v>103</v>
      </c>
      <c r="D2328" s="21" t="s">
        <v>4951</v>
      </c>
      <c r="E2328" s="24">
        <v>38</v>
      </c>
    </row>
    <row r="2329" spans="2:5" x14ac:dyDescent="0.3">
      <c r="B2329" s="18" t="s">
        <v>4952</v>
      </c>
      <c r="C2329" s="13">
        <v>102</v>
      </c>
      <c r="D2329" s="21" t="s">
        <v>4953</v>
      </c>
      <c r="E2329" s="24">
        <v>37</v>
      </c>
    </row>
    <row r="2330" spans="2:5" x14ac:dyDescent="0.3">
      <c r="B2330" s="18" t="s">
        <v>4954</v>
      </c>
      <c r="C2330" s="13">
        <v>119</v>
      </c>
      <c r="D2330" s="21" t="s">
        <v>4955</v>
      </c>
      <c r="E2330" s="24">
        <v>36</v>
      </c>
    </row>
    <row r="2331" spans="2:5" x14ac:dyDescent="0.3">
      <c r="B2331" s="18" t="s">
        <v>4956</v>
      </c>
      <c r="C2331" s="13">
        <v>101</v>
      </c>
      <c r="D2331" s="21" t="s">
        <v>4957</v>
      </c>
      <c r="E2331" s="24">
        <v>35</v>
      </c>
    </row>
    <row r="2332" spans="2:5" x14ac:dyDescent="0.3">
      <c r="B2332" s="18" t="s">
        <v>4958</v>
      </c>
      <c r="C2332" s="13">
        <v>100</v>
      </c>
      <c r="D2332" s="21" t="s">
        <v>4959</v>
      </c>
      <c r="E2332" s="24">
        <v>34</v>
      </c>
    </row>
    <row r="2333" spans="2:5" x14ac:dyDescent="0.3">
      <c r="B2333" s="18" t="s">
        <v>4960</v>
      </c>
      <c r="C2333" s="13">
        <v>99</v>
      </c>
      <c r="D2333" s="21" t="s">
        <v>4961</v>
      </c>
      <c r="E2333" s="24">
        <v>33</v>
      </c>
    </row>
    <row r="2334" spans="2:5" x14ac:dyDescent="0.3">
      <c r="B2334" s="18" t="s">
        <v>4962</v>
      </c>
      <c r="C2334" s="13">
        <v>98</v>
      </c>
      <c r="D2334" s="21" t="s">
        <v>4963</v>
      </c>
      <c r="E2334" s="24">
        <v>24</v>
      </c>
    </row>
    <row r="2335" spans="2:5" x14ac:dyDescent="0.3">
      <c r="B2335" s="18" t="s">
        <v>4964</v>
      </c>
      <c r="C2335" s="13">
        <v>97</v>
      </c>
      <c r="D2335" s="21" t="s">
        <v>4965</v>
      </c>
      <c r="E2335" s="24">
        <v>9</v>
      </c>
    </row>
    <row r="2336" spans="2:5" x14ac:dyDescent="0.3">
      <c r="B2336" s="18" t="s">
        <v>4966</v>
      </c>
      <c r="C2336" s="13">
        <v>96</v>
      </c>
      <c r="D2336" s="21" t="s">
        <v>4967</v>
      </c>
      <c r="E2336" s="24">
        <v>8</v>
      </c>
    </row>
    <row r="2337" spans="2:5" x14ac:dyDescent="0.3">
      <c r="B2337" s="18" t="s">
        <v>4968</v>
      </c>
      <c r="C2337" s="13">
        <v>95</v>
      </c>
      <c r="D2337" s="21" t="s">
        <v>4969</v>
      </c>
      <c r="E2337" s="24">
        <v>7</v>
      </c>
    </row>
    <row r="2338" spans="2:5" x14ac:dyDescent="0.3">
      <c r="B2338" s="18" t="s">
        <v>4970</v>
      </c>
      <c r="C2338" s="13">
        <v>94</v>
      </c>
      <c r="D2338" s="21" t="s">
        <v>4971</v>
      </c>
      <c r="E2338" s="24">
        <v>6</v>
      </c>
    </row>
    <row r="2339" spans="2:5" x14ac:dyDescent="0.3">
      <c r="B2339" s="18" t="s">
        <v>4972</v>
      </c>
      <c r="C2339" s="13">
        <v>93</v>
      </c>
      <c r="D2339" s="21" t="s">
        <v>4973</v>
      </c>
      <c r="E2339" s="24">
        <v>5</v>
      </c>
    </row>
    <row r="2340" spans="2:5" x14ac:dyDescent="0.3">
      <c r="B2340" s="18" t="s">
        <v>4974</v>
      </c>
      <c r="C2340" s="13">
        <v>92</v>
      </c>
      <c r="D2340" s="21" t="s">
        <v>4975</v>
      </c>
      <c r="E2340" s="24">
        <v>4</v>
      </c>
    </row>
    <row r="2341" spans="2:5" x14ac:dyDescent="0.3">
      <c r="B2341" s="18" t="s">
        <v>4976</v>
      </c>
      <c r="C2341" s="13">
        <v>118</v>
      </c>
      <c r="D2341" s="21" t="s">
        <v>4977</v>
      </c>
      <c r="E2341" s="24">
        <v>3</v>
      </c>
    </row>
    <row r="2342" spans="2:5" x14ac:dyDescent="0.3">
      <c r="B2342" s="18" t="s">
        <v>4978</v>
      </c>
      <c r="C2342" s="13">
        <v>91</v>
      </c>
      <c r="D2342" s="21" t="s">
        <v>4979</v>
      </c>
      <c r="E2342" s="24">
        <v>23</v>
      </c>
    </row>
    <row r="2343" spans="2:5" x14ac:dyDescent="0.3">
      <c r="B2343" s="18" t="s">
        <v>4980</v>
      </c>
      <c r="C2343" s="13">
        <v>117</v>
      </c>
      <c r="D2343" s="21" t="s">
        <v>4981</v>
      </c>
      <c r="E2343" s="24">
        <v>22</v>
      </c>
    </row>
    <row r="2344" spans="2:5" x14ac:dyDescent="0.3">
      <c r="B2344" s="18" t="s">
        <v>4982</v>
      </c>
      <c r="C2344" s="13">
        <v>116</v>
      </c>
      <c r="D2344" s="21" t="s">
        <v>4983</v>
      </c>
      <c r="E2344" s="24">
        <v>21</v>
      </c>
    </row>
    <row r="2345" spans="2:5" x14ac:dyDescent="0.3">
      <c r="B2345" s="18" t="s">
        <v>4984</v>
      </c>
      <c r="C2345" s="13">
        <v>115</v>
      </c>
      <c r="D2345" s="21" t="s">
        <v>4985</v>
      </c>
      <c r="E2345" s="24">
        <v>20</v>
      </c>
    </row>
    <row r="2346" spans="2:5" x14ac:dyDescent="0.3">
      <c r="B2346" s="18" t="s">
        <v>4986</v>
      </c>
      <c r="C2346" s="13">
        <v>114</v>
      </c>
      <c r="D2346" s="21" t="s">
        <v>4987</v>
      </c>
      <c r="E2346" s="24">
        <v>2</v>
      </c>
    </row>
    <row r="2347" spans="2:5" x14ac:dyDescent="0.3">
      <c r="B2347" s="18" t="s">
        <v>4988</v>
      </c>
      <c r="C2347" s="13">
        <v>113</v>
      </c>
      <c r="D2347" s="21" t="s">
        <v>4989</v>
      </c>
      <c r="E2347" s="24">
        <v>19</v>
      </c>
    </row>
    <row r="2348" spans="2:5" x14ac:dyDescent="0.3">
      <c r="B2348" s="18" t="s">
        <v>4990</v>
      </c>
      <c r="C2348" s="13">
        <v>112</v>
      </c>
      <c r="D2348" s="21" t="s">
        <v>4991</v>
      </c>
      <c r="E2348" s="24">
        <v>18</v>
      </c>
    </row>
    <row r="2349" spans="2:5" x14ac:dyDescent="0.3">
      <c r="B2349" s="18" t="s">
        <v>4992</v>
      </c>
      <c r="C2349" s="13">
        <v>1</v>
      </c>
      <c r="D2349" s="21" t="s">
        <v>4993</v>
      </c>
      <c r="E2349" s="24">
        <v>17</v>
      </c>
    </row>
    <row r="2350" spans="2:5" x14ac:dyDescent="0.3">
      <c r="B2350" s="18" t="s">
        <v>4994</v>
      </c>
      <c r="C2350" s="13">
        <v>10</v>
      </c>
      <c r="D2350" s="21" t="s">
        <v>4995</v>
      </c>
      <c r="E2350" s="24">
        <v>16</v>
      </c>
    </row>
    <row r="2351" spans="2:5" x14ac:dyDescent="0.3">
      <c r="B2351" s="18" t="s">
        <v>4996</v>
      </c>
      <c r="C2351" s="13">
        <v>11</v>
      </c>
      <c r="D2351" s="21" t="s">
        <v>4997</v>
      </c>
      <c r="E2351" s="24">
        <v>15</v>
      </c>
    </row>
    <row r="2352" spans="2:5" x14ac:dyDescent="0.3">
      <c r="B2352" s="18" t="s">
        <v>4998</v>
      </c>
      <c r="C2352" s="13">
        <v>12</v>
      </c>
      <c r="D2352" s="21" t="s">
        <v>4999</v>
      </c>
      <c r="E2352" s="24">
        <v>14</v>
      </c>
    </row>
    <row r="2353" spans="2:5" x14ac:dyDescent="0.3">
      <c r="B2353" s="18" t="s">
        <v>5000</v>
      </c>
      <c r="C2353" s="13">
        <v>13</v>
      </c>
      <c r="D2353" s="21" t="s">
        <v>5001</v>
      </c>
      <c r="E2353" s="24">
        <v>13</v>
      </c>
    </row>
    <row r="2354" spans="2:5" x14ac:dyDescent="0.3">
      <c r="B2354" s="18" t="s">
        <v>5002</v>
      </c>
      <c r="C2354" s="13">
        <v>14</v>
      </c>
      <c r="D2354" s="21" t="s">
        <v>5003</v>
      </c>
      <c r="E2354" s="24">
        <v>12</v>
      </c>
    </row>
    <row r="2355" spans="2:5" x14ac:dyDescent="0.3">
      <c r="B2355" s="18" t="s">
        <v>5004</v>
      </c>
      <c r="C2355" s="13">
        <v>15</v>
      </c>
      <c r="D2355" s="21" t="s">
        <v>5005</v>
      </c>
      <c r="E2355" s="24">
        <v>11</v>
      </c>
    </row>
    <row r="2356" spans="2:5" x14ac:dyDescent="0.3">
      <c r="B2356" s="18" t="s">
        <v>5006</v>
      </c>
      <c r="C2356" s="13">
        <v>16</v>
      </c>
      <c r="D2356" s="21" t="s">
        <v>5007</v>
      </c>
      <c r="E2356" s="24">
        <v>10</v>
      </c>
    </row>
    <row r="2357" spans="2:5" x14ac:dyDescent="0.3">
      <c r="B2357" s="18" t="s">
        <v>5008</v>
      </c>
      <c r="C2357" s="13">
        <v>17</v>
      </c>
      <c r="D2357" s="21" t="s">
        <v>5009</v>
      </c>
      <c r="E2357" s="24">
        <v>1</v>
      </c>
    </row>
    <row r="2358" spans="2:5" x14ac:dyDescent="0.3">
      <c r="B2358" s="18" t="s">
        <v>5010</v>
      </c>
      <c r="C2358" s="13">
        <v>18</v>
      </c>
      <c r="D2358" s="21" t="s">
        <v>5011</v>
      </c>
      <c r="E2358" s="24">
        <v>61</v>
      </c>
    </row>
    <row r="2359" spans="2:5" x14ac:dyDescent="0.3">
      <c r="B2359" s="18" t="s">
        <v>5012</v>
      </c>
      <c r="C2359" s="13">
        <v>19</v>
      </c>
      <c r="D2359" s="21" t="s">
        <v>5013</v>
      </c>
      <c r="E2359" s="24">
        <v>62</v>
      </c>
    </row>
    <row r="2360" spans="2:5" x14ac:dyDescent="0.3">
      <c r="B2360" s="18" t="s">
        <v>5014</v>
      </c>
      <c r="C2360" s="13">
        <v>2</v>
      </c>
      <c r="D2360" s="21" t="s">
        <v>5015</v>
      </c>
      <c r="E2360" s="24">
        <v>63</v>
      </c>
    </row>
    <row r="2361" spans="2:5" x14ac:dyDescent="0.3">
      <c r="B2361" s="18" t="s">
        <v>5016</v>
      </c>
      <c r="C2361" s="13">
        <v>20</v>
      </c>
      <c r="D2361" s="21" t="s">
        <v>5017</v>
      </c>
      <c r="E2361" s="24">
        <v>64</v>
      </c>
    </row>
    <row r="2362" spans="2:5" x14ac:dyDescent="0.3">
      <c r="B2362" s="18" t="s">
        <v>5018</v>
      </c>
      <c r="C2362" s="13">
        <v>21</v>
      </c>
      <c r="D2362" s="21" t="s">
        <v>5019</v>
      </c>
      <c r="E2362" s="24">
        <v>65</v>
      </c>
    </row>
    <row r="2363" spans="2:5" x14ac:dyDescent="0.3">
      <c r="B2363" s="18" t="s">
        <v>5020</v>
      </c>
      <c r="C2363" s="13">
        <v>22</v>
      </c>
      <c r="D2363" s="21" t="s">
        <v>5021</v>
      </c>
      <c r="E2363" s="24">
        <v>66</v>
      </c>
    </row>
    <row r="2364" spans="2:5" x14ac:dyDescent="0.3">
      <c r="B2364" s="18" t="s">
        <v>5022</v>
      </c>
      <c r="C2364" s="13">
        <v>23</v>
      </c>
      <c r="D2364" s="21" t="s">
        <v>5023</v>
      </c>
      <c r="E2364" s="24">
        <v>67</v>
      </c>
    </row>
    <row r="2365" spans="2:5" x14ac:dyDescent="0.3">
      <c r="B2365" s="18" t="s">
        <v>5024</v>
      </c>
      <c r="C2365" s="13">
        <v>24</v>
      </c>
      <c r="D2365" s="21" t="s">
        <v>5025</v>
      </c>
      <c r="E2365" s="24">
        <v>47</v>
      </c>
    </row>
    <row r="2366" spans="2:5" x14ac:dyDescent="0.3">
      <c r="B2366" s="18" t="s">
        <v>5026</v>
      </c>
      <c r="C2366" s="13">
        <v>25</v>
      </c>
      <c r="D2366" s="21" t="s">
        <v>5027</v>
      </c>
      <c r="E2366" s="24">
        <v>48</v>
      </c>
    </row>
    <row r="2367" spans="2:5" x14ac:dyDescent="0.3">
      <c r="B2367" s="18" t="s">
        <v>5028</v>
      </c>
      <c r="C2367" s="13">
        <v>26</v>
      </c>
      <c r="D2367" s="21" t="s">
        <v>5029</v>
      </c>
      <c r="E2367" s="24">
        <v>49</v>
      </c>
    </row>
    <row r="2368" spans="2:5" x14ac:dyDescent="0.3">
      <c r="B2368" s="18" t="s">
        <v>5030</v>
      </c>
      <c r="C2368" s="13">
        <v>27</v>
      </c>
      <c r="D2368" s="21" t="s">
        <v>5031</v>
      </c>
      <c r="E2368" s="24">
        <v>50</v>
      </c>
    </row>
    <row r="2369" spans="2:5" x14ac:dyDescent="0.3">
      <c r="B2369" s="18" t="s">
        <v>5032</v>
      </c>
      <c r="C2369" s="13">
        <v>28</v>
      </c>
      <c r="D2369" s="21" t="s">
        <v>5033</v>
      </c>
      <c r="E2369" s="24">
        <v>68</v>
      </c>
    </row>
    <row r="2370" spans="2:5" x14ac:dyDescent="0.3">
      <c r="B2370" s="18" t="s">
        <v>5034</v>
      </c>
      <c r="C2370" s="13">
        <v>29</v>
      </c>
      <c r="D2370" s="21" t="s">
        <v>5035</v>
      </c>
      <c r="E2370" s="24">
        <v>51</v>
      </c>
    </row>
    <row r="2371" spans="2:5" x14ac:dyDescent="0.3">
      <c r="B2371" s="18" t="s">
        <v>5036</v>
      </c>
      <c r="C2371" s="13">
        <v>3</v>
      </c>
      <c r="D2371" s="21" t="s">
        <v>5037</v>
      </c>
      <c r="E2371" s="24">
        <v>52</v>
      </c>
    </row>
    <row r="2372" spans="2:5" x14ac:dyDescent="0.3">
      <c r="B2372" s="18" t="s">
        <v>5038</v>
      </c>
      <c r="C2372" s="13">
        <v>30</v>
      </c>
      <c r="D2372" s="21" t="s">
        <v>5039</v>
      </c>
      <c r="E2372" s="24">
        <v>53</v>
      </c>
    </row>
    <row r="2373" spans="2:5" x14ac:dyDescent="0.3">
      <c r="B2373" s="18" t="s">
        <v>5040</v>
      </c>
      <c r="C2373" s="13">
        <v>31</v>
      </c>
      <c r="D2373" s="21" t="s">
        <v>5041</v>
      </c>
      <c r="E2373" s="24">
        <v>54</v>
      </c>
    </row>
    <row r="2374" spans="2:5" x14ac:dyDescent="0.3">
      <c r="B2374" s="18" t="s">
        <v>5042</v>
      </c>
      <c r="C2374" s="13">
        <v>4</v>
      </c>
      <c r="D2374" s="21" t="s">
        <v>5043</v>
      </c>
      <c r="E2374" s="24">
        <v>55</v>
      </c>
    </row>
    <row r="2375" spans="2:5" x14ac:dyDescent="0.3">
      <c r="B2375" s="18" t="s">
        <v>5044</v>
      </c>
      <c r="C2375" s="13">
        <v>5</v>
      </c>
      <c r="D2375" s="21" t="s">
        <v>5045</v>
      </c>
      <c r="E2375" s="24">
        <v>56</v>
      </c>
    </row>
    <row r="2376" spans="2:5" x14ac:dyDescent="0.3">
      <c r="B2376" s="18" t="s">
        <v>5046</v>
      </c>
      <c r="C2376" s="13">
        <v>6</v>
      </c>
      <c r="D2376" s="21" t="s">
        <v>5047</v>
      </c>
      <c r="E2376" s="24">
        <v>57</v>
      </c>
    </row>
    <row r="2377" spans="2:5" x14ac:dyDescent="0.3">
      <c r="B2377" s="18" t="s">
        <v>5048</v>
      </c>
      <c r="C2377" s="13">
        <v>7</v>
      </c>
      <c r="D2377" s="21" t="s">
        <v>5049</v>
      </c>
      <c r="E2377" s="24">
        <v>58</v>
      </c>
    </row>
    <row r="2378" spans="2:5" x14ac:dyDescent="0.3">
      <c r="B2378" s="18" t="s">
        <v>5050</v>
      </c>
      <c r="C2378" s="13">
        <v>8</v>
      </c>
      <c r="D2378" s="21" t="s">
        <v>5051</v>
      </c>
      <c r="E2378" s="24">
        <v>59</v>
      </c>
    </row>
    <row r="2379" spans="2:5" x14ac:dyDescent="0.3">
      <c r="B2379" s="18" t="s">
        <v>5052</v>
      </c>
      <c r="C2379" s="13">
        <v>9</v>
      </c>
      <c r="D2379" s="21" t="s">
        <v>5053</v>
      </c>
      <c r="E2379" s="24">
        <v>60</v>
      </c>
    </row>
    <row r="2380" spans="2:5" x14ac:dyDescent="0.3">
      <c r="B2380" s="18" t="s">
        <v>5054</v>
      </c>
      <c r="C2380" s="13">
        <v>62</v>
      </c>
      <c r="D2380" s="21" t="s">
        <v>5055</v>
      </c>
      <c r="E2380" s="24">
        <v>32</v>
      </c>
    </row>
    <row r="2381" spans="2:5" x14ac:dyDescent="0.3">
      <c r="B2381" s="18" t="s">
        <v>5056</v>
      </c>
      <c r="C2381" s="13">
        <v>53</v>
      </c>
      <c r="D2381" s="21" t="s">
        <v>5057</v>
      </c>
      <c r="E2381" s="24">
        <v>31</v>
      </c>
    </row>
    <row r="2382" spans="2:5" x14ac:dyDescent="0.3">
      <c r="B2382" s="18" t="s">
        <v>5058</v>
      </c>
      <c r="C2382" s="13">
        <v>52</v>
      </c>
      <c r="D2382" s="21" t="s">
        <v>5059</v>
      </c>
      <c r="E2382" s="24">
        <v>30</v>
      </c>
    </row>
    <row r="2383" spans="2:5" x14ac:dyDescent="0.3">
      <c r="B2383" s="18" t="s">
        <v>5060</v>
      </c>
      <c r="C2383" s="13">
        <v>51</v>
      </c>
      <c r="D2383" s="21" t="s">
        <v>5061</v>
      </c>
      <c r="E2383" s="24">
        <v>29</v>
      </c>
    </row>
    <row r="2384" spans="2:5" x14ac:dyDescent="0.3">
      <c r="B2384" s="18" t="s">
        <v>5062</v>
      </c>
      <c r="C2384" s="13">
        <v>50</v>
      </c>
      <c r="D2384" s="21" t="s">
        <v>5063</v>
      </c>
      <c r="E2384" s="24">
        <v>28</v>
      </c>
    </row>
    <row r="2385" spans="2:5" x14ac:dyDescent="0.3">
      <c r="B2385" s="18" t="s">
        <v>5064</v>
      </c>
      <c r="C2385" s="13">
        <v>49</v>
      </c>
      <c r="D2385" s="21" t="s">
        <v>5065</v>
      </c>
      <c r="E2385" s="24">
        <v>27</v>
      </c>
    </row>
    <row r="2386" spans="2:5" x14ac:dyDescent="0.3">
      <c r="B2386" s="18" t="s">
        <v>5066</v>
      </c>
      <c r="C2386" s="13">
        <v>48</v>
      </c>
      <c r="D2386" s="21" t="s">
        <v>5067</v>
      </c>
      <c r="E2386" s="24">
        <v>26</v>
      </c>
    </row>
    <row r="2387" spans="2:5" x14ac:dyDescent="0.3">
      <c r="B2387" s="18" t="s">
        <v>5068</v>
      </c>
      <c r="C2387" s="13">
        <v>47</v>
      </c>
      <c r="D2387" s="21" t="s">
        <v>5069</v>
      </c>
      <c r="E2387" s="24">
        <v>46</v>
      </c>
    </row>
    <row r="2388" spans="2:5" x14ac:dyDescent="0.3">
      <c r="B2388" s="18" t="s">
        <v>5070</v>
      </c>
      <c r="C2388" s="13">
        <v>46</v>
      </c>
      <c r="D2388" s="21" t="s">
        <v>5071</v>
      </c>
      <c r="E2388" s="24">
        <v>45</v>
      </c>
    </row>
    <row r="2389" spans="2:5" x14ac:dyDescent="0.3">
      <c r="B2389" s="18" t="s">
        <v>5072</v>
      </c>
      <c r="C2389" s="13">
        <v>45</v>
      </c>
      <c r="D2389" s="21" t="s">
        <v>5073</v>
      </c>
      <c r="E2389" s="24">
        <v>44</v>
      </c>
    </row>
    <row r="2390" spans="2:5" x14ac:dyDescent="0.3">
      <c r="B2390" s="18" t="s">
        <v>5074</v>
      </c>
      <c r="C2390" s="13">
        <v>44</v>
      </c>
      <c r="D2390" s="21" t="s">
        <v>5075</v>
      </c>
      <c r="E2390" s="24">
        <v>43</v>
      </c>
    </row>
    <row r="2391" spans="2:5" x14ac:dyDescent="0.3">
      <c r="B2391" s="18" t="s">
        <v>5076</v>
      </c>
      <c r="C2391" s="13">
        <v>61</v>
      </c>
      <c r="D2391" s="21" t="s">
        <v>5077</v>
      </c>
      <c r="E2391" s="24">
        <v>25</v>
      </c>
    </row>
    <row r="2392" spans="2:5" x14ac:dyDescent="0.3">
      <c r="B2392" s="18" t="s">
        <v>5078</v>
      </c>
      <c r="C2392" s="13">
        <v>43</v>
      </c>
      <c r="D2392" s="21" t="s">
        <v>5079</v>
      </c>
      <c r="E2392" s="24">
        <v>42</v>
      </c>
    </row>
    <row r="2393" spans="2:5" x14ac:dyDescent="0.3">
      <c r="B2393" s="18" t="s">
        <v>5080</v>
      </c>
      <c r="C2393" s="13">
        <v>42</v>
      </c>
      <c r="D2393" s="21" t="s">
        <v>5081</v>
      </c>
      <c r="E2393" s="24">
        <v>41</v>
      </c>
    </row>
    <row r="2394" spans="2:5" x14ac:dyDescent="0.3">
      <c r="B2394" s="18" t="s">
        <v>5082</v>
      </c>
      <c r="C2394" s="13">
        <v>41</v>
      </c>
      <c r="D2394" s="21" t="s">
        <v>5083</v>
      </c>
      <c r="E2394" s="24">
        <v>40</v>
      </c>
    </row>
    <row r="2395" spans="2:5" x14ac:dyDescent="0.3">
      <c r="B2395" s="18" t="s">
        <v>5084</v>
      </c>
      <c r="C2395" s="13">
        <v>40</v>
      </c>
      <c r="D2395" s="21" t="s">
        <v>5085</v>
      </c>
      <c r="E2395" s="24">
        <v>39</v>
      </c>
    </row>
    <row r="2396" spans="2:5" x14ac:dyDescent="0.3">
      <c r="B2396" s="18" t="s">
        <v>5086</v>
      </c>
      <c r="C2396" s="13">
        <v>39</v>
      </c>
      <c r="D2396" s="21" t="s">
        <v>5087</v>
      </c>
      <c r="E2396" s="24">
        <v>38</v>
      </c>
    </row>
    <row r="2397" spans="2:5" x14ac:dyDescent="0.3">
      <c r="B2397" s="18" t="s">
        <v>5088</v>
      </c>
      <c r="C2397" s="13">
        <v>38</v>
      </c>
      <c r="D2397" s="21" t="s">
        <v>5089</v>
      </c>
      <c r="E2397" s="24">
        <v>37</v>
      </c>
    </row>
    <row r="2398" spans="2:5" x14ac:dyDescent="0.3">
      <c r="B2398" s="18" t="s">
        <v>5090</v>
      </c>
      <c r="C2398" s="13">
        <v>37</v>
      </c>
      <c r="D2398" s="21" t="s">
        <v>5091</v>
      </c>
      <c r="E2398" s="24">
        <v>36</v>
      </c>
    </row>
    <row r="2399" spans="2:5" x14ac:dyDescent="0.3">
      <c r="B2399" s="18" t="s">
        <v>5092</v>
      </c>
      <c r="C2399" s="13">
        <v>36</v>
      </c>
      <c r="D2399" s="21" t="s">
        <v>5093</v>
      </c>
      <c r="E2399" s="24">
        <v>35</v>
      </c>
    </row>
    <row r="2400" spans="2:5" x14ac:dyDescent="0.3">
      <c r="B2400" s="18" t="s">
        <v>5094</v>
      </c>
      <c r="C2400" s="13">
        <v>35</v>
      </c>
      <c r="D2400" s="21" t="s">
        <v>5095</v>
      </c>
      <c r="E2400" s="24">
        <v>34</v>
      </c>
    </row>
    <row r="2401" spans="2:5" x14ac:dyDescent="0.3">
      <c r="B2401" s="18" t="s">
        <v>5096</v>
      </c>
      <c r="C2401" s="13">
        <v>34</v>
      </c>
      <c r="D2401" s="21" t="s">
        <v>5097</v>
      </c>
      <c r="E2401" s="24">
        <v>33</v>
      </c>
    </row>
    <row r="2402" spans="2:5" x14ac:dyDescent="0.3">
      <c r="B2402" s="18" t="s">
        <v>5098</v>
      </c>
      <c r="C2402" s="13">
        <v>60</v>
      </c>
      <c r="D2402" s="21" t="s">
        <v>5099</v>
      </c>
      <c r="E2402" s="24">
        <v>24</v>
      </c>
    </row>
    <row r="2403" spans="2:5" x14ac:dyDescent="0.3">
      <c r="B2403" s="18" t="s">
        <v>5100</v>
      </c>
      <c r="C2403" s="13">
        <v>33</v>
      </c>
      <c r="D2403" s="21" t="s">
        <v>5101</v>
      </c>
      <c r="E2403" s="24">
        <v>9</v>
      </c>
    </row>
    <row r="2404" spans="2:5" x14ac:dyDescent="0.3">
      <c r="B2404" s="18" t="s">
        <v>5102</v>
      </c>
      <c r="C2404" s="13">
        <v>32</v>
      </c>
      <c r="D2404" s="21" t="s">
        <v>5103</v>
      </c>
      <c r="E2404" s="24">
        <v>8</v>
      </c>
    </row>
    <row r="2405" spans="2:5" x14ac:dyDescent="0.3">
      <c r="B2405" s="18" t="s">
        <v>5104</v>
      </c>
      <c r="C2405" s="13">
        <v>59</v>
      </c>
      <c r="D2405" s="21" t="s">
        <v>5105</v>
      </c>
      <c r="E2405" s="24">
        <v>7</v>
      </c>
    </row>
    <row r="2406" spans="2:5" x14ac:dyDescent="0.3">
      <c r="B2406" s="18" t="s">
        <v>5106</v>
      </c>
      <c r="C2406" s="13">
        <v>58</v>
      </c>
      <c r="D2406" s="21" t="s">
        <v>5107</v>
      </c>
      <c r="E2406" s="24">
        <v>6</v>
      </c>
    </row>
    <row r="2407" spans="2:5" x14ac:dyDescent="0.3">
      <c r="B2407" s="18" t="s">
        <v>5108</v>
      </c>
      <c r="C2407" s="13">
        <v>57</v>
      </c>
      <c r="D2407" s="21" t="s">
        <v>5109</v>
      </c>
      <c r="E2407" s="24">
        <v>5</v>
      </c>
    </row>
    <row r="2408" spans="2:5" x14ac:dyDescent="0.3">
      <c r="B2408" s="18" t="s">
        <v>5110</v>
      </c>
      <c r="C2408" s="13">
        <v>56</v>
      </c>
      <c r="D2408" s="21" t="s">
        <v>5111</v>
      </c>
      <c r="E2408" s="24">
        <v>4</v>
      </c>
    </row>
    <row r="2409" spans="2:5" x14ac:dyDescent="0.3">
      <c r="B2409" s="18" t="s">
        <v>5112</v>
      </c>
      <c r="C2409" s="13">
        <v>55</v>
      </c>
      <c r="D2409" s="21" t="s">
        <v>5113</v>
      </c>
      <c r="E2409" s="24">
        <v>3</v>
      </c>
    </row>
    <row r="2410" spans="2:5" x14ac:dyDescent="0.3">
      <c r="B2410" s="18" t="s">
        <v>5114</v>
      </c>
      <c r="C2410" s="13">
        <v>54</v>
      </c>
      <c r="D2410" s="21" t="s">
        <v>5115</v>
      </c>
      <c r="E2410" s="24">
        <v>23</v>
      </c>
    </row>
    <row r="2411" spans="2:5" x14ac:dyDescent="0.3">
      <c r="B2411" s="18" t="s">
        <v>5116</v>
      </c>
      <c r="C2411" s="13">
        <v>63</v>
      </c>
      <c r="D2411" s="21" t="s">
        <v>5117</v>
      </c>
      <c r="E2411" s="24">
        <v>22</v>
      </c>
    </row>
    <row r="2412" spans="2:5" x14ac:dyDescent="0.3">
      <c r="B2412" s="18" t="s">
        <v>5118</v>
      </c>
      <c r="C2412" s="13">
        <v>72</v>
      </c>
      <c r="D2412" s="21" t="s">
        <v>5119</v>
      </c>
      <c r="E2412" s="24">
        <v>21</v>
      </c>
    </row>
    <row r="2413" spans="2:5" x14ac:dyDescent="0.3">
      <c r="B2413" s="18" t="s">
        <v>5120</v>
      </c>
      <c r="C2413" s="13">
        <v>73</v>
      </c>
      <c r="D2413" s="21" t="s">
        <v>5121</v>
      </c>
      <c r="E2413" s="24">
        <v>20</v>
      </c>
    </row>
    <row r="2414" spans="2:5" x14ac:dyDescent="0.3">
      <c r="B2414" s="18" t="s">
        <v>5122</v>
      </c>
      <c r="C2414" s="13">
        <v>74</v>
      </c>
      <c r="D2414" s="21" t="s">
        <v>5123</v>
      </c>
      <c r="E2414" s="24">
        <v>2</v>
      </c>
    </row>
    <row r="2415" spans="2:5" x14ac:dyDescent="0.3">
      <c r="B2415" s="18" t="s">
        <v>5124</v>
      </c>
      <c r="C2415" s="13">
        <v>75</v>
      </c>
      <c r="D2415" s="21" t="s">
        <v>5125</v>
      </c>
      <c r="E2415" s="24">
        <v>19</v>
      </c>
    </row>
    <row r="2416" spans="2:5" x14ac:dyDescent="0.3">
      <c r="B2416" s="18" t="s">
        <v>5126</v>
      </c>
      <c r="C2416" s="13">
        <v>76</v>
      </c>
      <c r="D2416" s="21" t="s">
        <v>5127</v>
      </c>
      <c r="E2416" s="24">
        <v>18</v>
      </c>
    </row>
    <row r="2417" spans="2:5" x14ac:dyDescent="0.3">
      <c r="B2417" s="18" t="s">
        <v>5128</v>
      </c>
      <c r="C2417" s="13">
        <v>77</v>
      </c>
      <c r="D2417" s="21" t="s">
        <v>5129</v>
      </c>
      <c r="E2417" s="24">
        <v>17</v>
      </c>
    </row>
    <row r="2418" spans="2:5" x14ac:dyDescent="0.3">
      <c r="B2418" s="18" t="s">
        <v>5130</v>
      </c>
      <c r="C2418" s="13">
        <v>78</v>
      </c>
      <c r="D2418" s="21" t="s">
        <v>5131</v>
      </c>
      <c r="E2418" s="24">
        <v>16</v>
      </c>
    </row>
    <row r="2419" spans="2:5" x14ac:dyDescent="0.3">
      <c r="B2419" s="18" t="s">
        <v>5132</v>
      </c>
      <c r="C2419" s="13">
        <v>79</v>
      </c>
      <c r="D2419" s="21" t="s">
        <v>5133</v>
      </c>
      <c r="E2419" s="24">
        <v>15</v>
      </c>
    </row>
    <row r="2420" spans="2:5" x14ac:dyDescent="0.3">
      <c r="B2420" s="18" t="s">
        <v>5134</v>
      </c>
      <c r="C2420" s="13">
        <v>80</v>
      </c>
      <c r="D2420" s="21" t="s">
        <v>5135</v>
      </c>
      <c r="E2420" s="24">
        <v>14</v>
      </c>
    </row>
    <row r="2421" spans="2:5" x14ac:dyDescent="0.3">
      <c r="B2421" s="18" t="s">
        <v>5136</v>
      </c>
      <c r="C2421" s="13">
        <v>81</v>
      </c>
      <c r="D2421" s="21" t="s">
        <v>5137</v>
      </c>
      <c r="E2421" s="24">
        <v>13</v>
      </c>
    </row>
    <row r="2422" spans="2:5" x14ac:dyDescent="0.3">
      <c r="B2422" s="18" t="s">
        <v>5138</v>
      </c>
      <c r="C2422" s="13">
        <v>64</v>
      </c>
      <c r="D2422" s="21" t="s">
        <v>5139</v>
      </c>
      <c r="E2422" s="24">
        <v>12</v>
      </c>
    </row>
    <row r="2423" spans="2:5" x14ac:dyDescent="0.3">
      <c r="B2423" s="18" t="s">
        <v>5140</v>
      </c>
      <c r="C2423" s="13">
        <v>82</v>
      </c>
      <c r="D2423" s="21" t="s">
        <v>5141</v>
      </c>
      <c r="E2423" s="24">
        <v>11</v>
      </c>
    </row>
    <row r="2424" spans="2:5" x14ac:dyDescent="0.3">
      <c r="B2424" s="18" t="s">
        <v>5142</v>
      </c>
      <c r="C2424" s="13">
        <v>83</v>
      </c>
      <c r="D2424" s="21" t="s">
        <v>5143</v>
      </c>
      <c r="E2424" s="24">
        <v>10</v>
      </c>
    </row>
    <row r="2425" spans="2:5" x14ac:dyDescent="0.3">
      <c r="B2425" s="18" t="s">
        <v>5144</v>
      </c>
      <c r="C2425" s="13">
        <v>84</v>
      </c>
      <c r="D2425" s="21" t="s">
        <v>5145</v>
      </c>
      <c r="E2425" s="24">
        <v>1</v>
      </c>
    </row>
    <row r="2426" spans="2:5" x14ac:dyDescent="0.3">
      <c r="B2426" s="18" t="s">
        <v>5146</v>
      </c>
      <c r="C2426" s="13">
        <v>85</v>
      </c>
      <c r="D2426" s="21" t="s">
        <v>5147</v>
      </c>
      <c r="E2426" s="24">
        <v>61</v>
      </c>
    </row>
    <row r="2427" spans="2:5" x14ac:dyDescent="0.3">
      <c r="B2427" s="18" t="s">
        <v>5148</v>
      </c>
      <c r="C2427" s="13">
        <v>86</v>
      </c>
      <c r="D2427" s="21" t="s">
        <v>5149</v>
      </c>
      <c r="E2427" s="24">
        <v>62</v>
      </c>
    </row>
    <row r="2428" spans="2:5" x14ac:dyDescent="0.3">
      <c r="B2428" s="18" t="s">
        <v>5150</v>
      </c>
      <c r="C2428" s="13">
        <v>87</v>
      </c>
      <c r="D2428" s="21" t="s">
        <v>5151</v>
      </c>
      <c r="E2428" s="24">
        <v>63</v>
      </c>
    </row>
    <row r="2429" spans="2:5" x14ac:dyDescent="0.3">
      <c r="B2429" s="18" t="s">
        <v>5152</v>
      </c>
      <c r="C2429" s="13">
        <v>88</v>
      </c>
      <c r="D2429" s="21" t="s">
        <v>5153</v>
      </c>
      <c r="E2429" s="24">
        <v>64</v>
      </c>
    </row>
    <row r="2430" spans="2:5" x14ac:dyDescent="0.3">
      <c r="B2430" s="18" t="s">
        <v>5154</v>
      </c>
      <c r="C2430" s="13">
        <v>89</v>
      </c>
      <c r="D2430" s="21" t="s">
        <v>5155</v>
      </c>
      <c r="E2430" s="24">
        <v>65</v>
      </c>
    </row>
    <row r="2431" spans="2:5" x14ac:dyDescent="0.3">
      <c r="B2431" s="18" t="s">
        <v>5156</v>
      </c>
      <c r="C2431" s="13">
        <v>90</v>
      </c>
      <c r="D2431" s="21" t="s">
        <v>5157</v>
      </c>
      <c r="E2431" s="24">
        <v>66</v>
      </c>
    </row>
    <row r="2432" spans="2:5" x14ac:dyDescent="0.3">
      <c r="B2432" s="18" t="s">
        <v>5158</v>
      </c>
      <c r="C2432" s="13">
        <v>91</v>
      </c>
      <c r="D2432" s="21" t="s">
        <v>5159</v>
      </c>
      <c r="E2432" s="24">
        <v>67</v>
      </c>
    </row>
    <row r="2433" spans="2:5" x14ac:dyDescent="0.3">
      <c r="B2433" s="18" t="s">
        <v>5160</v>
      </c>
      <c r="C2433" s="13">
        <v>65</v>
      </c>
      <c r="D2433" s="21" t="s">
        <v>5161</v>
      </c>
      <c r="E2433" s="24">
        <v>47</v>
      </c>
    </row>
    <row r="2434" spans="2:5" x14ac:dyDescent="0.3">
      <c r="B2434" s="18" t="s">
        <v>5162</v>
      </c>
      <c r="C2434" s="13">
        <v>92</v>
      </c>
      <c r="D2434" s="21" t="s">
        <v>5163</v>
      </c>
      <c r="E2434" s="24">
        <v>48</v>
      </c>
    </row>
    <row r="2435" spans="2:5" x14ac:dyDescent="0.3">
      <c r="B2435" s="18" t="s">
        <v>5164</v>
      </c>
      <c r="C2435" s="13">
        <v>93</v>
      </c>
      <c r="D2435" s="21" t="s">
        <v>5165</v>
      </c>
      <c r="E2435" s="24">
        <v>49</v>
      </c>
    </row>
    <row r="2436" spans="2:5" x14ac:dyDescent="0.3">
      <c r="B2436" s="18" t="s">
        <v>5166</v>
      </c>
      <c r="C2436" s="13">
        <v>66</v>
      </c>
      <c r="D2436" s="21" t="s">
        <v>5167</v>
      </c>
      <c r="E2436" s="24">
        <v>50</v>
      </c>
    </row>
    <row r="2437" spans="2:5" x14ac:dyDescent="0.3">
      <c r="B2437" s="18" t="s">
        <v>5168</v>
      </c>
      <c r="C2437" s="13">
        <v>67</v>
      </c>
      <c r="D2437" s="21" t="s">
        <v>5169</v>
      </c>
      <c r="E2437" s="24">
        <v>51</v>
      </c>
    </row>
    <row r="2438" spans="2:5" x14ac:dyDescent="0.3">
      <c r="B2438" s="18" t="s">
        <v>5170</v>
      </c>
      <c r="C2438" s="13">
        <v>68</v>
      </c>
      <c r="D2438" s="21" t="s">
        <v>5171</v>
      </c>
      <c r="E2438" s="24">
        <v>52</v>
      </c>
    </row>
    <row r="2439" spans="2:5" x14ac:dyDescent="0.3">
      <c r="B2439" s="18" t="s">
        <v>5172</v>
      </c>
      <c r="C2439" s="13">
        <v>69</v>
      </c>
      <c r="D2439" s="21" t="s">
        <v>5173</v>
      </c>
      <c r="E2439" s="24">
        <v>53</v>
      </c>
    </row>
    <row r="2440" spans="2:5" x14ac:dyDescent="0.3">
      <c r="B2440" s="18" t="s">
        <v>5174</v>
      </c>
      <c r="C2440" s="13">
        <v>70</v>
      </c>
      <c r="D2440" s="21" t="s">
        <v>5175</v>
      </c>
      <c r="E2440" s="24">
        <v>54</v>
      </c>
    </row>
    <row r="2441" spans="2:5" x14ac:dyDescent="0.3">
      <c r="B2441" s="18" t="s">
        <v>5176</v>
      </c>
      <c r="C2441" s="13">
        <v>71</v>
      </c>
      <c r="D2441" s="21" t="s">
        <v>5177</v>
      </c>
      <c r="E2441" s="24">
        <v>55</v>
      </c>
    </row>
    <row r="2442" spans="2:5" x14ac:dyDescent="0.3">
      <c r="B2442" s="18" t="s">
        <v>5178</v>
      </c>
      <c r="C2442" s="13">
        <v>115</v>
      </c>
      <c r="D2442" s="21" t="s">
        <v>5179</v>
      </c>
      <c r="E2442" s="24">
        <v>56</v>
      </c>
    </row>
    <row r="2443" spans="2:5" x14ac:dyDescent="0.3">
      <c r="B2443" s="18" t="s">
        <v>5180</v>
      </c>
      <c r="C2443" s="13">
        <v>114</v>
      </c>
      <c r="D2443" s="21" t="s">
        <v>5181</v>
      </c>
      <c r="E2443" s="24">
        <v>57</v>
      </c>
    </row>
    <row r="2444" spans="2:5" x14ac:dyDescent="0.3">
      <c r="B2444" s="18" t="s">
        <v>5182</v>
      </c>
      <c r="C2444" s="13">
        <v>113</v>
      </c>
      <c r="D2444" s="21" t="s">
        <v>5183</v>
      </c>
      <c r="E2444" s="24">
        <v>58</v>
      </c>
    </row>
    <row r="2445" spans="2:5" x14ac:dyDescent="0.3">
      <c r="B2445" s="18" t="s">
        <v>5184</v>
      </c>
      <c r="C2445" s="13">
        <v>112</v>
      </c>
      <c r="D2445" s="21" t="s">
        <v>5185</v>
      </c>
      <c r="E2445" s="24">
        <v>59</v>
      </c>
    </row>
    <row r="2446" spans="2:5" x14ac:dyDescent="0.3">
      <c r="B2446" s="18" t="s">
        <v>5186</v>
      </c>
      <c r="C2446" s="13">
        <v>111</v>
      </c>
      <c r="D2446" s="21" t="s">
        <v>5187</v>
      </c>
      <c r="E2446" s="24">
        <v>60</v>
      </c>
    </row>
    <row r="2447" spans="2:5" x14ac:dyDescent="0.3">
      <c r="B2447" s="18" t="s">
        <v>5188</v>
      </c>
      <c r="C2447" s="13">
        <v>110</v>
      </c>
      <c r="D2447" s="21" t="s">
        <v>5189</v>
      </c>
      <c r="E2447" s="24">
        <v>32</v>
      </c>
    </row>
    <row r="2448" spans="2:5" x14ac:dyDescent="0.3">
      <c r="B2448" s="18" t="s">
        <v>5190</v>
      </c>
      <c r="C2448" s="13">
        <v>109</v>
      </c>
      <c r="D2448" s="21" t="s">
        <v>5191</v>
      </c>
      <c r="E2448" s="24">
        <v>31</v>
      </c>
    </row>
    <row r="2449" spans="2:5" x14ac:dyDescent="0.3">
      <c r="B2449" s="18" t="s">
        <v>5192</v>
      </c>
      <c r="C2449" s="13">
        <v>108</v>
      </c>
      <c r="D2449" s="21" t="s">
        <v>5193</v>
      </c>
      <c r="E2449" s="24">
        <v>30</v>
      </c>
    </row>
    <row r="2450" spans="2:5" x14ac:dyDescent="0.3">
      <c r="B2450" s="18" t="s">
        <v>5194</v>
      </c>
      <c r="C2450" s="13">
        <v>107</v>
      </c>
      <c r="D2450" s="21" t="s">
        <v>5195</v>
      </c>
      <c r="E2450" s="24">
        <v>29</v>
      </c>
    </row>
    <row r="2451" spans="2:5" x14ac:dyDescent="0.3">
      <c r="B2451" s="18" t="s">
        <v>5196</v>
      </c>
      <c r="C2451" s="13">
        <v>106</v>
      </c>
      <c r="D2451" s="21" t="s">
        <v>5197</v>
      </c>
      <c r="E2451" s="24">
        <v>28</v>
      </c>
    </row>
    <row r="2452" spans="2:5" x14ac:dyDescent="0.3">
      <c r="B2452" s="18" t="s">
        <v>5198</v>
      </c>
      <c r="C2452" s="13">
        <v>105</v>
      </c>
      <c r="D2452" s="21" t="s">
        <v>5199</v>
      </c>
      <c r="E2452" s="24">
        <v>27</v>
      </c>
    </row>
    <row r="2453" spans="2:5" x14ac:dyDescent="0.3">
      <c r="B2453" s="18" t="s">
        <v>5200</v>
      </c>
      <c r="C2453" s="13">
        <v>104</v>
      </c>
      <c r="D2453" s="21" t="s">
        <v>5201</v>
      </c>
      <c r="E2453" s="24">
        <v>26</v>
      </c>
    </row>
    <row r="2454" spans="2:5" x14ac:dyDescent="0.3">
      <c r="B2454" s="18" t="s">
        <v>5202</v>
      </c>
      <c r="C2454" s="13">
        <v>103</v>
      </c>
      <c r="D2454" s="21" t="s">
        <v>5203</v>
      </c>
      <c r="E2454" s="24">
        <v>46</v>
      </c>
    </row>
    <row r="2455" spans="2:5" x14ac:dyDescent="0.3">
      <c r="B2455" s="18" t="s">
        <v>5204</v>
      </c>
      <c r="C2455" s="13">
        <v>102</v>
      </c>
      <c r="D2455" s="21" t="s">
        <v>5205</v>
      </c>
      <c r="E2455" s="24">
        <v>45</v>
      </c>
    </row>
    <row r="2456" spans="2:5" x14ac:dyDescent="0.3">
      <c r="B2456" s="18" t="s">
        <v>5206</v>
      </c>
      <c r="C2456" s="13">
        <v>101</v>
      </c>
      <c r="D2456" s="21" t="s">
        <v>5207</v>
      </c>
      <c r="E2456" s="24">
        <v>44</v>
      </c>
    </row>
    <row r="2457" spans="2:5" x14ac:dyDescent="0.3">
      <c r="B2457" s="18" t="s">
        <v>5208</v>
      </c>
      <c r="C2457" s="13">
        <v>100</v>
      </c>
      <c r="D2457" s="21" t="s">
        <v>5209</v>
      </c>
      <c r="E2457" s="24">
        <v>43</v>
      </c>
    </row>
    <row r="2458" spans="2:5" x14ac:dyDescent="0.3">
      <c r="B2458" s="18" t="s">
        <v>5210</v>
      </c>
      <c r="C2458" s="13">
        <v>99</v>
      </c>
      <c r="D2458" s="21" t="s">
        <v>5211</v>
      </c>
      <c r="E2458" s="24">
        <v>25</v>
      </c>
    </row>
    <row r="2459" spans="2:5" x14ac:dyDescent="0.3">
      <c r="B2459" s="18" t="s">
        <v>5212</v>
      </c>
      <c r="C2459" s="13">
        <v>98</v>
      </c>
      <c r="D2459" s="21" t="s">
        <v>5213</v>
      </c>
      <c r="E2459" s="24">
        <v>42</v>
      </c>
    </row>
    <row r="2460" spans="2:5" x14ac:dyDescent="0.3">
      <c r="B2460" s="18" t="s">
        <v>5214</v>
      </c>
      <c r="C2460" s="13">
        <v>97</v>
      </c>
      <c r="D2460" s="21" t="s">
        <v>5215</v>
      </c>
      <c r="E2460" s="24">
        <v>41</v>
      </c>
    </row>
    <row r="2461" spans="2:5" x14ac:dyDescent="0.3">
      <c r="B2461" s="18" t="s">
        <v>5216</v>
      </c>
      <c r="C2461" s="13">
        <v>96</v>
      </c>
      <c r="D2461" s="21" t="s">
        <v>5217</v>
      </c>
      <c r="E2461" s="24">
        <v>40</v>
      </c>
    </row>
    <row r="2462" spans="2:5" x14ac:dyDescent="0.3">
      <c r="B2462" s="18" t="s">
        <v>5218</v>
      </c>
      <c r="C2462" s="13">
        <v>95</v>
      </c>
      <c r="D2462" s="21" t="s">
        <v>5219</v>
      </c>
      <c r="E2462" s="24">
        <v>39</v>
      </c>
    </row>
    <row r="2463" spans="2:5" x14ac:dyDescent="0.3">
      <c r="B2463" s="18" t="s">
        <v>5220</v>
      </c>
      <c r="C2463" s="13">
        <v>94</v>
      </c>
      <c r="D2463" s="21" t="s">
        <v>5221</v>
      </c>
      <c r="E2463" s="24">
        <v>38</v>
      </c>
    </row>
    <row r="2464" spans="2:5" x14ac:dyDescent="0.3">
      <c r="B2464" s="18" t="s">
        <v>5222</v>
      </c>
      <c r="C2464" s="13">
        <v>121</v>
      </c>
      <c r="D2464" s="21" t="s">
        <v>5223</v>
      </c>
      <c r="E2464" s="24">
        <v>37</v>
      </c>
    </row>
    <row r="2465" spans="2:5" x14ac:dyDescent="0.3">
      <c r="B2465" s="18" t="s">
        <v>5224</v>
      </c>
      <c r="C2465" s="13">
        <v>120</v>
      </c>
      <c r="D2465" s="21" t="s">
        <v>5225</v>
      </c>
      <c r="E2465" s="24">
        <v>36</v>
      </c>
    </row>
    <row r="2466" spans="2:5" x14ac:dyDescent="0.3">
      <c r="B2466" s="18" t="s">
        <v>5226</v>
      </c>
      <c r="C2466" s="13">
        <v>119</v>
      </c>
      <c r="D2466" s="21" t="s">
        <v>5227</v>
      </c>
      <c r="E2466" s="24">
        <v>35</v>
      </c>
    </row>
    <row r="2467" spans="2:5" x14ac:dyDescent="0.3">
      <c r="B2467" s="18" t="s">
        <v>5228</v>
      </c>
      <c r="C2467" s="13">
        <v>118</v>
      </c>
      <c r="D2467" s="21" t="s">
        <v>5229</v>
      </c>
      <c r="E2467" s="24">
        <v>34</v>
      </c>
    </row>
    <row r="2468" spans="2:5" x14ac:dyDescent="0.3">
      <c r="B2468" s="18" t="s">
        <v>5230</v>
      </c>
      <c r="C2468" s="13">
        <v>117</v>
      </c>
      <c r="D2468" s="21" t="s">
        <v>5231</v>
      </c>
      <c r="E2468" s="24">
        <v>33</v>
      </c>
    </row>
    <row r="2469" spans="2:5" x14ac:dyDescent="0.3">
      <c r="B2469" s="18" t="s">
        <v>5232</v>
      </c>
      <c r="C2469" s="13">
        <v>116</v>
      </c>
      <c r="D2469" s="21" t="s">
        <v>5233</v>
      </c>
      <c r="E2469" s="24">
        <v>24</v>
      </c>
    </row>
    <row r="2470" spans="2:5" x14ac:dyDescent="0.3">
      <c r="B2470" s="18" t="s">
        <v>5234</v>
      </c>
      <c r="C2470" s="13">
        <v>1</v>
      </c>
      <c r="D2470" s="21" t="s">
        <v>5235</v>
      </c>
      <c r="E2470" s="24">
        <v>9</v>
      </c>
    </row>
    <row r="2471" spans="2:5" x14ac:dyDescent="0.3">
      <c r="B2471" s="18" t="s">
        <v>5236</v>
      </c>
      <c r="C2471" s="13">
        <v>10</v>
      </c>
      <c r="D2471" s="21" t="s">
        <v>5237</v>
      </c>
      <c r="E2471" s="24">
        <v>8</v>
      </c>
    </row>
    <row r="2472" spans="2:5" x14ac:dyDescent="0.3">
      <c r="B2472" s="18" t="s">
        <v>5238</v>
      </c>
      <c r="C2472" s="13">
        <v>11</v>
      </c>
      <c r="D2472" s="21" t="s">
        <v>5239</v>
      </c>
      <c r="E2472" s="24">
        <v>7</v>
      </c>
    </row>
    <row r="2473" spans="2:5" x14ac:dyDescent="0.3">
      <c r="B2473" s="18" t="s">
        <v>5240</v>
      </c>
      <c r="C2473" s="13">
        <v>12</v>
      </c>
      <c r="D2473" s="21" t="s">
        <v>5241</v>
      </c>
      <c r="E2473" s="24">
        <v>6</v>
      </c>
    </row>
    <row r="2474" spans="2:5" x14ac:dyDescent="0.3">
      <c r="B2474" s="18" t="s">
        <v>5242</v>
      </c>
      <c r="C2474" s="13">
        <v>13</v>
      </c>
      <c r="D2474" s="21" t="s">
        <v>5243</v>
      </c>
      <c r="E2474" s="24">
        <v>5</v>
      </c>
    </row>
    <row r="2475" spans="2:5" x14ac:dyDescent="0.3">
      <c r="B2475" s="18" t="s">
        <v>5244</v>
      </c>
      <c r="C2475" s="13">
        <v>14</v>
      </c>
      <c r="D2475" s="21" t="s">
        <v>5245</v>
      </c>
      <c r="E2475" s="24">
        <v>4</v>
      </c>
    </row>
    <row r="2476" spans="2:5" x14ac:dyDescent="0.3">
      <c r="B2476" s="18" t="s">
        <v>5246</v>
      </c>
      <c r="C2476" s="13">
        <v>15</v>
      </c>
      <c r="D2476" s="21" t="s">
        <v>5247</v>
      </c>
      <c r="E2476" s="24">
        <v>3</v>
      </c>
    </row>
    <row r="2477" spans="2:5" x14ac:dyDescent="0.3">
      <c r="B2477" s="18" t="s">
        <v>5248</v>
      </c>
      <c r="C2477" s="13">
        <v>16</v>
      </c>
      <c r="D2477" s="21" t="s">
        <v>5249</v>
      </c>
      <c r="E2477" s="24">
        <v>23</v>
      </c>
    </row>
    <row r="2478" spans="2:5" x14ac:dyDescent="0.3">
      <c r="B2478" s="18" t="s">
        <v>5250</v>
      </c>
      <c r="C2478" s="13">
        <v>17</v>
      </c>
      <c r="D2478" s="21" t="s">
        <v>5251</v>
      </c>
      <c r="E2478" s="24">
        <v>22</v>
      </c>
    </row>
    <row r="2479" spans="2:5" x14ac:dyDescent="0.3">
      <c r="B2479" s="18" t="s">
        <v>5252</v>
      </c>
      <c r="C2479" s="13">
        <v>18</v>
      </c>
      <c r="D2479" s="21" t="s">
        <v>5253</v>
      </c>
      <c r="E2479" s="24">
        <v>21</v>
      </c>
    </row>
    <row r="2480" spans="2:5" x14ac:dyDescent="0.3">
      <c r="B2480" s="18" t="s">
        <v>5254</v>
      </c>
      <c r="C2480" s="13">
        <v>19</v>
      </c>
      <c r="D2480" s="21" t="s">
        <v>5255</v>
      </c>
      <c r="E2480" s="24">
        <v>20</v>
      </c>
    </row>
    <row r="2481" spans="2:5" x14ac:dyDescent="0.3">
      <c r="B2481" s="18" t="s">
        <v>5256</v>
      </c>
      <c r="C2481" s="13">
        <v>2</v>
      </c>
      <c r="D2481" s="21" t="s">
        <v>5257</v>
      </c>
      <c r="E2481" s="24">
        <v>2</v>
      </c>
    </row>
    <row r="2482" spans="2:5" x14ac:dyDescent="0.3">
      <c r="B2482" s="18" t="s">
        <v>5258</v>
      </c>
      <c r="C2482" s="13">
        <v>20</v>
      </c>
      <c r="D2482" s="21" t="s">
        <v>5259</v>
      </c>
      <c r="E2482" s="24">
        <v>19</v>
      </c>
    </row>
    <row r="2483" spans="2:5" x14ac:dyDescent="0.3">
      <c r="B2483" s="18" t="s">
        <v>5260</v>
      </c>
      <c r="C2483" s="13">
        <v>21</v>
      </c>
      <c r="D2483" s="21" t="s">
        <v>5261</v>
      </c>
      <c r="E2483" s="24">
        <v>18</v>
      </c>
    </row>
    <row r="2484" spans="2:5" x14ac:dyDescent="0.3">
      <c r="B2484" s="18" t="s">
        <v>5262</v>
      </c>
      <c r="C2484" s="13">
        <v>22</v>
      </c>
      <c r="D2484" s="21" t="s">
        <v>5263</v>
      </c>
      <c r="E2484" s="24">
        <v>17</v>
      </c>
    </row>
    <row r="2485" spans="2:5" x14ac:dyDescent="0.3">
      <c r="B2485" s="18" t="s">
        <v>5264</v>
      </c>
      <c r="C2485" s="13">
        <v>23</v>
      </c>
      <c r="D2485" s="21" t="s">
        <v>5265</v>
      </c>
      <c r="E2485" s="24">
        <v>16</v>
      </c>
    </row>
    <row r="2486" spans="2:5" x14ac:dyDescent="0.3">
      <c r="B2486" s="18" t="s">
        <v>5266</v>
      </c>
      <c r="C2486" s="13">
        <v>24</v>
      </c>
      <c r="D2486" s="21" t="s">
        <v>5267</v>
      </c>
      <c r="E2486" s="24">
        <v>15</v>
      </c>
    </row>
    <row r="2487" spans="2:5" x14ac:dyDescent="0.3">
      <c r="B2487" s="18" t="s">
        <v>5268</v>
      </c>
      <c r="C2487" s="13">
        <v>25</v>
      </c>
      <c r="D2487" s="21" t="s">
        <v>5269</v>
      </c>
      <c r="E2487" s="24">
        <v>14</v>
      </c>
    </row>
    <row r="2488" spans="2:5" x14ac:dyDescent="0.3">
      <c r="B2488" s="18" t="s">
        <v>5270</v>
      </c>
      <c r="C2488" s="13">
        <v>26</v>
      </c>
      <c r="D2488" s="21" t="s">
        <v>5271</v>
      </c>
      <c r="E2488" s="24">
        <v>13</v>
      </c>
    </row>
    <row r="2489" spans="2:5" x14ac:dyDescent="0.3">
      <c r="B2489" s="18" t="s">
        <v>5272</v>
      </c>
      <c r="C2489" s="13">
        <v>27</v>
      </c>
      <c r="D2489" s="21" t="s">
        <v>5273</v>
      </c>
      <c r="E2489" s="24">
        <v>12</v>
      </c>
    </row>
    <row r="2490" spans="2:5" x14ac:dyDescent="0.3">
      <c r="B2490" s="18" t="s">
        <v>5274</v>
      </c>
      <c r="C2490" s="13">
        <v>28</v>
      </c>
      <c r="D2490" s="21" t="s">
        <v>5275</v>
      </c>
      <c r="E2490" s="24">
        <v>11</v>
      </c>
    </row>
    <row r="2491" spans="2:5" x14ac:dyDescent="0.3">
      <c r="B2491" s="18" t="s">
        <v>5276</v>
      </c>
      <c r="C2491" s="13">
        <v>29</v>
      </c>
      <c r="D2491" s="21" t="s">
        <v>5277</v>
      </c>
      <c r="E2491" s="24">
        <v>10</v>
      </c>
    </row>
    <row r="2492" spans="2:5" x14ac:dyDescent="0.3">
      <c r="B2492" s="18" t="s">
        <v>5278</v>
      </c>
      <c r="C2492" s="13">
        <v>3</v>
      </c>
      <c r="D2492" s="21" t="s">
        <v>5279</v>
      </c>
      <c r="E2492" s="24">
        <v>1</v>
      </c>
    </row>
    <row r="2493" spans="2:5" x14ac:dyDescent="0.3">
      <c r="B2493" s="18" t="s">
        <v>5280</v>
      </c>
      <c r="C2493" s="13">
        <v>30</v>
      </c>
      <c r="D2493" s="21" t="s">
        <v>5281</v>
      </c>
      <c r="E2493" s="24">
        <v>58</v>
      </c>
    </row>
    <row r="2494" spans="2:5" x14ac:dyDescent="0.3">
      <c r="B2494" s="18" t="s">
        <v>5282</v>
      </c>
      <c r="C2494" s="13">
        <v>31</v>
      </c>
      <c r="D2494" s="21" t="s">
        <v>5283</v>
      </c>
      <c r="E2494" s="24">
        <v>59</v>
      </c>
    </row>
    <row r="2495" spans="2:5" x14ac:dyDescent="0.3">
      <c r="B2495" s="18" t="s">
        <v>5284</v>
      </c>
      <c r="C2495" s="13">
        <v>4</v>
      </c>
      <c r="D2495" s="21" t="s">
        <v>5285</v>
      </c>
      <c r="E2495" s="24">
        <v>60</v>
      </c>
    </row>
    <row r="2496" spans="2:5" x14ac:dyDescent="0.3">
      <c r="B2496" s="18" t="s">
        <v>5286</v>
      </c>
      <c r="C2496" s="13">
        <v>5</v>
      </c>
      <c r="D2496" s="21" t="s">
        <v>5287</v>
      </c>
      <c r="E2496" s="24">
        <v>61</v>
      </c>
    </row>
    <row r="2497" spans="2:5" x14ac:dyDescent="0.3">
      <c r="B2497" s="18" t="s">
        <v>5288</v>
      </c>
      <c r="C2497" s="13">
        <v>6</v>
      </c>
      <c r="D2497" s="21" t="s">
        <v>5289</v>
      </c>
      <c r="E2497" s="24">
        <v>62</v>
      </c>
    </row>
    <row r="2498" spans="2:5" x14ac:dyDescent="0.3">
      <c r="B2498" s="18" t="s">
        <v>5290</v>
      </c>
      <c r="C2498" s="13">
        <v>7</v>
      </c>
      <c r="D2498" s="21" t="s">
        <v>5291</v>
      </c>
      <c r="E2498" s="24">
        <v>63</v>
      </c>
    </row>
    <row r="2499" spans="2:5" x14ac:dyDescent="0.3">
      <c r="B2499" s="18" t="s">
        <v>5292</v>
      </c>
      <c r="C2499" s="13">
        <v>8</v>
      </c>
      <c r="D2499" s="21" t="s">
        <v>5293</v>
      </c>
      <c r="E2499" s="24">
        <v>64</v>
      </c>
    </row>
    <row r="2500" spans="2:5" x14ac:dyDescent="0.3">
      <c r="B2500" s="18" t="s">
        <v>5294</v>
      </c>
      <c r="C2500" s="13">
        <v>9</v>
      </c>
      <c r="D2500" s="21" t="s">
        <v>5295</v>
      </c>
      <c r="E2500" s="24">
        <v>45</v>
      </c>
    </row>
    <row r="2501" spans="2:5" x14ac:dyDescent="0.3">
      <c r="B2501" s="18" t="s">
        <v>5296</v>
      </c>
      <c r="C2501" s="13">
        <v>62</v>
      </c>
      <c r="D2501" s="21" t="s">
        <v>5297</v>
      </c>
      <c r="E2501" s="24">
        <v>46</v>
      </c>
    </row>
    <row r="2502" spans="2:5" x14ac:dyDescent="0.3">
      <c r="B2502" s="18" t="s">
        <v>5298</v>
      </c>
      <c r="C2502" s="13">
        <v>53</v>
      </c>
      <c r="D2502" s="21" t="s">
        <v>5299</v>
      </c>
      <c r="E2502" s="24">
        <v>47</v>
      </c>
    </row>
    <row r="2503" spans="2:5" x14ac:dyDescent="0.3">
      <c r="B2503" s="18" t="s">
        <v>5300</v>
      </c>
      <c r="C2503" s="13">
        <v>52</v>
      </c>
      <c r="D2503" s="21" t="s">
        <v>5301</v>
      </c>
      <c r="E2503" s="24">
        <v>65</v>
      </c>
    </row>
    <row r="2504" spans="2:5" x14ac:dyDescent="0.3">
      <c r="B2504" s="18" t="s">
        <v>5302</v>
      </c>
      <c r="C2504" s="13">
        <v>51</v>
      </c>
      <c r="D2504" s="21" t="s">
        <v>5303</v>
      </c>
      <c r="E2504" s="24">
        <v>48</v>
      </c>
    </row>
    <row r="2505" spans="2:5" x14ac:dyDescent="0.3">
      <c r="B2505" s="18" t="s">
        <v>5304</v>
      </c>
      <c r="C2505" s="13">
        <v>50</v>
      </c>
      <c r="D2505" s="21" t="s">
        <v>5305</v>
      </c>
      <c r="E2505" s="24">
        <v>49</v>
      </c>
    </row>
    <row r="2506" spans="2:5" x14ac:dyDescent="0.3">
      <c r="B2506" s="18" t="s">
        <v>5306</v>
      </c>
      <c r="C2506" s="13">
        <v>49</v>
      </c>
      <c r="D2506" s="21" t="s">
        <v>5307</v>
      </c>
      <c r="E2506" s="24">
        <v>50</v>
      </c>
    </row>
    <row r="2507" spans="2:5" x14ac:dyDescent="0.3">
      <c r="B2507" s="18" t="s">
        <v>5308</v>
      </c>
      <c r="C2507" s="13">
        <v>48</v>
      </c>
      <c r="D2507" s="21" t="s">
        <v>5309</v>
      </c>
      <c r="E2507" s="24">
        <v>51</v>
      </c>
    </row>
    <row r="2508" spans="2:5" x14ac:dyDescent="0.3">
      <c r="B2508" s="18" t="s">
        <v>5310</v>
      </c>
      <c r="C2508" s="13">
        <v>47</v>
      </c>
      <c r="D2508" s="21" t="s">
        <v>5311</v>
      </c>
      <c r="E2508" s="24">
        <v>52</v>
      </c>
    </row>
    <row r="2509" spans="2:5" x14ac:dyDescent="0.3">
      <c r="B2509" s="18" t="s">
        <v>5312</v>
      </c>
      <c r="C2509" s="13">
        <v>46</v>
      </c>
      <c r="D2509" s="21" t="s">
        <v>5313</v>
      </c>
      <c r="E2509" s="24">
        <v>53</v>
      </c>
    </row>
    <row r="2510" spans="2:5" x14ac:dyDescent="0.3">
      <c r="B2510" s="18" t="s">
        <v>5314</v>
      </c>
      <c r="C2510" s="13">
        <v>45</v>
      </c>
      <c r="D2510" s="21" t="s">
        <v>5315</v>
      </c>
      <c r="E2510" s="24">
        <v>54</v>
      </c>
    </row>
    <row r="2511" spans="2:5" x14ac:dyDescent="0.3">
      <c r="B2511" s="18" t="s">
        <v>5316</v>
      </c>
      <c r="C2511" s="13">
        <v>44</v>
      </c>
      <c r="D2511" s="21" t="s">
        <v>5317</v>
      </c>
      <c r="E2511" s="24">
        <v>55</v>
      </c>
    </row>
    <row r="2512" spans="2:5" x14ac:dyDescent="0.3">
      <c r="B2512" s="18" t="s">
        <v>5318</v>
      </c>
      <c r="C2512" s="13">
        <v>61</v>
      </c>
      <c r="D2512" s="21" t="s">
        <v>5319</v>
      </c>
      <c r="E2512" s="24">
        <v>56</v>
      </c>
    </row>
    <row r="2513" spans="2:5" x14ac:dyDescent="0.3">
      <c r="B2513" s="18" t="s">
        <v>5320</v>
      </c>
      <c r="C2513" s="13">
        <v>43</v>
      </c>
      <c r="D2513" s="21" t="s">
        <v>5321</v>
      </c>
      <c r="E2513" s="24">
        <v>57</v>
      </c>
    </row>
    <row r="2514" spans="2:5" x14ac:dyDescent="0.3">
      <c r="B2514" s="18" t="s">
        <v>5322</v>
      </c>
      <c r="C2514" s="13">
        <v>42</v>
      </c>
      <c r="D2514" s="21" t="s">
        <v>5323</v>
      </c>
      <c r="E2514" s="24">
        <v>66</v>
      </c>
    </row>
    <row r="2515" spans="2:5" x14ac:dyDescent="0.3">
      <c r="B2515" s="18" t="s">
        <v>5324</v>
      </c>
      <c r="C2515" s="13">
        <v>41</v>
      </c>
      <c r="D2515" s="21" t="s">
        <v>5325</v>
      </c>
      <c r="E2515" s="24">
        <v>31</v>
      </c>
    </row>
    <row r="2516" spans="2:5" x14ac:dyDescent="0.3">
      <c r="B2516" s="18" t="s">
        <v>5326</v>
      </c>
      <c r="C2516" s="13">
        <v>40</v>
      </c>
      <c r="D2516" s="21" t="s">
        <v>5327</v>
      </c>
      <c r="E2516" s="24">
        <v>30</v>
      </c>
    </row>
    <row r="2517" spans="2:5" x14ac:dyDescent="0.3">
      <c r="B2517" s="18" t="s">
        <v>5328</v>
      </c>
      <c r="C2517" s="13">
        <v>39</v>
      </c>
      <c r="D2517" s="21" t="s">
        <v>5329</v>
      </c>
      <c r="E2517" s="24">
        <v>29</v>
      </c>
    </row>
    <row r="2518" spans="2:5" x14ac:dyDescent="0.3">
      <c r="B2518" s="18" t="s">
        <v>5330</v>
      </c>
      <c r="C2518" s="13">
        <v>38</v>
      </c>
      <c r="D2518" s="21" t="s">
        <v>5331</v>
      </c>
      <c r="E2518" s="24">
        <v>28</v>
      </c>
    </row>
    <row r="2519" spans="2:5" x14ac:dyDescent="0.3">
      <c r="B2519" s="18" t="s">
        <v>5332</v>
      </c>
      <c r="C2519" s="13">
        <v>37</v>
      </c>
      <c r="D2519" s="21" t="s">
        <v>5333</v>
      </c>
      <c r="E2519" s="24">
        <v>27</v>
      </c>
    </row>
    <row r="2520" spans="2:5" x14ac:dyDescent="0.3">
      <c r="B2520" s="18" t="s">
        <v>5334</v>
      </c>
      <c r="C2520" s="13">
        <v>36</v>
      </c>
      <c r="D2520" s="21" t="s">
        <v>5335</v>
      </c>
      <c r="E2520" s="24">
        <v>26</v>
      </c>
    </row>
    <row r="2521" spans="2:5" x14ac:dyDescent="0.3">
      <c r="B2521" s="18" t="s">
        <v>5336</v>
      </c>
      <c r="C2521" s="13">
        <v>35</v>
      </c>
      <c r="D2521" s="21" t="s">
        <v>5337</v>
      </c>
      <c r="E2521" s="24">
        <v>25</v>
      </c>
    </row>
    <row r="2522" spans="2:5" x14ac:dyDescent="0.3">
      <c r="B2522" s="18" t="s">
        <v>5338</v>
      </c>
      <c r="C2522" s="13">
        <v>34</v>
      </c>
      <c r="D2522" s="21" t="s">
        <v>5339</v>
      </c>
      <c r="E2522" s="24">
        <v>44</v>
      </c>
    </row>
    <row r="2523" spans="2:5" x14ac:dyDescent="0.3">
      <c r="B2523" s="18" t="s">
        <v>5340</v>
      </c>
      <c r="C2523" s="13">
        <v>60</v>
      </c>
      <c r="D2523" s="21" t="s">
        <v>5341</v>
      </c>
      <c r="E2523" s="24">
        <v>43</v>
      </c>
    </row>
    <row r="2524" spans="2:5" x14ac:dyDescent="0.3">
      <c r="B2524" s="18" t="s">
        <v>5342</v>
      </c>
      <c r="C2524" s="13">
        <v>33</v>
      </c>
      <c r="D2524" s="21" t="s">
        <v>5343</v>
      </c>
      <c r="E2524" s="24">
        <v>42</v>
      </c>
    </row>
    <row r="2525" spans="2:5" x14ac:dyDescent="0.3">
      <c r="B2525" s="18" t="s">
        <v>5344</v>
      </c>
      <c r="C2525" s="13">
        <v>32</v>
      </c>
      <c r="D2525" s="21" t="s">
        <v>5345</v>
      </c>
      <c r="E2525" s="24">
        <v>24</v>
      </c>
    </row>
    <row r="2526" spans="2:5" x14ac:dyDescent="0.3">
      <c r="B2526" s="18" t="s">
        <v>5346</v>
      </c>
      <c r="C2526" s="13">
        <v>59</v>
      </c>
      <c r="D2526" s="21" t="s">
        <v>5347</v>
      </c>
      <c r="E2526" s="24">
        <v>41</v>
      </c>
    </row>
    <row r="2527" spans="2:5" x14ac:dyDescent="0.3">
      <c r="B2527" s="18" t="s">
        <v>5348</v>
      </c>
      <c r="C2527" s="13">
        <v>58</v>
      </c>
      <c r="D2527" s="21" t="s">
        <v>5349</v>
      </c>
      <c r="E2527" s="24">
        <v>40</v>
      </c>
    </row>
    <row r="2528" spans="2:5" x14ac:dyDescent="0.3">
      <c r="B2528" s="18" t="s">
        <v>5350</v>
      </c>
      <c r="C2528" s="13">
        <v>57</v>
      </c>
      <c r="D2528" s="21" t="s">
        <v>5351</v>
      </c>
      <c r="E2528" s="24">
        <v>39</v>
      </c>
    </row>
    <row r="2529" spans="2:5" x14ac:dyDescent="0.3">
      <c r="B2529" s="18" t="s">
        <v>5352</v>
      </c>
      <c r="C2529" s="13">
        <v>56</v>
      </c>
      <c r="D2529" s="21" t="s">
        <v>5353</v>
      </c>
      <c r="E2529" s="24">
        <v>38</v>
      </c>
    </row>
    <row r="2530" spans="2:5" x14ac:dyDescent="0.3">
      <c r="B2530" s="18" t="s">
        <v>5354</v>
      </c>
      <c r="C2530" s="13">
        <v>55</v>
      </c>
      <c r="D2530" s="21" t="s">
        <v>5355</v>
      </c>
      <c r="E2530" s="24">
        <v>37</v>
      </c>
    </row>
    <row r="2531" spans="2:5" x14ac:dyDescent="0.3">
      <c r="B2531" s="18" t="s">
        <v>5356</v>
      </c>
      <c r="C2531" s="13">
        <v>54</v>
      </c>
      <c r="D2531" s="21" t="s">
        <v>5357</v>
      </c>
      <c r="E2531" s="24">
        <v>36</v>
      </c>
    </row>
    <row r="2532" spans="2:5" x14ac:dyDescent="0.3">
      <c r="B2532" s="18" t="s">
        <v>5358</v>
      </c>
      <c r="C2532" s="13">
        <v>63</v>
      </c>
      <c r="D2532" s="21" t="s">
        <v>5359</v>
      </c>
      <c r="E2532" s="24">
        <v>35</v>
      </c>
    </row>
    <row r="2533" spans="2:5" x14ac:dyDescent="0.3">
      <c r="B2533" s="18" t="s">
        <v>5360</v>
      </c>
      <c r="C2533" s="13">
        <v>72</v>
      </c>
      <c r="D2533" s="21" t="s">
        <v>5361</v>
      </c>
      <c r="E2533" s="24">
        <v>34</v>
      </c>
    </row>
    <row r="2534" spans="2:5" x14ac:dyDescent="0.3">
      <c r="B2534" s="18" t="s">
        <v>5362</v>
      </c>
      <c r="C2534" s="13">
        <v>73</v>
      </c>
      <c r="D2534" s="21" t="s">
        <v>5363</v>
      </c>
      <c r="E2534" s="24">
        <v>33</v>
      </c>
    </row>
    <row r="2535" spans="2:5" x14ac:dyDescent="0.3">
      <c r="B2535" s="18" t="s">
        <v>5364</v>
      </c>
      <c r="C2535" s="13">
        <v>74</v>
      </c>
      <c r="D2535" s="21" t="s">
        <v>5365</v>
      </c>
      <c r="E2535" s="24">
        <v>32</v>
      </c>
    </row>
    <row r="2536" spans="2:5" x14ac:dyDescent="0.3">
      <c r="B2536" s="18" t="s">
        <v>5366</v>
      </c>
      <c r="C2536" s="13">
        <v>75</v>
      </c>
      <c r="D2536" s="21" t="s">
        <v>5367</v>
      </c>
      <c r="E2536" s="24">
        <v>23</v>
      </c>
    </row>
    <row r="2537" spans="2:5" x14ac:dyDescent="0.3">
      <c r="B2537" s="18" t="s">
        <v>5368</v>
      </c>
      <c r="C2537" s="13">
        <v>76</v>
      </c>
      <c r="D2537" s="21" t="s">
        <v>5369</v>
      </c>
      <c r="E2537" s="24">
        <v>9</v>
      </c>
    </row>
    <row r="2538" spans="2:5" x14ac:dyDescent="0.3">
      <c r="B2538" s="18" t="s">
        <v>5370</v>
      </c>
      <c r="C2538" s="13">
        <v>77</v>
      </c>
      <c r="D2538" s="21" t="s">
        <v>5371</v>
      </c>
      <c r="E2538" s="24">
        <v>8</v>
      </c>
    </row>
    <row r="2539" spans="2:5" x14ac:dyDescent="0.3">
      <c r="B2539" s="18" t="s">
        <v>5372</v>
      </c>
      <c r="C2539" s="13">
        <v>78</v>
      </c>
      <c r="D2539" s="21" t="s">
        <v>5373</v>
      </c>
      <c r="E2539" s="24">
        <v>7</v>
      </c>
    </row>
    <row r="2540" spans="2:5" x14ac:dyDescent="0.3">
      <c r="B2540" s="18" t="s">
        <v>5374</v>
      </c>
      <c r="C2540" s="13">
        <v>79</v>
      </c>
      <c r="D2540" s="21" t="s">
        <v>5375</v>
      </c>
      <c r="E2540" s="24">
        <v>6</v>
      </c>
    </row>
    <row r="2541" spans="2:5" x14ac:dyDescent="0.3">
      <c r="B2541" s="18" t="s">
        <v>5376</v>
      </c>
      <c r="C2541" s="13">
        <v>80</v>
      </c>
      <c r="D2541" s="21" t="s">
        <v>5377</v>
      </c>
      <c r="E2541" s="24">
        <v>5</v>
      </c>
    </row>
    <row r="2542" spans="2:5" x14ac:dyDescent="0.3">
      <c r="B2542" s="18" t="s">
        <v>5378</v>
      </c>
      <c r="C2542" s="13">
        <v>81</v>
      </c>
      <c r="D2542" s="21" t="s">
        <v>5379</v>
      </c>
      <c r="E2542" s="24">
        <v>4</v>
      </c>
    </row>
    <row r="2543" spans="2:5" x14ac:dyDescent="0.3">
      <c r="B2543" s="18" t="s">
        <v>5380</v>
      </c>
      <c r="C2543" s="13">
        <v>64</v>
      </c>
      <c r="D2543" s="21" t="s">
        <v>5381</v>
      </c>
      <c r="E2543" s="24">
        <v>3</v>
      </c>
    </row>
    <row r="2544" spans="2:5" x14ac:dyDescent="0.3">
      <c r="B2544" s="18" t="s">
        <v>5382</v>
      </c>
      <c r="C2544" s="13">
        <v>82</v>
      </c>
      <c r="D2544" s="21" t="s">
        <v>5383</v>
      </c>
      <c r="E2544" s="24">
        <v>22</v>
      </c>
    </row>
    <row r="2545" spans="2:5" x14ac:dyDescent="0.3">
      <c r="B2545" s="18" t="s">
        <v>5384</v>
      </c>
      <c r="C2545" s="13">
        <v>83</v>
      </c>
      <c r="D2545" s="21" t="s">
        <v>5385</v>
      </c>
      <c r="E2545" s="24">
        <v>21</v>
      </c>
    </row>
    <row r="2546" spans="2:5" x14ac:dyDescent="0.3">
      <c r="B2546" s="18" t="s">
        <v>5386</v>
      </c>
      <c r="C2546" s="13">
        <v>84</v>
      </c>
      <c r="D2546" s="21" t="s">
        <v>5387</v>
      </c>
      <c r="E2546" s="24">
        <v>20</v>
      </c>
    </row>
    <row r="2547" spans="2:5" x14ac:dyDescent="0.3">
      <c r="B2547" s="18" t="s">
        <v>5388</v>
      </c>
      <c r="C2547" s="13">
        <v>85</v>
      </c>
      <c r="D2547" s="21" t="s">
        <v>5389</v>
      </c>
      <c r="E2547" s="24">
        <v>2</v>
      </c>
    </row>
    <row r="2548" spans="2:5" x14ac:dyDescent="0.3">
      <c r="B2548" s="18" t="s">
        <v>5390</v>
      </c>
      <c r="C2548" s="13">
        <v>86</v>
      </c>
      <c r="D2548" s="21" t="s">
        <v>5391</v>
      </c>
      <c r="E2548" s="24">
        <v>19</v>
      </c>
    </row>
    <row r="2549" spans="2:5" x14ac:dyDescent="0.3">
      <c r="B2549" s="18" t="s">
        <v>5392</v>
      </c>
      <c r="C2549" s="13">
        <v>87</v>
      </c>
      <c r="D2549" s="21" t="s">
        <v>5393</v>
      </c>
      <c r="E2549" s="24">
        <v>18</v>
      </c>
    </row>
    <row r="2550" spans="2:5" x14ac:dyDescent="0.3">
      <c r="B2550" s="18" t="s">
        <v>5394</v>
      </c>
      <c r="C2550" s="13">
        <v>88</v>
      </c>
      <c r="D2550" s="21" t="s">
        <v>5395</v>
      </c>
      <c r="E2550" s="24">
        <v>17</v>
      </c>
    </row>
    <row r="2551" spans="2:5" x14ac:dyDescent="0.3">
      <c r="B2551" s="18" t="s">
        <v>5396</v>
      </c>
      <c r="C2551" s="13">
        <v>89</v>
      </c>
      <c r="D2551" s="21" t="s">
        <v>5397</v>
      </c>
      <c r="E2551" s="24">
        <v>16</v>
      </c>
    </row>
    <row r="2552" spans="2:5" x14ac:dyDescent="0.3">
      <c r="B2552" s="18" t="s">
        <v>5398</v>
      </c>
      <c r="C2552" s="13">
        <v>90</v>
      </c>
      <c r="D2552" s="21" t="s">
        <v>5399</v>
      </c>
      <c r="E2552" s="24">
        <v>15</v>
      </c>
    </row>
    <row r="2553" spans="2:5" x14ac:dyDescent="0.3">
      <c r="B2553" s="18" t="s">
        <v>5400</v>
      </c>
      <c r="C2553" s="13">
        <v>91</v>
      </c>
      <c r="D2553" s="21" t="s">
        <v>5401</v>
      </c>
      <c r="E2553" s="24">
        <v>14</v>
      </c>
    </row>
    <row r="2554" spans="2:5" x14ac:dyDescent="0.3">
      <c r="B2554" s="18" t="s">
        <v>5402</v>
      </c>
      <c r="C2554" s="13">
        <v>65</v>
      </c>
      <c r="D2554" s="21" t="s">
        <v>5403</v>
      </c>
      <c r="E2554" s="24">
        <v>13</v>
      </c>
    </row>
    <row r="2555" spans="2:5" x14ac:dyDescent="0.3">
      <c r="B2555" s="18" t="s">
        <v>5404</v>
      </c>
      <c r="C2555" s="13">
        <v>92</v>
      </c>
      <c r="D2555" s="21" t="s">
        <v>5405</v>
      </c>
      <c r="E2555" s="24">
        <v>12</v>
      </c>
    </row>
    <row r="2556" spans="2:5" x14ac:dyDescent="0.3">
      <c r="B2556" s="18" t="s">
        <v>5406</v>
      </c>
      <c r="C2556" s="13">
        <v>93</v>
      </c>
      <c r="D2556" s="21" t="s">
        <v>5407</v>
      </c>
      <c r="E2556" s="24">
        <v>11</v>
      </c>
    </row>
    <row r="2557" spans="2:5" x14ac:dyDescent="0.3">
      <c r="B2557" s="18" t="s">
        <v>5408</v>
      </c>
      <c r="C2557" s="13">
        <v>66</v>
      </c>
      <c r="D2557" s="21" t="s">
        <v>5409</v>
      </c>
      <c r="E2557" s="24">
        <v>10</v>
      </c>
    </row>
    <row r="2558" spans="2:5" x14ac:dyDescent="0.3">
      <c r="B2558" s="18" t="s">
        <v>5410</v>
      </c>
      <c r="C2558" s="13">
        <v>67</v>
      </c>
      <c r="D2558" s="21" t="s">
        <v>5411</v>
      </c>
      <c r="E2558" s="24">
        <v>1</v>
      </c>
    </row>
    <row r="2559" spans="2:5" x14ac:dyDescent="0.3">
      <c r="B2559" s="18" t="s">
        <v>5412</v>
      </c>
      <c r="C2559" s="13">
        <v>68</v>
      </c>
      <c r="D2559" s="21" t="s">
        <v>5413</v>
      </c>
      <c r="E2559" s="24">
        <v>58</v>
      </c>
    </row>
    <row r="2560" spans="2:5" x14ac:dyDescent="0.3">
      <c r="B2560" s="18" t="s">
        <v>5414</v>
      </c>
      <c r="C2560" s="13">
        <v>69</v>
      </c>
      <c r="D2560" s="21" t="s">
        <v>5415</v>
      </c>
      <c r="E2560" s="24">
        <v>59</v>
      </c>
    </row>
    <row r="2561" spans="2:5" x14ac:dyDescent="0.3">
      <c r="B2561" s="18" t="s">
        <v>5416</v>
      </c>
      <c r="C2561" s="13">
        <v>70</v>
      </c>
      <c r="D2561" s="21" t="s">
        <v>5417</v>
      </c>
      <c r="E2561" s="24">
        <v>60</v>
      </c>
    </row>
    <row r="2562" spans="2:5" x14ac:dyDescent="0.3">
      <c r="B2562" s="18" t="s">
        <v>5418</v>
      </c>
      <c r="C2562" s="13">
        <v>71</v>
      </c>
      <c r="D2562" s="21" t="s">
        <v>5419</v>
      </c>
      <c r="E2562" s="24">
        <v>61</v>
      </c>
    </row>
    <row r="2563" spans="2:5" x14ac:dyDescent="0.3">
      <c r="B2563" s="18" t="s">
        <v>5420</v>
      </c>
      <c r="C2563" s="13">
        <v>115</v>
      </c>
      <c r="D2563" s="21" t="s">
        <v>5421</v>
      </c>
      <c r="E2563" s="24">
        <v>62</v>
      </c>
    </row>
    <row r="2564" spans="2:5" x14ac:dyDescent="0.3">
      <c r="B2564" s="18" t="s">
        <v>5422</v>
      </c>
      <c r="C2564" s="13">
        <v>114</v>
      </c>
      <c r="D2564" s="21" t="s">
        <v>5423</v>
      </c>
      <c r="E2564" s="24">
        <v>63</v>
      </c>
    </row>
    <row r="2565" spans="2:5" x14ac:dyDescent="0.3">
      <c r="B2565" s="18" t="s">
        <v>5424</v>
      </c>
      <c r="C2565" s="13">
        <v>113</v>
      </c>
      <c r="D2565" s="21" t="s">
        <v>5425</v>
      </c>
      <c r="E2565" s="24">
        <v>64</v>
      </c>
    </row>
    <row r="2566" spans="2:5" x14ac:dyDescent="0.3">
      <c r="B2566" s="18" t="s">
        <v>5426</v>
      </c>
      <c r="C2566" s="13">
        <v>112</v>
      </c>
      <c r="D2566" s="21" t="s">
        <v>5427</v>
      </c>
      <c r="E2566" s="24">
        <v>45</v>
      </c>
    </row>
    <row r="2567" spans="2:5" x14ac:dyDescent="0.3">
      <c r="B2567" s="18" t="s">
        <v>5428</v>
      </c>
      <c r="C2567" s="13">
        <v>111</v>
      </c>
      <c r="D2567" s="21" t="s">
        <v>5429</v>
      </c>
      <c r="E2567" s="24">
        <v>46</v>
      </c>
    </row>
    <row r="2568" spans="2:5" x14ac:dyDescent="0.3">
      <c r="B2568" s="18" t="s">
        <v>5430</v>
      </c>
      <c r="C2568" s="13">
        <v>110</v>
      </c>
      <c r="D2568" s="21" t="s">
        <v>5431</v>
      </c>
      <c r="E2568" s="24">
        <v>47</v>
      </c>
    </row>
    <row r="2569" spans="2:5" x14ac:dyDescent="0.3">
      <c r="B2569" s="18" t="s">
        <v>5432</v>
      </c>
      <c r="C2569" s="13">
        <v>109</v>
      </c>
      <c r="D2569" s="21" t="s">
        <v>5433</v>
      </c>
      <c r="E2569" s="24">
        <v>65</v>
      </c>
    </row>
    <row r="2570" spans="2:5" x14ac:dyDescent="0.3">
      <c r="B2570" s="18" t="s">
        <v>5434</v>
      </c>
      <c r="C2570" s="13">
        <v>108</v>
      </c>
      <c r="D2570" s="21" t="s">
        <v>5435</v>
      </c>
      <c r="E2570" s="24">
        <v>48</v>
      </c>
    </row>
    <row r="2571" spans="2:5" x14ac:dyDescent="0.3">
      <c r="B2571" s="18" t="s">
        <v>5436</v>
      </c>
      <c r="C2571" s="13">
        <v>107</v>
      </c>
      <c r="D2571" s="21" t="s">
        <v>5437</v>
      </c>
      <c r="E2571" s="24">
        <v>49</v>
      </c>
    </row>
    <row r="2572" spans="2:5" x14ac:dyDescent="0.3">
      <c r="B2572" s="18" t="s">
        <v>5438</v>
      </c>
      <c r="C2572" s="13">
        <v>106</v>
      </c>
      <c r="D2572" s="21" t="s">
        <v>5439</v>
      </c>
      <c r="E2572" s="24">
        <v>50</v>
      </c>
    </row>
    <row r="2573" spans="2:5" x14ac:dyDescent="0.3">
      <c r="B2573" s="18" t="s">
        <v>5440</v>
      </c>
      <c r="C2573" s="13">
        <v>105</v>
      </c>
      <c r="D2573" s="21" t="s">
        <v>5441</v>
      </c>
      <c r="E2573" s="24">
        <v>51</v>
      </c>
    </row>
    <row r="2574" spans="2:5" x14ac:dyDescent="0.3">
      <c r="B2574" s="18" t="s">
        <v>5442</v>
      </c>
      <c r="C2574" s="13">
        <v>104</v>
      </c>
      <c r="D2574" s="21" t="s">
        <v>5443</v>
      </c>
      <c r="E2574" s="24">
        <v>52</v>
      </c>
    </row>
    <row r="2575" spans="2:5" x14ac:dyDescent="0.3">
      <c r="B2575" s="18" t="s">
        <v>5444</v>
      </c>
      <c r="C2575" s="13">
        <v>103</v>
      </c>
      <c r="D2575" s="21" t="s">
        <v>5445</v>
      </c>
      <c r="E2575" s="24">
        <v>53</v>
      </c>
    </row>
    <row r="2576" spans="2:5" x14ac:dyDescent="0.3">
      <c r="B2576" s="18" t="s">
        <v>5446</v>
      </c>
      <c r="C2576" s="13">
        <v>102</v>
      </c>
      <c r="D2576" s="21" t="s">
        <v>5447</v>
      </c>
      <c r="E2576" s="24">
        <v>54</v>
      </c>
    </row>
    <row r="2577" spans="2:5" x14ac:dyDescent="0.3">
      <c r="B2577" s="18" t="s">
        <v>5448</v>
      </c>
      <c r="C2577" s="13">
        <v>101</v>
      </c>
      <c r="D2577" s="21" t="s">
        <v>5449</v>
      </c>
      <c r="E2577" s="24">
        <v>55</v>
      </c>
    </row>
    <row r="2578" spans="2:5" x14ac:dyDescent="0.3">
      <c r="B2578" s="18" t="s">
        <v>5450</v>
      </c>
      <c r="C2578" s="13">
        <v>100</v>
      </c>
      <c r="D2578" s="21" t="s">
        <v>5451</v>
      </c>
      <c r="E2578" s="24">
        <v>56</v>
      </c>
    </row>
    <row r="2579" spans="2:5" x14ac:dyDescent="0.3">
      <c r="B2579" s="18" t="s">
        <v>5452</v>
      </c>
      <c r="C2579" s="13">
        <v>99</v>
      </c>
      <c r="D2579" s="21" t="s">
        <v>5453</v>
      </c>
      <c r="E2579" s="24">
        <v>57</v>
      </c>
    </row>
    <row r="2580" spans="2:5" x14ac:dyDescent="0.3">
      <c r="B2580" s="18" t="s">
        <v>5454</v>
      </c>
      <c r="C2580" s="13">
        <v>98</v>
      </c>
      <c r="D2580" s="21" t="s">
        <v>5455</v>
      </c>
      <c r="E2580" s="24">
        <v>31</v>
      </c>
    </row>
    <row r="2581" spans="2:5" x14ac:dyDescent="0.3">
      <c r="B2581" s="18" t="s">
        <v>5456</v>
      </c>
      <c r="C2581" s="13">
        <v>97</v>
      </c>
      <c r="D2581" s="21" t="s">
        <v>5457</v>
      </c>
      <c r="E2581" s="24">
        <v>30</v>
      </c>
    </row>
    <row r="2582" spans="2:5" x14ac:dyDescent="0.3">
      <c r="B2582" s="18" t="s">
        <v>5458</v>
      </c>
      <c r="C2582" s="13">
        <v>96</v>
      </c>
      <c r="D2582" s="21" t="s">
        <v>5459</v>
      </c>
      <c r="E2582" s="24">
        <v>29</v>
      </c>
    </row>
    <row r="2583" spans="2:5" x14ac:dyDescent="0.3">
      <c r="B2583" s="18" t="s">
        <v>5460</v>
      </c>
      <c r="C2583" s="13">
        <v>122</v>
      </c>
      <c r="D2583" s="21" t="s">
        <v>5461</v>
      </c>
      <c r="E2583" s="24">
        <v>28</v>
      </c>
    </row>
    <row r="2584" spans="2:5" x14ac:dyDescent="0.3">
      <c r="B2584" s="18" t="s">
        <v>5462</v>
      </c>
      <c r="C2584" s="13">
        <v>95</v>
      </c>
      <c r="D2584" s="21" t="s">
        <v>5463</v>
      </c>
      <c r="E2584" s="24">
        <v>27</v>
      </c>
    </row>
    <row r="2585" spans="2:5" x14ac:dyDescent="0.3">
      <c r="B2585" s="18" t="s">
        <v>5464</v>
      </c>
      <c r="C2585" s="13">
        <v>94</v>
      </c>
      <c r="D2585" s="21" t="s">
        <v>5465</v>
      </c>
      <c r="E2585" s="24">
        <v>26</v>
      </c>
    </row>
    <row r="2586" spans="2:5" x14ac:dyDescent="0.3">
      <c r="B2586" s="18" t="s">
        <v>5466</v>
      </c>
      <c r="C2586" s="13">
        <v>121</v>
      </c>
      <c r="D2586" s="21" t="s">
        <v>5467</v>
      </c>
      <c r="E2586" s="24">
        <v>25</v>
      </c>
    </row>
    <row r="2587" spans="2:5" x14ac:dyDescent="0.3">
      <c r="B2587" s="18" t="s">
        <v>5468</v>
      </c>
      <c r="C2587" s="13">
        <v>120</v>
      </c>
      <c r="D2587" s="21" t="s">
        <v>5469</v>
      </c>
      <c r="E2587" s="24">
        <v>44</v>
      </c>
    </row>
    <row r="2588" spans="2:5" x14ac:dyDescent="0.3">
      <c r="B2588" s="18" t="s">
        <v>5470</v>
      </c>
      <c r="C2588" s="13">
        <v>119</v>
      </c>
      <c r="D2588" s="21" t="s">
        <v>5471</v>
      </c>
      <c r="E2588" s="24">
        <v>43</v>
      </c>
    </row>
    <row r="2589" spans="2:5" x14ac:dyDescent="0.3">
      <c r="B2589" s="18" t="s">
        <v>5472</v>
      </c>
      <c r="C2589" s="13">
        <v>118</v>
      </c>
      <c r="D2589" s="21" t="s">
        <v>5473</v>
      </c>
      <c r="E2589" s="24">
        <v>42</v>
      </c>
    </row>
    <row r="2590" spans="2:5" x14ac:dyDescent="0.3">
      <c r="B2590" s="18" t="s">
        <v>5474</v>
      </c>
      <c r="C2590" s="13">
        <v>117</v>
      </c>
      <c r="D2590" s="21" t="s">
        <v>5475</v>
      </c>
      <c r="E2590" s="24">
        <v>24</v>
      </c>
    </row>
    <row r="2591" spans="2:5" x14ac:dyDescent="0.3">
      <c r="B2591" s="18" t="s">
        <v>5476</v>
      </c>
      <c r="C2591" s="13">
        <v>116</v>
      </c>
      <c r="D2591" s="21" t="s">
        <v>5477</v>
      </c>
      <c r="E2591" s="24">
        <v>41</v>
      </c>
    </row>
    <row r="2592" spans="2:5" x14ac:dyDescent="0.3">
      <c r="B2592" s="18" t="s">
        <v>5478</v>
      </c>
      <c r="C2592" s="13">
        <v>1</v>
      </c>
      <c r="D2592" s="21" t="s">
        <v>5479</v>
      </c>
      <c r="E2592" s="24">
        <v>40</v>
      </c>
    </row>
    <row r="2593" spans="2:5" x14ac:dyDescent="0.3">
      <c r="B2593" s="18" t="s">
        <v>5480</v>
      </c>
      <c r="C2593" s="13">
        <v>10</v>
      </c>
      <c r="D2593" s="21" t="s">
        <v>5481</v>
      </c>
      <c r="E2593" s="24">
        <v>39</v>
      </c>
    </row>
    <row r="2594" spans="2:5" x14ac:dyDescent="0.3">
      <c r="B2594" s="18" t="s">
        <v>5482</v>
      </c>
      <c r="C2594" s="13">
        <v>11</v>
      </c>
      <c r="D2594" s="21" t="s">
        <v>5483</v>
      </c>
      <c r="E2594" s="24">
        <v>38</v>
      </c>
    </row>
    <row r="2595" spans="2:5" x14ac:dyDescent="0.3">
      <c r="B2595" s="18" t="s">
        <v>5484</v>
      </c>
      <c r="C2595" s="13">
        <v>12</v>
      </c>
      <c r="D2595" s="21" t="s">
        <v>5485</v>
      </c>
      <c r="E2595" s="24">
        <v>37</v>
      </c>
    </row>
    <row r="2596" spans="2:5" x14ac:dyDescent="0.3">
      <c r="B2596" s="18" t="s">
        <v>5486</v>
      </c>
      <c r="C2596" s="13">
        <v>13</v>
      </c>
      <c r="D2596" s="21" t="s">
        <v>5487</v>
      </c>
      <c r="E2596" s="24">
        <v>36</v>
      </c>
    </row>
    <row r="2597" spans="2:5" x14ac:dyDescent="0.3">
      <c r="B2597" s="18" t="s">
        <v>5488</v>
      </c>
      <c r="C2597" s="13">
        <v>14</v>
      </c>
      <c r="D2597" s="21" t="s">
        <v>5489</v>
      </c>
      <c r="E2597" s="24">
        <v>35</v>
      </c>
    </row>
    <row r="2598" spans="2:5" x14ac:dyDescent="0.3">
      <c r="B2598" s="18" t="s">
        <v>5490</v>
      </c>
      <c r="C2598" s="13">
        <v>15</v>
      </c>
      <c r="D2598" s="21" t="s">
        <v>5491</v>
      </c>
      <c r="E2598" s="24">
        <v>34</v>
      </c>
    </row>
    <row r="2599" spans="2:5" x14ac:dyDescent="0.3">
      <c r="B2599" s="18" t="s">
        <v>5492</v>
      </c>
      <c r="C2599" s="13">
        <v>16</v>
      </c>
      <c r="D2599" s="21" t="s">
        <v>5493</v>
      </c>
      <c r="E2599" s="24">
        <v>33</v>
      </c>
    </row>
    <row r="2600" spans="2:5" x14ac:dyDescent="0.3">
      <c r="B2600" s="18" t="s">
        <v>5494</v>
      </c>
      <c r="C2600" s="13">
        <v>17</v>
      </c>
      <c r="D2600" s="21" t="s">
        <v>5495</v>
      </c>
      <c r="E2600" s="24">
        <v>32</v>
      </c>
    </row>
    <row r="2601" spans="2:5" x14ac:dyDescent="0.3">
      <c r="B2601" s="18" t="s">
        <v>5496</v>
      </c>
      <c r="C2601" s="13">
        <v>18</v>
      </c>
      <c r="D2601" s="21" t="s">
        <v>5497</v>
      </c>
      <c r="E2601" s="24">
        <v>23</v>
      </c>
    </row>
    <row r="2602" spans="2:5" x14ac:dyDescent="0.3">
      <c r="B2602" s="18" t="s">
        <v>5498</v>
      </c>
      <c r="C2602" s="13">
        <v>19</v>
      </c>
      <c r="D2602" s="21" t="s">
        <v>5499</v>
      </c>
      <c r="E2602" s="24">
        <v>9</v>
      </c>
    </row>
    <row r="2603" spans="2:5" x14ac:dyDescent="0.3">
      <c r="B2603" s="18" t="s">
        <v>5500</v>
      </c>
      <c r="C2603" s="13">
        <v>2</v>
      </c>
      <c r="D2603" s="21" t="s">
        <v>5501</v>
      </c>
      <c r="E2603" s="24">
        <v>8</v>
      </c>
    </row>
    <row r="2604" spans="2:5" x14ac:dyDescent="0.3">
      <c r="B2604" s="18" t="s">
        <v>5502</v>
      </c>
      <c r="C2604" s="13">
        <v>20</v>
      </c>
      <c r="D2604" s="21" t="s">
        <v>5503</v>
      </c>
      <c r="E2604" s="24">
        <v>7</v>
      </c>
    </row>
    <row r="2605" spans="2:5" x14ac:dyDescent="0.3">
      <c r="B2605" s="18" t="s">
        <v>5504</v>
      </c>
      <c r="C2605" s="13">
        <v>21</v>
      </c>
      <c r="D2605" s="21" t="s">
        <v>5505</v>
      </c>
      <c r="E2605" s="24">
        <v>6</v>
      </c>
    </row>
    <row r="2606" spans="2:5" x14ac:dyDescent="0.3">
      <c r="B2606" s="18" t="s">
        <v>5506</v>
      </c>
      <c r="C2606" s="13">
        <v>22</v>
      </c>
      <c r="D2606" s="21" t="s">
        <v>5507</v>
      </c>
      <c r="E2606" s="24">
        <v>5</v>
      </c>
    </row>
    <row r="2607" spans="2:5" x14ac:dyDescent="0.3">
      <c r="B2607" s="18" t="s">
        <v>5508</v>
      </c>
      <c r="C2607" s="13">
        <v>23</v>
      </c>
      <c r="D2607" s="21" t="s">
        <v>5509</v>
      </c>
      <c r="E2607" s="24">
        <v>4</v>
      </c>
    </row>
    <row r="2608" spans="2:5" x14ac:dyDescent="0.3">
      <c r="B2608" s="18" t="s">
        <v>5510</v>
      </c>
      <c r="C2608" s="13">
        <v>24</v>
      </c>
      <c r="D2608" s="21" t="s">
        <v>5511</v>
      </c>
      <c r="E2608" s="24">
        <v>3</v>
      </c>
    </row>
    <row r="2609" spans="2:5" x14ac:dyDescent="0.3">
      <c r="B2609" s="18" t="s">
        <v>5512</v>
      </c>
      <c r="C2609" s="13">
        <v>25</v>
      </c>
      <c r="D2609" s="21" t="s">
        <v>5513</v>
      </c>
      <c r="E2609" s="24">
        <v>22</v>
      </c>
    </row>
    <row r="2610" spans="2:5" x14ac:dyDescent="0.3">
      <c r="B2610" s="18" t="s">
        <v>5514</v>
      </c>
      <c r="C2610" s="13">
        <v>26</v>
      </c>
      <c r="D2610" s="21" t="s">
        <v>5515</v>
      </c>
      <c r="E2610" s="24">
        <v>21</v>
      </c>
    </row>
    <row r="2611" spans="2:5" x14ac:dyDescent="0.3">
      <c r="B2611" s="18" t="s">
        <v>5516</v>
      </c>
      <c r="C2611" s="13">
        <v>27</v>
      </c>
      <c r="D2611" s="21" t="s">
        <v>5517</v>
      </c>
      <c r="E2611" s="24">
        <v>20</v>
      </c>
    </row>
    <row r="2612" spans="2:5" x14ac:dyDescent="0.3">
      <c r="B2612" s="18" t="s">
        <v>5518</v>
      </c>
      <c r="C2612" s="13">
        <v>28</v>
      </c>
      <c r="D2612" s="21" t="s">
        <v>5519</v>
      </c>
      <c r="E2612" s="24">
        <v>2</v>
      </c>
    </row>
    <row r="2613" spans="2:5" x14ac:dyDescent="0.3">
      <c r="B2613" s="18" t="s">
        <v>5520</v>
      </c>
      <c r="C2613" s="13">
        <v>29</v>
      </c>
      <c r="D2613" s="21" t="s">
        <v>5521</v>
      </c>
      <c r="E2613" s="24">
        <v>19</v>
      </c>
    </row>
    <row r="2614" spans="2:5" x14ac:dyDescent="0.3">
      <c r="B2614" s="18" t="s">
        <v>5522</v>
      </c>
      <c r="C2614" s="13">
        <v>3</v>
      </c>
      <c r="D2614" s="21" t="s">
        <v>5523</v>
      </c>
      <c r="E2614" s="24">
        <v>18</v>
      </c>
    </row>
    <row r="2615" spans="2:5" x14ac:dyDescent="0.3">
      <c r="B2615" s="18" t="s">
        <v>5524</v>
      </c>
      <c r="C2615" s="13">
        <v>30</v>
      </c>
      <c r="D2615" s="21" t="s">
        <v>5525</v>
      </c>
      <c r="E2615" s="24">
        <v>17</v>
      </c>
    </row>
    <row r="2616" spans="2:5" x14ac:dyDescent="0.3">
      <c r="B2616" s="18" t="s">
        <v>5526</v>
      </c>
      <c r="C2616" s="13">
        <v>31</v>
      </c>
      <c r="D2616" s="21" t="s">
        <v>5527</v>
      </c>
      <c r="E2616" s="24">
        <v>16</v>
      </c>
    </row>
    <row r="2617" spans="2:5" x14ac:dyDescent="0.3">
      <c r="B2617" s="18" t="s">
        <v>5528</v>
      </c>
      <c r="C2617" s="13">
        <v>4</v>
      </c>
      <c r="D2617" s="21" t="s">
        <v>5529</v>
      </c>
      <c r="E2617" s="24">
        <v>15</v>
      </c>
    </row>
    <row r="2618" spans="2:5" x14ac:dyDescent="0.3">
      <c r="B2618" s="18" t="s">
        <v>5530</v>
      </c>
      <c r="C2618" s="13">
        <v>5</v>
      </c>
      <c r="D2618" s="21" t="s">
        <v>5531</v>
      </c>
      <c r="E2618" s="24">
        <v>14</v>
      </c>
    </row>
    <row r="2619" spans="2:5" x14ac:dyDescent="0.3">
      <c r="B2619" s="18" t="s">
        <v>5532</v>
      </c>
      <c r="C2619" s="13">
        <v>6</v>
      </c>
      <c r="D2619" s="21" t="s">
        <v>5533</v>
      </c>
      <c r="E2619" s="24">
        <v>13</v>
      </c>
    </row>
    <row r="2620" spans="2:5" x14ac:dyDescent="0.3">
      <c r="B2620" s="18" t="s">
        <v>5534</v>
      </c>
      <c r="C2620" s="13">
        <v>7</v>
      </c>
      <c r="D2620" s="21" t="s">
        <v>5535</v>
      </c>
      <c r="E2620" s="24">
        <v>12</v>
      </c>
    </row>
    <row r="2621" spans="2:5" x14ac:dyDescent="0.3">
      <c r="B2621" s="18" t="s">
        <v>5536</v>
      </c>
      <c r="C2621" s="13">
        <v>8</v>
      </c>
      <c r="D2621" s="21" t="s">
        <v>5537</v>
      </c>
      <c r="E2621" s="24">
        <v>11</v>
      </c>
    </row>
    <row r="2622" spans="2:5" x14ac:dyDescent="0.3">
      <c r="B2622" s="18" t="s">
        <v>5538</v>
      </c>
      <c r="C2622" s="13">
        <v>9</v>
      </c>
      <c r="D2622" s="21" t="s">
        <v>5539</v>
      </c>
      <c r="E2622" s="24">
        <v>10</v>
      </c>
    </row>
    <row r="2623" spans="2:5" x14ac:dyDescent="0.3">
      <c r="B2623" s="18" t="s">
        <v>5540</v>
      </c>
      <c r="C2623" s="13">
        <v>62</v>
      </c>
      <c r="D2623" s="21" t="s">
        <v>5541</v>
      </c>
      <c r="E2623" s="24">
        <v>1</v>
      </c>
    </row>
    <row r="2624" spans="2:5" x14ac:dyDescent="0.3">
      <c r="B2624" s="18" t="s">
        <v>5542</v>
      </c>
      <c r="C2624" s="13">
        <v>53</v>
      </c>
      <c r="D2624" s="21" t="s">
        <v>5543</v>
      </c>
      <c r="E2624" s="24">
        <v>58</v>
      </c>
    </row>
    <row r="2625" spans="2:5" x14ac:dyDescent="0.3">
      <c r="B2625" s="18" t="s">
        <v>5544</v>
      </c>
      <c r="C2625" s="13">
        <v>52</v>
      </c>
      <c r="D2625" s="21" t="s">
        <v>5545</v>
      </c>
      <c r="E2625" s="24">
        <v>59</v>
      </c>
    </row>
    <row r="2626" spans="2:5" x14ac:dyDescent="0.3">
      <c r="B2626" s="18" t="s">
        <v>5546</v>
      </c>
      <c r="C2626" s="13">
        <v>51</v>
      </c>
      <c r="D2626" s="21" t="s">
        <v>5547</v>
      </c>
      <c r="E2626" s="24">
        <v>60</v>
      </c>
    </row>
    <row r="2627" spans="2:5" x14ac:dyDescent="0.3">
      <c r="B2627" s="18" t="s">
        <v>5548</v>
      </c>
      <c r="C2627" s="13">
        <v>50</v>
      </c>
      <c r="D2627" s="21" t="s">
        <v>5549</v>
      </c>
      <c r="E2627" s="24">
        <v>61</v>
      </c>
    </row>
    <row r="2628" spans="2:5" x14ac:dyDescent="0.3">
      <c r="B2628" s="18" t="s">
        <v>5550</v>
      </c>
      <c r="C2628" s="13">
        <v>49</v>
      </c>
      <c r="D2628" s="21" t="s">
        <v>5551</v>
      </c>
      <c r="E2628" s="24">
        <v>62</v>
      </c>
    </row>
    <row r="2629" spans="2:5" x14ac:dyDescent="0.3">
      <c r="B2629" s="18" t="s">
        <v>5552</v>
      </c>
      <c r="C2629" s="13">
        <v>48</v>
      </c>
      <c r="D2629" s="21" t="s">
        <v>5553</v>
      </c>
      <c r="E2629" s="24">
        <v>63</v>
      </c>
    </row>
    <row r="2630" spans="2:5" x14ac:dyDescent="0.3">
      <c r="B2630" s="18" t="s">
        <v>5554</v>
      </c>
      <c r="C2630" s="13">
        <v>47</v>
      </c>
      <c r="D2630" s="21" t="s">
        <v>5555</v>
      </c>
      <c r="E2630" s="24">
        <v>64</v>
      </c>
    </row>
    <row r="2631" spans="2:5" x14ac:dyDescent="0.3">
      <c r="B2631" s="18" t="s">
        <v>5556</v>
      </c>
      <c r="C2631" s="13">
        <v>46</v>
      </c>
      <c r="D2631" s="21" t="s">
        <v>5557</v>
      </c>
      <c r="E2631" s="24">
        <v>45</v>
      </c>
    </row>
    <row r="2632" spans="2:5" x14ac:dyDescent="0.3">
      <c r="B2632" s="18" t="s">
        <v>5558</v>
      </c>
      <c r="C2632" s="13">
        <v>45</v>
      </c>
      <c r="D2632" s="21" t="s">
        <v>5559</v>
      </c>
      <c r="E2632" s="24">
        <v>46</v>
      </c>
    </row>
    <row r="2633" spans="2:5" x14ac:dyDescent="0.3">
      <c r="B2633" s="18" t="s">
        <v>5560</v>
      </c>
      <c r="C2633" s="13">
        <v>44</v>
      </c>
      <c r="D2633" s="21" t="s">
        <v>5561</v>
      </c>
      <c r="E2633" s="24">
        <v>47</v>
      </c>
    </row>
    <row r="2634" spans="2:5" x14ac:dyDescent="0.3">
      <c r="B2634" s="18" t="s">
        <v>5562</v>
      </c>
      <c r="C2634" s="13">
        <v>61</v>
      </c>
      <c r="D2634" s="21" t="s">
        <v>5563</v>
      </c>
      <c r="E2634" s="24">
        <v>48</v>
      </c>
    </row>
    <row r="2635" spans="2:5" x14ac:dyDescent="0.3">
      <c r="B2635" s="18" t="s">
        <v>5564</v>
      </c>
      <c r="C2635" s="13">
        <v>43</v>
      </c>
      <c r="D2635" s="21" t="s">
        <v>5565</v>
      </c>
      <c r="E2635" s="24">
        <v>49</v>
      </c>
    </row>
    <row r="2636" spans="2:5" x14ac:dyDescent="0.3">
      <c r="B2636" s="18" t="s">
        <v>5566</v>
      </c>
      <c r="C2636" s="13">
        <v>42</v>
      </c>
      <c r="D2636" s="21" t="s">
        <v>5567</v>
      </c>
      <c r="E2636" s="24">
        <v>50</v>
      </c>
    </row>
    <row r="2637" spans="2:5" x14ac:dyDescent="0.3">
      <c r="B2637" s="18" t="s">
        <v>5568</v>
      </c>
      <c r="C2637" s="13">
        <v>41</v>
      </c>
      <c r="D2637" s="21" t="s">
        <v>5569</v>
      </c>
      <c r="E2637" s="24">
        <v>51</v>
      </c>
    </row>
    <row r="2638" spans="2:5" x14ac:dyDescent="0.3">
      <c r="B2638" s="18" t="s">
        <v>5570</v>
      </c>
      <c r="C2638" s="13">
        <v>40</v>
      </c>
      <c r="D2638" s="21" t="s">
        <v>5571</v>
      </c>
      <c r="E2638" s="24">
        <v>52</v>
      </c>
    </row>
    <row r="2639" spans="2:5" x14ac:dyDescent="0.3">
      <c r="B2639" s="18" t="s">
        <v>5572</v>
      </c>
      <c r="C2639" s="13">
        <v>39</v>
      </c>
      <c r="D2639" s="21" t="s">
        <v>5573</v>
      </c>
      <c r="E2639" s="24">
        <v>53</v>
      </c>
    </row>
    <row r="2640" spans="2:5" x14ac:dyDescent="0.3">
      <c r="B2640" s="18" t="s">
        <v>5574</v>
      </c>
      <c r="C2640" s="13">
        <v>38</v>
      </c>
      <c r="D2640" s="21" t="s">
        <v>5575</v>
      </c>
      <c r="E2640" s="24">
        <v>54</v>
      </c>
    </row>
    <row r="2641" spans="2:5" x14ac:dyDescent="0.3">
      <c r="B2641" s="18" t="s">
        <v>5576</v>
      </c>
      <c r="C2641" s="13">
        <v>37</v>
      </c>
      <c r="D2641" s="21" t="s">
        <v>5577</v>
      </c>
      <c r="E2641" s="24">
        <v>55</v>
      </c>
    </row>
    <row r="2642" spans="2:5" x14ac:dyDescent="0.3">
      <c r="B2642" s="18" t="s">
        <v>5578</v>
      </c>
      <c r="C2642" s="13">
        <v>36</v>
      </c>
      <c r="D2642" s="21" t="s">
        <v>5579</v>
      </c>
      <c r="E2642" s="24">
        <v>56</v>
      </c>
    </row>
    <row r="2643" spans="2:5" x14ac:dyDescent="0.3">
      <c r="B2643" s="18" t="s">
        <v>5580</v>
      </c>
      <c r="C2643" s="13">
        <v>35</v>
      </c>
      <c r="D2643" s="21" t="s">
        <v>5581</v>
      </c>
      <c r="E2643" s="24">
        <v>57</v>
      </c>
    </row>
    <row r="2644" spans="2:5" x14ac:dyDescent="0.3">
      <c r="B2644" s="18" t="s">
        <v>5582</v>
      </c>
      <c r="C2644" s="13">
        <v>34</v>
      </c>
      <c r="D2644" s="21" t="s">
        <v>5583</v>
      </c>
      <c r="E2644" s="24">
        <v>31</v>
      </c>
    </row>
    <row r="2645" spans="2:5" x14ac:dyDescent="0.3">
      <c r="B2645" s="18" t="s">
        <v>5584</v>
      </c>
      <c r="C2645" s="13">
        <v>60</v>
      </c>
      <c r="D2645" s="21" t="s">
        <v>5585</v>
      </c>
      <c r="E2645" s="24">
        <v>30</v>
      </c>
    </row>
    <row r="2646" spans="2:5" x14ac:dyDescent="0.3">
      <c r="B2646" s="18" t="s">
        <v>5586</v>
      </c>
      <c r="C2646" s="13">
        <v>33</v>
      </c>
      <c r="D2646" s="21" t="s">
        <v>5587</v>
      </c>
      <c r="E2646" s="24">
        <v>29</v>
      </c>
    </row>
    <row r="2647" spans="2:5" x14ac:dyDescent="0.3">
      <c r="B2647" s="18" t="s">
        <v>5588</v>
      </c>
      <c r="C2647" s="13">
        <v>32</v>
      </c>
      <c r="D2647" s="21" t="s">
        <v>5589</v>
      </c>
      <c r="E2647" s="24">
        <v>28</v>
      </c>
    </row>
    <row r="2648" spans="2:5" x14ac:dyDescent="0.3">
      <c r="B2648" s="18" t="s">
        <v>5590</v>
      </c>
      <c r="C2648" s="13">
        <v>59</v>
      </c>
      <c r="D2648" s="21" t="s">
        <v>5591</v>
      </c>
      <c r="E2648" s="24">
        <v>27</v>
      </c>
    </row>
    <row r="2649" spans="2:5" x14ac:dyDescent="0.3">
      <c r="B2649" s="18" t="s">
        <v>5592</v>
      </c>
      <c r="C2649" s="13">
        <v>58</v>
      </c>
      <c r="D2649" s="21" t="s">
        <v>5593</v>
      </c>
      <c r="E2649" s="24">
        <v>26</v>
      </c>
    </row>
    <row r="2650" spans="2:5" x14ac:dyDescent="0.3">
      <c r="B2650" s="18" t="s">
        <v>5594</v>
      </c>
      <c r="C2650" s="13">
        <v>57</v>
      </c>
      <c r="D2650" s="21" t="s">
        <v>5595</v>
      </c>
      <c r="E2650" s="24">
        <v>25</v>
      </c>
    </row>
    <row r="2651" spans="2:5" x14ac:dyDescent="0.3">
      <c r="B2651" s="18" t="s">
        <v>5596</v>
      </c>
      <c r="C2651" s="13">
        <v>56</v>
      </c>
      <c r="D2651" s="21" t="s">
        <v>5597</v>
      </c>
      <c r="E2651" s="24">
        <v>44</v>
      </c>
    </row>
    <row r="2652" spans="2:5" x14ac:dyDescent="0.3">
      <c r="B2652" s="18" t="s">
        <v>5598</v>
      </c>
      <c r="C2652" s="13">
        <v>55</v>
      </c>
      <c r="D2652" s="21" t="s">
        <v>5599</v>
      </c>
      <c r="E2652" s="24">
        <v>43</v>
      </c>
    </row>
    <row r="2653" spans="2:5" x14ac:dyDescent="0.3">
      <c r="B2653" s="18" t="s">
        <v>5600</v>
      </c>
      <c r="C2653" s="13">
        <v>54</v>
      </c>
      <c r="D2653" s="21" t="s">
        <v>5601</v>
      </c>
      <c r="E2653" s="24">
        <v>42</v>
      </c>
    </row>
    <row r="2654" spans="2:5" x14ac:dyDescent="0.3">
      <c r="B2654" s="18" t="s">
        <v>5602</v>
      </c>
      <c r="C2654" s="13">
        <v>63</v>
      </c>
      <c r="D2654" s="21" t="s">
        <v>5603</v>
      </c>
      <c r="E2654" s="24">
        <v>24</v>
      </c>
    </row>
    <row r="2655" spans="2:5" x14ac:dyDescent="0.3">
      <c r="B2655" s="18" t="s">
        <v>5604</v>
      </c>
      <c r="C2655" s="13">
        <v>72</v>
      </c>
      <c r="D2655" s="21" t="s">
        <v>5605</v>
      </c>
      <c r="E2655" s="24">
        <v>41</v>
      </c>
    </row>
    <row r="2656" spans="2:5" x14ac:dyDescent="0.3">
      <c r="B2656" s="18" t="s">
        <v>5606</v>
      </c>
      <c r="C2656" s="13">
        <v>73</v>
      </c>
      <c r="D2656" s="21" t="s">
        <v>5607</v>
      </c>
      <c r="E2656" s="24">
        <v>40</v>
      </c>
    </row>
    <row r="2657" spans="2:5" x14ac:dyDescent="0.3">
      <c r="B2657" s="18" t="s">
        <v>5608</v>
      </c>
      <c r="C2657" s="13">
        <v>74</v>
      </c>
      <c r="D2657" s="21" t="s">
        <v>5609</v>
      </c>
      <c r="E2657" s="24">
        <v>39</v>
      </c>
    </row>
    <row r="2658" spans="2:5" x14ac:dyDescent="0.3">
      <c r="B2658" s="18" t="s">
        <v>5610</v>
      </c>
      <c r="C2658" s="13">
        <v>75</v>
      </c>
      <c r="D2658" s="21" t="s">
        <v>5611</v>
      </c>
      <c r="E2658" s="24">
        <v>38</v>
      </c>
    </row>
    <row r="2659" spans="2:5" x14ac:dyDescent="0.3">
      <c r="B2659" s="18" t="s">
        <v>5612</v>
      </c>
      <c r="C2659" s="13">
        <v>76</v>
      </c>
      <c r="D2659" s="21" t="s">
        <v>5613</v>
      </c>
      <c r="E2659" s="24">
        <v>37</v>
      </c>
    </row>
    <row r="2660" spans="2:5" x14ac:dyDescent="0.3">
      <c r="B2660" s="18" t="s">
        <v>5614</v>
      </c>
      <c r="C2660" s="13">
        <v>77</v>
      </c>
      <c r="D2660" s="21" t="s">
        <v>5615</v>
      </c>
      <c r="E2660" s="24">
        <v>36</v>
      </c>
    </row>
    <row r="2661" spans="2:5" x14ac:dyDescent="0.3">
      <c r="B2661" s="18" t="s">
        <v>5616</v>
      </c>
      <c r="C2661" s="13">
        <v>78</v>
      </c>
      <c r="D2661" s="21" t="s">
        <v>5617</v>
      </c>
      <c r="E2661" s="24">
        <v>35</v>
      </c>
    </row>
    <row r="2662" spans="2:5" x14ac:dyDescent="0.3">
      <c r="B2662" s="18" t="s">
        <v>5618</v>
      </c>
      <c r="C2662" s="13">
        <v>79</v>
      </c>
      <c r="D2662" s="21" t="s">
        <v>5619</v>
      </c>
      <c r="E2662" s="24">
        <v>34</v>
      </c>
    </row>
    <row r="2663" spans="2:5" x14ac:dyDescent="0.3">
      <c r="B2663" s="18" t="s">
        <v>5620</v>
      </c>
      <c r="C2663" s="13">
        <v>80</v>
      </c>
      <c r="D2663" s="21" t="s">
        <v>5621</v>
      </c>
      <c r="E2663" s="24">
        <v>33</v>
      </c>
    </row>
    <row r="2664" spans="2:5" x14ac:dyDescent="0.3">
      <c r="B2664" s="18" t="s">
        <v>5622</v>
      </c>
      <c r="C2664" s="13">
        <v>81</v>
      </c>
      <c r="D2664" s="21" t="s">
        <v>5623</v>
      </c>
      <c r="E2664" s="24">
        <v>32</v>
      </c>
    </row>
    <row r="2665" spans="2:5" x14ac:dyDescent="0.3">
      <c r="B2665" s="18" t="s">
        <v>5624</v>
      </c>
      <c r="C2665" s="13">
        <v>64</v>
      </c>
      <c r="D2665" s="21" t="s">
        <v>5625</v>
      </c>
      <c r="E2665" s="24">
        <v>23</v>
      </c>
    </row>
    <row r="2666" spans="2:5" x14ac:dyDescent="0.3">
      <c r="B2666" s="18" t="s">
        <v>5626</v>
      </c>
      <c r="C2666" s="13">
        <v>82</v>
      </c>
      <c r="D2666" s="21" t="s">
        <v>5627</v>
      </c>
      <c r="E2666" s="24">
        <v>9</v>
      </c>
    </row>
    <row r="2667" spans="2:5" x14ac:dyDescent="0.3">
      <c r="B2667" s="18" t="s">
        <v>5628</v>
      </c>
      <c r="C2667" s="13">
        <v>83</v>
      </c>
      <c r="D2667" s="21" t="s">
        <v>5629</v>
      </c>
      <c r="E2667" s="24">
        <v>8</v>
      </c>
    </row>
    <row r="2668" spans="2:5" x14ac:dyDescent="0.3">
      <c r="B2668" s="18" t="s">
        <v>5630</v>
      </c>
      <c r="C2668" s="13">
        <v>84</v>
      </c>
      <c r="D2668" s="21" t="s">
        <v>5631</v>
      </c>
      <c r="E2668" s="24">
        <v>7</v>
      </c>
    </row>
    <row r="2669" spans="2:5" x14ac:dyDescent="0.3">
      <c r="B2669" s="18" t="s">
        <v>5632</v>
      </c>
      <c r="C2669" s="13">
        <v>85</v>
      </c>
      <c r="D2669" s="21" t="s">
        <v>5633</v>
      </c>
      <c r="E2669" s="24">
        <v>6</v>
      </c>
    </row>
    <row r="2670" spans="2:5" x14ac:dyDescent="0.3">
      <c r="B2670" s="18" t="s">
        <v>5634</v>
      </c>
      <c r="C2670" s="13">
        <v>86</v>
      </c>
      <c r="D2670" s="21" t="s">
        <v>5635</v>
      </c>
      <c r="E2670" s="24">
        <v>5</v>
      </c>
    </row>
    <row r="2671" spans="2:5" x14ac:dyDescent="0.3">
      <c r="B2671" s="18" t="s">
        <v>5636</v>
      </c>
      <c r="C2671" s="13">
        <v>87</v>
      </c>
      <c r="D2671" s="21" t="s">
        <v>5637</v>
      </c>
      <c r="E2671" s="24">
        <v>4</v>
      </c>
    </row>
    <row r="2672" spans="2:5" x14ac:dyDescent="0.3">
      <c r="B2672" s="18" t="s">
        <v>5638</v>
      </c>
      <c r="C2672" s="13">
        <v>88</v>
      </c>
      <c r="D2672" s="21" t="s">
        <v>5639</v>
      </c>
      <c r="E2672" s="24">
        <v>3</v>
      </c>
    </row>
    <row r="2673" spans="2:5" x14ac:dyDescent="0.3">
      <c r="B2673" s="18" t="s">
        <v>5640</v>
      </c>
      <c r="C2673" s="13">
        <v>89</v>
      </c>
      <c r="D2673" s="21" t="s">
        <v>5641</v>
      </c>
      <c r="E2673" s="24">
        <v>22</v>
      </c>
    </row>
    <row r="2674" spans="2:5" x14ac:dyDescent="0.3">
      <c r="B2674" s="18" t="s">
        <v>5642</v>
      </c>
      <c r="C2674" s="13">
        <v>90</v>
      </c>
      <c r="D2674" s="21" t="s">
        <v>5643</v>
      </c>
      <c r="E2674" s="24">
        <v>21</v>
      </c>
    </row>
    <row r="2675" spans="2:5" x14ac:dyDescent="0.3">
      <c r="B2675" s="18" t="s">
        <v>5644</v>
      </c>
      <c r="C2675" s="13">
        <v>91</v>
      </c>
      <c r="D2675" s="21" t="s">
        <v>5645</v>
      </c>
      <c r="E2675" s="24">
        <v>20</v>
      </c>
    </row>
    <row r="2676" spans="2:5" x14ac:dyDescent="0.3">
      <c r="B2676" s="18" t="s">
        <v>5646</v>
      </c>
      <c r="C2676" s="13">
        <v>65</v>
      </c>
      <c r="D2676" s="21" t="s">
        <v>5647</v>
      </c>
      <c r="E2676" s="24">
        <v>2</v>
      </c>
    </row>
    <row r="2677" spans="2:5" x14ac:dyDescent="0.3">
      <c r="B2677" s="18" t="s">
        <v>5648</v>
      </c>
      <c r="C2677" s="13">
        <v>92</v>
      </c>
      <c r="D2677" s="21" t="s">
        <v>5649</v>
      </c>
      <c r="E2677" s="24">
        <v>19</v>
      </c>
    </row>
    <row r="2678" spans="2:5" x14ac:dyDescent="0.3">
      <c r="B2678" s="18" t="s">
        <v>5650</v>
      </c>
      <c r="C2678" s="13">
        <v>93</v>
      </c>
      <c r="D2678" s="21" t="s">
        <v>5651</v>
      </c>
      <c r="E2678" s="24">
        <v>18</v>
      </c>
    </row>
    <row r="2679" spans="2:5" x14ac:dyDescent="0.3">
      <c r="B2679" s="18" t="s">
        <v>5652</v>
      </c>
      <c r="C2679" s="13">
        <v>66</v>
      </c>
      <c r="D2679" s="21" t="s">
        <v>5653</v>
      </c>
      <c r="E2679" s="24">
        <v>17</v>
      </c>
    </row>
    <row r="2680" spans="2:5" x14ac:dyDescent="0.3">
      <c r="B2680" s="18" t="s">
        <v>5654</v>
      </c>
      <c r="C2680" s="13">
        <v>67</v>
      </c>
      <c r="D2680" s="21" t="s">
        <v>5655</v>
      </c>
      <c r="E2680" s="24">
        <v>16</v>
      </c>
    </row>
    <row r="2681" spans="2:5" x14ac:dyDescent="0.3">
      <c r="B2681" s="18" t="s">
        <v>5656</v>
      </c>
      <c r="C2681" s="13">
        <v>68</v>
      </c>
      <c r="D2681" s="21" t="s">
        <v>5657</v>
      </c>
      <c r="E2681" s="24">
        <v>15</v>
      </c>
    </row>
    <row r="2682" spans="2:5" x14ac:dyDescent="0.3">
      <c r="B2682" s="18" t="s">
        <v>5658</v>
      </c>
      <c r="C2682" s="13">
        <v>69</v>
      </c>
      <c r="D2682" s="21" t="s">
        <v>5659</v>
      </c>
      <c r="E2682" s="24">
        <v>14</v>
      </c>
    </row>
    <row r="2683" spans="2:5" x14ac:dyDescent="0.3">
      <c r="B2683" s="18" t="s">
        <v>5660</v>
      </c>
      <c r="C2683" s="13">
        <v>70</v>
      </c>
      <c r="D2683" s="21" t="s">
        <v>5661</v>
      </c>
      <c r="E2683" s="24">
        <v>13</v>
      </c>
    </row>
    <row r="2684" spans="2:5" x14ac:dyDescent="0.3">
      <c r="B2684" s="18" t="s">
        <v>5662</v>
      </c>
      <c r="C2684" s="13">
        <v>71</v>
      </c>
      <c r="D2684" s="21" t="s">
        <v>5663</v>
      </c>
      <c r="E2684" s="24">
        <v>12</v>
      </c>
    </row>
    <row r="2685" spans="2:5" x14ac:dyDescent="0.3">
      <c r="B2685" s="18" t="s">
        <v>5664</v>
      </c>
      <c r="C2685" s="13">
        <v>115</v>
      </c>
      <c r="D2685" s="21" t="s">
        <v>5665</v>
      </c>
      <c r="E2685" s="24">
        <v>11</v>
      </c>
    </row>
    <row r="2686" spans="2:5" x14ac:dyDescent="0.3">
      <c r="B2686" s="18" t="s">
        <v>5666</v>
      </c>
      <c r="C2686" s="13">
        <v>114</v>
      </c>
      <c r="D2686" s="21" t="s">
        <v>5667</v>
      </c>
      <c r="E2686" s="24">
        <v>10</v>
      </c>
    </row>
    <row r="2687" spans="2:5" x14ac:dyDescent="0.3">
      <c r="B2687" s="18" t="s">
        <v>5668</v>
      </c>
      <c r="C2687" s="13">
        <v>113</v>
      </c>
      <c r="D2687" s="21" t="s">
        <v>5669</v>
      </c>
      <c r="E2687" s="24">
        <v>1</v>
      </c>
    </row>
    <row r="2688" spans="2:5" x14ac:dyDescent="0.3">
      <c r="B2688" s="18" t="s">
        <v>5670</v>
      </c>
      <c r="C2688" s="13">
        <v>112</v>
      </c>
      <c r="D2688" s="21" t="s">
        <v>5671</v>
      </c>
      <c r="E2688" s="24">
        <v>55</v>
      </c>
    </row>
    <row r="2689" spans="2:5" x14ac:dyDescent="0.3">
      <c r="B2689" s="18" t="s">
        <v>5672</v>
      </c>
      <c r="C2689" s="13">
        <v>111</v>
      </c>
      <c r="D2689" s="21" t="s">
        <v>5673</v>
      </c>
      <c r="E2689" s="24">
        <v>56</v>
      </c>
    </row>
    <row r="2690" spans="2:5" x14ac:dyDescent="0.3">
      <c r="B2690" s="18" t="s">
        <v>5674</v>
      </c>
      <c r="C2690" s="13">
        <v>110</v>
      </c>
      <c r="D2690" s="21" t="s">
        <v>5675</v>
      </c>
      <c r="E2690" s="24">
        <v>57</v>
      </c>
    </row>
    <row r="2691" spans="2:5" x14ac:dyDescent="0.3">
      <c r="B2691" s="18" t="s">
        <v>5676</v>
      </c>
      <c r="C2691" s="13">
        <v>109</v>
      </c>
      <c r="D2691" s="21" t="s">
        <v>5677</v>
      </c>
      <c r="E2691" s="24">
        <v>58</v>
      </c>
    </row>
    <row r="2692" spans="2:5" x14ac:dyDescent="0.3">
      <c r="B2692" s="18" t="s">
        <v>5678</v>
      </c>
      <c r="C2692" s="13">
        <v>108</v>
      </c>
      <c r="D2692" s="21" t="s">
        <v>5679</v>
      </c>
      <c r="E2692" s="24">
        <v>59</v>
      </c>
    </row>
    <row r="2693" spans="2:5" x14ac:dyDescent="0.3">
      <c r="B2693" s="18" t="s">
        <v>5680</v>
      </c>
      <c r="C2693" s="13">
        <v>107</v>
      </c>
      <c r="D2693" s="21" t="s">
        <v>5681</v>
      </c>
      <c r="E2693" s="24">
        <v>60</v>
      </c>
    </row>
    <row r="2694" spans="2:5" x14ac:dyDescent="0.3">
      <c r="B2694" s="18" t="s">
        <v>5682</v>
      </c>
      <c r="C2694" s="13">
        <v>106</v>
      </c>
      <c r="D2694" s="21" t="s">
        <v>5683</v>
      </c>
      <c r="E2694" s="24">
        <v>61</v>
      </c>
    </row>
    <row r="2695" spans="2:5" x14ac:dyDescent="0.3">
      <c r="B2695" s="18" t="s">
        <v>5684</v>
      </c>
      <c r="C2695" s="13">
        <v>123</v>
      </c>
      <c r="D2695" s="21" t="s">
        <v>5685</v>
      </c>
      <c r="E2695" s="24">
        <v>43</v>
      </c>
    </row>
    <row r="2696" spans="2:5" x14ac:dyDescent="0.3">
      <c r="B2696" s="18" t="s">
        <v>5686</v>
      </c>
      <c r="C2696" s="13">
        <v>105</v>
      </c>
      <c r="D2696" s="21" t="s">
        <v>5687</v>
      </c>
      <c r="E2696" s="24">
        <v>44</v>
      </c>
    </row>
    <row r="2697" spans="2:5" x14ac:dyDescent="0.3">
      <c r="B2697" s="18" t="s">
        <v>5688</v>
      </c>
      <c r="C2697" s="13">
        <v>104</v>
      </c>
      <c r="D2697" s="21" t="s">
        <v>5689</v>
      </c>
      <c r="E2697" s="24">
        <v>62</v>
      </c>
    </row>
    <row r="2698" spans="2:5" x14ac:dyDescent="0.3">
      <c r="B2698" s="18" t="s">
        <v>5690</v>
      </c>
      <c r="C2698" s="13">
        <v>103</v>
      </c>
      <c r="D2698" s="21" t="s">
        <v>5691</v>
      </c>
      <c r="E2698" s="24">
        <v>45</v>
      </c>
    </row>
    <row r="2699" spans="2:5" x14ac:dyDescent="0.3">
      <c r="B2699" s="18" t="s">
        <v>5692</v>
      </c>
      <c r="C2699" s="13">
        <v>102</v>
      </c>
      <c r="D2699" s="21" t="s">
        <v>5693</v>
      </c>
      <c r="E2699" s="24">
        <v>46</v>
      </c>
    </row>
    <row r="2700" spans="2:5" x14ac:dyDescent="0.3">
      <c r="B2700" s="18" t="s">
        <v>5694</v>
      </c>
      <c r="C2700" s="13">
        <v>101</v>
      </c>
      <c r="D2700" s="21" t="s">
        <v>5695</v>
      </c>
      <c r="E2700" s="24">
        <v>47</v>
      </c>
    </row>
    <row r="2701" spans="2:5" x14ac:dyDescent="0.3">
      <c r="B2701" s="18" t="s">
        <v>5696</v>
      </c>
      <c r="C2701" s="13">
        <v>100</v>
      </c>
      <c r="D2701" s="21" t="s">
        <v>5697</v>
      </c>
      <c r="E2701" s="24">
        <v>48</v>
      </c>
    </row>
    <row r="2702" spans="2:5" x14ac:dyDescent="0.3">
      <c r="B2702" s="18" t="s">
        <v>5698</v>
      </c>
      <c r="C2702" s="13">
        <v>99</v>
      </c>
      <c r="D2702" s="21" t="s">
        <v>5699</v>
      </c>
      <c r="E2702" s="24">
        <v>49</v>
      </c>
    </row>
    <row r="2703" spans="2:5" x14ac:dyDescent="0.3">
      <c r="B2703" s="18" t="s">
        <v>5700</v>
      </c>
      <c r="C2703" s="13">
        <v>98</v>
      </c>
      <c r="D2703" s="21" t="s">
        <v>5701</v>
      </c>
      <c r="E2703" s="24">
        <v>50</v>
      </c>
    </row>
    <row r="2704" spans="2:5" x14ac:dyDescent="0.3">
      <c r="B2704" s="18" t="s">
        <v>5702</v>
      </c>
      <c r="C2704" s="13">
        <v>97</v>
      </c>
      <c r="D2704" s="21" t="s">
        <v>5703</v>
      </c>
      <c r="E2704" s="24">
        <v>51</v>
      </c>
    </row>
    <row r="2705" spans="2:5" x14ac:dyDescent="0.3">
      <c r="B2705" s="18" t="s">
        <v>5704</v>
      </c>
      <c r="C2705" s="13">
        <v>96</v>
      </c>
      <c r="D2705" s="21" t="s">
        <v>5705</v>
      </c>
      <c r="E2705" s="24">
        <v>52</v>
      </c>
    </row>
    <row r="2706" spans="2:5" x14ac:dyDescent="0.3">
      <c r="B2706" s="18" t="s">
        <v>5706</v>
      </c>
      <c r="C2706" s="13">
        <v>122</v>
      </c>
      <c r="D2706" s="21" t="s">
        <v>5707</v>
      </c>
      <c r="E2706" s="24">
        <v>53</v>
      </c>
    </row>
    <row r="2707" spans="2:5" x14ac:dyDescent="0.3">
      <c r="B2707" s="18" t="s">
        <v>5708</v>
      </c>
      <c r="C2707" s="13">
        <v>95</v>
      </c>
      <c r="D2707" s="21" t="s">
        <v>5709</v>
      </c>
      <c r="E2707" s="24">
        <v>54</v>
      </c>
    </row>
    <row r="2708" spans="2:5" x14ac:dyDescent="0.3">
      <c r="B2708" s="18" t="s">
        <v>5710</v>
      </c>
      <c r="C2708" s="13">
        <v>94</v>
      </c>
      <c r="D2708" s="21" t="s">
        <v>5711</v>
      </c>
      <c r="E2708" s="24">
        <v>63</v>
      </c>
    </row>
    <row r="2709" spans="2:5" x14ac:dyDescent="0.3">
      <c r="B2709" s="18" t="s">
        <v>5712</v>
      </c>
      <c r="C2709" s="13">
        <v>121</v>
      </c>
      <c r="D2709" s="21" t="s">
        <v>5713</v>
      </c>
      <c r="E2709" s="24">
        <v>30</v>
      </c>
    </row>
    <row r="2710" spans="2:5" x14ac:dyDescent="0.3">
      <c r="B2710" s="18" t="s">
        <v>5714</v>
      </c>
      <c r="C2710" s="13">
        <v>120</v>
      </c>
      <c r="D2710" s="21" t="s">
        <v>5715</v>
      </c>
      <c r="E2710" s="24">
        <v>29</v>
      </c>
    </row>
    <row r="2711" spans="2:5" x14ac:dyDescent="0.3">
      <c r="B2711" s="18" t="s">
        <v>5716</v>
      </c>
      <c r="C2711" s="13">
        <v>119</v>
      </c>
      <c r="D2711" s="21" t="s">
        <v>5717</v>
      </c>
      <c r="E2711" s="24">
        <v>28</v>
      </c>
    </row>
    <row r="2712" spans="2:5" x14ac:dyDescent="0.3">
      <c r="B2712" s="18" t="s">
        <v>5718</v>
      </c>
      <c r="C2712" s="13">
        <v>118</v>
      </c>
      <c r="D2712" s="21" t="s">
        <v>5719</v>
      </c>
      <c r="E2712" s="24">
        <v>27</v>
      </c>
    </row>
    <row r="2713" spans="2:5" x14ac:dyDescent="0.3">
      <c r="B2713" s="18" t="s">
        <v>5720</v>
      </c>
      <c r="C2713" s="13">
        <v>117</v>
      </c>
      <c r="D2713" s="21" t="s">
        <v>5721</v>
      </c>
      <c r="E2713" s="24">
        <v>26</v>
      </c>
    </row>
    <row r="2714" spans="2:5" x14ac:dyDescent="0.3">
      <c r="B2714" s="18" t="s">
        <v>5722</v>
      </c>
      <c r="C2714" s="13">
        <v>116</v>
      </c>
      <c r="D2714" s="21" t="s">
        <v>5723</v>
      </c>
      <c r="E2714" s="24">
        <v>25</v>
      </c>
    </row>
    <row r="2715" spans="2:5" x14ac:dyDescent="0.3">
      <c r="B2715" s="18" t="s">
        <v>5724</v>
      </c>
      <c r="C2715" s="13">
        <v>1</v>
      </c>
      <c r="D2715" s="21" t="s">
        <v>5725</v>
      </c>
      <c r="E2715" s="24">
        <v>24</v>
      </c>
    </row>
    <row r="2716" spans="2:5" x14ac:dyDescent="0.3">
      <c r="B2716" s="18" t="s">
        <v>5726</v>
      </c>
      <c r="C2716" s="13">
        <v>10</v>
      </c>
      <c r="D2716" s="21" t="s">
        <v>5727</v>
      </c>
      <c r="E2716" s="24">
        <v>42</v>
      </c>
    </row>
    <row r="2717" spans="2:5" x14ac:dyDescent="0.3">
      <c r="B2717" s="18" t="s">
        <v>5728</v>
      </c>
      <c r="C2717" s="13">
        <v>11</v>
      </c>
      <c r="D2717" s="21" t="s">
        <v>5729</v>
      </c>
      <c r="E2717" s="24">
        <v>41</v>
      </c>
    </row>
    <row r="2718" spans="2:5" x14ac:dyDescent="0.3">
      <c r="B2718" s="18" t="s">
        <v>5730</v>
      </c>
      <c r="C2718" s="13">
        <v>12</v>
      </c>
      <c r="D2718" s="21" t="s">
        <v>5731</v>
      </c>
      <c r="E2718" s="24">
        <v>23</v>
      </c>
    </row>
    <row r="2719" spans="2:5" x14ac:dyDescent="0.3">
      <c r="B2719" s="18" t="s">
        <v>5732</v>
      </c>
      <c r="C2719" s="13">
        <v>13</v>
      </c>
      <c r="D2719" s="21" t="s">
        <v>5733</v>
      </c>
      <c r="E2719" s="24">
        <v>40</v>
      </c>
    </row>
    <row r="2720" spans="2:5" x14ac:dyDescent="0.3">
      <c r="B2720" s="18" t="s">
        <v>5734</v>
      </c>
      <c r="C2720" s="13">
        <v>14</v>
      </c>
      <c r="D2720" s="21" t="s">
        <v>5735</v>
      </c>
      <c r="E2720" s="24">
        <v>39</v>
      </c>
    </row>
    <row r="2721" spans="2:5" x14ac:dyDescent="0.3">
      <c r="B2721" s="18" t="s">
        <v>5736</v>
      </c>
      <c r="C2721" s="13">
        <v>15</v>
      </c>
      <c r="D2721" s="21" t="s">
        <v>5737</v>
      </c>
      <c r="E2721" s="24">
        <v>38</v>
      </c>
    </row>
    <row r="2722" spans="2:5" x14ac:dyDescent="0.3">
      <c r="B2722" s="18" t="s">
        <v>5738</v>
      </c>
      <c r="C2722" s="13">
        <v>16</v>
      </c>
      <c r="D2722" s="21" t="s">
        <v>5739</v>
      </c>
      <c r="E2722" s="24">
        <v>37</v>
      </c>
    </row>
    <row r="2723" spans="2:5" x14ac:dyDescent="0.3">
      <c r="B2723" s="18" t="s">
        <v>5740</v>
      </c>
      <c r="C2723" s="13">
        <v>17</v>
      </c>
      <c r="D2723" s="21" t="s">
        <v>5741</v>
      </c>
      <c r="E2723" s="24">
        <v>36</v>
      </c>
    </row>
    <row r="2724" spans="2:5" x14ac:dyDescent="0.3">
      <c r="B2724" s="18" t="s">
        <v>5742</v>
      </c>
      <c r="C2724" s="13">
        <v>18</v>
      </c>
      <c r="D2724" s="21" t="s">
        <v>5743</v>
      </c>
      <c r="E2724" s="24">
        <v>35</v>
      </c>
    </row>
    <row r="2725" spans="2:5" x14ac:dyDescent="0.3">
      <c r="B2725" s="18" t="s">
        <v>5744</v>
      </c>
      <c r="C2725" s="13">
        <v>19</v>
      </c>
      <c r="D2725" s="21" t="s">
        <v>5745</v>
      </c>
      <c r="E2725" s="24">
        <v>34</v>
      </c>
    </row>
    <row r="2726" spans="2:5" x14ac:dyDescent="0.3">
      <c r="B2726" s="18" t="s">
        <v>5746</v>
      </c>
      <c r="C2726" s="13">
        <v>2</v>
      </c>
      <c r="D2726" s="21" t="s">
        <v>5747</v>
      </c>
      <c r="E2726" s="24">
        <v>33</v>
      </c>
    </row>
    <row r="2727" spans="2:5" x14ac:dyDescent="0.3">
      <c r="B2727" s="18" t="s">
        <v>5748</v>
      </c>
      <c r="C2727" s="13">
        <v>20</v>
      </c>
      <c r="D2727" s="21" t="s">
        <v>5749</v>
      </c>
      <c r="E2727" s="24">
        <v>32</v>
      </c>
    </row>
    <row r="2728" spans="2:5" x14ac:dyDescent="0.3">
      <c r="B2728" s="18" t="s">
        <v>5750</v>
      </c>
      <c r="C2728" s="13">
        <v>21</v>
      </c>
      <c r="D2728" s="21" t="s">
        <v>5751</v>
      </c>
      <c r="E2728" s="24">
        <v>31</v>
      </c>
    </row>
    <row r="2729" spans="2:5" x14ac:dyDescent="0.3">
      <c r="B2729" s="18" t="s">
        <v>5752</v>
      </c>
      <c r="C2729" s="13">
        <v>22</v>
      </c>
      <c r="D2729" s="21" t="s">
        <v>5753</v>
      </c>
      <c r="E2729" s="24">
        <v>22</v>
      </c>
    </row>
    <row r="2730" spans="2:5" x14ac:dyDescent="0.3">
      <c r="B2730" s="18" t="s">
        <v>5754</v>
      </c>
      <c r="C2730" s="13">
        <v>23</v>
      </c>
      <c r="D2730" s="21" t="s">
        <v>5755</v>
      </c>
      <c r="E2730" s="24">
        <v>9</v>
      </c>
    </row>
    <row r="2731" spans="2:5" x14ac:dyDescent="0.3">
      <c r="B2731" s="18" t="s">
        <v>5756</v>
      </c>
      <c r="C2731" s="13">
        <v>24</v>
      </c>
      <c r="D2731" s="21" t="s">
        <v>5757</v>
      </c>
      <c r="E2731" s="24">
        <v>8</v>
      </c>
    </row>
    <row r="2732" spans="2:5" x14ac:dyDescent="0.3">
      <c r="B2732" s="18" t="s">
        <v>5758</v>
      </c>
      <c r="C2732" s="13">
        <v>25</v>
      </c>
      <c r="D2732" s="21" t="s">
        <v>5759</v>
      </c>
      <c r="E2732" s="24">
        <v>7</v>
      </c>
    </row>
    <row r="2733" spans="2:5" x14ac:dyDescent="0.3">
      <c r="B2733" s="18" t="s">
        <v>5760</v>
      </c>
      <c r="C2733" s="13">
        <v>26</v>
      </c>
      <c r="D2733" s="21" t="s">
        <v>5761</v>
      </c>
      <c r="E2733" s="24">
        <v>6</v>
      </c>
    </row>
    <row r="2734" spans="2:5" x14ac:dyDescent="0.3">
      <c r="B2734" s="18" t="s">
        <v>5762</v>
      </c>
      <c r="C2734" s="13">
        <v>27</v>
      </c>
      <c r="D2734" s="21" t="s">
        <v>5763</v>
      </c>
      <c r="E2734" s="24">
        <v>5</v>
      </c>
    </row>
    <row r="2735" spans="2:5" x14ac:dyDescent="0.3">
      <c r="B2735" s="18" t="s">
        <v>5764</v>
      </c>
      <c r="C2735" s="13">
        <v>28</v>
      </c>
      <c r="D2735" s="21" t="s">
        <v>5765</v>
      </c>
      <c r="E2735" s="24">
        <v>4</v>
      </c>
    </row>
    <row r="2736" spans="2:5" x14ac:dyDescent="0.3">
      <c r="B2736" s="18" t="s">
        <v>5766</v>
      </c>
      <c r="C2736" s="13">
        <v>29</v>
      </c>
      <c r="D2736" s="21" t="s">
        <v>5767</v>
      </c>
      <c r="E2736" s="24">
        <v>3</v>
      </c>
    </row>
    <row r="2737" spans="2:5" x14ac:dyDescent="0.3">
      <c r="B2737" s="18" t="s">
        <v>5768</v>
      </c>
      <c r="C2737" s="13">
        <v>3</v>
      </c>
      <c r="D2737" s="21" t="s">
        <v>5769</v>
      </c>
      <c r="E2737" s="24">
        <v>21</v>
      </c>
    </row>
    <row r="2738" spans="2:5" x14ac:dyDescent="0.3">
      <c r="B2738" s="18" t="s">
        <v>5770</v>
      </c>
      <c r="C2738" s="13">
        <v>30</v>
      </c>
      <c r="D2738" s="21" t="s">
        <v>5771</v>
      </c>
      <c r="E2738" s="24">
        <v>20</v>
      </c>
    </row>
    <row r="2739" spans="2:5" x14ac:dyDescent="0.3">
      <c r="B2739" s="18" t="s">
        <v>5772</v>
      </c>
      <c r="C2739" s="13">
        <v>31</v>
      </c>
      <c r="D2739" s="21" t="s">
        <v>5773</v>
      </c>
      <c r="E2739" s="24">
        <v>2</v>
      </c>
    </row>
    <row r="2740" spans="2:5" x14ac:dyDescent="0.3">
      <c r="B2740" s="18" t="s">
        <v>5774</v>
      </c>
      <c r="C2740" s="13">
        <v>4</v>
      </c>
      <c r="D2740" s="21" t="s">
        <v>5775</v>
      </c>
      <c r="E2740" s="24">
        <v>19</v>
      </c>
    </row>
    <row r="2741" spans="2:5" x14ac:dyDescent="0.3">
      <c r="B2741" s="18" t="s">
        <v>5776</v>
      </c>
      <c r="C2741" s="13">
        <v>5</v>
      </c>
      <c r="D2741" s="21" t="s">
        <v>5777</v>
      </c>
      <c r="E2741" s="24">
        <v>18</v>
      </c>
    </row>
    <row r="2742" spans="2:5" x14ac:dyDescent="0.3">
      <c r="B2742" s="18" t="s">
        <v>5778</v>
      </c>
      <c r="C2742" s="13">
        <v>6</v>
      </c>
      <c r="D2742" s="21" t="s">
        <v>5779</v>
      </c>
      <c r="E2742" s="24">
        <v>17</v>
      </c>
    </row>
    <row r="2743" spans="2:5" x14ac:dyDescent="0.3">
      <c r="B2743" s="18" t="s">
        <v>5780</v>
      </c>
      <c r="C2743" s="13">
        <v>7</v>
      </c>
      <c r="D2743" s="21" t="s">
        <v>5781</v>
      </c>
      <c r="E2743" s="24">
        <v>16</v>
      </c>
    </row>
    <row r="2744" spans="2:5" x14ac:dyDescent="0.3">
      <c r="B2744" s="18" t="s">
        <v>5782</v>
      </c>
      <c r="C2744" s="13">
        <v>8</v>
      </c>
      <c r="D2744" s="21" t="s">
        <v>5783</v>
      </c>
      <c r="E2744" s="24">
        <v>15</v>
      </c>
    </row>
    <row r="2745" spans="2:5" x14ac:dyDescent="0.3">
      <c r="B2745" s="18" t="s">
        <v>5784</v>
      </c>
      <c r="C2745" s="13">
        <v>9</v>
      </c>
      <c r="D2745" s="21" t="s">
        <v>5785</v>
      </c>
      <c r="E2745" s="24">
        <v>14</v>
      </c>
    </row>
    <row r="2746" spans="2:5" x14ac:dyDescent="0.3">
      <c r="B2746" s="18" t="s">
        <v>5786</v>
      </c>
      <c r="C2746" s="13">
        <v>62</v>
      </c>
      <c r="D2746" s="21" t="s">
        <v>5787</v>
      </c>
      <c r="E2746" s="24">
        <v>13</v>
      </c>
    </row>
    <row r="2747" spans="2:5" x14ac:dyDescent="0.3">
      <c r="B2747" s="18" t="s">
        <v>5788</v>
      </c>
      <c r="C2747" s="13">
        <v>53</v>
      </c>
      <c r="D2747" s="21" t="s">
        <v>5789</v>
      </c>
      <c r="E2747" s="24">
        <v>12</v>
      </c>
    </row>
    <row r="2748" spans="2:5" x14ac:dyDescent="0.3">
      <c r="B2748" s="18" t="s">
        <v>5790</v>
      </c>
      <c r="C2748" s="13">
        <v>52</v>
      </c>
      <c r="D2748" s="21" t="s">
        <v>5791</v>
      </c>
      <c r="E2748" s="24">
        <v>11</v>
      </c>
    </row>
    <row r="2749" spans="2:5" x14ac:dyDescent="0.3">
      <c r="B2749" s="18" t="s">
        <v>5792</v>
      </c>
      <c r="C2749" s="13">
        <v>51</v>
      </c>
      <c r="D2749" s="21" t="s">
        <v>5793</v>
      </c>
      <c r="E2749" s="24">
        <v>10</v>
      </c>
    </row>
    <row r="2750" spans="2:5" x14ac:dyDescent="0.3">
      <c r="B2750" s="18" t="s">
        <v>5794</v>
      </c>
      <c r="C2750" s="13">
        <v>50</v>
      </c>
      <c r="D2750" s="21" t="s">
        <v>5795</v>
      </c>
      <c r="E2750" s="24">
        <v>1</v>
      </c>
    </row>
    <row r="2751" spans="2:5" x14ac:dyDescent="0.3">
      <c r="B2751" s="18" t="s">
        <v>5796</v>
      </c>
      <c r="C2751" s="13">
        <v>49</v>
      </c>
      <c r="D2751" s="21" t="s">
        <v>5797</v>
      </c>
      <c r="E2751" s="24">
        <v>55</v>
      </c>
    </row>
    <row r="2752" spans="2:5" x14ac:dyDescent="0.3">
      <c r="B2752" s="18" t="s">
        <v>5798</v>
      </c>
      <c r="C2752" s="13">
        <v>48</v>
      </c>
      <c r="D2752" s="21" t="s">
        <v>5799</v>
      </c>
      <c r="E2752" s="24">
        <v>56</v>
      </c>
    </row>
    <row r="2753" spans="2:5" x14ac:dyDescent="0.3">
      <c r="B2753" s="18" t="s">
        <v>5800</v>
      </c>
      <c r="C2753" s="13">
        <v>47</v>
      </c>
      <c r="D2753" s="21" t="s">
        <v>5801</v>
      </c>
      <c r="E2753" s="24">
        <v>57</v>
      </c>
    </row>
    <row r="2754" spans="2:5" x14ac:dyDescent="0.3">
      <c r="B2754" s="18" t="s">
        <v>5802</v>
      </c>
      <c r="C2754" s="13">
        <v>46</v>
      </c>
      <c r="D2754" s="21" t="s">
        <v>5803</v>
      </c>
      <c r="E2754" s="24">
        <v>58</v>
      </c>
    </row>
    <row r="2755" spans="2:5" x14ac:dyDescent="0.3">
      <c r="B2755" s="18" t="s">
        <v>5804</v>
      </c>
      <c r="C2755" s="13">
        <v>45</v>
      </c>
      <c r="D2755" s="21" t="s">
        <v>5805</v>
      </c>
      <c r="E2755" s="24">
        <v>59</v>
      </c>
    </row>
    <row r="2756" spans="2:5" x14ac:dyDescent="0.3">
      <c r="B2756" s="18" t="s">
        <v>5806</v>
      </c>
      <c r="C2756" s="13">
        <v>44</v>
      </c>
      <c r="D2756" s="21" t="s">
        <v>5807</v>
      </c>
      <c r="E2756" s="24">
        <v>60</v>
      </c>
    </row>
    <row r="2757" spans="2:5" x14ac:dyDescent="0.3">
      <c r="B2757" s="18" t="s">
        <v>5808</v>
      </c>
      <c r="C2757" s="13">
        <v>61</v>
      </c>
      <c r="D2757" s="21" t="s">
        <v>5809</v>
      </c>
      <c r="E2757" s="24">
        <v>61</v>
      </c>
    </row>
    <row r="2758" spans="2:5" x14ac:dyDescent="0.3">
      <c r="B2758" s="18" t="s">
        <v>5810</v>
      </c>
      <c r="C2758" s="13">
        <v>43</v>
      </c>
      <c r="D2758" s="21" t="s">
        <v>5811</v>
      </c>
      <c r="E2758" s="24">
        <v>43</v>
      </c>
    </row>
    <row r="2759" spans="2:5" x14ac:dyDescent="0.3">
      <c r="B2759" s="18" t="s">
        <v>5812</v>
      </c>
      <c r="C2759" s="13">
        <v>42</v>
      </c>
      <c r="D2759" s="21" t="s">
        <v>5813</v>
      </c>
      <c r="E2759" s="24">
        <v>44</v>
      </c>
    </row>
    <row r="2760" spans="2:5" x14ac:dyDescent="0.3">
      <c r="B2760" s="18" t="s">
        <v>5814</v>
      </c>
      <c r="C2760" s="13">
        <v>41</v>
      </c>
      <c r="D2760" s="21" t="s">
        <v>5815</v>
      </c>
      <c r="E2760" s="24">
        <v>62</v>
      </c>
    </row>
    <row r="2761" spans="2:5" x14ac:dyDescent="0.3">
      <c r="B2761" s="18" t="s">
        <v>5816</v>
      </c>
      <c r="C2761" s="13">
        <v>40</v>
      </c>
      <c r="D2761" s="21" t="s">
        <v>5817</v>
      </c>
      <c r="E2761" s="24">
        <v>45</v>
      </c>
    </row>
    <row r="2762" spans="2:5" x14ac:dyDescent="0.3">
      <c r="B2762" s="18" t="s">
        <v>5818</v>
      </c>
      <c r="C2762" s="13">
        <v>39</v>
      </c>
      <c r="D2762" s="21" t="s">
        <v>5819</v>
      </c>
      <c r="E2762" s="24">
        <v>46</v>
      </c>
    </row>
    <row r="2763" spans="2:5" x14ac:dyDescent="0.3">
      <c r="B2763" s="18" t="s">
        <v>5820</v>
      </c>
      <c r="C2763" s="13">
        <v>38</v>
      </c>
      <c r="D2763" s="21" t="s">
        <v>5821</v>
      </c>
      <c r="E2763" s="24">
        <v>47</v>
      </c>
    </row>
    <row r="2764" spans="2:5" x14ac:dyDescent="0.3">
      <c r="B2764" s="18" t="s">
        <v>5822</v>
      </c>
      <c r="C2764" s="13">
        <v>37</v>
      </c>
      <c r="D2764" s="21" t="s">
        <v>5823</v>
      </c>
      <c r="E2764" s="24">
        <v>48</v>
      </c>
    </row>
    <row r="2765" spans="2:5" x14ac:dyDescent="0.3">
      <c r="B2765" s="18" t="s">
        <v>5824</v>
      </c>
      <c r="C2765" s="13">
        <v>36</v>
      </c>
      <c r="D2765" s="21" t="s">
        <v>5825</v>
      </c>
      <c r="E2765" s="24">
        <v>49</v>
      </c>
    </row>
    <row r="2766" spans="2:5" x14ac:dyDescent="0.3">
      <c r="B2766" s="18" t="s">
        <v>5826</v>
      </c>
      <c r="C2766" s="13">
        <v>35</v>
      </c>
      <c r="D2766" s="21" t="s">
        <v>5827</v>
      </c>
      <c r="E2766" s="24">
        <v>50</v>
      </c>
    </row>
    <row r="2767" spans="2:5" x14ac:dyDescent="0.3">
      <c r="B2767" s="18" t="s">
        <v>5828</v>
      </c>
      <c r="C2767" s="13">
        <v>34</v>
      </c>
      <c r="D2767" s="21" t="s">
        <v>5829</v>
      </c>
      <c r="E2767" s="24">
        <v>51</v>
      </c>
    </row>
    <row r="2768" spans="2:5" x14ac:dyDescent="0.3">
      <c r="B2768" s="18" t="s">
        <v>5830</v>
      </c>
      <c r="C2768" s="13">
        <v>60</v>
      </c>
      <c r="D2768" s="21" t="s">
        <v>5831</v>
      </c>
      <c r="E2768" s="24">
        <v>52</v>
      </c>
    </row>
    <row r="2769" spans="2:5" x14ac:dyDescent="0.3">
      <c r="B2769" s="18" t="s">
        <v>5832</v>
      </c>
      <c r="C2769" s="13">
        <v>33</v>
      </c>
      <c r="D2769" s="21" t="s">
        <v>5833</v>
      </c>
      <c r="E2769" s="24">
        <v>53</v>
      </c>
    </row>
    <row r="2770" spans="2:5" x14ac:dyDescent="0.3">
      <c r="B2770" s="18" t="s">
        <v>5834</v>
      </c>
      <c r="C2770" s="13">
        <v>32</v>
      </c>
      <c r="D2770" s="21" t="s">
        <v>5835</v>
      </c>
      <c r="E2770" s="24">
        <v>54</v>
      </c>
    </row>
    <row r="2771" spans="2:5" x14ac:dyDescent="0.3">
      <c r="B2771" s="18" t="s">
        <v>5836</v>
      </c>
      <c r="C2771" s="13">
        <v>59</v>
      </c>
      <c r="D2771" s="21" t="s">
        <v>5837</v>
      </c>
      <c r="E2771" s="24">
        <v>30</v>
      </c>
    </row>
    <row r="2772" spans="2:5" x14ac:dyDescent="0.3">
      <c r="B2772" s="18" t="s">
        <v>5838</v>
      </c>
      <c r="C2772" s="13">
        <v>58</v>
      </c>
      <c r="D2772" s="21" t="s">
        <v>5839</v>
      </c>
      <c r="E2772" s="24">
        <v>29</v>
      </c>
    </row>
    <row r="2773" spans="2:5" x14ac:dyDescent="0.3">
      <c r="B2773" s="18" t="s">
        <v>5840</v>
      </c>
      <c r="C2773" s="13">
        <v>57</v>
      </c>
      <c r="D2773" s="21" t="s">
        <v>5841</v>
      </c>
      <c r="E2773" s="24">
        <v>28</v>
      </c>
    </row>
    <row r="2774" spans="2:5" x14ac:dyDescent="0.3">
      <c r="B2774" s="18" t="s">
        <v>5842</v>
      </c>
      <c r="C2774" s="13">
        <v>56</v>
      </c>
      <c r="D2774" s="21" t="s">
        <v>5843</v>
      </c>
      <c r="E2774" s="24">
        <v>27</v>
      </c>
    </row>
    <row r="2775" spans="2:5" x14ac:dyDescent="0.3">
      <c r="B2775" s="18" t="s">
        <v>5844</v>
      </c>
      <c r="C2775" s="13">
        <v>55</v>
      </c>
      <c r="D2775" s="21" t="s">
        <v>5845</v>
      </c>
      <c r="E2775" s="24">
        <v>26</v>
      </c>
    </row>
    <row r="2776" spans="2:5" x14ac:dyDescent="0.3">
      <c r="B2776" s="18" t="s">
        <v>5846</v>
      </c>
      <c r="C2776" s="13">
        <v>54</v>
      </c>
      <c r="D2776" s="21" t="s">
        <v>5847</v>
      </c>
      <c r="E2776" s="24">
        <v>25</v>
      </c>
    </row>
    <row r="2777" spans="2:5" x14ac:dyDescent="0.3">
      <c r="B2777" s="18" t="s">
        <v>5848</v>
      </c>
      <c r="C2777" s="13">
        <v>63</v>
      </c>
      <c r="D2777" s="21" t="s">
        <v>5849</v>
      </c>
      <c r="E2777" s="24">
        <v>24</v>
      </c>
    </row>
    <row r="2778" spans="2:5" x14ac:dyDescent="0.3">
      <c r="B2778" s="18" t="s">
        <v>5850</v>
      </c>
      <c r="C2778" s="13">
        <v>72</v>
      </c>
      <c r="D2778" s="21" t="s">
        <v>5851</v>
      </c>
      <c r="E2778" s="24">
        <v>42</v>
      </c>
    </row>
    <row r="2779" spans="2:5" x14ac:dyDescent="0.3">
      <c r="B2779" s="18" t="s">
        <v>5852</v>
      </c>
      <c r="C2779" s="13">
        <v>73</v>
      </c>
      <c r="D2779" s="21" t="s">
        <v>5853</v>
      </c>
      <c r="E2779" s="24">
        <v>41</v>
      </c>
    </row>
    <row r="2780" spans="2:5" x14ac:dyDescent="0.3">
      <c r="B2780" s="18" t="s">
        <v>5854</v>
      </c>
      <c r="C2780" s="13">
        <v>74</v>
      </c>
      <c r="D2780" s="21" t="s">
        <v>5855</v>
      </c>
      <c r="E2780" s="24">
        <v>23</v>
      </c>
    </row>
    <row r="2781" spans="2:5" x14ac:dyDescent="0.3">
      <c r="B2781" s="18" t="s">
        <v>5856</v>
      </c>
      <c r="C2781" s="13">
        <v>75</v>
      </c>
      <c r="D2781" s="21" t="s">
        <v>5857</v>
      </c>
      <c r="E2781" s="24">
        <v>40</v>
      </c>
    </row>
    <row r="2782" spans="2:5" x14ac:dyDescent="0.3">
      <c r="B2782" s="18" t="s">
        <v>5858</v>
      </c>
      <c r="C2782" s="13">
        <v>76</v>
      </c>
      <c r="D2782" s="21" t="s">
        <v>5859</v>
      </c>
      <c r="E2782" s="24">
        <v>39</v>
      </c>
    </row>
    <row r="2783" spans="2:5" x14ac:dyDescent="0.3">
      <c r="B2783" s="18" t="s">
        <v>5860</v>
      </c>
      <c r="C2783" s="13">
        <v>77</v>
      </c>
      <c r="D2783" s="21" t="s">
        <v>5861</v>
      </c>
      <c r="E2783" s="24">
        <v>38</v>
      </c>
    </row>
    <row r="2784" spans="2:5" x14ac:dyDescent="0.3">
      <c r="B2784" s="18" t="s">
        <v>5862</v>
      </c>
      <c r="C2784" s="13">
        <v>78</v>
      </c>
      <c r="D2784" s="21" t="s">
        <v>5863</v>
      </c>
      <c r="E2784" s="24">
        <v>37</v>
      </c>
    </row>
    <row r="2785" spans="2:5" x14ac:dyDescent="0.3">
      <c r="B2785" s="18" t="s">
        <v>5864</v>
      </c>
      <c r="C2785" s="13">
        <v>79</v>
      </c>
      <c r="D2785" s="21" t="s">
        <v>5865</v>
      </c>
      <c r="E2785" s="24">
        <v>36</v>
      </c>
    </row>
    <row r="2786" spans="2:5" x14ac:dyDescent="0.3">
      <c r="B2786" s="18" t="s">
        <v>5866</v>
      </c>
      <c r="C2786" s="13">
        <v>80</v>
      </c>
      <c r="D2786" s="21" t="s">
        <v>5867</v>
      </c>
      <c r="E2786" s="24">
        <v>35</v>
      </c>
    </row>
    <row r="2787" spans="2:5" x14ac:dyDescent="0.3">
      <c r="B2787" s="18" t="s">
        <v>5868</v>
      </c>
      <c r="C2787" s="13">
        <v>81</v>
      </c>
      <c r="D2787" s="21" t="s">
        <v>5869</v>
      </c>
      <c r="E2787" s="24">
        <v>34</v>
      </c>
    </row>
    <row r="2788" spans="2:5" x14ac:dyDescent="0.3">
      <c r="B2788" s="18" t="s">
        <v>5870</v>
      </c>
      <c r="C2788" s="13">
        <v>64</v>
      </c>
      <c r="D2788" s="21" t="s">
        <v>5871</v>
      </c>
      <c r="E2788" s="24">
        <v>33</v>
      </c>
    </row>
    <row r="2789" spans="2:5" x14ac:dyDescent="0.3">
      <c r="B2789" s="18" t="s">
        <v>5872</v>
      </c>
      <c r="C2789" s="13">
        <v>82</v>
      </c>
      <c r="D2789" s="21" t="s">
        <v>5873</v>
      </c>
      <c r="E2789" s="24">
        <v>32</v>
      </c>
    </row>
    <row r="2790" spans="2:5" x14ac:dyDescent="0.3">
      <c r="B2790" s="18" t="s">
        <v>5874</v>
      </c>
      <c r="C2790" s="13">
        <v>83</v>
      </c>
      <c r="D2790" s="21" t="s">
        <v>5875</v>
      </c>
      <c r="E2790" s="24">
        <v>31</v>
      </c>
    </row>
    <row r="2791" spans="2:5" x14ac:dyDescent="0.3">
      <c r="B2791" s="18" t="s">
        <v>5876</v>
      </c>
      <c r="C2791" s="13">
        <v>84</v>
      </c>
      <c r="D2791" s="21" t="s">
        <v>5877</v>
      </c>
      <c r="E2791" s="24">
        <v>22</v>
      </c>
    </row>
    <row r="2792" spans="2:5" x14ac:dyDescent="0.3">
      <c r="B2792" s="18" t="s">
        <v>5878</v>
      </c>
      <c r="C2792" s="13">
        <v>85</v>
      </c>
      <c r="D2792" s="21" t="s">
        <v>5879</v>
      </c>
      <c r="E2792" s="24">
        <v>9</v>
      </c>
    </row>
    <row r="2793" spans="2:5" x14ac:dyDescent="0.3">
      <c r="B2793" s="18" t="s">
        <v>5880</v>
      </c>
      <c r="C2793" s="13">
        <v>86</v>
      </c>
      <c r="D2793" s="21" t="s">
        <v>5881</v>
      </c>
      <c r="E2793" s="24">
        <v>8</v>
      </c>
    </row>
    <row r="2794" spans="2:5" x14ac:dyDescent="0.3">
      <c r="B2794" s="18" t="s">
        <v>5882</v>
      </c>
      <c r="C2794" s="13">
        <v>87</v>
      </c>
      <c r="D2794" s="21" t="s">
        <v>5883</v>
      </c>
      <c r="E2794" s="24">
        <v>7</v>
      </c>
    </row>
    <row r="2795" spans="2:5" x14ac:dyDescent="0.3">
      <c r="B2795" s="18" t="s">
        <v>5884</v>
      </c>
      <c r="C2795" s="13">
        <v>88</v>
      </c>
      <c r="D2795" s="21" t="s">
        <v>5885</v>
      </c>
      <c r="E2795" s="24">
        <v>6</v>
      </c>
    </row>
    <row r="2796" spans="2:5" x14ac:dyDescent="0.3">
      <c r="B2796" s="18" t="s">
        <v>5886</v>
      </c>
      <c r="C2796" s="13">
        <v>89</v>
      </c>
      <c r="D2796" s="21" t="s">
        <v>5887</v>
      </c>
      <c r="E2796" s="24">
        <v>5</v>
      </c>
    </row>
    <row r="2797" spans="2:5" x14ac:dyDescent="0.3">
      <c r="B2797" s="18" t="s">
        <v>5888</v>
      </c>
      <c r="C2797" s="13">
        <v>90</v>
      </c>
      <c r="D2797" s="21" t="s">
        <v>5889</v>
      </c>
      <c r="E2797" s="24">
        <v>4</v>
      </c>
    </row>
    <row r="2798" spans="2:5" x14ac:dyDescent="0.3">
      <c r="B2798" s="18" t="s">
        <v>5890</v>
      </c>
      <c r="C2798" s="13">
        <v>91</v>
      </c>
      <c r="D2798" s="21" t="s">
        <v>5891</v>
      </c>
      <c r="E2798" s="24">
        <v>3</v>
      </c>
    </row>
    <row r="2799" spans="2:5" x14ac:dyDescent="0.3">
      <c r="B2799" s="18" t="s">
        <v>5892</v>
      </c>
      <c r="C2799" s="13">
        <v>65</v>
      </c>
      <c r="D2799" s="21" t="s">
        <v>5893</v>
      </c>
      <c r="E2799" s="24">
        <v>21</v>
      </c>
    </row>
    <row r="2800" spans="2:5" x14ac:dyDescent="0.3">
      <c r="B2800" s="18" t="s">
        <v>5894</v>
      </c>
      <c r="C2800" s="13">
        <v>92</v>
      </c>
      <c r="D2800" s="21" t="s">
        <v>5895</v>
      </c>
      <c r="E2800" s="24">
        <v>20</v>
      </c>
    </row>
    <row r="2801" spans="2:5" x14ac:dyDescent="0.3">
      <c r="B2801" s="18" t="s">
        <v>5896</v>
      </c>
      <c r="C2801" s="13">
        <v>93</v>
      </c>
      <c r="D2801" s="21" t="s">
        <v>5897</v>
      </c>
      <c r="E2801" s="24">
        <v>2</v>
      </c>
    </row>
    <row r="2802" spans="2:5" x14ac:dyDescent="0.3">
      <c r="B2802" s="18" t="s">
        <v>5898</v>
      </c>
      <c r="C2802" s="13">
        <v>66</v>
      </c>
      <c r="D2802" s="21" t="s">
        <v>5899</v>
      </c>
      <c r="E2802" s="24">
        <v>19</v>
      </c>
    </row>
    <row r="2803" spans="2:5" x14ac:dyDescent="0.3">
      <c r="B2803" s="18" t="s">
        <v>5900</v>
      </c>
      <c r="C2803" s="13">
        <v>67</v>
      </c>
      <c r="D2803" s="21" t="s">
        <v>5901</v>
      </c>
      <c r="E2803" s="24">
        <v>18</v>
      </c>
    </row>
    <row r="2804" spans="2:5" x14ac:dyDescent="0.3">
      <c r="B2804" s="18" t="s">
        <v>5902</v>
      </c>
      <c r="C2804" s="13">
        <v>68</v>
      </c>
      <c r="D2804" s="21" t="s">
        <v>5903</v>
      </c>
      <c r="E2804" s="24">
        <v>17</v>
      </c>
    </row>
    <row r="2805" spans="2:5" x14ac:dyDescent="0.3">
      <c r="B2805" s="18" t="s">
        <v>5904</v>
      </c>
      <c r="C2805" s="13">
        <v>69</v>
      </c>
      <c r="D2805" s="21" t="s">
        <v>5905</v>
      </c>
      <c r="E2805" s="24">
        <v>16</v>
      </c>
    </row>
    <row r="2806" spans="2:5" x14ac:dyDescent="0.3">
      <c r="B2806" s="18" t="s">
        <v>5906</v>
      </c>
      <c r="C2806" s="13">
        <v>70</v>
      </c>
      <c r="D2806" s="21" t="s">
        <v>5907</v>
      </c>
      <c r="E2806" s="24">
        <v>15</v>
      </c>
    </row>
    <row r="2807" spans="2:5" x14ac:dyDescent="0.3">
      <c r="B2807" s="18" t="s">
        <v>5908</v>
      </c>
      <c r="C2807" s="13">
        <v>71</v>
      </c>
      <c r="D2807" s="21" t="s">
        <v>5909</v>
      </c>
      <c r="E2807" s="24">
        <v>14</v>
      </c>
    </row>
    <row r="2808" spans="2:5" x14ac:dyDescent="0.3">
      <c r="B2808" s="18" t="s">
        <v>5910</v>
      </c>
      <c r="C2808" s="13">
        <v>124</v>
      </c>
      <c r="D2808" s="21" t="s">
        <v>5911</v>
      </c>
      <c r="E2808" s="24">
        <v>13</v>
      </c>
    </row>
    <row r="2809" spans="2:5" x14ac:dyDescent="0.3">
      <c r="B2809" s="18" t="s">
        <v>5912</v>
      </c>
      <c r="C2809" s="13">
        <v>115</v>
      </c>
      <c r="D2809" s="21" t="s">
        <v>5913</v>
      </c>
      <c r="E2809" s="24">
        <v>12</v>
      </c>
    </row>
    <row r="2810" spans="2:5" x14ac:dyDescent="0.3">
      <c r="B2810" s="18" t="s">
        <v>5914</v>
      </c>
      <c r="C2810" s="13">
        <v>114</v>
      </c>
      <c r="D2810" s="21" t="s">
        <v>5915</v>
      </c>
      <c r="E2810" s="24">
        <v>11</v>
      </c>
    </row>
    <row r="2811" spans="2:5" x14ac:dyDescent="0.3">
      <c r="B2811" s="18" t="s">
        <v>5916</v>
      </c>
      <c r="C2811" s="13">
        <v>113</v>
      </c>
      <c r="D2811" s="21" t="s">
        <v>5917</v>
      </c>
      <c r="E2811" s="24">
        <v>10</v>
      </c>
    </row>
    <row r="2812" spans="2:5" x14ac:dyDescent="0.3">
      <c r="B2812" s="18" t="s">
        <v>5918</v>
      </c>
      <c r="C2812" s="13">
        <v>112</v>
      </c>
      <c r="D2812" s="21" t="s">
        <v>5919</v>
      </c>
      <c r="E2812" s="24">
        <v>1</v>
      </c>
    </row>
    <row r="2813" spans="2:5" x14ac:dyDescent="0.3">
      <c r="B2813" s="18" t="s">
        <v>5920</v>
      </c>
      <c r="C2813" s="13">
        <v>111</v>
      </c>
      <c r="D2813" s="21" t="s">
        <v>5921</v>
      </c>
      <c r="E2813" s="24">
        <v>55</v>
      </c>
    </row>
    <row r="2814" spans="2:5" x14ac:dyDescent="0.3">
      <c r="B2814" s="18" t="s">
        <v>5922</v>
      </c>
      <c r="C2814" s="13">
        <v>110</v>
      </c>
      <c r="D2814" s="21" t="s">
        <v>5923</v>
      </c>
      <c r="E2814" s="24">
        <v>56</v>
      </c>
    </row>
    <row r="2815" spans="2:5" x14ac:dyDescent="0.3">
      <c r="B2815" s="18" t="s">
        <v>5924</v>
      </c>
      <c r="C2815" s="13">
        <v>109</v>
      </c>
      <c r="D2815" s="21" t="s">
        <v>5925</v>
      </c>
      <c r="E2815" s="24">
        <v>57</v>
      </c>
    </row>
    <row r="2816" spans="2:5" x14ac:dyDescent="0.3">
      <c r="B2816" s="18" t="s">
        <v>5926</v>
      </c>
      <c r="C2816" s="13">
        <v>108</v>
      </c>
      <c r="D2816" s="21" t="s">
        <v>5927</v>
      </c>
      <c r="E2816" s="24">
        <v>58</v>
      </c>
    </row>
    <row r="2817" spans="2:5" x14ac:dyDescent="0.3">
      <c r="B2817" s="18" t="s">
        <v>5928</v>
      </c>
      <c r="C2817" s="13">
        <v>107</v>
      </c>
      <c r="D2817" s="21" t="s">
        <v>5929</v>
      </c>
      <c r="E2817" s="24">
        <v>59</v>
      </c>
    </row>
    <row r="2818" spans="2:5" x14ac:dyDescent="0.3">
      <c r="B2818" s="18" t="s">
        <v>5930</v>
      </c>
      <c r="C2818" s="13">
        <v>106</v>
      </c>
      <c r="D2818" s="21" t="s">
        <v>5931</v>
      </c>
      <c r="E2818" s="24">
        <v>60</v>
      </c>
    </row>
    <row r="2819" spans="2:5" x14ac:dyDescent="0.3">
      <c r="B2819" s="18" t="s">
        <v>5932</v>
      </c>
      <c r="C2819" s="13">
        <v>123</v>
      </c>
      <c r="D2819" s="21" t="s">
        <v>5933</v>
      </c>
      <c r="E2819" s="24">
        <v>61</v>
      </c>
    </row>
    <row r="2820" spans="2:5" x14ac:dyDescent="0.3">
      <c r="B2820" s="18" t="s">
        <v>5934</v>
      </c>
      <c r="C2820" s="13">
        <v>105</v>
      </c>
      <c r="D2820" s="21" t="s">
        <v>5935</v>
      </c>
      <c r="E2820" s="24">
        <v>43</v>
      </c>
    </row>
    <row r="2821" spans="2:5" x14ac:dyDescent="0.3">
      <c r="B2821" s="18" t="s">
        <v>5936</v>
      </c>
      <c r="C2821" s="13">
        <v>104</v>
      </c>
      <c r="D2821" s="21" t="s">
        <v>5937</v>
      </c>
      <c r="E2821" s="24">
        <v>44</v>
      </c>
    </row>
    <row r="2822" spans="2:5" x14ac:dyDescent="0.3">
      <c r="B2822" s="18" t="s">
        <v>5938</v>
      </c>
      <c r="C2822" s="13">
        <v>103</v>
      </c>
      <c r="D2822" s="21" t="s">
        <v>5939</v>
      </c>
      <c r="E2822" s="24">
        <v>45</v>
      </c>
    </row>
    <row r="2823" spans="2:5" x14ac:dyDescent="0.3">
      <c r="B2823" s="18" t="s">
        <v>5940</v>
      </c>
      <c r="C2823" s="13">
        <v>102</v>
      </c>
      <c r="D2823" s="21" t="s">
        <v>5941</v>
      </c>
      <c r="E2823" s="24">
        <v>46</v>
      </c>
    </row>
    <row r="2824" spans="2:5" x14ac:dyDescent="0.3">
      <c r="B2824" s="18" t="s">
        <v>5942</v>
      </c>
      <c r="C2824" s="13">
        <v>101</v>
      </c>
      <c r="D2824" s="21" t="s">
        <v>5943</v>
      </c>
      <c r="E2824" s="24">
        <v>47</v>
      </c>
    </row>
    <row r="2825" spans="2:5" x14ac:dyDescent="0.3">
      <c r="B2825" s="18" t="s">
        <v>5944</v>
      </c>
      <c r="C2825" s="13">
        <v>100</v>
      </c>
      <c r="D2825" s="21" t="s">
        <v>5945</v>
      </c>
      <c r="E2825" s="24">
        <v>48</v>
      </c>
    </row>
    <row r="2826" spans="2:5" x14ac:dyDescent="0.3">
      <c r="B2826" s="18" t="s">
        <v>5946</v>
      </c>
      <c r="C2826" s="13">
        <v>99</v>
      </c>
      <c r="D2826" s="21" t="s">
        <v>5947</v>
      </c>
      <c r="E2826" s="24">
        <v>49</v>
      </c>
    </row>
    <row r="2827" spans="2:5" x14ac:dyDescent="0.3">
      <c r="B2827" s="18" t="s">
        <v>5948</v>
      </c>
      <c r="C2827" s="13">
        <v>98</v>
      </c>
      <c r="D2827" s="21" t="s">
        <v>5949</v>
      </c>
      <c r="E2827" s="24">
        <v>50</v>
      </c>
    </row>
    <row r="2828" spans="2:5" x14ac:dyDescent="0.3">
      <c r="B2828" s="18" t="s">
        <v>5950</v>
      </c>
      <c r="C2828" s="13">
        <v>97</v>
      </c>
      <c r="D2828" s="21" t="s">
        <v>5951</v>
      </c>
      <c r="E2828" s="24">
        <v>51</v>
      </c>
    </row>
    <row r="2829" spans="2:5" x14ac:dyDescent="0.3">
      <c r="B2829" s="18" t="s">
        <v>5952</v>
      </c>
      <c r="C2829" s="13">
        <v>96</v>
      </c>
      <c r="D2829" s="21" t="s">
        <v>5953</v>
      </c>
      <c r="E2829" s="24">
        <v>52</v>
      </c>
    </row>
    <row r="2830" spans="2:5" x14ac:dyDescent="0.3">
      <c r="B2830" s="18" t="s">
        <v>5954</v>
      </c>
      <c r="C2830" s="13">
        <v>122</v>
      </c>
      <c r="D2830" s="21" t="s">
        <v>5955</v>
      </c>
      <c r="E2830" s="24">
        <v>53</v>
      </c>
    </row>
    <row r="2831" spans="2:5" x14ac:dyDescent="0.3">
      <c r="B2831" s="18" t="s">
        <v>5956</v>
      </c>
      <c r="C2831" s="13">
        <v>95</v>
      </c>
      <c r="D2831" s="21" t="s">
        <v>5957</v>
      </c>
      <c r="E2831" s="24">
        <v>54</v>
      </c>
    </row>
    <row r="2832" spans="2:5" x14ac:dyDescent="0.3">
      <c r="B2832" s="18" t="s">
        <v>5958</v>
      </c>
      <c r="C2832" s="13">
        <v>94</v>
      </c>
      <c r="D2832" s="21" t="s">
        <v>5959</v>
      </c>
      <c r="E2832" s="24">
        <v>30</v>
      </c>
    </row>
    <row r="2833" spans="2:5" x14ac:dyDescent="0.3">
      <c r="B2833" s="18" t="s">
        <v>5960</v>
      </c>
      <c r="C2833" s="13">
        <v>121</v>
      </c>
      <c r="D2833" s="21" t="s">
        <v>5961</v>
      </c>
      <c r="E2833" s="24">
        <v>29</v>
      </c>
    </row>
    <row r="2834" spans="2:5" x14ac:dyDescent="0.3">
      <c r="B2834" s="18" t="s">
        <v>5962</v>
      </c>
      <c r="C2834" s="13">
        <v>120</v>
      </c>
      <c r="D2834" s="21" t="s">
        <v>5963</v>
      </c>
      <c r="E2834" s="24">
        <v>28</v>
      </c>
    </row>
    <row r="2835" spans="2:5" x14ac:dyDescent="0.3">
      <c r="B2835" s="18" t="s">
        <v>5964</v>
      </c>
      <c r="C2835" s="13">
        <v>119</v>
      </c>
      <c r="D2835" s="21" t="s">
        <v>5965</v>
      </c>
      <c r="E2835" s="24">
        <v>27</v>
      </c>
    </row>
    <row r="2836" spans="2:5" x14ac:dyDescent="0.3">
      <c r="B2836" s="18" t="s">
        <v>5966</v>
      </c>
      <c r="C2836" s="13">
        <v>118</v>
      </c>
      <c r="D2836" s="21" t="s">
        <v>5967</v>
      </c>
      <c r="E2836" s="24">
        <v>26</v>
      </c>
    </row>
    <row r="2837" spans="2:5" x14ac:dyDescent="0.3">
      <c r="B2837" s="18" t="s">
        <v>5968</v>
      </c>
      <c r="C2837" s="13">
        <v>117</v>
      </c>
      <c r="D2837" s="21" t="s">
        <v>5969</v>
      </c>
      <c r="E2837" s="24">
        <v>25</v>
      </c>
    </row>
    <row r="2838" spans="2:5" x14ac:dyDescent="0.3">
      <c r="B2838" s="18" t="s">
        <v>5970</v>
      </c>
      <c r="C2838" s="13">
        <v>116</v>
      </c>
      <c r="D2838" s="21" t="s">
        <v>5971</v>
      </c>
      <c r="E2838" s="24">
        <v>24</v>
      </c>
    </row>
    <row r="2839" spans="2:5" x14ac:dyDescent="0.3">
      <c r="B2839" s="18" t="s">
        <v>5972</v>
      </c>
      <c r="C2839" s="13">
        <v>1</v>
      </c>
      <c r="D2839" s="21" t="s">
        <v>5973</v>
      </c>
      <c r="E2839" s="24">
        <v>42</v>
      </c>
    </row>
    <row r="2840" spans="2:5" x14ac:dyDescent="0.3">
      <c r="B2840" s="18" t="s">
        <v>5974</v>
      </c>
      <c r="C2840" s="13">
        <v>10</v>
      </c>
      <c r="D2840" s="21" t="s">
        <v>5975</v>
      </c>
      <c r="E2840" s="24">
        <v>41</v>
      </c>
    </row>
    <row r="2841" spans="2:5" x14ac:dyDescent="0.3">
      <c r="B2841" s="18" t="s">
        <v>5976</v>
      </c>
      <c r="C2841" s="13">
        <v>11</v>
      </c>
      <c r="D2841" s="21" t="s">
        <v>5977</v>
      </c>
      <c r="E2841" s="24">
        <v>23</v>
      </c>
    </row>
    <row r="2842" spans="2:5" x14ac:dyDescent="0.3">
      <c r="B2842" s="18" t="s">
        <v>5978</v>
      </c>
      <c r="C2842" s="13">
        <v>12</v>
      </c>
      <c r="D2842" s="21" t="s">
        <v>5979</v>
      </c>
      <c r="E2842" s="24">
        <v>40</v>
      </c>
    </row>
    <row r="2843" spans="2:5" x14ac:dyDescent="0.3">
      <c r="B2843" s="18" t="s">
        <v>5980</v>
      </c>
      <c r="C2843" s="13">
        <v>13</v>
      </c>
      <c r="D2843" s="21" t="s">
        <v>5981</v>
      </c>
      <c r="E2843" s="24">
        <v>39</v>
      </c>
    </row>
    <row r="2844" spans="2:5" x14ac:dyDescent="0.3">
      <c r="B2844" s="18" t="s">
        <v>5982</v>
      </c>
      <c r="C2844" s="13">
        <v>14</v>
      </c>
      <c r="D2844" s="21" t="s">
        <v>5983</v>
      </c>
      <c r="E2844" s="24">
        <v>38</v>
      </c>
    </row>
    <row r="2845" spans="2:5" x14ac:dyDescent="0.3">
      <c r="B2845" s="18" t="s">
        <v>5984</v>
      </c>
      <c r="C2845" s="13">
        <v>15</v>
      </c>
      <c r="D2845" s="21" t="s">
        <v>5985</v>
      </c>
      <c r="E2845" s="24">
        <v>37</v>
      </c>
    </row>
    <row r="2846" spans="2:5" x14ac:dyDescent="0.3">
      <c r="B2846" s="18" t="s">
        <v>5986</v>
      </c>
      <c r="C2846" s="13">
        <v>16</v>
      </c>
      <c r="D2846" s="21" t="s">
        <v>5987</v>
      </c>
      <c r="E2846" s="24">
        <v>36</v>
      </c>
    </row>
    <row r="2847" spans="2:5" x14ac:dyDescent="0.3">
      <c r="B2847" s="18" t="s">
        <v>5988</v>
      </c>
      <c r="C2847" s="13">
        <v>17</v>
      </c>
      <c r="D2847" s="21" t="s">
        <v>5989</v>
      </c>
      <c r="E2847" s="24">
        <v>35</v>
      </c>
    </row>
    <row r="2848" spans="2:5" x14ac:dyDescent="0.3">
      <c r="B2848" s="18" t="s">
        <v>5990</v>
      </c>
      <c r="C2848" s="13">
        <v>18</v>
      </c>
      <c r="D2848" s="21" t="s">
        <v>5991</v>
      </c>
      <c r="E2848" s="24">
        <v>34</v>
      </c>
    </row>
    <row r="2849" spans="2:5" x14ac:dyDescent="0.3">
      <c r="B2849" s="18" t="s">
        <v>5992</v>
      </c>
      <c r="C2849" s="13">
        <v>19</v>
      </c>
      <c r="D2849" s="21" t="s">
        <v>5993</v>
      </c>
      <c r="E2849" s="24">
        <v>33</v>
      </c>
    </row>
    <row r="2850" spans="2:5" x14ac:dyDescent="0.3">
      <c r="B2850" s="18" t="s">
        <v>5994</v>
      </c>
      <c r="C2850" s="13">
        <v>2</v>
      </c>
      <c r="D2850" s="21" t="s">
        <v>5995</v>
      </c>
      <c r="E2850" s="24">
        <v>32</v>
      </c>
    </row>
    <row r="2851" spans="2:5" x14ac:dyDescent="0.3">
      <c r="B2851" s="18" t="s">
        <v>5996</v>
      </c>
      <c r="C2851" s="13">
        <v>20</v>
      </c>
      <c r="D2851" s="21" t="s">
        <v>5997</v>
      </c>
      <c r="E2851" s="24">
        <v>31</v>
      </c>
    </row>
    <row r="2852" spans="2:5" x14ac:dyDescent="0.3">
      <c r="B2852" s="18" t="s">
        <v>5998</v>
      </c>
      <c r="C2852" s="13">
        <v>21</v>
      </c>
      <c r="D2852" s="21" t="s">
        <v>5999</v>
      </c>
      <c r="E2852" s="24">
        <v>22</v>
      </c>
    </row>
    <row r="2853" spans="2:5" x14ac:dyDescent="0.3">
      <c r="B2853" s="18" t="s">
        <v>6000</v>
      </c>
      <c r="C2853" s="13">
        <v>22</v>
      </c>
      <c r="D2853" s="21" t="s">
        <v>6001</v>
      </c>
      <c r="E2853" s="24">
        <v>9</v>
      </c>
    </row>
    <row r="2854" spans="2:5" x14ac:dyDescent="0.3">
      <c r="B2854" s="18" t="s">
        <v>6002</v>
      </c>
      <c r="C2854" s="13">
        <v>23</v>
      </c>
      <c r="D2854" s="21" t="s">
        <v>6003</v>
      </c>
      <c r="E2854" s="24">
        <v>8</v>
      </c>
    </row>
    <row r="2855" spans="2:5" x14ac:dyDescent="0.3">
      <c r="B2855" s="18" t="s">
        <v>6004</v>
      </c>
      <c r="C2855" s="13">
        <v>24</v>
      </c>
      <c r="D2855" s="21" t="s">
        <v>6005</v>
      </c>
      <c r="E2855" s="24">
        <v>7</v>
      </c>
    </row>
    <row r="2856" spans="2:5" x14ac:dyDescent="0.3">
      <c r="B2856" s="18" t="s">
        <v>6006</v>
      </c>
      <c r="C2856" s="13">
        <v>25</v>
      </c>
      <c r="D2856" s="21" t="s">
        <v>6007</v>
      </c>
      <c r="E2856" s="24">
        <v>6</v>
      </c>
    </row>
    <row r="2857" spans="2:5" x14ac:dyDescent="0.3">
      <c r="B2857" s="18" t="s">
        <v>6008</v>
      </c>
      <c r="C2857" s="13">
        <v>26</v>
      </c>
      <c r="D2857" s="21" t="s">
        <v>6009</v>
      </c>
      <c r="E2857" s="24">
        <v>5</v>
      </c>
    </row>
    <row r="2858" spans="2:5" x14ac:dyDescent="0.3">
      <c r="B2858" s="18" t="s">
        <v>6010</v>
      </c>
      <c r="C2858" s="13">
        <v>27</v>
      </c>
      <c r="D2858" s="21" t="s">
        <v>6011</v>
      </c>
      <c r="E2858" s="24">
        <v>4</v>
      </c>
    </row>
    <row r="2859" spans="2:5" x14ac:dyDescent="0.3">
      <c r="B2859" s="18" t="s">
        <v>6012</v>
      </c>
      <c r="C2859" s="13">
        <v>28</v>
      </c>
      <c r="D2859" s="21" t="s">
        <v>6013</v>
      </c>
      <c r="E2859" s="24">
        <v>3</v>
      </c>
    </row>
    <row r="2860" spans="2:5" x14ac:dyDescent="0.3">
      <c r="B2860" s="18" t="s">
        <v>6014</v>
      </c>
      <c r="C2860" s="13">
        <v>29</v>
      </c>
      <c r="D2860" s="21" t="s">
        <v>6015</v>
      </c>
      <c r="E2860" s="24">
        <v>21</v>
      </c>
    </row>
    <row r="2861" spans="2:5" x14ac:dyDescent="0.3">
      <c r="B2861" s="18" t="s">
        <v>6016</v>
      </c>
      <c r="C2861" s="13">
        <v>3</v>
      </c>
      <c r="D2861" s="21" t="s">
        <v>6017</v>
      </c>
      <c r="E2861" s="24">
        <v>20</v>
      </c>
    </row>
    <row r="2862" spans="2:5" x14ac:dyDescent="0.3">
      <c r="B2862" s="18" t="s">
        <v>6018</v>
      </c>
      <c r="C2862" s="13">
        <v>30</v>
      </c>
      <c r="D2862" s="21" t="s">
        <v>6019</v>
      </c>
      <c r="E2862" s="24">
        <v>2</v>
      </c>
    </row>
    <row r="2863" spans="2:5" x14ac:dyDescent="0.3">
      <c r="B2863" s="18" t="s">
        <v>6020</v>
      </c>
      <c r="C2863" s="13">
        <v>31</v>
      </c>
      <c r="D2863" s="21" t="s">
        <v>6021</v>
      </c>
      <c r="E2863" s="24">
        <v>19</v>
      </c>
    </row>
    <row r="2864" spans="2:5" x14ac:dyDescent="0.3">
      <c r="B2864" s="18" t="s">
        <v>6022</v>
      </c>
      <c r="C2864" s="13">
        <v>32</v>
      </c>
      <c r="D2864" s="21" t="s">
        <v>6023</v>
      </c>
      <c r="E2864" s="24">
        <v>18</v>
      </c>
    </row>
    <row r="2865" spans="2:5" x14ac:dyDescent="0.3">
      <c r="B2865" s="18" t="s">
        <v>6024</v>
      </c>
      <c r="C2865" s="13">
        <v>4</v>
      </c>
      <c r="D2865" s="21" t="s">
        <v>6025</v>
      </c>
      <c r="E2865" s="24">
        <v>17</v>
      </c>
    </row>
    <row r="2866" spans="2:5" x14ac:dyDescent="0.3">
      <c r="B2866" s="18" t="s">
        <v>6026</v>
      </c>
      <c r="C2866" s="13">
        <v>5</v>
      </c>
      <c r="D2866" s="21" t="s">
        <v>6027</v>
      </c>
      <c r="E2866" s="24">
        <v>16</v>
      </c>
    </row>
    <row r="2867" spans="2:5" x14ac:dyDescent="0.3">
      <c r="B2867" s="18" t="s">
        <v>6028</v>
      </c>
      <c r="C2867" s="13">
        <v>6</v>
      </c>
      <c r="D2867" s="21" t="s">
        <v>6029</v>
      </c>
      <c r="E2867" s="24">
        <v>15</v>
      </c>
    </row>
    <row r="2868" spans="2:5" x14ac:dyDescent="0.3">
      <c r="B2868" s="18" t="s">
        <v>6030</v>
      </c>
      <c r="C2868" s="13">
        <v>7</v>
      </c>
      <c r="D2868" s="21" t="s">
        <v>6031</v>
      </c>
      <c r="E2868" s="24">
        <v>14</v>
      </c>
    </row>
    <row r="2869" spans="2:5" x14ac:dyDescent="0.3">
      <c r="B2869" s="18" t="s">
        <v>6032</v>
      </c>
      <c r="C2869" s="13">
        <v>8</v>
      </c>
      <c r="D2869" s="21" t="s">
        <v>6033</v>
      </c>
      <c r="E2869" s="24">
        <v>13</v>
      </c>
    </row>
    <row r="2870" spans="2:5" x14ac:dyDescent="0.3">
      <c r="B2870" s="18" t="s">
        <v>6034</v>
      </c>
      <c r="C2870" s="13">
        <v>9</v>
      </c>
      <c r="D2870" s="21" t="s">
        <v>6035</v>
      </c>
      <c r="E2870" s="24">
        <v>12</v>
      </c>
    </row>
    <row r="2871" spans="2:5" x14ac:dyDescent="0.3">
      <c r="B2871" s="18" t="s">
        <v>6036</v>
      </c>
      <c r="C2871" s="13">
        <v>64</v>
      </c>
      <c r="D2871" s="21" t="s">
        <v>6037</v>
      </c>
      <c r="E2871" s="24">
        <v>11</v>
      </c>
    </row>
    <row r="2872" spans="2:5" x14ac:dyDescent="0.3">
      <c r="B2872" s="18" t="s">
        <v>6038</v>
      </c>
      <c r="C2872" s="13">
        <v>55</v>
      </c>
      <c r="D2872" s="21" t="s">
        <v>6039</v>
      </c>
      <c r="E2872" s="24">
        <v>10</v>
      </c>
    </row>
    <row r="2873" spans="2:5" x14ac:dyDescent="0.3">
      <c r="B2873" s="18" t="s">
        <v>6040</v>
      </c>
      <c r="C2873" s="13">
        <v>54</v>
      </c>
      <c r="D2873" s="21" t="s">
        <v>6041</v>
      </c>
      <c r="E2873" s="24">
        <v>1</v>
      </c>
    </row>
    <row r="2874" spans="2:5" x14ac:dyDescent="0.3">
      <c r="B2874" s="18" t="s">
        <v>6042</v>
      </c>
      <c r="C2874" s="13">
        <v>53</v>
      </c>
      <c r="D2874" s="21" t="s">
        <v>6043</v>
      </c>
      <c r="E2874" s="24">
        <v>52</v>
      </c>
    </row>
    <row r="2875" spans="2:5" x14ac:dyDescent="0.3">
      <c r="B2875" s="18" t="s">
        <v>6044</v>
      </c>
      <c r="C2875" s="13">
        <v>52</v>
      </c>
      <c r="D2875" s="21" t="s">
        <v>6045</v>
      </c>
      <c r="E2875" s="24">
        <v>53</v>
      </c>
    </row>
    <row r="2876" spans="2:5" x14ac:dyDescent="0.3">
      <c r="B2876" s="18" t="s">
        <v>6046</v>
      </c>
      <c r="C2876" s="13">
        <v>51</v>
      </c>
      <c r="D2876" s="21" t="s">
        <v>6047</v>
      </c>
      <c r="E2876" s="24">
        <v>54</v>
      </c>
    </row>
    <row r="2877" spans="2:5" x14ac:dyDescent="0.3">
      <c r="B2877" s="18" t="s">
        <v>6048</v>
      </c>
      <c r="C2877" s="13">
        <v>50</v>
      </c>
      <c r="D2877" s="21" t="s">
        <v>6049</v>
      </c>
      <c r="E2877" s="24">
        <v>55</v>
      </c>
    </row>
    <row r="2878" spans="2:5" x14ac:dyDescent="0.3">
      <c r="B2878" s="18" t="s">
        <v>6050</v>
      </c>
      <c r="C2878" s="13">
        <v>49</v>
      </c>
      <c r="D2878" s="21" t="s">
        <v>6051</v>
      </c>
      <c r="E2878" s="24">
        <v>56</v>
      </c>
    </row>
    <row r="2879" spans="2:5" x14ac:dyDescent="0.3">
      <c r="B2879" s="18" t="s">
        <v>6052</v>
      </c>
      <c r="C2879" s="13">
        <v>48</v>
      </c>
      <c r="D2879" s="21" t="s">
        <v>6053</v>
      </c>
      <c r="E2879" s="24">
        <v>57</v>
      </c>
    </row>
    <row r="2880" spans="2:5" x14ac:dyDescent="0.3">
      <c r="B2880" s="18" t="s">
        <v>6054</v>
      </c>
      <c r="C2880" s="13">
        <v>47</v>
      </c>
      <c r="D2880" s="21" t="s">
        <v>6055</v>
      </c>
      <c r="E2880" s="24">
        <v>58</v>
      </c>
    </row>
    <row r="2881" spans="2:5" x14ac:dyDescent="0.3">
      <c r="B2881" s="18" t="s">
        <v>6056</v>
      </c>
      <c r="C2881" s="13">
        <v>46</v>
      </c>
      <c r="D2881" s="21" t="s">
        <v>6057</v>
      </c>
      <c r="E2881" s="24">
        <v>41</v>
      </c>
    </row>
    <row r="2882" spans="2:5" x14ac:dyDescent="0.3">
      <c r="B2882" s="18" t="s">
        <v>6058</v>
      </c>
      <c r="C2882" s="13">
        <v>63</v>
      </c>
      <c r="D2882" s="21" t="s">
        <v>6059</v>
      </c>
      <c r="E2882" s="24">
        <v>59</v>
      </c>
    </row>
    <row r="2883" spans="2:5" x14ac:dyDescent="0.3">
      <c r="B2883" s="18" t="s">
        <v>6060</v>
      </c>
      <c r="C2883" s="13">
        <v>45</v>
      </c>
      <c r="D2883" s="21" t="s">
        <v>6061</v>
      </c>
      <c r="E2883" s="24">
        <v>42</v>
      </c>
    </row>
    <row r="2884" spans="2:5" x14ac:dyDescent="0.3">
      <c r="B2884" s="18" t="s">
        <v>6062</v>
      </c>
      <c r="C2884" s="13">
        <v>44</v>
      </c>
      <c r="D2884" s="21" t="s">
        <v>6063</v>
      </c>
      <c r="E2884" s="24">
        <v>43</v>
      </c>
    </row>
    <row r="2885" spans="2:5" x14ac:dyDescent="0.3">
      <c r="B2885" s="18" t="s">
        <v>6064</v>
      </c>
      <c r="C2885" s="13">
        <v>43</v>
      </c>
      <c r="D2885" s="21" t="s">
        <v>6065</v>
      </c>
      <c r="E2885" s="24">
        <v>44</v>
      </c>
    </row>
    <row r="2886" spans="2:5" x14ac:dyDescent="0.3">
      <c r="B2886" s="18" t="s">
        <v>6066</v>
      </c>
      <c r="C2886" s="13">
        <v>42</v>
      </c>
      <c r="D2886" s="21" t="s">
        <v>6067</v>
      </c>
      <c r="E2886" s="24">
        <v>45</v>
      </c>
    </row>
    <row r="2887" spans="2:5" x14ac:dyDescent="0.3">
      <c r="B2887" s="18" t="s">
        <v>6068</v>
      </c>
      <c r="C2887" s="13">
        <v>41</v>
      </c>
      <c r="D2887" s="21" t="s">
        <v>6069</v>
      </c>
      <c r="E2887" s="24">
        <v>46</v>
      </c>
    </row>
    <row r="2888" spans="2:5" x14ac:dyDescent="0.3">
      <c r="B2888" s="18" t="s">
        <v>6070</v>
      </c>
      <c r="C2888" s="13">
        <v>40</v>
      </c>
      <c r="D2888" s="21" t="s">
        <v>6071</v>
      </c>
      <c r="E2888" s="24">
        <v>47</v>
      </c>
    </row>
    <row r="2889" spans="2:5" x14ac:dyDescent="0.3">
      <c r="B2889" s="18" t="s">
        <v>6072</v>
      </c>
      <c r="C2889" s="13">
        <v>39</v>
      </c>
      <c r="D2889" s="21" t="s">
        <v>6073</v>
      </c>
      <c r="E2889" s="24">
        <v>48</v>
      </c>
    </row>
    <row r="2890" spans="2:5" x14ac:dyDescent="0.3">
      <c r="B2890" s="18" t="s">
        <v>6074</v>
      </c>
      <c r="C2890" s="13">
        <v>38</v>
      </c>
      <c r="D2890" s="21" t="s">
        <v>6075</v>
      </c>
      <c r="E2890" s="24">
        <v>49</v>
      </c>
    </row>
    <row r="2891" spans="2:5" x14ac:dyDescent="0.3">
      <c r="B2891" s="18" t="s">
        <v>6076</v>
      </c>
      <c r="C2891" s="13">
        <v>37</v>
      </c>
      <c r="D2891" s="21" t="s">
        <v>6077</v>
      </c>
      <c r="E2891" s="24">
        <v>50</v>
      </c>
    </row>
    <row r="2892" spans="2:5" x14ac:dyDescent="0.3">
      <c r="B2892" s="18" t="s">
        <v>6078</v>
      </c>
      <c r="C2892" s="13">
        <v>36</v>
      </c>
      <c r="D2892" s="21" t="s">
        <v>6079</v>
      </c>
      <c r="E2892" s="24">
        <v>51</v>
      </c>
    </row>
    <row r="2893" spans="2:5" x14ac:dyDescent="0.3">
      <c r="B2893" s="18" t="s">
        <v>6080</v>
      </c>
      <c r="C2893" s="13">
        <v>62</v>
      </c>
      <c r="D2893" s="21" t="s">
        <v>6081</v>
      </c>
      <c r="E2893" s="24">
        <v>60</v>
      </c>
    </row>
    <row r="2894" spans="2:5" x14ac:dyDescent="0.3">
      <c r="B2894" s="18" t="s">
        <v>6082</v>
      </c>
      <c r="C2894" s="13">
        <v>35</v>
      </c>
      <c r="D2894" s="21" t="s">
        <v>6083</v>
      </c>
      <c r="E2894" s="24">
        <v>29</v>
      </c>
    </row>
    <row r="2895" spans="2:5" x14ac:dyDescent="0.3">
      <c r="B2895" s="18" t="s">
        <v>6084</v>
      </c>
      <c r="C2895" s="13">
        <v>34</v>
      </c>
      <c r="D2895" s="21" t="s">
        <v>6085</v>
      </c>
      <c r="E2895" s="24">
        <v>28</v>
      </c>
    </row>
    <row r="2896" spans="2:5" x14ac:dyDescent="0.3">
      <c r="B2896" s="18" t="s">
        <v>6086</v>
      </c>
      <c r="C2896" s="13">
        <v>33</v>
      </c>
      <c r="D2896" s="21" t="s">
        <v>6087</v>
      </c>
      <c r="E2896" s="24">
        <v>27</v>
      </c>
    </row>
    <row r="2897" spans="2:5" x14ac:dyDescent="0.3">
      <c r="B2897" s="18" t="s">
        <v>6088</v>
      </c>
      <c r="C2897" s="13">
        <v>61</v>
      </c>
      <c r="D2897" s="21" t="s">
        <v>6089</v>
      </c>
      <c r="E2897" s="24">
        <v>26</v>
      </c>
    </row>
    <row r="2898" spans="2:5" x14ac:dyDescent="0.3">
      <c r="B2898" s="18" t="s">
        <v>6090</v>
      </c>
      <c r="C2898" s="13">
        <v>60</v>
      </c>
      <c r="D2898" s="21" t="s">
        <v>6091</v>
      </c>
      <c r="E2898" s="24">
        <v>25</v>
      </c>
    </row>
    <row r="2899" spans="2:5" x14ac:dyDescent="0.3">
      <c r="B2899" s="18" t="s">
        <v>6092</v>
      </c>
      <c r="C2899" s="13">
        <v>59</v>
      </c>
      <c r="D2899" s="21" t="s">
        <v>6093</v>
      </c>
      <c r="E2899" s="24">
        <v>24</v>
      </c>
    </row>
    <row r="2900" spans="2:5" x14ac:dyDescent="0.3">
      <c r="B2900" s="18" t="s">
        <v>6094</v>
      </c>
      <c r="C2900" s="13">
        <v>58</v>
      </c>
      <c r="D2900" s="21" t="s">
        <v>6095</v>
      </c>
      <c r="E2900" s="24">
        <v>23</v>
      </c>
    </row>
    <row r="2901" spans="2:5" x14ac:dyDescent="0.3">
      <c r="B2901" s="18" t="s">
        <v>6096</v>
      </c>
      <c r="C2901" s="13">
        <v>57</v>
      </c>
      <c r="D2901" s="21" t="s">
        <v>6097</v>
      </c>
      <c r="E2901" s="24">
        <v>40</v>
      </c>
    </row>
    <row r="2902" spans="2:5" x14ac:dyDescent="0.3">
      <c r="B2902" s="18" t="s">
        <v>6098</v>
      </c>
      <c r="C2902" s="13">
        <v>56</v>
      </c>
      <c r="D2902" s="21" t="s">
        <v>6099</v>
      </c>
      <c r="E2902" s="24">
        <v>22</v>
      </c>
    </row>
    <row r="2903" spans="2:5" x14ac:dyDescent="0.3">
      <c r="B2903" s="18" t="s">
        <v>6100</v>
      </c>
      <c r="C2903" s="13">
        <v>65</v>
      </c>
      <c r="D2903" s="21" t="s">
        <v>6101</v>
      </c>
      <c r="E2903" s="24">
        <v>39</v>
      </c>
    </row>
    <row r="2904" spans="2:5" x14ac:dyDescent="0.3">
      <c r="B2904" s="18" t="s">
        <v>6102</v>
      </c>
      <c r="C2904" s="13">
        <v>74</v>
      </c>
      <c r="D2904" s="21" t="s">
        <v>6103</v>
      </c>
      <c r="E2904" s="24">
        <v>38</v>
      </c>
    </row>
    <row r="2905" spans="2:5" x14ac:dyDescent="0.3">
      <c r="B2905" s="18" t="s">
        <v>6104</v>
      </c>
      <c r="C2905" s="13">
        <v>75</v>
      </c>
      <c r="D2905" s="21" t="s">
        <v>6105</v>
      </c>
      <c r="E2905" s="24">
        <v>37</v>
      </c>
    </row>
    <row r="2906" spans="2:5" x14ac:dyDescent="0.3">
      <c r="B2906" s="18" t="s">
        <v>6106</v>
      </c>
      <c r="C2906" s="13">
        <v>76</v>
      </c>
      <c r="D2906" s="21" t="s">
        <v>6107</v>
      </c>
      <c r="E2906" s="24">
        <v>36</v>
      </c>
    </row>
    <row r="2907" spans="2:5" x14ac:dyDescent="0.3">
      <c r="B2907" s="18" t="s">
        <v>6108</v>
      </c>
      <c r="C2907" s="13">
        <v>77</v>
      </c>
      <c r="D2907" s="21" t="s">
        <v>6109</v>
      </c>
      <c r="E2907" s="24">
        <v>35</v>
      </c>
    </row>
    <row r="2908" spans="2:5" x14ac:dyDescent="0.3">
      <c r="B2908" s="18" t="s">
        <v>6110</v>
      </c>
      <c r="C2908" s="13">
        <v>78</v>
      </c>
      <c r="D2908" s="21" t="s">
        <v>6111</v>
      </c>
      <c r="E2908" s="24">
        <v>34</v>
      </c>
    </row>
    <row r="2909" spans="2:5" x14ac:dyDescent="0.3">
      <c r="B2909" s="18" t="s">
        <v>6112</v>
      </c>
      <c r="C2909" s="13">
        <v>79</v>
      </c>
      <c r="D2909" s="21" t="s">
        <v>6113</v>
      </c>
      <c r="E2909" s="24">
        <v>33</v>
      </c>
    </row>
    <row r="2910" spans="2:5" x14ac:dyDescent="0.3">
      <c r="B2910" s="18" t="s">
        <v>6114</v>
      </c>
      <c r="C2910" s="13">
        <v>80</v>
      </c>
      <c r="D2910" s="21" t="s">
        <v>6115</v>
      </c>
      <c r="E2910" s="24">
        <v>32</v>
      </c>
    </row>
    <row r="2911" spans="2:5" x14ac:dyDescent="0.3">
      <c r="B2911" s="18" t="s">
        <v>6116</v>
      </c>
      <c r="C2911" s="13">
        <v>81</v>
      </c>
      <c r="D2911" s="21" t="s">
        <v>6117</v>
      </c>
      <c r="E2911" s="24">
        <v>31</v>
      </c>
    </row>
    <row r="2912" spans="2:5" x14ac:dyDescent="0.3">
      <c r="B2912" s="18" t="s">
        <v>6118</v>
      </c>
      <c r="C2912" s="13">
        <v>82</v>
      </c>
      <c r="D2912" s="21" t="s">
        <v>6119</v>
      </c>
      <c r="E2912" s="24">
        <v>30</v>
      </c>
    </row>
    <row r="2913" spans="2:5" x14ac:dyDescent="0.3">
      <c r="B2913" s="18" t="s">
        <v>6120</v>
      </c>
      <c r="C2913" s="13">
        <v>83</v>
      </c>
      <c r="D2913" s="21" t="s">
        <v>6121</v>
      </c>
      <c r="E2913" s="24">
        <v>21</v>
      </c>
    </row>
    <row r="2914" spans="2:5" x14ac:dyDescent="0.3">
      <c r="B2914" s="18" t="s">
        <v>6122</v>
      </c>
      <c r="C2914" s="13">
        <v>66</v>
      </c>
      <c r="D2914" s="21" t="s">
        <v>6123</v>
      </c>
      <c r="E2914" s="24">
        <v>9</v>
      </c>
    </row>
    <row r="2915" spans="2:5" x14ac:dyDescent="0.3">
      <c r="B2915" s="18" t="s">
        <v>6124</v>
      </c>
      <c r="C2915" s="13">
        <v>84</v>
      </c>
      <c r="D2915" s="21" t="s">
        <v>6125</v>
      </c>
      <c r="E2915" s="24">
        <v>8</v>
      </c>
    </row>
    <row r="2916" spans="2:5" x14ac:dyDescent="0.3">
      <c r="B2916" s="18" t="s">
        <v>6126</v>
      </c>
      <c r="C2916" s="13">
        <v>85</v>
      </c>
      <c r="D2916" s="21" t="s">
        <v>6127</v>
      </c>
      <c r="E2916" s="24">
        <v>7</v>
      </c>
    </row>
    <row r="2917" spans="2:5" x14ac:dyDescent="0.3">
      <c r="B2917" s="18" t="s">
        <v>6128</v>
      </c>
      <c r="C2917" s="13">
        <v>86</v>
      </c>
      <c r="D2917" s="21" t="s">
        <v>6129</v>
      </c>
      <c r="E2917" s="24">
        <v>6</v>
      </c>
    </row>
    <row r="2918" spans="2:5" x14ac:dyDescent="0.3">
      <c r="B2918" s="18" t="s">
        <v>6130</v>
      </c>
      <c r="C2918" s="13">
        <v>87</v>
      </c>
      <c r="D2918" s="21" t="s">
        <v>6131</v>
      </c>
      <c r="E2918" s="24">
        <v>5</v>
      </c>
    </row>
    <row r="2919" spans="2:5" x14ac:dyDescent="0.3">
      <c r="B2919" s="18" t="s">
        <v>6132</v>
      </c>
      <c r="C2919" s="13">
        <v>88</v>
      </c>
      <c r="D2919" s="21" t="s">
        <v>6133</v>
      </c>
      <c r="E2919" s="24">
        <v>4</v>
      </c>
    </row>
    <row r="2920" spans="2:5" x14ac:dyDescent="0.3">
      <c r="B2920" s="18" t="s">
        <v>6134</v>
      </c>
      <c r="C2920" s="13">
        <v>89</v>
      </c>
      <c r="D2920" s="21" t="s">
        <v>6135</v>
      </c>
      <c r="E2920" s="24">
        <v>3</v>
      </c>
    </row>
    <row r="2921" spans="2:5" x14ac:dyDescent="0.3">
      <c r="B2921" s="18" t="s">
        <v>6136</v>
      </c>
      <c r="C2921" s="13">
        <v>90</v>
      </c>
      <c r="D2921" s="21" t="s">
        <v>6137</v>
      </c>
      <c r="E2921" s="24">
        <v>20</v>
      </c>
    </row>
    <row r="2922" spans="2:5" x14ac:dyDescent="0.3">
      <c r="B2922" s="18" t="s">
        <v>6138</v>
      </c>
      <c r="C2922" s="13">
        <v>91</v>
      </c>
      <c r="D2922" s="21" t="s">
        <v>6139</v>
      </c>
      <c r="E2922" s="24">
        <v>2</v>
      </c>
    </row>
    <row r="2923" spans="2:5" x14ac:dyDescent="0.3">
      <c r="B2923" s="18" t="s">
        <v>6140</v>
      </c>
      <c r="C2923" s="13">
        <v>92</v>
      </c>
      <c r="D2923" s="21" t="s">
        <v>6141</v>
      </c>
      <c r="E2923" s="24">
        <v>19</v>
      </c>
    </row>
    <row r="2924" spans="2:5" x14ac:dyDescent="0.3">
      <c r="B2924" s="18" t="s">
        <v>6142</v>
      </c>
      <c r="C2924" s="13">
        <v>93</v>
      </c>
      <c r="D2924" s="21" t="s">
        <v>6143</v>
      </c>
      <c r="E2924" s="24">
        <v>18</v>
      </c>
    </row>
    <row r="2925" spans="2:5" x14ac:dyDescent="0.3">
      <c r="B2925" s="18" t="s">
        <v>6144</v>
      </c>
      <c r="C2925" s="13">
        <v>67</v>
      </c>
      <c r="D2925" s="21" t="s">
        <v>6145</v>
      </c>
      <c r="E2925" s="24">
        <v>17</v>
      </c>
    </row>
    <row r="2926" spans="2:5" x14ac:dyDescent="0.3">
      <c r="B2926" s="18" t="s">
        <v>6146</v>
      </c>
      <c r="C2926" s="13">
        <v>94</v>
      </c>
      <c r="D2926" s="21" t="s">
        <v>6147</v>
      </c>
      <c r="E2926" s="24">
        <v>16</v>
      </c>
    </row>
    <row r="2927" spans="2:5" x14ac:dyDescent="0.3">
      <c r="B2927" s="18" t="s">
        <v>6148</v>
      </c>
      <c r="C2927" s="13">
        <v>95</v>
      </c>
      <c r="D2927" s="21" t="s">
        <v>6149</v>
      </c>
      <c r="E2927" s="24">
        <v>15</v>
      </c>
    </row>
    <row r="2928" spans="2:5" x14ac:dyDescent="0.3">
      <c r="B2928" s="18" t="s">
        <v>6150</v>
      </c>
      <c r="C2928" s="13">
        <v>96</v>
      </c>
      <c r="D2928" s="21" t="s">
        <v>6151</v>
      </c>
      <c r="E2928" s="24">
        <v>14</v>
      </c>
    </row>
    <row r="2929" spans="2:5" x14ac:dyDescent="0.3">
      <c r="B2929" s="18" t="s">
        <v>6152</v>
      </c>
      <c r="C2929" s="13">
        <v>68</v>
      </c>
      <c r="D2929" s="21" t="s">
        <v>6153</v>
      </c>
      <c r="E2929" s="24">
        <v>13</v>
      </c>
    </row>
    <row r="2930" spans="2:5" x14ac:dyDescent="0.3">
      <c r="B2930" s="18" t="s">
        <v>6154</v>
      </c>
      <c r="C2930" s="13">
        <v>69</v>
      </c>
      <c r="D2930" s="21" t="s">
        <v>6155</v>
      </c>
      <c r="E2930" s="24">
        <v>12</v>
      </c>
    </row>
    <row r="2931" spans="2:5" x14ac:dyDescent="0.3">
      <c r="B2931" s="18" t="s">
        <v>6156</v>
      </c>
      <c r="C2931" s="13">
        <v>70</v>
      </c>
      <c r="D2931" s="21" t="s">
        <v>6157</v>
      </c>
      <c r="E2931" s="24">
        <v>11</v>
      </c>
    </row>
    <row r="2932" spans="2:5" x14ac:dyDescent="0.3">
      <c r="B2932" s="18" t="s">
        <v>6158</v>
      </c>
      <c r="C2932" s="13">
        <v>71</v>
      </c>
      <c r="D2932" s="21" t="s">
        <v>6159</v>
      </c>
      <c r="E2932" s="24">
        <v>10</v>
      </c>
    </row>
    <row r="2933" spans="2:5" x14ac:dyDescent="0.3">
      <c r="B2933" s="18" t="s">
        <v>6160</v>
      </c>
      <c r="C2933" s="13">
        <v>72</v>
      </c>
      <c r="D2933" s="21" t="s">
        <v>6161</v>
      </c>
      <c r="E2933" s="24">
        <v>1</v>
      </c>
    </row>
    <row r="2934" spans="2:5" x14ac:dyDescent="0.3">
      <c r="B2934" s="18" t="s">
        <v>6162</v>
      </c>
      <c r="C2934" s="13">
        <v>73</v>
      </c>
      <c r="D2934" s="21" t="s">
        <v>6163</v>
      </c>
      <c r="E2934" s="24">
        <v>5</v>
      </c>
    </row>
    <row r="2935" spans="2:5" x14ac:dyDescent="0.3">
      <c r="B2935" s="18" t="s">
        <v>6164</v>
      </c>
      <c r="C2935" s="13">
        <v>119</v>
      </c>
      <c r="D2935" s="21" t="s">
        <v>6165</v>
      </c>
      <c r="E2935" s="24">
        <v>4</v>
      </c>
    </row>
    <row r="2936" spans="2:5" x14ac:dyDescent="0.3">
      <c r="B2936" s="18" t="s">
        <v>6166</v>
      </c>
      <c r="C2936" s="13">
        <v>118</v>
      </c>
      <c r="D2936" s="21" t="s">
        <v>6167</v>
      </c>
      <c r="E2936" s="24">
        <v>3</v>
      </c>
    </row>
    <row r="2937" spans="2:5" x14ac:dyDescent="0.3">
      <c r="B2937" s="18" t="s">
        <v>6168</v>
      </c>
      <c r="C2937" s="13">
        <v>117</v>
      </c>
      <c r="D2937" s="21" t="s">
        <v>6169</v>
      </c>
      <c r="E2937" s="24">
        <v>2</v>
      </c>
    </row>
    <row r="2938" spans="2:5" x14ac:dyDescent="0.3">
      <c r="B2938" s="18" t="s">
        <v>6170</v>
      </c>
      <c r="C2938" s="13">
        <v>116</v>
      </c>
      <c r="D2938" s="21" t="s">
        <v>6171</v>
      </c>
      <c r="E2938" s="24">
        <v>1</v>
      </c>
    </row>
    <row r="2939" spans="2:5" x14ac:dyDescent="0.3">
      <c r="B2939" s="18" t="s">
        <v>6172</v>
      </c>
      <c r="C2939" s="13">
        <v>115</v>
      </c>
      <c r="D2939" s="21" t="s">
        <v>6173</v>
      </c>
      <c r="E2939" s="24">
        <v>52</v>
      </c>
    </row>
    <row r="2940" spans="2:5" x14ac:dyDescent="0.3">
      <c r="B2940" s="18" t="s">
        <v>6174</v>
      </c>
      <c r="C2940" s="13">
        <v>114</v>
      </c>
      <c r="D2940" s="21" t="s">
        <v>6175</v>
      </c>
      <c r="E2940" s="24">
        <v>53</v>
      </c>
    </row>
    <row r="2941" spans="2:5" x14ac:dyDescent="0.3">
      <c r="B2941" s="18" t="s">
        <v>6176</v>
      </c>
      <c r="C2941" s="13">
        <v>113</v>
      </c>
      <c r="D2941" s="21" t="s">
        <v>6177</v>
      </c>
      <c r="E2941" s="24">
        <v>54</v>
      </c>
    </row>
    <row r="2942" spans="2:5" x14ac:dyDescent="0.3">
      <c r="B2942" s="18" t="s">
        <v>6178</v>
      </c>
      <c r="C2942" s="13">
        <v>112</v>
      </c>
      <c r="D2942" s="21" t="s">
        <v>6179</v>
      </c>
      <c r="E2942" s="24">
        <v>55</v>
      </c>
    </row>
    <row r="2943" spans="2:5" x14ac:dyDescent="0.3">
      <c r="B2943" s="18" t="s">
        <v>6180</v>
      </c>
      <c r="C2943" s="13">
        <v>111</v>
      </c>
      <c r="D2943" s="21" t="s">
        <v>6181</v>
      </c>
      <c r="E2943" s="24">
        <v>56</v>
      </c>
    </row>
    <row r="2944" spans="2:5" x14ac:dyDescent="0.3">
      <c r="B2944" s="18" t="s">
        <v>6182</v>
      </c>
      <c r="C2944" s="13">
        <v>110</v>
      </c>
      <c r="D2944" s="21" t="s">
        <v>6183</v>
      </c>
      <c r="E2944" s="24">
        <v>57</v>
      </c>
    </row>
    <row r="2945" spans="2:5" x14ac:dyDescent="0.3">
      <c r="B2945" s="18" t="s">
        <v>6184</v>
      </c>
      <c r="C2945" s="13">
        <v>109</v>
      </c>
      <c r="D2945" s="21" t="s">
        <v>6185</v>
      </c>
      <c r="E2945" s="24">
        <v>58</v>
      </c>
    </row>
    <row r="2946" spans="2:5" x14ac:dyDescent="0.3">
      <c r="B2946" s="18" t="s">
        <v>6186</v>
      </c>
      <c r="C2946" s="13">
        <v>108</v>
      </c>
      <c r="D2946" s="21" t="s">
        <v>6187</v>
      </c>
      <c r="E2946" s="24">
        <v>41</v>
      </c>
    </row>
    <row r="2947" spans="2:5" x14ac:dyDescent="0.3">
      <c r="B2947" s="18" t="s">
        <v>6188</v>
      </c>
      <c r="C2947" s="13">
        <v>107</v>
      </c>
      <c r="D2947" s="21" t="s">
        <v>6189</v>
      </c>
      <c r="E2947" s="24">
        <v>59</v>
      </c>
    </row>
    <row r="2948" spans="2:5" x14ac:dyDescent="0.3">
      <c r="B2948" s="18" t="s">
        <v>6190</v>
      </c>
      <c r="C2948" s="13">
        <v>106</v>
      </c>
      <c r="D2948" s="21" t="s">
        <v>6191</v>
      </c>
      <c r="E2948" s="24">
        <v>42</v>
      </c>
    </row>
    <row r="2949" spans="2:5" x14ac:dyDescent="0.3">
      <c r="B2949" s="18" t="s">
        <v>6192</v>
      </c>
      <c r="C2949" s="13">
        <v>105</v>
      </c>
      <c r="D2949" s="21" t="s">
        <v>6193</v>
      </c>
      <c r="E2949" s="24">
        <v>43</v>
      </c>
    </row>
    <row r="2950" spans="2:5" x14ac:dyDescent="0.3">
      <c r="B2950" s="18" t="s">
        <v>6194</v>
      </c>
      <c r="C2950" s="13">
        <v>104</v>
      </c>
      <c r="D2950" s="21" t="s">
        <v>6195</v>
      </c>
      <c r="E2950" s="24">
        <v>44</v>
      </c>
    </row>
    <row r="2951" spans="2:5" x14ac:dyDescent="0.3">
      <c r="B2951" s="18" t="s">
        <v>6196</v>
      </c>
      <c r="C2951" s="13">
        <v>103</v>
      </c>
      <c r="D2951" s="21" t="s">
        <v>6197</v>
      </c>
      <c r="E2951" s="24">
        <v>45</v>
      </c>
    </row>
    <row r="2952" spans="2:5" x14ac:dyDescent="0.3">
      <c r="B2952" s="18" t="s">
        <v>6198</v>
      </c>
      <c r="C2952" s="13">
        <v>102</v>
      </c>
      <c r="D2952" s="21" t="s">
        <v>6199</v>
      </c>
      <c r="E2952" s="24">
        <v>46</v>
      </c>
    </row>
    <row r="2953" spans="2:5" x14ac:dyDescent="0.3">
      <c r="B2953" s="18" t="s">
        <v>6200</v>
      </c>
      <c r="C2953" s="13">
        <v>101</v>
      </c>
      <c r="D2953" s="21" t="s">
        <v>6201</v>
      </c>
      <c r="E2953" s="24">
        <v>47</v>
      </c>
    </row>
    <row r="2954" spans="2:5" x14ac:dyDescent="0.3">
      <c r="B2954" s="18" t="s">
        <v>6202</v>
      </c>
      <c r="C2954" s="13">
        <v>100</v>
      </c>
      <c r="D2954" s="21" t="s">
        <v>6203</v>
      </c>
      <c r="E2954" s="24">
        <v>48</v>
      </c>
    </row>
    <row r="2955" spans="2:5" x14ac:dyDescent="0.3">
      <c r="B2955" s="18" t="s">
        <v>6204</v>
      </c>
      <c r="C2955" s="13">
        <v>99</v>
      </c>
      <c r="D2955" s="21" t="s">
        <v>6205</v>
      </c>
      <c r="E2955" s="24">
        <v>49</v>
      </c>
    </row>
    <row r="2956" spans="2:5" x14ac:dyDescent="0.3">
      <c r="B2956" s="18" t="s">
        <v>6206</v>
      </c>
      <c r="C2956" s="13">
        <v>98</v>
      </c>
      <c r="D2956" s="21" t="s">
        <v>6207</v>
      </c>
      <c r="E2956" s="24">
        <v>50</v>
      </c>
    </row>
    <row r="2957" spans="2:5" x14ac:dyDescent="0.3">
      <c r="B2957" s="18" t="s">
        <v>6208</v>
      </c>
      <c r="C2957" s="13">
        <v>97</v>
      </c>
      <c r="D2957" s="21" t="s">
        <v>6209</v>
      </c>
      <c r="E2957" s="24">
        <v>51</v>
      </c>
    </row>
    <row r="2958" spans="2:5" x14ac:dyDescent="0.3">
      <c r="B2958" s="18" t="s">
        <v>6210</v>
      </c>
      <c r="C2958" s="13">
        <v>125</v>
      </c>
      <c r="D2958" s="21" t="s">
        <v>6211</v>
      </c>
      <c r="E2958" s="24">
        <v>29</v>
      </c>
    </row>
    <row r="2959" spans="2:5" x14ac:dyDescent="0.3">
      <c r="B2959" s="18" t="s">
        <v>6212</v>
      </c>
      <c r="C2959" s="13">
        <v>124</v>
      </c>
      <c r="D2959" s="21" t="s">
        <v>6213</v>
      </c>
      <c r="E2959" s="24">
        <v>28</v>
      </c>
    </row>
    <row r="2960" spans="2:5" x14ac:dyDescent="0.3">
      <c r="B2960" s="18" t="s">
        <v>6214</v>
      </c>
      <c r="C2960" s="13">
        <v>123</v>
      </c>
      <c r="D2960" s="21" t="s">
        <v>6215</v>
      </c>
      <c r="E2960" s="24">
        <v>27</v>
      </c>
    </row>
    <row r="2961" spans="2:5" x14ac:dyDescent="0.3">
      <c r="B2961" s="18" t="s">
        <v>6216</v>
      </c>
      <c r="C2961" s="13">
        <v>122</v>
      </c>
      <c r="D2961" s="21" t="s">
        <v>6217</v>
      </c>
      <c r="E2961" s="24">
        <v>26</v>
      </c>
    </row>
    <row r="2962" spans="2:5" x14ac:dyDescent="0.3">
      <c r="B2962" s="18" t="s">
        <v>6218</v>
      </c>
      <c r="C2962" s="13">
        <v>121</v>
      </c>
      <c r="D2962" s="21" t="s">
        <v>6219</v>
      </c>
      <c r="E2962" s="24">
        <v>25</v>
      </c>
    </row>
    <row r="2963" spans="2:5" x14ac:dyDescent="0.3">
      <c r="B2963" s="18" t="s">
        <v>6220</v>
      </c>
      <c r="C2963" s="13">
        <v>120</v>
      </c>
      <c r="D2963" s="21" t="s">
        <v>6221</v>
      </c>
      <c r="E2963" s="24">
        <v>24</v>
      </c>
    </row>
    <row r="2964" spans="2:5" x14ac:dyDescent="0.3">
      <c r="B2964" s="18" t="s">
        <v>6222</v>
      </c>
      <c r="C2964" s="13">
        <v>1</v>
      </c>
      <c r="D2964" s="21" t="s">
        <v>6223</v>
      </c>
      <c r="E2964" s="24">
        <v>23</v>
      </c>
    </row>
    <row r="2965" spans="2:5" x14ac:dyDescent="0.3">
      <c r="B2965" s="18" t="s">
        <v>6224</v>
      </c>
      <c r="C2965" s="13">
        <v>10</v>
      </c>
      <c r="D2965" s="21" t="s">
        <v>6225</v>
      </c>
      <c r="E2965" s="24">
        <v>40</v>
      </c>
    </row>
    <row r="2966" spans="2:5" x14ac:dyDescent="0.3">
      <c r="B2966" s="18" t="s">
        <v>6226</v>
      </c>
      <c r="C2966" s="13">
        <v>11</v>
      </c>
      <c r="D2966" s="21" t="s">
        <v>6227</v>
      </c>
      <c r="E2966" s="24">
        <v>22</v>
      </c>
    </row>
    <row r="2967" spans="2:5" x14ac:dyDescent="0.3">
      <c r="B2967" s="18" t="s">
        <v>6228</v>
      </c>
      <c r="C2967" s="13">
        <v>12</v>
      </c>
      <c r="D2967" s="21" t="s">
        <v>6229</v>
      </c>
      <c r="E2967" s="24">
        <v>39</v>
      </c>
    </row>
    <row r="2968" spans="2:5" x14ac:dyDescent="0.3">
      <c r="B2968" s="18" t="s">
        <v>6230</v>
      </c>
      <c r="C2968" s="13">
        <v>13</v>
      </c>
      <c r="D2968" s="21" t="s">
        <v>6231</v>
      </c>
      <c r="E2968" s="24">
        <v>38</v>
      </c>
    </row>
    <row r="2969" spans="2:5" x14ac:dyDescent="0.3">
      <c r="B2969" s="18" t="s">
        <v>6232</v>
      </c>
      <c r="C2969" s="13">
        <v>14</v>
      </c>
      <c r="D2969" s="21" t="s">
        <v>6233</v>
      </c>
      <c r="E2969" s="24">
        <v>37</v>
      </c>
    </row>
    <row r="2970" spans="2:5" x14ac:dyDescent="0.3">
      <c r="B2970" s="18" t="s">
        <v>6234</v>
      </c>
      <c r="C2970" s="13">
        <v>15</v>
      </c>
      <c r="D2970" s="21" t="s">
        <v>6235</v>
      </c>
      <c r="E2970" s="24">
        <v>36</v>
      </c>
    </row>
    <row r="2971" spans="2:5" x14ac:dyDescent="0.3">
      <c r="B2971" s="18" t="s">
        <v>6236</v>
      </c>
      <c r="C2971" s="13">
        <v>16</v>
      </c>
      <c r="D2971" s="21" t="s">
        <v>6237</v>
      </c>
      <c r="E2971" s="24">
        <v>35</v>
      </c>
    </row>
    <row r="2972" spans="2:5" x14ac:dyDescent="0.3">
      <c r="B2972" s="18" t="s">
        <v>6238</v>
      </c>
      <c r="C2972" s="13">
        <v>17</v>
      </c>
      <c r="D2972" s="21" t="s">
        <v>6239</v>
      </c>
      <c r="E2972" s="24">
        <v>34</v>
      </c>
    </row>
    <row r="2973" spans="2:5" x14ac:dyDescent="0.3">
      <c r="B2973" s="18" t="s">
        <v>6240</v>
      </c>
      <c r="C2973" s="13">
        <v>18</v>
      </c>
      <c r="D2973" s="21" t="s">
        <v>6241</v>
      </c>
      <c r="E2973" s="24">
        <v>33</v>
      </c>
    </row>
    <row r="2974" spans="2:5" x14ac:dyDescent="0.3">
      <c r="B2974" s="18" t="s">
        <v>6242</v>
      </c>
      <c r="C2974" s="13">
        <v>19</v>
      </c>
      <c r="D2974" s="21" t="s">
        <v>6243</v>
      </c>
      <c r="E2974" s="24">
        <v>32</v>
      </c>
    </row>
    <row r="2975" spans="2:5" x14ac:dyDescent="0.3">
      <c r="B2975" s="18" t="s">
        <v>6244</v>
      </c>
      <c r="C2975" s="13">
        <v>2</v>
      </c>
      <c r="D2975" s="21" t="s">
        <v>6245</v>
      </c>
      <c r="E2975" s="24">
        <v>31</v>
      </c>
    </row>
    <row r="2976" spans="2:5" x14ac:dyDescent="0.3">
      <c r="B2976" s="18" t="s">
        <v>6246</v>
      </c>
      <c r="C2976" s="13">
        <v>20</v>
      </c>
      <c r="D2976" s="21" t="s">
        <v>6247</v>
      </c>
      <c r="E2976" s="24">
        <v>30</v>
      </c>
    </row>
    <row r="2977" spans="2:5" x14ac:dyDescent="0.3">
      <c r="B2977" s="18" t="s">
        <v>6248</v>
      </c>
      <c r="C2977" s="13">
        <v>21</v>
      </c>
      <c r="D2977" s="21" t="s">
        <v>6249</v>
      </c>
      <c r="E2977" s="24">
        <v>21</v>
      </c>
    </row>
    <row r="2978" spans="2:5" x14ac:dyDescent="0.3">
      <c r="B2978" s="18" t="s">
        <v>6250</v>
      </c>
      <c r="C2978" s="13">
        <v>22</v>
      </c>
      <c r="D2978" s="21" t="s">
        <v>6251</v>
      </c>
      <c r="E2978" s="24">
        <v>9</v>
      </c>
    </row>
    <row r="2979" spans="2:5" x14ac:dyDescent="0.3">
      <c r="B2979" s="18" t="s">
        <v>6252</v>
      </c>
      <c r="C2979" s="13">
        <v>23</v>
      </c>
      <c r="D2979" s="21" t="s">
        <v>6253</v>
      </c>
      <c r="E2979" s="24">
        <v>8</v>
      </c>
    </row>
    <row r="2980" spans="2:5" x14ac:dyDescent="0.3">
      <c r="B2980" s="18" t="s">
        <v>6254</v>
      </c>
      <c r="C2980" s="13">
        <v>24</v>
      </c>
      <c r="D2980" s="21" t="s">
        <v>6255</v>
      </c>
      <c r="E2980" s="24">
        <v>7</v>
      </c>
    </row>
    <row r="2981" spans="2:5" x14ac:dyDescent="0.3">
      <c r="B2981" s="18" t="s">
        <v>6256</v>
      </c>
      <c r="C2981" s="13">
        <v>25</v>
      </c>
      <c r="D2981" s="21" t="s">
        <v>6257</v>
      </c>
      <c r="E2981" s="24">
        <v>6</v>
      </c>
    </row>
    <row r="2982" spans="2:5" x14ac:dyDescent="0.3">
      <c r="B2982" s="18" t="s">
        <v>6258</v>
      </c>
      <c r="C2982" s="13">
        <v>26</v>
      </c>
      <c r="D2982" s="21" t="s">
        <v>6259</v>
      </c>
      <c r="E2982" s="24">
        <v>5</v>
      </c>
    </row>
    <row r="2983" spans="2:5" x14ac:dyDescent="0.3">
      <c r="B2983" s="18" t="s">
        <v>6260</v>
      </c>
      <c r="C2983" s="13">
        <v>27</v>
      </c>
      <c r="D2983" s="21" t="s">
        <v>6261</v>
      </c>
      <c r="E2983" s="24">
        <v>4</v>
      </c>
    </row>
    <row r="2984" spans="2:5" x14ac:dyDescent="0.3">
      <c r="B2984" s="18" t="s">
        <v>6262</v>
      </c>
      <c r="C2984" s="13">
        <v>28</v>
      </c>
      <c r="D2984" s="21" t="s">
        <v>6263</v>
      </c>
      <c r="E2984" s="24">
        <v>3</v>
      </c>
    </row>
    <row r="2985" spans="2:5" x14ac:dyDescent="0.3">
      <c r="B2985" s="18" t="s">
        <v>6264</v>
      </c>
      <c r="C2985" s="13">
        <v>29</v>
      </c>
      <c r="D2985" s="21" t="s">
        <v>6265</v>
      </c>
      <c r="E2985" s="24">
        <v>20</v>
      </c>
    </row>
    <row r="2986" spans="2:5" x14ac:dyDescent="0.3">
      <c r="B2986" s="18" t="s">
        <v>6266</v>
      </c>
      <c r="C2986" s="13">
        <v>3</v>
      </c>
      <c r="D2986" s="21" t="s">
        <v>6267</v>
      </c>
      <c r="E2986" s="24">
        <v>2</v>
      </c>
    </row>
    <row r="2987" spans="2:5" x14ac:dyDescent="0.3">
      <c r="B2987" s="18" t="s">
        <v>6268</v>
      </c>
      <c r="C2987" s="13">
        <v>30</v>
      </c>
      <c r="D2987" s="21" t="s">
        <v>6269</v>
      </c>
      <c r="E2987" s="24">
        <v>19</v>
      </c>
    </row>
    <row r="2988" spans="2:5" x14ac:dyDescent="0.3">
      <c r="B2988" s="18" t="s">
        <v>6270</v>
      </c>
      <c r="C2988" s="13">
        <v>31</v>
      </c>
      <c r="D2988" s="21" t="s">
        <v>6271</v>
      </c>
      <c r="E2988" s="24">
        <v>18</v>
      </c>
    </row>
    <row r="2989" spans="2:5" x14ac:dyDescent="0.3">
      <c r="B2989" s="18" t="s">
        <v>6272</v>
      </c>
      <c r="C2989" s="13">
        <v>32</v>
      </c>
      <c r="D2989" s="21" t="s">
        <v>6273</v>
      </c>
      <c r="E2989" s="24">
        <v>17</v>
      </c>
    </row>
    <row r="2990" spans="2:5" x14ac:dyDescent="0.3">
      <c r="B2990" s="18" t="s">
        <v>6274</v>
      </c>
      <c r="C2990" s="13">
        <v>4</v>
      </c>
      <c r="D2990" s="21" t="s">
        <v>6275</v>
      </c>
      <c r="E2990" s="24">
        <v>16</v>
      </c>
    </row>
    <row r="2991" spans="2:5" x14ac:dyDescent="0.3">
      <c r="B2991" s="18" t="s">
        <v>6276</v>
      </c>
      <c r="C2991" s="13">
        <v>5</v>
      </c>
      <c r="D2991" s="21" t="s">
        <v>6277</v>
      </c>
      <c r="E2991" s="24">
        <v>15</v>
      </c>
    </row>
    <row r="2992" spans="2:5" x14ac:dyDescent="0.3">
      <c r="B2992" s="18" t="s">
        <v>6278</v>
      </c>
      <c r="C2992" s="13">
        <v>6</v>
      </c>
      <c r="D2992" s="21" t="s">
        <v>6279</v>
      </c>
      <c r="E2992" s="24">
        <v>14</v>
      </c>
    </row>
    <row r="2993" spans="2:5" x14ac:dyDescent="0.3">
      <c r="B2993" s="18" t="s">
        <v>6280</v>
      </c>
      <c r="C2993" s="13">
        <v>7</v>
      </c>
      <c r="D2993" s="21" t="s">
        <v>6281</v>
      </c>
      <c r="E2993" s="24">
        <v>13</v>
      </c>
    </row>
    <row r="2994" spans="2:5" x14ac:dyDescent="0.3">
      <c r="B2994" s="18" t="s">
        <v>6282</v>
      </c>
      <c r="C2994" s="13">
        <v>8</v>
      </c>
      <c r="D2994" s="21" t="s">
        <v>6283</v>
      </c>
      <c r="E2994" s="24">
        <v>12</v>
      </c>
    </row>
    <row r="2995" spans="2:5" x14ac:dyDescent="0.3">
      <c r="B2995" s="18" t="s">
        <v>6284</v>
      </c>
      <c r="C2995" s="13">
        <v>9</v>
      </c>
      <c r="D2995" s="21" t="s">
        <v>6285</v>
      </c>
      <c r="E2995" s="24">
        <v>11</v>
      </c>
    </row>
    <row r="2996" spans="2:5" x14ac:dyDescent="0.3">
      <c r="B2996" s="18" t="s">
        <v>6286</v>
      </c>
      <c r="C2996" s="13">
        <v>64</v>
      </c>
      <c r="D2996" s="21" t="s">
        <v>6287</v>
      </c>
      <c r="E2996" s="24">
        <v>10</v>
      </c>
    </row>
    <row r="2997" spans="2:5" x14ac:dyDescent="0.3">
      <c r="B2997" s="18" t="s">
        <v>6288</v>
      </c>
      <c r="C2997" s="13">
        <v>55</v>
      </c>
      <c r="D2997" s="21" t="s">
        <v>6289</v>
      </c>
      <c r="E2997" s="24">
        <v>1</v>
      </c>
    </row>
    <row r="2998" spans="2:5" x14ac:dyDescent="0.3">
      <c r="B2998" s="18" t="s">
        <v>6290</v>
      </c>
      <c r="C2998" s="13">
        <v>54</v>
      </c>
      <c r="D2998" s="21" t="s">
        <v>6291</v>
      </c>
      <c r="E2998" s="24">
        <v>52</v>
      </c>
    </row>
    <row r="2999" spans="2:5" x14ac:dyDescent="0.3">
      <c r="B2999" s="18" t="s">
        <v>6292</v>
      </c>
      <c r="C2999" s="13">
        <v>53</v>
      </c>
      <c r="D2999" s="21" t="s">
        <v>6293</v>
      </c>
      <c r="E2999" s="24">
        <v>53</v>
      </c>
    </row>
    <row r="3000" spans="2:5" x14ac:dyDescent="0.3">
      <c r="B3000" s="18" t="s">
        <v>6294</v>
      </c>
      <c r="C3000" s="13">
        <v>52</v>
      </c>
      <c r="D3000" s="21" t="s">
        <v>6295</v>
      </c>
      <c r="E3000" s="24">
        <v>54</v>
      </c>
    </row>
    <row r="3001" spans="2:5" x14ac:dyDescent="0.3">
      <c r="B3001" s="18" t="s">
        <v>6296</v>
      </c>
      <c r="C3001" s="13">
        <v>51</v>
      </c>
      <c r="D3001" s="21" t="s">
        <v>6297</v>
      </c>
      <c r="E3001" s="24">
        <v>55</v>
      </c>
    </row>
    <row r="3002" spans="2:5" x14ac:dyDescent="0.3">
      <c r="B3002" s="18" t="s">
        <v>6298</v>
      </c>
      <c r="C3002" s="13">
        <v>50</v>
      </c>
      <c r="D3002" s="21" t="s">
        <v>6299</v>
      </c>
      <c r="E3002" s="24">
        <v>56</v>
      </c>
    </row>
    <row r="3003" spans="2:5" x14ac:dyDescent="0.3">
      <c r="B3003" s="18" t="s">
        <v>6300</v>
      </c>
      <c r="C3003" s="13">
        <v>49</v>
      </c>
      <c r="D3003" s="21" t="s">
        <v>6301</v>
      </c>
      <c r="E3003" s="24">
        <v>57</v>
      </c>
    </row>
    <row r="3004" spans="2:5" x14ac:dyDescent="0.3">
      <c r="B3004" s="18" t="s">
        <v>6302</v>
      </c>
      <c r="C3004" s="13">
        <v>48</v>
      </c>
      <c r="D3004" s="21" t="s">
        <v>6303</v>
      </c>
      <c r="E3004" s="24">
        <v>58</v>
      </c>
    </row>
    <row r="3005" spans="2:5" x14ac:dyDescent="0.3">
      <c r="B3005" s="18" t="s">
        <v>6304</v>
      </c>
      <c r="C3005" s="13">
        <v>47</v>
      </c>
      <c r="D3005" s="21" t="s">
        <v>6305</v>
      </c>
      <c r="E3005" s="24">
        <v>41</v>
      </c>
    </row>
    <row r="3006" spans="2:5" x14ac:dyDescent="0.3">
      <c r="B3006" s="18" t="s">
        <v>6306</v>
      </c>
      <c r="C3006" s="13">
        <v>46</v>
      </c>
      <c r="D3006" s="21" t="s">
        <v>6307</v>
      </c>
      <c r="E3006" s="24">
        <v>42</v>
      </c>
    </row>
    <row r="3007" spans="2:5" x14ac:dyDescent="0.3">
      <c r="B3007" s="18" t="s">
        <v>6308</v>
      </c>
      <c r="C3007" s="13">
        <v>63</v>
      </c>
      <c r="D3007" s="21" t="s">
        <v>6309</v>
      </c>
      <c r="E3007" s="24">
        <v>43</v>
      </c>
    </row>
    <row r="3008" spans="2:5" x14ac:dyDescent="0.3">
      <c r="B3008" s="18" t="s">
        <v>6310</v>
      </c>
      <c r="C3008" s="13">
        <v>45</v>
      </c>
      <c r="D3008" s="21" t="s">
        <v>6311</v>
      </c>
      <c r="E3008" s="24">
        <v>44</v>
      </c>
    </row>
    <row r="3009" spans="2:5" x14ac:dyDescent="0.3">
      <c r="B3009" s="18" t="s">
        <v>6312</v>
      </c>
      <c r="C3009" s="13">
        <v>44</v>
      </c>
      <c r="D3009" s="21" t="s">
        <v>6313</v>
      </c>
      <c r="E3009" s="24">
        <v>45</v>
      </c>
    </row>
    <row r="3010" spans="2:5" x14ac:dyDescent="0.3">
      <c r="B3010" s="18" t="s">
        <v>6314</v>
      </c>
      <c r="C3010" s="13">
        <v>43</v>
      </c>
      <c r="D3010" s="21" t="s">
        <v>6315</v>
      </c>
      <c r="E3010" s="24">
        <v>46</v>
      </c>
    </row>
    <row r="3011" spans="2:5" x14ac:dyDescent="0.3">
      <c r="B3011" s="18" t="s">
        <v>6316</v>
      </c>
      <c r="C3011" s="13">
        <v>42</v>
      </c>
      <c r="D3011" s="21" t="s">
        <v>6317</v>
      </c>
      <c r="E3011" s="24">
        <v>47</v>
      </c>
    </row>
    <row r="3012" spans="2:5" x14ac:dyDescent="0.3">
      <c r="B3012" s="18" t="s">
        <v>6318</v>
      </c>
      <c r="C3012" s="13">
        <v>41</v>
      </c>
      <c r="D3012" s="21" t="s">
        <v>6319</v>
      </c>
      <c r="E3012" s="24">
        <v>48</v>
      </c>
    </row>
    <row r="3013" spans="2:5" x14ac:dyDescent="0.3">
      <c r="B3013" s="18" t="s">
        <v>6320</v>
      </c>
      <c r="C3013" s="13">
        <v>40</v>
      </c>
      <c r="D3013" s="21" t="s">
        <v>6321</v>
      </c>
      <c r="E3013" s="24">
        <v>49</v>
      </c>
    </row>
    <row r="3014" spans="2:5" x14ac:dyDescent="0.3">
      <c r="B3014" s="18" t="s">
        <v>6322</v>
      </c>
      <c r="C3014" s="13">
        <v>39</v>
      </c>
      <c r="D3014" s="21" t="s">
        <v>6323</v>
      </c>
      <c r="E3014" s="24">
        <v>50</v>
      </c>
    </row>
    <row r="3015" spans="2:5" x14ac:dyDescent="0.3">
      <c r="B3015" s="18" t="s">
        <v>6324</v>
      </c>
      <c r="C3015" s="13">
        <v>38</v>
      </c>
      <c r="D3015" s="21" t="s">
        <v>6325</v>
      </c>
      <c r="E3015" s="24">
        <v>51</v>
      </c>
    </row>
    <row r="3016" spans="2:5" x14ac:dyDescent="0.3">
      <c r="B3016" s="18" t="s">
        <v>6326</v>
      </c>
      <c r="C3016" s="13">
        <v>37</v>
      </c>
      <c r="D3016" s="21" t="s">
        <v>6327</v>
      </c>
      <c r="E3016" s="24">
        <v>29</v>
      </c>
    </row>
    <row r="3017" spans="2:5" x14ac:dyDescent="0.3">
      <c r="B3017" s="18" t="s">
        <v>6328</v>
      </c>
      <c r="C3017" s="13">
        <v>36</v>
      </c>
      <c r="D3017" s="21" t="s">
        <v>6329</v>
      </c>
      <c r="E3017" s="24">
        <v>28</v>
      </c>
    </row>
    <row r="3018" spans="2:5" x14ac:dyDescent="0.3">
      <c r="B3018" s="18" t="s">
        <v>6330</v>
      </c>
      <c r="C3018" s="13">
        <v>62</v>
      </c>
      <c r="D3018" s="21" t="s">
        <v>6331</v>
      </c>
      <c r="E3018" s="24">
        <v>27</v>
      </c>
    </row>
    <row r="3019" spans="2:5" x14ac:dyDescent="0.3">
      <c r="B3019" s="18" t="s">
        <v>6332</v>
      </c>
      <c r="C3019" s="13">
        <v>35</v>
      </c>
      <c r="D3019" s="21" t="s">
        <v>6333</v>
      </c>
      <c r="E3019" s="24">
        <v>26</v>
      </c>
    </row>
    <row r="3020" spans="2:5" x14ac:dyDescent="0.3">
      <c r="B3020" s="18" t="s">
        <v>6334</v>
      </c>
      <c r="C3020" s="13">
        <v>34</v>
      </c>
      <c r="D3020" s="21" t="s">
        <v>6335</v>
      </c>
      <c r="E3020" s="24">
        <v>25</v>
      </c>
    </row>
    <row r="3021" spans="2:5" x14ac:dyDescent="0.3">
      <c r="B3021" s="18" t="s">
        <v>6336</v>
      </c>
      <c r="C3021" s="13">
        <v>33</v>
      </c>
      <c r="D3021" s="21" t="s">
        <v>6337</v>
      </c>
      <c r="E3021" s="24">
        <v>24</v>
      </c>
    </row>
    <row r="3022" spans="2:5" x14ac:dyDescent="0.3">
      <c r="B3022" s="18" t="s">
        <v>6338</v>
      </c>
      <c r="C3022" s="13">
        <v>61</v>
      </c>
      <c r="D3022" s="21" t="s">
        <v>6339</v>
      </c>
      <c r="E3022" s="24">
        <v>23</v>
      </c>
    </row>
    <row r="3023" spans="2:5" x14ac:dyDescent="0.3">
      <c r="B3023" s="18" t="s">
        <v>6340</v>
      </c>
      <c r="C3023" s="13">
        <v>60</v>
      </c>
      <c r="D3023" s="21" t="s">
        <v>6341</v>
      </c>
      <c r="E3023" s="24">
        <v>40</v>
      </c>
    </row>
    <row r="3024" spans="2:5" x14ac:dyDescent="0.3">
      <c r="B3024" s="18" t="s">
        <v>6342</v>
      </c>
      <c r="C3024" s="13">
        <v>59</v>
      </c>
      <c r="D3024" s="21" t="s">
        <v>6343</v>
      </c>
      <c r="E3024" s="24">
        <v>22</v>
      </c>
    </row>
    <row r="3025" spans="2:5" x14ac:dyDescent="0.3">
      <c r="B3025" s="18" t="s">
        <v>6344</v>
      </c>
      <c r="C3025" s="13">
        <v>58</v>
      </c>
      <c r="D3025" s="21" t="s">
        <v>6345</v>
      </c>
      <c r="E3025" s="24">
        <v>39</v>
      </c>
    </row>
    <row r="3026" spans="2:5" x14ac:dyDescent="0.3">
      <c r="B3026" s="18" t="s">
        <v>6346</v>
      </c>
      <c r="C3026" s="13">
        <v>57</v>
      </c>
      <c r="D3026" s="21" t="s">
        <v>6347</v>
      </c>
      <c r="E3026" s="24">
        <v>38</v>
      </c>
    </row>
    <row r="3027" spans="2:5" x14ac:dyDescent="0.3">
      <c r="B3027" s="18" t="s">
        <v>6348</v>
      </c>
      <c r="C3027" s="13">
        <v>56</v>
      </c>
      <c r="D3027" s="21" t="s">
        <v>6349</v>
      </c>
      <c r="E3027" s="24">
        <v>37</v>
      </c>
    </row>
    <row r="3028" spans="2:5" x14ac:dyDescent="0.3">
      <c r="B3028" s="18" t="s">
        <v>6350</v>
      </c>
      <c r="C3028" s="13">
        <v>65</v>
      </c>
      <c r="D3028" s="21" t="s">
        <v>6351</v>
      </c>
      <c r="E3028" s="24">
        <v>36</v>
      </c>
    </row>
    <row r="3029" spans="2:5" x14ac:dyDescent="0.3">
      <c r="B3029" s="18" t="s">
        <v>6352</v>
      </c>
      <c r="C3029" s="13">
        <v>74</v>
      </c>
      <c r="D3029" s="21" t="s">
        <v>6353</v>
      </c>
      <c r="E3029" s="24">
        <v>35</v>
      </c>
    </row>
    <row r="3030" spans="2:5" x14ac:dyDescent="0.3">
      <c r="B3030" s="18" t="s">
        <v>6354</v>
      </c>
      <c r="C3030" s="13">
        <v>75</v>
      </c>
      <c r="D3030" s="21" t="s">
        <v>6355</v>
      </c>
      <c r="E3030" s="24">
        <v>34</v>
      </c>
    </row>
    <row r="3031" spans="2:5" x14ac:dyDescent="0.3">
      <c r="B3031" s="18" t="s">
        <v>6356</v>
      </c>
      <c r="C3031" s="13">
        <v>76</v>
      </c>
      <c r="D3031" s="21" t="s">
        <v>6357</v>
      </c>
      <c r="E3031" s="24">
        <v>33</v>
      </c>
    </row>
    <row r="3032" spans="2:5" x14ac:dyDescent="0.3">
      <c r="B3032" s="18" t="s">
        <v>6358</v>
      </c>
      <c r="C3032" s="13">
        <v>77</v>
      </c>
      <c r="D3032" s="21" t="s">
        <v>6359</v>
      </c>
      <c r="E3032" s="24">
        <v>32</v>
      </c>
    </row>
    <row r="3033" spans="2:5" x14ac:dyDescent="0.3">
      <c r="B3033" s="18" t="s">
        <v>6360</v>
      </c>
      <c r="C3033" s="13">
        <v>78</v>
      </c>
      <c r="D3033" s="21" t="s">
        <v>6361</v>
      </c>
      <c r="E3033" s="24">
        <v>31</v>
      </c>
    </row>
    <row r="3034" spans="2:5" x14ac:dyDescent="0.3">
      <c r="B3034" s="18" t="s">
        <v>6362</v>
      </c>
      <c r="C3034" s="13">
        <v>79</v>
      </c>
      <c r="D3034" s="21" t="s">
        <v>6363</v>
      </c>
      <c r="E3034" s="24">
        <v>30</v>
      </c>
    </row>
    <row r="3035" spans="2:5" x14ac:dyDescent="0.3">
      <c r="B3035" s="18" t="s">
        <v>6364</v>
      </c>
      <c r="C3035" s="13">
        <v>80</v>
      </c>
      <c r="D3035" s="21" t="s">
        <v>6365</v>
      </c>
      <c r="E3035" s="24">
        <v>21</v>
      </c>
    </row>
    <row r="3036" spans="2:5" x14ac:dyDescent="0.3">
      <c r="B3036" s="18" t="s">
        <v>6366</v>
      </c>
      <c r="C3036" s="13">
        <v>81</v>
      </c>
      <c r="D3036" s="21" t="s">
        <v>6367</v>
      </c>
      <c r="E3036" s="24">
        <v>9</v>
      </c>
    </row>
    <row r="3037" spans="2:5" x14ac:dyDescent="0.3">
      <c r="B3037" s="18" t="s">
        <v>6368</v>
      </c>
      <c r="C3037" s="13">
        <v>82</v>
      </c>
      <c r="D3037" s="21" t="s">
        <v>6369</v>
      </c>
      <c r="E3037" s="24">
        <v>8</v>
      </c>
    </row>
    <row r="3038" spans="2:5" x14ac:dyDescent="0.3">
      <c r="B3038" s="18" t="s">
        <v>6370</v>
      </c>
      <c r="C3038" s="13">
        <v>83</v>
      </c>
      <c r="D3038" s="21" t="s">
        <v>6371</v>
      </c>
      <c r="E3038" s="24">
        <v>7</v>
      </c>
    </row>
    <row r="3039" spans="2:5" x14ac:dyDescent="0.3">
      <c r="B3039" s="18" t="s">
        <v>6372</v>
      </c>
      <c r="C3039" s="13">
        <v>66</v>
      </c>
      <c r="D3039" s="21" t="s">
        <v>6373</v>
      </c>
      <c r="E3039" s="24">
        <v>6</v>
      </c>
    </row>
    <row r="3040" spans="2:5" x14ac:dyDescent="0.3">
      <c r="B3040" s="18" t="s">
        <v>6374</v>
      </c>
      <c r="C3040" s="13">
        <v>84</v>
      </c>
      <c r="D3040" s="21" t="s">
        <v>6375</v>
      </c>
      <c r="E3040" s="24">
        <v>5</v>
      </c>
    </row>
    <row r="3041" spans="2:5" x14ac:dyDescent="0.3">
      <c r="B3041" s="18" t="s">
        <v>6376</v>
      </c>
      <c r="C3041" s="13">
        <v>85</v>
      </c>
      <c r="D3041" s="21" t="s">
        <v>6377</v>
      </c>
      <c r="E3041" s="24">
        <v>4</v>
      </c>
    </row>
    <row r="3042" spans="2:5" x14ac:dyDescent="0.3">
      <c r="B3042" s="18" t="s">
        <v>6378</v>
      </c>
      <c r="C3042" s="13">
        <v>86</v>
      </c>
      <c r="D3042" s="21" t="s">
        <v>6379</v>
      </c>
      <c r="E3042" s="24">
        <v>3</v>
      </c>
    </row>
    <row r="3043" spans="2:5" x14ac:dyDescent="0.3">
      <c r="B3043" s="18" t="s">
        <v>6380</v>
      </c>
      <c r="C3043" s="13">
        <v>87</v>
      </c>
      <c r="D3043" s="21" t="s">
        <v>6381</v>
      </c>
      <c r="E3043" s="24">
        <v>20</v>
      </c>
    </row>
    <row r="3044" spans="2:5" x14ac:dyDescent="0.3">
      <c r="B3044" s="18" t="s">
        <v>6382</v>
      </c>
      <c r="C3044" s="13">
        <v>88</v>
      </c>
      <c r="D3044" s="21" t="s">
        <v>6383</v>
      </c>
      <c r="E3044" s="24">
        <v>2</v>
      </c>
    </row>
    <row r="3045" spans="2:5" x14ac:dyDescent="0.3">
      <c r="B3045" s="18" t="s">
        <v>6384</v>
      </c>
      <c r="C3045" s="13">
        <v>89</v>
      </c>
      <c r="D3045" s="21" t="s">
        <v>6385</v>
      </c>
      <c r="E3045" s="24">
        <v>19</v>
      </c>
    </row>
    <row r="3046" spans="2:5" x14ac:dyDescent="0.3">
      <c r="B3046" s="18" t="s">
        <v>6386</v>
      </c>
      <c r="C3046" s="13">
        <v>90</v>
      </c>
      <c r="D3046" s="21" t="s">
        <v>6387</v>
      </c>
      <c r="E3046" s="24">
        <v>18</v>
      </c>
    </row>
    <row r="3047" spans="2:5" x14ac:dyDescent="0.3">
      <c r="B3047" s="18" t="s">
        <v>6388</v>
      </c>
      <c r="C3047" s="13">
        <v>91</v>
      </c>
      <c r="D3047" s="21" t="s">
        <v>6389</v>
      </c>
      <c r="E3047" s="24">
        <v>17</v>
      </c>
    </row>
    <row r="3048" spans="2:5" x14ac:dyDescent="0.3">
      <c r="B3048" s="18" t="s">
        <v>6390</v>
      </c>
      <c r="C3048" s="13">
        <v>92</v>
      </c>
      <c r="D3048" s="21" t="s">
        <v>6391</v>
      </c>
      <c r="E3048" s="24">
        <v>16</v>
      </c>
    </row>
    <row r="3049" spans="2:5" x14ac:dyDescent="0.3">
      <c r="B3049" s="18" t="s">
        <v>6392</v>
      </c>
      <c r="C3049" s="13">
        <v>93</v>
      </c>
      <c r="D3049" s="21" t="s">
        <v>6393</v>
      </c>
      <c r="E3049" s="24">
        <v>15</v>
      </c>
    </row>
    <row r="3050" spans="2:5" x14ac:dyDescent="0.3">
      <c r="B3050" s="18" t="s">
        <v>6394</v>
      </c>
      <c r="C3050" s="13">
        <v>67</v>
      </c>
      <c r="D3050" s="21" t="s">
        <v>6395</v>
      </c>
      <c r="E3050" s="24">
        <v>14</v>
      </c>
    </row>
    <row r="3051" spans="2:5" x14ac:dyDescent="0.3">
      <c r="B3051" s="18" t="s">
        <v>6396</v>
      </c>
      <c r="C3051" s="13">
        <v>94</v>
      </c>
      <c r="D3051" s="21" t="s">
        <v>6397</v>
      </c>
      <c r="E3051" s="24">
        <v>13</v>
      </c>
    </row>
    <row r="3052" spans="2:5" x14ac:dyDescent="0.3">
      <c r="B3052" s="18" t="s">
        <v>6398</v>
      </c>
      <c r="C3052" s="13">
        <v>95</v>
      </c>
      <c r="D3052" s="21" t="s">
        <v>6399</v>
      </c>
      <c r="E3052" s="24">
        <v>12</v>
      </c>
    </row>
    <row r="3053" spans="2:5" x14ac:dyDescent="0.3">
      <c r="B3053" s="18" t="s">
        <v>6400</v>
      </c>
      <c r="C3053" s="13">
        <v>96</v>
      </c>
      <c r="D3053" s="21" t="s">
        <v>6401</v>
      </c>
      <c r="E3053" s="24">
        <v>11</v>
      </c>
    </row>
    <row r="3054" spans="2:5" x14ac:dyDescent="0.3">
      <c r="B3054" s="18" t="s">
        <v>6402</v>
      </c>
      <c r="C3054" s="13">
        <v>68</v>
      </c>
      <c r="D3054" s="21" t="s">
        <v>6403</v>
      </c>
      <c r="E3054" s="24">
        <v>10</v>
      </c>
    </row>
    <row r="3055" spans="2:5" x14ac:dyDescent="0.3">
      <c r="B3055" s="18" t="s">
        <v>6404</v>
      </c>
      <c r="C3055" s="13">
        <v>69</v>
      </c>
      <c r="D3055" s="21" t="s">
        <v>6405</v>
      </c>
      <c r="E3055" s="24">
        <v>1</v>
      </c>
    </row>
    <row r="3056" spans="2:5" x14ac:dyDescent="0.3">
      <c r="B3056" s="18" t="s">
        <v>6406</v>
      </c>
      <c r="C3056" s="13">
        <v>70</v>
      </c>
      <c r="D3056" s="21" t="s">
        <v>6407</v>
      </c>
      <c r="E3056" s="24">
        <v>49</v>
      </c>
    </row>
    <row r="3057" spans="2:5" x14ac:dyDescent="0.3">
      <c r="B3057" s="18" t="s">
        <v>6408</v>
      </c>
      <c r="C3057" s="13">
        <v>71</v>
      </c>
      <c r="D3057" s="21" t="s">
        <v>6409</v>
      </c>
      <c r="E3057" s="24">
        <v>50</v>
      </c>
    </row>
    <row r="3058" spans="2:5" x14ac:dyDescent="0.3">
      <c r="B3058" s="18" t="s">
        <v>6410</v>
      </c>
      <c r="C3058" s="13">
        <v>72</v>
      </c>
      <c r="D3058" s="21" t="s">
        <v>6411</v>
      </c>
      <c r="E3058" s="24">
        <v>51</v>
      </c>
    </row>
    <row r="3059" spans="2:5" x14ac:dyDescent="0.3">
      <c r="B3059" s="18" t="s">
        <v>6412</v>
      </c>
      <c r="C3059" s="13">
        <v>73</v>
      </c>
      <c r="D3059" s="21" t="s">
        <v>6413</v>
      </c>
      <c r="E3059" s="24">
        <v>52</v>
      </c>
    </row>
    <row r="3060" spans="2:5" x14ac:dyDescent="0.3">
      <c r="B3060" s="18" t="s">
        <v>6414</v>
      </c>
      <c r="C3060" s="13">
        <v>119</v>
      </c>
      <c r="D3060" s="21" t="s">
        <v>6415</v>
      </c>
      <c r="E3060" s="24">
        <v>53</v>
      </c>
    </row>
    <row r="3061" spans="2:5" x14ac:dyDescent="0.3">
      <c r="B3061" s="18" t="s">
        <v>6416</v>
      </c>
      <c r="C3061" s="13">
        <v>118</v>
      </c>
      <c r="D3061" s="21" t="s">
        <v>6417</v>
      </c>
      <c r="E3061" s="24">
        <v>54</v>
      </c>
    </row>
    <row r="3062" spans="2:5" x14ac:dyDescent="0.3">
      <c r="B3062" s="18" t="s">
        <v>6418</v>
      </c>
      <c r="C3062" s="13">
        <v>117</v>
      </c>
      <c r="D3062" s="21" t="s">
        <v>6419</v>
      </c>
      <c r="E3062" s="24">
        <v>55</v>
      </c>
    </row>
    <row r="3063" spans="2:5" x14ac:dyDescent="0.3">
      <c r="B3063" s="18" t="s">
        <v>6420</v>
      </c>
      <c r="C3063" s="13">
        <v>116</v>
      </c>
      <c r="D3063" s="21" t="s">
        <v>6421</v>
      </c>
      <c r="E3063" s="24">
        <v>56</v>
      </c>
    </row>
    <row r="3064" spans="2:5" x14ac:dyDescent="0.3">
      <c r="B3064" s="18" t="s">
        <v>6422</v>
      </c>
      <c r="C3064" s="13">
        <v>115</v>
      </c>
      <c r="D3064" s="21" t="s">
        <v>6423</v>
      </c>
      <c r="E3064" s="24">
        <v>39</v>
      </c>
    </row>
    <row r="3065" spans="2:5" x14ac:dyDescent="0.3">
      <c r="B3065" s="18" t="s">
        <v>6424</v>
      </c>
      <c r="C3065" s="13">
        <v>114</v>
      </c>
      <c r="D3065" s="21" t="s">
        <v>6425</v>
      </c>
      <c r="E3065" s="24">
        <v>40</v>
      </c>
    </row>
    <row r="3066" spans="2:5" x14ac:dyDescent="0.3">
      <c r="B3066" s="18" t="s">
        <v>6426</v>
      </c>
      <c r="C3066" s="13">
        <v>113</v>
      </c>
      <c r="D3066" s="21" t="s">
        <v>6427</v>
      </c>
      <c r="E3066" s="24">
        <v>41</v>
      </c>
    </row>
    <row r="3067" spans="2:5" x14ac:dyDescent="0.3">
      <c r="B3067" s="18" t="s">
        <v>6428</v>
      </c>
      <c r="C3067" s="13">
        <v>112</v>
      </c>
      <c r="D3067" s="21" t="s">
        <v>6429</v>
      </c>
      <c r="E3067" s="24">
        <v>42</v>
      </c>
    </row>
    <row r="3068" spans="2:5" x14ac:dyDescent="0.3">
      <c r="B3068" s="18" t="s">
        <v>6430</v>
      </c>
      <c r="C3068" s="13">
        <v>111</v>
      </c>
      <c r="D3068" s="21" t="s">
        <v>6431</v>
      </c>
      <c r="E3068" s="24">
        <v>43</v>
      </c>
    </row>
    <row r="3069" spans="2:5" x14ac:dyDescent="0.3">
      <c r="B3069" s="18" t="s">
        <v>6432</v>
      </c>
      <c r="C3069" s="13">
        <v>110</v>
      </c>
      <c r="D3069" s="21" t="s">
        <v>6433</v>
      </c>
      <c r="E3069" s="24">
        <v>44</v>
      </c>
    </row>
    <row r="3070" spans="2:5" x14ac:dyDescent="0.3">
      <c r="B3070" s="18" t="s">
        <v>6434</v>
      </c>
      <c r="C3070" s="13">
        <v>109</v>
      </c>
      <c r="D3070" s="21" t="s">
        <v>6435</v>
      </c>
      <c r="E3070" s="24">
        <v>45</v>
      </c>
    </row>
    <row r="3071" spans="2:5" x14ac:dyDescent="0.3">
      <c r="B3071" s="18" t="s">
        <v>6436</v>
      </c>
      <c r="C3071" s="13">
        <v>108</v>
      </c>
      <c r="D3071" s="21" t="s">
        <v>6437</v>
      </c>
      <c r="E3071" s="24">
        <v>46</v>
      </c>
    </row>
    <row r="3072" spans="2:5" x14ac:dyDescent="0.3">
      <c r="B3072" s="18" t="s">
        <v>6438</v>
      </c>
      <c r="C3072" s="13">
        <v>107</v>
      </c>
      <c r="D3072" s="21" t="s">
        <v>6439</v>
      </c>
      <c r="E3072" s="24">
        <v>47</v>
      </c>
    </row>
    <row r="3073" spans="2:5" x14ac:dyDescent="0.3">
      <c r="B3073" s="18" t="s">
        <v>6440</v>
      </c>
      <c r="C3073" s="13">
        <v>106</v>
      </c>
      <c r="D3073" s="21" t="s">
        <v>6441</v>
      </c>
      <c r="E3073" s="24">
        <v>48</v>
      </c>
    </row>
    <row r="3074" spans="2:5" x14ac:dyDescent="0.3">
      <c r="B3074" s="18" t="s">
        <v>6442</v>
      </c>
      <c r="C3074" s="13">
        <v>105</v>
      </c>
      <c r="D3074" s="21" t="s">
        <v>6443</v>
      </c>
      <c r="E3074" s="24">
        <v>57</v>
      </c>
    </row>
    <row r="3075" spans="2:5" x14ac:dyDescent="0.3">
      <c r="B3075" s="18" t="s">
        <v>6444</v>
      </c>
      <c r="C3075" s="13">
        <v>104</v>
      </c>
      <c r="D3075" s="21" t="s">
        <v>6445</v>
      </c>
      <c r="E3075" s="24">
        <v>28</v>
      </c>
    </row>
    <row r="3076" spans="2:5" x14ac:dyDescent="0.3">
      <c r="B3076" s="18" t="s">
        <v>6446</v>
      </c>
      <c r="C3076" s="13">
        <v>103</v>
      </c>
      <c r="D3076" s="21" t="s">
        <v>6447</v>
      </c>
      <c r="E3076" s="24">
        <v>27</v>
      </c>
    </row>
    <row r="3077" spans="2:5" x14ac:dyDescent="0.3">
      <c r="B3077" s="18" t="s">
        <v>6448</v>
      </c>
      <c r="C3077" s="13">
        <v>102</v>
      </c>
      <c r="D3077" s="21" t="s">
        <v>6449</v>
      </c>
      <c r="E3077" s="24">
        <v>26</v>
      </c>
    </row>
    <row r="3078" spans="2:5" x14ac:dyDescent="0.3">
      <c r="B3078" s="18" t="s">
        <v>6450</v>
      </c>
      <c r="C3078" s="13">
        <v>101</v>
      </c>
      <c r="D3078" s="21" t="s">
        <v>6451</v>
      </c>
      <c r="E3078" s="24">
        <v>25</v>
      </c>
    </row>
    <row r="3079" spans="2:5" x14ac:dyDescent="0.3">
      <c r="B3079" s="18" t="s">
        <v>6452</v>
      </c>
      <c r="C3079" s="13">
        <v>100</v>
      </c>
      <c r="D3079" s="21" t="s">
        <v>6453</v>
      </c>
      <c r="E3079" s="24">
        <v>24</v>
      </c>
    </row>
    <row r="3080" spans="2:5" x14ac:dyDescent="0.3">
      <c r="B3080" s="18" t="s">
        <v>6454</v>
      </c>
      <c r="C3080" s="13">
        <v>126</v>
      </c>
      <c r="D3080" s="21" t="s">
        <v>6455</v>
      </c>
      <c r="E3080" s="24">
        <v>23</v>
      </c>
    </row>
    <row r="3081" spans="2:5" x14ac:dyDescent="0.3">
      <c r="B3081" s="18" t="s">
        <v>6456</v>
      </c>
      <c r="C3081" s="13">
        <v>99</v>
      </c>
      <c r="D3081" s="21" t="s">
        <v>6457</v>
      </c>
      <c r="E3081" s="24">
        <v>22</v>
      </c>
    </row>
    <row r="3082" spans="2:5" x14ac:dyDescent="0.3">
      <c r="B3082" s="18" t="s">
        <v>6458</v>
      </c>
      <c r="C3082" s="13">
        <v>98</v>
      </c>
      <c r="D3082" s="21" t="s">
        <v>6459</v>
      </c>
      <c r="E3082" s="24">
        <v>21</v>
      </c>
    </row>
    <row r="3083" spans="2:5" x14ac:dyDescent="0.3">
      <c r="B3083" s="18" t="s">
        <v>6460</v>
      </c>
      <c r="C3083" s="13">
        <v>97</v>
      </c>
      <c r="D3083" s="21" t="s">
        <v>6461</v>
      </c>
      <c r="E3083" s="24">
        <v>38</v>
      </c>
    </row>
    <row r="3084" spans="2:5" x14ac:dyDescent="0.3">
      <c r="B3084" s="18" t="s">
        <v>6462</v>
      </c>
      <c r="C3084" s="13">
        <v>125</v>
      </c>
      <c r="D3084" s="21" t="s">
        <v>6463</v>
      </c>
      <c r="E3084" s="24">
        <v>37</v>
      </c>
    </row>
    <row r="3085" spans="2:5" x14ac:dyDescent="0.3">
      <c r="B3085" s="18" t="s">
        <v>6464</v>
      </c>
      <c r="C3085" s="13">
        <v>124</v>
      </c>
      <c r="D3085" s="21" t="s">
        <v>6465</v>
      </c>
      <c r="E3085" s="24">
        <v>36</v>
      </c>
    </row>
    <row r="3086" spans="2:5" x14ac:dyDescent="0.3">
      <c r="B3086" s="18" t="s">
        <v>6466</v>
      </c>
      <c r="C3086" s="13">
        <v>123</v>
      </c>
      <c r="D3086" s="21" t="s">
        <v>6467</v>
      </c>
      <c r="E3086" s="24">
        <v>35</v>
      </c>
    </row>
    <row r="3087" spans="2:5" x14ac:dyDescent="0.3">
      <c r="B3087" s="18" t="s">
        <v>6468</v>
      </c>
      <c r="C3087" s="13">
        <v>122</v>
      </c>
      <c r="D3087" s="21" t="s">
        <v>6469</v>
      </c>
      <c r="E3087" s="24">
        <v>34</v>
      </c>
    </row>
    <row r="3088" spans="2:5" x14ac:dyDescent="0.3">
      <c r="B3088" s="18" t="s">
        <v>6470</v>
      </c>
      <c r="C3088" s="13">
        <v>121</v>
      </c>
      <c r="D3088" s="21" t="s">
        <v>6471</v>
      </c>
      <c r="E3088" s="24">
        <v>33</v>
      </c>
    </row>
    <row r="3089" spans="2:5" x14ac:dyDescent="0.3">
      <c r="B3089" s="18" t="s">
        <v>6472</v>
      </c>
      <c r="C3089" s="13">
        <v>120</v>
      </c>
      <c r="D3089" s="21" t="s">
        <v>6473</v>
      </c>
      <c r="E3089" s="24">
        <v>32</v>
      </c>
    </row>
    <row r="3090" spans="2:5" x14ac:dyDescent="0.3">
      <c r="B3090" s="18" t="s">
        <v>6474</v>
      </c>
      <c r="C3090" s="13">
        <v>1</v>
      </c>
      <c r="D3090" s="21" t="s">
        <v>6475</v>
      </c>
      <c r="E3090" s="24">
        <v>31</v>
      </c>
    </row>
    <row r="3091" spans="2:5" x14ac:dyDescent="0.3">
      <c r="B3091" s="18" t="s">
        <v>6476</v>
      </c>
      <c r="C3091" s="13">
        <v>10</v>
      </c>
      <c r="D3091" s="21" t="s">
        <v>6477</v>
      </c>
      <c r="E3091" s="24">
        <v>30</v>
      </c>
    </row>
    <row r="3092" spans="2:5" x14ac:dyDescent="0.3">
      <c r="B3092" s="18" t="s">
        <v>6478</v>
      </c>
      <c r="C3092" s="13">
        <v>11</v>
      </c>
      <c r="D3092" s="21" t="s">
        <v>6479</v>
      </c>
      <c r="E3092" s="24">
        <v>29</v>
      </c>
    </row>
    <row r="3093" spans="2:5" x14ac:dyDescent="0.3">
      <c r="B3093" s="18" t="s">
        <v>6480</v>
      </c>
      <c r="C3093" s="13">
        <v>12</v>
      </c>
      <c r="D3093" s="21" t="s">
        <v>6481</v>
      </c>
      <c r="E3093" s="24">
        <v>20</v>
      </c>
    </row>
    <row r="3094" spans="2:5" x14ac:dyDescent="0.3">
      <c r="B3094" s="18" t="s">
        <v>6482</v>
      </c>
      <c r="C3094" s="13">
        <v>13</v>
      </c>
      <c r="D3094" s="21" t="s">
        <v>6483</v>
      </c>
      <c r="E3094" s="24">
        <v>9</v>
      </c>
    </row>
    <row r="3095" spans="2:5" x14ac:dyDescent="0.3">
      <c r="B3095" s="18" t="s">
        <v>6484</v>
      </c>
      <c r="C3095" s="13">
        <v>14</v>
      </c>
      <c r="D3095" s="21" t="s">
        <v>6485</v>
      </c>
      <c r="E3095" s="24">
        <v>8</v>
      </c>
    </row>
    <row r="3096" spans="2:5" x14ac:dyDescent="0.3">
      <c r="B3096" s="18" t="s">
        <v>6486</v>
      </c>
      <c r="C3096" s="13">
        <v>15</v>
      </c>
      <c r="D3096" s="21" t="s">
        <v>6487</v>
      </c>
      <c r="E3096" s="24">
        <v>7</v>
      </c>
    </row>
    <row r="3097" spans="2:5" x14ac:dyDescent="0.3">
      <c r="B3097" s="18" t="s">
        <v>6488</v>
      </c>
      <c r="C3097" s="13">
        <v>16</v>
      </c>
      <c r="D3097" s="21" t="s">
        <v>6489</v>
      </c>
      <c r="E3097" s="24">
        <v>6</v>
      </c>
    </row>
    <row r="3098" spans="2:5" x14ac:dyDescent="0.3">
      <c r="B3098" s="18" t="s">
        <v>6490</v>
      </c>
      <c r="C3098" s="13">
        <v>17</v>
      </c>
      <c r="D3098" s="21" t="s">
        <v>6491</v>
      </c>
      <c r="E3098" s="24">
        <v>5</v>
      </c>
    </row>
    <row r="3099" spans="2:5" x14ac:dyDescent="0.3">
      <c r="B3099" s="18" t="s">
        <v>6492</v>
      </c>
      <c r="C3099" s="13">
        <v>18</v>
      </c>
      <c r="D3099" s="21" t="s">
        <v>6493</v>
      </c>
      <c r="E3099" s="24">
        <v>4</v>
      </c>
    </row>
    <row r="3100" spans="2:5" x14ac:dyDescent="0.3">
      <c r="B3100" s="18" t="s">
        <v>6494</v>
      </c>
      <c r="C3100" s="13">
        <v>19</v>
      </c>
      <c r="D3100" s="21" t="s">
        <v>6495</v>
      </c>
      <c r="E3100" s="24">
        <v>3</v>
      </c>
    </row>
    <row r="3101" spans="2:5" x14ac:dyDescent="0.3">
      <c r="B3101" s="18" t="s">
        <v>6496</v>
      </c>
      <c r="C3101" s="13">
        <v>2</v>
      </c>
      <c r="D3101" s="21" t="s">
        <v>6497</v>
      </c>
      <c r="E3101" s="24">
        <v>2</v>
      </c>
    </row>
    <row r="3102" spans="2:5" x14ac:dyDescent="0.3">
      <c r="B3102" s="18" t="s">
        <v>6498</v>
      </c>
      <c r="C3102" s="13">
        <v>20</v>
      </c>
      <c r="D3102" s="21" t="s">
        <v>6499</v>
      </c>
      <c r="E3102" s="24">
        <v>19</v>
      </c>
    </row>
    <row r="3103" spans="2:5" x14ac:dyDescent="0.3">
      <c r="B3103" s="18" t="s">
        <v>6500</v>
      </c>
      <c r="C3103" s="13">
        <v>21</v>
      </c>
      <c r="D3103" s="21" t="s">
        <v>6501</v>
      </c>
      <c r="E3103" s="24">
        <v>18</v>
      </c>
    </row>
    <row r="3104" spans="2:5" x14ac:dyDescent="0.3">
      <c r="B3104" s="18" t="s">
        <v>6502</v>
      </c>
      <c r="C3104" s="13">
        <v>22</v>
      </c>
      <c r="D3104" s="21" t="s">
        <v>6503</v>
      </c>
      <c r="E3104" s="24">
        <v>17</v>
      </c>
    </row>
    <row r="3105" spans="2:5" x14ac:dyDescent="0.3">
      <c r="B3105" s="18" t="s">
        <v>6504</v>
      </c>
      <c r="C3105" s="13">
        <v>23</v>
      </c>
      <c r="D3105" s="21" t="s">
        <v>6505</v>
      </c>
      <c r="E3105" s="24">
        <v>16</v>
      </c>
    </row>
    <row r="3106" spans="2:5" x14ac:dyDescent="0.3">
      <c r="B3106" s="18" t="s">
        <v>6506</v>
      </c>
      <c r="C3106" s="13">
        <v>24</v>
      </c>
      <c r="D3106" s="21" t="s">
        <v>6507</v>
      </c>
      <c r="E3106" s="24">
        <v>15</v>
      </c>
    </row>
    <row r="3107" spans="2:5" x14ac:dyDescent="0.3">
      <c r="B3107" s="18" t="s">
        <v>6508</v>
      </c>
      <c r="C3107" s="13">
        <v>25</v>
      </c>
      <c r="D3107" s="21" t="s">
        <v>6509</v>
      </c>
      <c r="E3107" s="24">
        <v>14</v>
      </c>
    </row>
    <row r="3108" spans="2:5" x14ac:dyDescent="0.3">
      <c r="B3108" s="18" t="s">
        <v>6510</v>
      </c>
      <c r="C3108" s="13">
        <v>26</v>
      </c>
      <c r="D3108" s="21" t="s">
        <v>6511</v>
      </c>
      <c r="E3108" s="24">
        <v>13</v>
      </c>
    </row>
    <row r="3109" spans="2:5" x14ac:dyDescent="0.3">
      <c r="B3109" s="18" t="s">
        <v>6512</v>
      </c>
      <c r="C3109" s="13">
        <v>27</v>
      </c>
      <c r="D3109" s="21" t="s">
        <v>6513</v>
      </c>
      <c r="E3109" s="24">
        <v>12</v>
      </c>
    </row>
    <row r="3110" spans="2:5" x14ac:dyDescent="0.3">
      <c r="B3110" s="18" t="s">
        <v>6514</v>
      </c>
      <c r="C3110" s="13">
        <v>28</v>
      </c>
      <c r="D3110" s="21" t="s">
        <v>6515</v>
      </c>
      <c r="E3110" s="24">
        <v>11</v>
      </c>
    </row>
    <row r="3111" spans="2:5" x14ac:dyDescent="0.3">
      <c r="B3111" s="18" t="s">
        <v>6516</v>
      </c>
      <c r="C3111" s="13">
        <v>29</v>
      </c>
      <c r="D3111" s="21" t="s">
        <v>6517</v>
      </c>
      <c r="E3111" s="24">
        <v>10</v>
      </c>
    </row>
    <row r="3112" spans="2:5" x14ac:dyDescent="0.3">
      <c r="B3112" s="18" t="s">
        <v>6518</v>
      </c>
      <c r="C3112" s="13">
        <v>3</v>
      </c>
      <c r="D3112" s="21" t="s">
        <v>6519</v>
      </c>
      <c r="E3112" s="24">
        <v>1</v>
      </c>
    </row>
    <row r="3113" spans="2:5" x14ac:dyDescent="0.3">
      <c r="B3113" s="18" t="s">
        <v>6520</v>
      </c>
      <c r="C3113" s="13">
        <v>30</v>
      </c>
      <c r="D3113" s="21" t="s">
        <v>6521</v>
      </c>
      <c r="E3113" s="24">
        <v>49</v>
      </c>
    </row>
    <row r="3114" spans="2:5" x14ac:dyDescent="0.3">
      <c r="B3114" s="18" t="s">
        <v>6522</v>
      </c>
      <c r="C3114" s="13">
        <v>31</v>
      </c>
      <c r="D3114" s="21" t="s">
        <v>6523</v>
      </c>
      <c r="E3114" s="24">
        <v>50</v>
      </c>
    </row>
    <row r="3115" spans="2:5" x14ac:dyDescent="0.3">
      <c r="B3115" s="18" t="s">
        <v>6524</v>
      </c>
      <c r="C3115" s="13">
        <v>32</v>
      </c>
      <c r="D3115" s="21" t="s">
        <v>6525</v>
      </c>
      <c r="E3115" s="24">
        <v>51</v>
      </c>
    </row>
    <row r="3116" spans="2:5" x14ac:dyDescent="0.3">
      <c r="B3116" s="18" t="s">
        <v>6526</v>
      </c>
      <c r="C3116" s="13">
        <v>4</v>
      </c>
      <c r="D3116" s="21" t="s">
        <v>6527</v>
      </c>
      <c r="E3116" s="24">
        <v>52</v>
      </c>
    </row>
    <row r="3117" spans="2:5" x14ac:dyDescent="0.3">
      <c r="B3117" s="18" t="s">
        <v>6528</v>
      </c>
      <c r="C3117" s="13">
        <v>5</v>
      </c>
      <c r="D3117" s="21" t="s">
        <v>6529</v>
      </c>
      <c r="E3117" s="24">
        <v>53</v>
      </c>
    </row>
    <row r="3118" spans="2:5" x14ac:dyDescent="0.3">
      <c r="B3118" s="18" t="s">
        <v>6530</v>
      </c>
      <c r="C3118" s="13">
        <v>6</v>
      </c>
      <c r="D3118" s="21" t="s">
        <v>6531</v>
      </c>
      <c r="E3118" s="24">
        <v>54</v>
      </c>
    </row>
    <row r="3119" spans="2:5" x14ac:dyDescent="0.3">
      <c r="B3119" s="18" t="s">
        <v>6532</v>
      </c>
      <c r="C3119" s="13">
        <v>7</v>
      </c>
      <c r="D3119" s="21" t="s">
        <v>6533</v>
      </c>
      <c r="E3119" s="24">
        <v>55</v>
      </c>
    </row>
    <row r="3120" spans="2:5" x14ac:dyDescent="0.3">
      <c r="B3120" s="18" t="s">
        <v>6534</v>
      </c>
      <c r="C3120" s="13">
        <v>8</v>
      </c>
      <c r="D3120" s="21" t="s">
        <v>6535</v>
      </c>
      <c r="E3120" s="24">
        <v>56</v>
      </c>
    </row>
    <row r="3121" spans="2:5" x14ac:dyDescent="0.3">
      <c r="B3121" s="18" t="s">
        <v>6536</v>
      </c>
      <c r="C3121" s="13">
        <v>9</v>
      </c>
      <c r="D3121" s="21" t="s">
        <v>6537</v>
      </c>
      <c r="E3121" s="24">
        <v>39</v>
      </c>
    </row>
    <row r="3122" spans="2:5" x14ac:dyDescent="0.3">
      <c r="B3122" s="18" t="s">
        <v>6538</v>
      </c>
      <c r="C3122" s="13">
        <v>64</v>
      </c>
      <c r="D3122" s="21" t="s">
        <v>6539</v>
      </c>
      <c r="E3122" s="24">
        <v>40</v>
      </c>
    </row>
    <row r="3123" spans="2:5" x14ac:dyDescent="0.3">
      <c r="B3123" s="18" t="s">
        <v>6540</v>
      </c>
      <c r="C3123" s="13">
        <v>55</v>
      </c>
      <c r="D3123" s="21" t="s">
        <v>6541</v>
      </c>
      <c r="E3123" s="24">
        <v>41</v>
      </c>
    </row>
    <row r="3124" spans="2:5" x14ac:dyDescent="0.3">
      <c r="B3124" s="18" t="s">
        <v>6542</v>
      </c>
      <c r="C3124" s="13">
        <v>54</v>
      </c>
      <c r="D3124" s="21" t="s">
        <v>6543</v>
      </c>
      <c r="E3124" s="24">
        <v>42</v>
      </c>
    </row>
    <row r="3125" spans="2:5" x14ac:dyDescent="0.3">
      <c r="B3125" s="18" t="s">
        <v>6544</v>
      </c>
      <c r="C3125" s="13">
        <v>53</v>
      </c>
      <c r="D3125" s="21" t="s">
        <v>6545</v>
      </c>
      <c r="E3125" s="24">
        <v>43</v>
      </c>
    </row>
    <row r="3126" spans="2:5" x14ac:dyDescent="0.3">
      <c r="B3126" s="18" t="s">
        <v>6546</v>
      </c>
      <c r="C3126" s="13">
        <v>52</v>
      </c>
      <c r="D3126" s="21" t="s">
        <v>6547</v>
      </c>
      <c r="E3126" s="24">
        <v>44</v>
      </c>
    </row>
    <row r="3127" spans="2:5" x14ac:dyDescent="0.3">
      <c r="B3127" s="18" t="s">
        <v>6548</v>
      </c>
      <c r="C3127" s="13">
        <v>51</v>
      </c>
      <c r="D3127" s="21" t="s">
        <v>6549</v>
      </c>
      <c r="E3127" s="24">
        <v>45</v>
      </c>
    </row>
    <row r="3128" spans="2:5" x14ac:dyDescent="0.3">
      <c r="B3128" s="18" t="s">
        <v>6550</v>
      </c>
      <c r="C3128" s="13">
        <v>50</v>
      </c>
      <c r="D3128" s="21" t="s">
        <v>6551</v>
      </c>
      <c r="E3128" s="24">
        <v>46</v>
      </c>
    </row>
    <row r="3129" spans="2:5" x14ac:dyDescent="0.3">
      <c r="B3129" s="18" t="s">
        <v>6552</v>
      </c>
      <c r="C3129" s="13">
        <v>49</v>
      </c>
      <c r="D3129" s="21" t="s">
        <v>6553</v>
      </c>
      <c r="E3129" s="24">
        <v>47</v>
      </c>
    </row>
    <row r="3130" spans="2:5" x14ac:dyDescent="0.3">
      <c r="B3130" s="18" t="s">
        <v>6554</v>
      </c>
      <c r="C3130" s="13">
        <v>48</v>
      </c>
      <c r="D3130" s="21" t="s">
        <v>6555</v>
      </c>
      <c r="E3130" s="24">
        <v>48</v>
      </c>
    </row>
    <row r="3131" spans="2:5" x14ac:dyDescent="0.3">
      <c r="B3131" s="18" t="s">
        <v>6556</v>
      </c>
      <c r="C3131" s="13">
        <v>47</v>
      </c>
      <c r="D3131" s="21" t="s">
        <v>6557</v>
      </c>
      <c r="E3131" s="24">
        <v>28</v>
      </c>
    </row>
    <row r="3132" spans="2:5" x14ac:dyDescent="0.3">
      <c r="B3132" s="18" t="s">
        <v>6558</v>
      </c>
      <c r="C3132" s="13">
        <v>46</v>
      </c>
      <c r="D3132" s="21" t="s">
        <v>6559</v>
      </c>
      <c r="E3132" s="24">
        <v>27</v>
      </c>
    </row>
    <row r="3133" spans="2:5" x14ac:dyDescent="0.3">
      <c r="B3133" s="18" t="s">
        <v>6560</v>
      </c>
      <c r="C3133" s="13">
        <v>63</v>
      </c>
      <c r="D3133" s="21" t="s">
        <v>6561</v>
      </c>
      <c r="E3133" s="24">
        <v>26</v>
      </c>
    </row>
    <row r="3134" spans="2:5" x14ac:dyDescent="0.3">
      <c r="B3134" s="18" t="s">
        <v>6562</v>
      </c>
      <c r="C3134" s="13">
        <v>45</v>
      </c>
      <c r="D3134" s="21" t="s">
        <v>6563</v>
      </c>
      <c r="E3134" s="24">
        <v>25</v>
      </c>
    </row>
    <row r="3135" spans="2:5" x14ac:dyDescent="0.3">
      <c r="B3135" s="18" t="s">
        <v>6564</v>
      </c>
      <c r="C3135" s="13">
        <v>44</v>
      </c>
      <c r="D3135" s="21" t="s">
        <v>6565</v>
      </c>
      <c r="E3135" s="24">
        <v>24</v>
      </c>
    </row>
    <row r="3136" spans="2:5" x14ac:dyDescent="0.3">
      <c r="B3136" s="18" t="s">
        <v>6566</v>
      </c>
      <c r="C3136" s="13">
        <v>43</v>
      </c>
      <c r="D3136" s="21" t="s">
        <v>6567</v>
      </c>
      <c r="E3136" s="24">
        <v>23</v>
      </c>
    </row>
    <row r="3137" spans="2:5" x14ac:dyDescent="0.3">
      <c r="B3137" s="18" t="s">
        <v>6568</v>
      </c>
      <c r="C3137" s="13">
        <v>42</v>
      </c>
      <c r="D3137" s="21" t="s">
        <v>6569</v>
      </c>
      <c r="E3137" s="24">
        <v>22</v>
      </c>
    </row>
    <row r="3138" spans="2:5" x14ac:dyDescent="0.3">
      <c r="B3138" s="18" t="s">
        <v>6570</v>
      </c>
      <c r="C3138" s="13">
        <v>41</v>
      </c>
      <c r="D3138" s="21" t="s">
        <v>6571</v>
      </c>
      <c r="E3138" s="24">
        <v>21</v>
      </c>
    </row>
    <row r="3139" spans="2:5" x14ac:dyDescent="0.3">
      <c r="B3139" s="18" t="s">
        <v>6572</v>
      </c>
      <c r="C3139" s="13">
        <v>40</v>
      </c>
      <c r="D3139" s="21" t="s">
        <v>6573</v>
      </c>
      <c r="E3139" s="24">
        <v>38</v>
      </c>
    </row>
    <row r="3140" spans="2:5" x14ac:dyDescent="0.3">
      <c r="B3140" s="18" t="s">
        <v>6574</v>
      </c>
      <c r="C3140" s="13">
        <v>39</v>
      </c>
      <c r="D3140" s="21" t="s">
        <v>6575</v>
      </c>
      <c r="E3140" s="24">
        <v>37</v>
      </c>
    </row>
    <row r="3141" spans="2:5" x14ac:dyDescent="0.3">
      <c r="B3141" s="18" t="s">
        <v>6576</v>
      </c>
      <c r="C3141" s="13">
        <v>38</v>
      </c>
      <c r="D3141" s="21" t="s">
        <v>6577</v>
      </c>
      <c r="E3141" s="24">
        <v>36</v>
      </c>
    </row>
    <row r="3142" spans="2:5" x14ac:dyDescent="0.3">
      <c r="B3142" s="18" t="s">
        <v>6578</v>
      </c>
      <c r="C3142" s="13">
        <v>37</v>
      </c>
      <c r="D3142" s="21" t="s">
        <v>6579</v>
      </c>
      <c r="E3142" s="24">
        <v>35</v>
      </c>
    </row>
    <row r="3143" spans="2:5" x14ac:dyDescent="0.3">
      <c r="B3143" s="18" t="s">
        <v>6580</v>
      </c>
      <c r="C3143" s="13">
        <v>36</v>
      </c>
      <c r="D3143" s="21" t="s">
        <v>6581</v>
      </c>
      <c r="E3143" s="24">
        <v>34</v>
      </c>
    </row>
    <row r="3144" spans="2:5" x14ac:dyDescent="0.3">
      <c r="B3144" s="18" t="s">
        <v>6582</v>
      </c>
      <c r="C3144" s="13">
        <v>62</v>
      </c>
      <c r="D3144" s="21" t="s">
        <v>6583</v>
      </c>
      <c r="E3144" s="24">
        <v>33</v>
      </c>
    </row>
    <row r="3145" spans="2:5" x14ac:dyDescent="0.3">
      <c r="B3145" s="18" t="s">
        <v>6584</v>
      </c>
      <c r="C3145" s="13">
        <v>35</v>
      </c>
      <c r="D3145" s="21" t="s">
        <v>6585</v>
      </c>
      <c r="E3145" s="24">
        <v>32</v>
      </c>
    </row>
    <row r="3146" spans="2:5" x14ac:dyDescent="0.3">
      <c r="B3146" s="18" t="s">
        <v>6586</v>
      </c>
      <c r="C3146" s="13">
        <v>34</v>
      </c>
      <c r="D3146" s="21" t="s">
        <v>6587</v>
      </c>
      <c r="E3146" s="24">
        <v>31</v>
      </c>
    </row>
    <row r="3147" spans="2:5" x14ac:dyDescent="0.3">
      <c r="B3147" s="18" t="s">
        <v>6588</v>
      </c>
      <c r="C3147" s="13">
        <v>33</v>
      </c>
      <c r="D3147" s="21" t="s">
        <v>6589</v>
      </c>
      <c r="E3147" s="24">
        <v>30</v>
      </c>
    </row>
    <row r="3148" spans="2:5" x14ac:dyDescent="0.3">
      <c r="B3148" s="18" t="s">
        <v>6590</v>
      </c>
      <c r="C3148" s="13">
        <v>61</v>
      </c>
      <c r="D3148" s="21" t="s">
        <v>6591</v>
      </c>
      <c r="E3148" s="24">
        <v>29</v>
      </c>
    </row>
    <row r="3149" spans="2:5" x14ac:dyDescent="0.3">
      <c r="B3149" s="18" t="s">
        <v>6592</v>
      </c>
      <c r="C3149" s="13">
        <v>60</v>
      </c>
      <c r="D3149" s="21" t="s">
        <v>6593</v>
      </c>
      <c r="E3149" s="24">
        <v>20</v>
      </c>
    </row>
    <row r="3150" spans="2:5" x14ac:dyDescent="0.3">
      <c r="B3150" s="18" t="s">
        <v>6594</v>
      </c>
      <c r="C3150" s="13">
        <v>59</v>
      </c>
      <c r="D3150" s="21" t="s">
        <v>6595</v>
      </c>
      <c r="E3150" s="24">
        <v>9</v>
      </c>
    </row>
    <row r="3151" spans="2:5" x14ac:dyDescent="0.3">
      <c r="B3151" s="18" t="s">
        <v>6596</v>
      </c>
      <c r="C3151" s="13">
        <v>58</v>
      </c>
      <c r="D3151" s="21" t="s">
        <v>6597</v>
      </c>
      <c r="E3151" s="24">
        <v>8</v>
      </c>
    </row>
    <row r="3152" spans="2:5" x14ac:dyDescent="0.3">
      <c r="B3152" s="18" t="s">
        <v>6598</v>
      </c>
      <c r="C3152" s="13">
        <v>57</v>
      </c>
      <c r="D3152" s="21" t="s">
        <v>6599</v>
      </c>
      <c r="E3152" s="24">
        <v>7</v>
      </c>
    </row>
    <row r="3153" spans="2:5" x14ac:dyDescent="0.3">
      <c r="B3153" s="18" t="s">
        <v>6600</v>
      </c>
      <c r="C3153" s="13">
        <v>56</v>
      </c>
      <c r="D3153" s="21" t="s">
        <v>6601</v>
      </c>
      <c r="E3153" s="24">
        <v>6</v>
      </c>
    </row>
    <row r="3154" spans="2:5" x14ac:dyDescent="0.3">
      <c r="B3154" s="18" t="s">
        <v>6602</v>
      </c>
      <c r="C3154" s="13">
        <v>65</v>
      </c>
      <c r="D3154" s="21" t="s">
        <v>6603</v>
      </c>
      <c r="E3154" s="24">
        <v>5</v>
      </c>
    </row>
    <row r="3155" spans="2:5" x14ac:dyDescent="0.3">
      <c r="B3155" s="18" t="s">
        <v>6604</v>
      </c>
      <c r="C3155" s="13">
        <v>74</v>
      </c>
      <c r="D3155" s="21" t="s">
        <v>6605</v>
      </c>
      <c r="E3155" s="24">
        <v>4</v>
      </c>
    </row>
    <row r="3156" spans="2:5" x14ac:dyDescent="0.3">
      <c r="B3156" s="18" t="s">
        <v>6606</v>
      </c>
      <c r="C3156" s="13">
        <v>75</v>
      </c>
      <c r="D3156" s="21" t="s">
        <v>6607</v>
      </c>
      <c r="E3156" s="24">
        <v>3</v>
      </c>
    </row>
    <row r="3157" spans="2:5" x14ac:dyDescent="0.3">
      <c r="B3157" s="18" t="s">
        <v>6608</v>
      </c>
      <c r="C3157" s="13">
        <v>76</v>
      </c>
      <c r="D3157" s="21" t="s">
        <v>6609</v>
      </c>
      <c r="E3157" s="24">
        <v>2</v>
      </c>
    </row>
    <row r="3158" spans="2:5" x14ac:dyDescent="0.3">
      <c r="B3158" s="18" t="s">
        <v>6610</v>
      </c>
      <c r="C3158" s="13">
        <v>77</v>
      </c>
      <c r="D3158" s="21" t="s">
        <v>6611</v>
      </c>
      <c r="E3158" s="24">
        <v>19</v>
      </c>
    </row>
    <row r="3159" spans="2:5" x14ac:dyDescent="0.3">
      <c r="B3159" s="18" t="s">
        <v>6612</v>
      </c>
      <c r="C3159" s="13">
        <v>78</v>
      </c>
      <c r="D3159" s="21" t="s">
        <v>6613</v>
      </c>
      <c r="E3159" s="24">
        <v>18</v>
      </c>
    </row>
    <row r="3160" spans="2:5" x14ac:dyDescent="0.3">
      <c r="B3160" s="18" t="s">
        <v>6614</v>
      </c>
      <c r="C3160" s="13">
        <v>79</v>
      </c>
      <c r="D3160" s="21" t="s">
        <v>6615</v>
      </c>
      <c r="E3160" s="24">
        <v>17</v>
      </c>
    </row>
    <row r="3161" spans="2:5" x14ac:dyDescent="0.3">
      <c r="B3161" s="18" t="s">
        <v>6616</v>
      </c>
      <c r="C3161" s="13">
        <v>80</v>
      </c>
      <c r="D3161" s="21" t="s">
        <v>6617</v>
      </c>
      <c r="E3161" s="24">
        <v>16</v>
      </c>
    </row>
    <row r="3162" spans="2:5" x14ac:dyDescent="0.3">
      <c r="B3162" s="18" t="s">
        <v>6618</v>
      </c>
      <c r="C3162" s="13">
        <v>81</v>
      </c>
      <c r="D3162" s="21" t="s">
        <v>6619</v>
      </c>
      <c r="E3162" s="24">
        <v>15</v>
      </c>
    </row>
    <row r="3163" spans="2:5" x14ac:dyDescent="0.3">
      <c r="B3163" s="18" t="s">
        <v>6620</v>
      </c>
      <c r="C3163" s="13">
        <v>82</v>
      </c>
      <c r="D3163" s="21" t="s">
        <v>6621</v>
      </c>
      <c r="E3163" s="24">
        <v>14</v>
      </c>
    </row>
    <row r="3164" spans="2:5" x14ac:dyDescent="0.3">
      <c r="B3164" s="18" t="s">
        <v>6622</v>
      </c>
      <c r="C3164" s="13">
        <v>83</v>
      </c>
      <c r="D3164" s="21" t="s">
        <v>6623</v>
      </c>
      <c r="E3164" s="24">
        <v>13</v>
      </c>
    </row>
    <row r="3165" spans="2:5" x14ac:dyDescent="0.3">
      <c r="B3165" s="18" t="s">
        <v>6624</v>
      </c>
      <c r="C3165" s="13">
        <v>66</v>
      </c>
      <c r="D3165" s="21" t="s">
        <v>6625</v>
      </c>
      <c r="E3165" s="24">
        <v>12</v>
      </c>
    </row>
    <row r="3166" spans="2:5" x14ac:dyDescent="0.3">
      <c r="B3166" s="18" t="s">
        <v>6626</v>
      </c>
      <c r="C3166" s="13">
        <v>84</v>
      </c>
      <c r="D3166" s="21" t="s">
        <v>6627</v>
      </c>
      <c r="E3166" s="24">
        <v>11</v>
      </c>
    </row>
    <row r="3167" spans="2:5" x14ac:dyDescent="0.3">
      <c r="B3167" s="18" t="s">
        <v>6628</v>
      </c>
      <c r="C3167" s="13">
        <v>85</v>
      </c>
      <c r="D3167" s="21" t="s">
        <v>6629</v>
      </c>
      <c r="E3167" s="24">
        <v>10</v>
      </c>
    </row>
    <row r="3168" spans="2:5" x14ac:dyDescent="0.3">
      <c r="B3168" s="18" t="s">
        <v>6630</v>
      </c>
      <c r="C3168" s="13">
        <v>86</v>
      </c>
      <c r="D3168" s="21" t="s">
        <v>6631</v>
      </c>
      <c r="E3168" s="24">
        <v>1</v>
      </c>
    </row>
    <row r="3169" spans="2:5" x14ac:dyDescent="0.3">
      <c r="B3169" s="18" t="s">
        <v>6632</v>
      </c>
      <c r="C3169" s="13">
        <v>87</v>
      </c>
      <c r="D3169" s="21" t="s">
        <v>6633</v>
      </c>
      <c r="E3169" s="24">
        <v>49</v>
      </c>
    </row>
    <row r="3170" spans="2:5" x14ac:dyDescent="0.3">
      <c r="B3170" s="18" t="s">
        <v>6634</v>
      </c>
      <c r="C3170" s="13">
        <v>88</v>
      </c>
      <c r="D3170" s="21" t="s">
        <v>6635</v>
      </c>
      <c r="E3170" s="24">
        <v>50</v>
      </c>
    </row>
    <row r="3171" spans="2:5" x14ac:dyDescent="0.3">
      <c r="B3171" s="18" t="s">
        <v>6636</v>
      </c>
      <c r="C3171" s="13">
        <v>89</v>
      </c>
      <c r="D3171" s="21" t="s">
        <v>6637</v>
      </c>
      <c r="E3171" s="24">
        <v>51</v>
      </c>
    </row>
    <row r="3172" spans="2:5" x14ac:dyDescent="0.3">
      <c r="B3172" s="18" t="s">
        <v>6638</v>
      </c>
      <c r="C3172" s="13">
        <v>90</v>
      </c>
      <c r="D3172" s="21" t="s">
        <v>6639</v>
      </c>
      <c r="E3172" s="24">
        <v>52</v>
      </c>
    </row>
    <row r="3173" spans="2:5" x14ac:dyDescent="0.3">
      <c r="B3173" s="18" t="s">
        <v>6640</v>
      </c>
      <c r="C3173" s="13">
        <v>91</v>
      </c>
      <c r="D3173" s="21" t="s">
        <v>6641</v>
      </c>
      <c r="E3173" s="24">
        <v>53</v>
      </c>
    </row>
    <row r="3174" spans="2:5" x14ac:dyDescent="0.3">
      <c r="B3174" s="18" t="s">
        <v>6642</v>
      </c>
      <c r="C3174" s="13">
        <v>92</v>
      </c>
      <c r="D3174" s="21" t="s">
        <v>6643</v>
      </c>
      <c r="E3174" s="24">
        <v>54</v>
      </c>
    </row>
    <row r="3175" spans="2:5" x14ac:dyDescent="0.3">
      <c r="B3175" s="18" t="s">
        <v>6644</v>
      </c>
      <c r="C3175" s="13">
        <v>93</v>
      </c>
      <c r="D3175" s="21" t="s">
        <v>6645</v>
      </c>
      <c r="E3175" s="24">
        <v>55</v>
      </c>
    </row>
    <row r="3176" spans="2:5" x14ac:dyDescent="0.3">
      <c r="B3176" s="18" t="s">
        <v>6646</v>
      </c>
      <c r="C3176" s="13">
        <v>67</v>
      </c>
      <c r="D3176" s="21" t="s">
        <v>6647</v>
      </c>
      <c r="E3176" s="24">
        <v>40</v>
      </c>
    </row>
    <row r="3177" spans="2:5" x14ac:dyDescent="0.3">
      <c r="B3177" s="18" t="s">
        <v>6648</v>
      </c>
      <c r="C3177" s="13">
        <v>94</v>
      </c>
      <c r="D3177" s="21" t="s">
        <v>6649</v>
      </c>
      <c r="E3177" s="24">
        <v>41</v>
      </c>
    </row>
    <row r="3178" spans="2:5" x14ac:dyDescent="0.3">
      <c r="B3178" s="18" t="s">
        <v>6650</v>
      </c>
      <c r="C3178" s="13">
        <v>95</v>
      </c>
      <c r="D3178" s="21" t="s">
        <v>6651</v>
      </c>
      <c r="E3178" s="24">
        <v>42</v>
      </c>
    </row>
    <row r="3179" spans="2:5" x14ac:dyDescent="0.3">
      <c r="B3179" s="18" t="s">
        <v>6652</v>
      </c>
      <c r="C3179" s="13">
        <v>96</v>
      </c>
      <c r="D3179" s="21" t="s">
        <v>6653</v>
      </c>
      <c r="E3179" s="24">
        <v>43</v>
      </c>
    </row>
    <row r="3180" spans="2:5" x14ac:dyDescent="0.3">
      <c r="B3180" s="18" t="s">
        <v>6654</v>
      </c>
      <c r="C3180" s="13">
        <v>68</v>
      </c>
      <c r="D3180" s="21" t="s">
        <v>6655</v>
      </c>
      <c r="E3180" s="24">
        <v>44</v>
      </c>
    </row>
    <row r="3181" spans="2:5" x14ac:dyDescent="0.3">
      <c r="B3181" s="18" t="s">
        <v>6656</v>
      </c>
      <c r="C3181" s="13">
        <v>69</v>
      </c>
      <c r="D3181" s="21" t="s">
        <v>6657</v>
      </c>
      <c r="E3181" s="24">
        <v>45</v>
      </c>
    </row>
    <row r="3182" spans="2:5" x14ac:dyDescent="0.3">
      <c r="B3182" s="18" t="s">
        <v>6658</v>
      </c>
      <c r="C3182" s="13">
        <v>70</v>
      </c>
      <c r="D3182" s="21" t="s">
        <v>6659</v>
      </c>
      <c r="E3182" s="24">
        <v>46</v>
      </c>
    </row>
    <row r="3183" spans="2:5" x14ac:dyDescent="0.3">
      <c r="B3183" s="18" t="s">
        <v>6660</v>
      </c>
      <c r="C3183" s="13">
        <v>71</v>
      </c>
      <c r="D3183" s="21" t="s">
        <v>6661</v>
      </c>
      <c r="E3183" s="24">
        <v>47</v>
      </c>
    </row>
    <row r="3184" spans="2:5" x14ac:dyDescent="0.3">
      <c r="B3184" s="18" t="s">
        <v>6662</v>
      </c>
      <c r="C3184" s="13">
        <v>72</v>
      </c>
      <c r="D3184" s="21" t="s">
        <v>6663</v>
      </c>
      <c r="E3184" s="24">
        <v>48</v>
      </c>
    </row>
    <row r="3185" spans="2:5" x14ac:dyDescent="0.3">
      <c r="B3185" s="18" t="s">
        <v>6664</v>
      </c>
      <c r="C3185" s="13">
        <v>73</v>
      </c>
      <c r="D3185" s="21" t="s">
        <v>6665</v>
      </c>
      <c r="E3185" s="24">
        <v>29</v>
      </c>
    </row>
    <row r="3186" spans="2:5" x14ac:dyDescent="0.3">
      <c r="B3186" s="18" t="s">
        <v>6666</v>
      </c>
      <c r="C3186" s="13">
        <v>119</v>
      </c>
      <c r="D3186" s="21" t="s">
        <v>6667</v>
      </c>
      <c r="E3186" s="24">
        <v>28</v>
      </c>
    </row>
    <row r="3187" spans="2:5" x14ac:dyDescent="0.3">
      <c r="B3187" s="18" t="s">
        <v>6668</v>
      </c>
      <c r="C3187" s="13">
        <v>118</v>
      </c>
      <c r="D3187" s="21" t="s">
        <v>6669</v>
      </c>
      <c r="E3187" s="24">
        <v>27</v>
      </c>
    </row>
    <row r="3188" spans="2:5" x14ac:dyDescent="0.3">
      <c r="B3188" s="18" t="s">
        <v>6670</v>
      </c>
      <c r="C3188" s="13">
        <v>117</v>
      </c>
      <c r="D3188" s="21" t="s">
        <v>6671</v>
      </c>
      <c r="E3188" s="24">
        <v>26</v>
      </c>
    </row>
    <row r="3189" spans="2:5" x14ac:dyDescent="0.3">
      <c r="B3189" s="18" t="s">
        <v>6672</v>
      </c>
      <c r="C3189" s="13">
        <v>116</v>
      </c>
      <c r="D3189" s="21" t="s">
        <v>6673</v>
      </c>
      <c r="E3189" s="24">
        <v>25</v>
      </c>
    </row>
    <row r="3190" spans="2:5" x14ac:dyDescent="0.3">
      <c r="B3190" s="18" t="s">
        <v>6674</v>
      </c>
      <c r="C3190" s="13">
        <v>115</v>
      </c>
      <c r="D3190" s="21" t="s">
        <v>6675</v>
      </c>
      <c r="E3190" s="24">
        <v>24</v>
      </c>
    </row>
    <row r="3191" spans="2:5" x14ac:dyDescent="0.3">
      <c r="B3191" s="18" t="s">
        <v>6676</v>
      </c>
      <c r="C3191" s="13">
        <v>114</v>
      </c>
      <c r="D3191" s="21" t="s">
        <v>6677</v>
      </c>
      <c r="E3191" s="24">
        <v>23</v>
      </c>
    </row>
    <row r="3192" spans="2:5" x14ac:dyDescent="0.3">
      <c r="B3192" s="18" t="s">
        <v>6678</v>
      </c>
      <c r="C3192" s="13">
        <v>113</v>
      </c>
      <c r="D3192" s="21" t="s">
        <v>6679</v>
      </c>
      <c r="E3192" s="24">
        <v>22</v>
      </c>
    </row>
    <row r="3193" spans="2:5" x14ac:dyDescent="0.3">
      <c r="B3193" s="18" t="s">
        <v>6680</v>
      </c>
      <c r="C3193" s="13">
        <v>112</v>
      </c>
      <c r="D3193" s="21" t="s">
        <v>6681</v>
      </c>
      <c r="E3193" s="24">
        <v>39</v>
      </c>
    </row>
    <row r="3194" spans="2:5" x14ac:dyDescent="0.3">
      <c r="B3194" s="18" t="s">
        <v>6682</v>
      </c>
      <c r="C3194" s="13">
        <v>111</v>
      </c>
      <c r="D3194" s="21" t="s">
        <v>6683</v>
      </c>
      <c r="E3194" s="24">
        <v>38</v>
      </c>
    </row>
    <row r="3195" spans="2:5" x14ac:dyDescent="0.3">
      <c r="B3195" s="18" t="s">
        <v>6684</v>
      </c>
      <c r="C3195" s="13">
        <v>110</v>
      </c>
      <c r="D3195" s="21" t="s">
        <v>6685</v>
      </c>
      <c r="E3195" s="24">
        <v>37</v>
      </c>
    </row>
    <row r="3196" spans="2:5" x14ac:dyDescent="0.3">
      <c r="B3196" s="18" t="s">
        <v>6686</v>
      </c>
      <c r="C3196" s="13">
        <v>127</v>
      </c>
      <c r="D3196" s="21" t="s">
        <v>6687</v>
      </c>
      <c r="E3196" s="24">
        <v>36</v>
      </c>
    </row>
    <row r="3197" spans="2:5" x14ac:dyDescent="0.3">
      <c r="B3197" s="18" t="s">
        <v>6688</v>
      </c>
      <c r="C3197" s="13">
        <v>109</v>
      </c>
      <c r="D3197" s="21" t="s">
        <v>6689</v>
      </c>
      <c r="E3197" s="24">
        <v>35</v>
      </c>
    </row>
    <row r="3198" spans="2:5" x14ac:dyDescent="0.3">
      <c r="B3198" s="18" t="s">
        <v>6690</v>
      </c>
      <c r="C3198" s="13">
        <v>108</v>
      </c>
      <c r="D3198" s="21" t="s">
        <v>6691</v>
      </c>
      <c r="E3198" s="24">
        <v>34</v>
      </c>
    </row>
    <row r="3199" spans="2:5" x14ac:dyDescent="0.3">
      <c r="B3199" s="18" t="s">
        <v>6692</v>
      </c>
      <c r="C3199" s="13">
        <v>107</v>
      </c>
      <c r="D3199" s="21" t="s">
        <v>6693</v>
      </c>
      <c r="E3199" s="24">
        <v>33</v>
      </c>
    </row>
    <row r="3200" spans="2:5" x14ac:dyDescent="0.3">
      <c r="B3200" s="18" t="s">
        <v>6694</v>
      </c>
      <c r="C3200" s="13">
        <v>106</v>
      </c>
      <c r="D3200" s="21" t="s">
        <v>6695</v>
      </c>
      <c r="E3200" s="24">
        <v>32</v>
      </c>
    </row>
    <row r="3201" spans="2:5" x14ac:dyDescent="0.3">
      <c r="B3201" s="18" t="s">
        <v>6696</v>
      </c>
      <c r="C3201" s="13">
        <v>105</v>
      </c>
      <c r="D3201" s="21" t="s">
        <v>6697</v>
      </c>
      <c r="E3201" s="24">
        <v>31</v>
      </c>
    </row>
    <row r="3202" spans="2:5" x14ac:dyDescent="0.3">
      <c r="B3202" s="18" t="s">
        <v>6698</v>
      </c>
      <c r="C3202" s="13">
        <v>104</v>
      </c>
      <c r="D3202" s="21" t="s">
        <v>6699</v>
      </c>
      <c r="E3202" s="24">
        <v>30</v>
      </c>
    </row>
    <row r="3203" spans="2:5" x14ac:dyDescent="0.3">
      <c r="B3203" s="18" t="s">
        <v>6700</v>
      </c>
      <c r="C3203" s="13">
        <v>103</v>
      </c>
      <c r="D3203" s="21" t="s">
        <v>6701</v>
      </c>
      <c r="E3203" s="24">
        <v>21</v>
      </c>
    </row>
    <row r="3204" spans="2:5" x14ac:dyDescent="0.3">
      <c r="B3204" s="18" t="s">
        <v>6702</v>
      </c>
      <c r="C3204" s="13">
        <v>102</v>
      </c>
      <c r="D3204" s="21" t="s">
        <v>6703</v>
      </c>
      <c r="E3204" s="24">
        <v>10</v>
      </c>
    </row>
    <row r="3205" spans="2:5" x14ac:dyDescent="0.3">
      <c r="B3205" s="18" t="s">
        <v>6704</v>
      </c>
      <c r="C3205" s="13">
        <v>101</v>
      </c>
      <c r="D3205" s="21" t="s">
        <v>6705</v>
      </c>
      <c r="E3205" s="24">
        <v>9</v>
      </c>
    </row>
    <row r="3206" spans="2:5" x14ac:dyDescent="0.3">
      <c r="B3206" s="18" t="s">
        <v>6706</v>
      </c>
      <c r="C3206" s="13">
        <v>100</v>
      </c>
      <c r="D3206" s="21" t="s">
        <v>6707</v>
      </c>
      <c r="E3206" s="24">
        <v>8</v>
      </c>
    </row>
    <row r="3207" spans="2:5" x14ac:dyDescent="0.3">
      <c r="B3207" s="18" t="s">
        <v>6708</v>
      </c>
      <c r="C3207" s="13">
        <v>126</v>
      </c>
      <c r="D3207" s="21" t="s">
        <v>6709</v>
      </c>
      <c r="E3207" s="24">
        <v>6</v>
      </c>
    </row>
    <row r="3208" spans="2:5" x14ac:dyDescent="0.3">
      <c r="B3208" s="18" t="s">
        <v>6710</v>
      </c>
      <c r="C3208" s="13">
        <v>99</v>
      </c>
      <c r="D3208" s="21" t="s">
        <v>6709</v>
      </c>
      <c r="E3208" s="24">
        <v>7</v>
      </c>
    </row>
    <row r="3209" spans="2:5" x14ac:dyDescent="0.3">
      <c r="B3209" s="18" t="s">
        <v>6711</v>
      </c>
      <c r="C3209" s="13">
        <v>98</v>
      </c>
      <c r="D3209" s="21" t="s">
        <v>6712</v>
      </c>
      <c r="E3209" s="24">
        <v>5</v>
      </c>
    </row>
    <row r="3210" spans="2:5" x14ac:dyDescent="0.3">
      <c r="B3210" s="18" t="s">
        <v>6713</v>
      </c>
      <c r="C3210" s="13">
        <v>97</v>
      </c>
      <c r="D3210" s="21" t="s">
        <v>6714</v>
      </c>
      <c r="E3210" s="24">
        <v>4</v>
      </c>
    </row>
    <row r="3211" spans="2:5" x14ac:dyDescent="0.3">
      <c r="B3211" s="18" t="s">
        <v>6715</v>
      </c>
      <c r="C3211" s="13">
        <v>125</v>
      </c>
      <c r="D3211" s="21" t="s">
        <v>6716</v>
      </c>
      <c r="E3211" s="24">
        <v>3</v>
      </c>
    </row>
    <row r="3212" spans="2:5" x14ac:dyDescent="0.3">
      <c r="B3212" s="18" t="s">
        <v>6717</v>
      </c>
      <c r="C3212" s="13">
        <v>124</v>
      </c>
      <c r="D3212" s="21" t="s">
        <v>6718</v>
      </c>
      <c r="E3212" s="24">
        <v>2</v>
      </c>
    </row>
    <row r="3213" spans="2:5" x14ac:dyDescent="0.3">
      <c r="B3213" s="18" t="s">
        <v>6719</v>
      </c>
      <c r="C3213" s="13">
        <v>123</v>
      </c>
      <c r="D3213" s="21" t="s">
        <v>6720</v>
      </c>
      <c r="E3213" s="24">
        <v>20</v>
      </c>
    </row>
    <row r="3214" spans="2:5" x14ac:dyDescent="0.3">
      <c r="B3214" s="18" t="s">
        <v>6721</v>
      </c>
      <c r="C3214" s="13">
        <v>122</v>
      </c>
      <c r="D3214" s="21" t="s">
        <v>6722</v>
      </c>
      <c r="E3214" s="24">
        <v>19</v>
      </c>
    </row>
    <row r="3215" spans="2:5" x14ac:dyDescent="0.3">
      <c r="B3215" s="18" t="s">
        <v>6723</v>
      </c>
      <c r="C3215" s="13">
        <v>121</v>
      </c>
      <c r="D3215" s="21" t="s">
        <v>6724</v>
      </c>
      <c r="E3215" s="24">
        <v>18</v>
      </c>
    </row>
    <row r="3216" spans="2:5" x14ac:dyDescent="0.3">
      <c r="B3216" s="18" t="s">
        <v>6725</v>
      </c>
      <c r="C3216" s="13">
        <v>120</v>
      </c>
      <c r="D3216" s="21" t="s">
        <v>6726</v>
      </c>
      <c r="E3216" s="24">
        <v>17</v>
      </c>
    </row>
    <row r="3217" spans="2:5" x14ac:dyDescent="0.3">
      <c r="B3217" s="18" t="s">
        <v>6727</v>
      </c>
      <c r="C3217" s="13">
        <v>1</v>
      </c>
      <c r="D3217" s="21" t="s">
        <v>6728</v>
      </c>
      <c r="E3217" s="24">
        <v>16</v>
      </c>
    </row>
    <row r="3218" spans="2:5" x14ac:dyDescent="0.3">
      <c r="B3218" s="18" t="s">
        <v>6729</v>
      </c>
      <c r="C3218" s="13">
        <v>10</v>
      </c>
      <c r="D3218" s="21" t="s">
        <v>6730</v>
      </c>
      <c r="E3218" s="24">
        <v>15</v>
      </c>
    </row>
    <row r="3219" spans="2:5" x14ac:dyDescent="0.3">
      <c r="B3219" s="18" t="s">
        <v>6731</v>
      </c>
      <c r="C3219" s="13">
        <v>11</v>
      </c>
      <c r="D3219" s="21" t="s">
        <v>6732</v>
      </c>
      <c r="E3219" s="24">
        <v>14</v>
      </c>
    </row>
    <row r="3220" spans="2:5" x14ac:dyDescent="0.3">
      <c r="B3220" s="18" t="s">
        <v>6733</v>
      </c>
      <c r="C3220" s="13">
        <v>12</v>
      </c>
      <c r="D3220" s="21" t="s">
        <v>6734</v>
      </c>
      <c r="E3220" s="24">
        <v>13</v>
      </c>
    </row>
    <row r="3221" spans="2:5" x14ac:dyDescent="0.3">
      <c r="B3221" s="18" t="s">
        <v>6735</v>
      </c>
      <c r="C3221" s="13">
        <v>13</v>
      </c>
      <c r="D3221" s="21" t="s">
        <v>6736</v>
      </c>
      <c r="E3221" s="24">
        <v>12</v>
      </c>
    </row>
    <row r="3222" spans="2:5" x14ac:dyDescent="0.3">
      <c r="B3222" s="18" t="s">
        <v>6737</v>
      </c>
      <c r="C3222" s="13">
        <v>14</v>
      </c>
      <c r="D3222" s="21" t="s">
        <v>6738</v>
      </c>
      <c r="E3222" s="24">
        <v>11</v>
      </c>
    </row>
    <row r="3223" spans="2:5" x14ac:dyDescent="0.3">
      <c r="B3223" s="18" t="s">
        <v>6739</v>
      </c>
      <c r="C3223" s="13">
        <v>15</v>
      </c>
      <c r="D3223" s="21" t="s">
        <v>6740</v>
      </c>
      <c r="E3223" s="24">
        <v>1</v>
      </c>
    </row>
    <row r="3224" spans="2:5" x14ac:dyDescent="0.3">
      <c r="B3224" s="18" t="s">
        <v>6741</v>
      </c>
      <c r="C3224" s="13">
        <v>16</v>
      </c>
      <c r="D3224" s="21" t="s">
        <v>6742</v>
      </c>
      <c r="E3224" s="24">
        <v>46</v>
      </c>
    </row>
    <row r="3225" spans="2:5" x14ac:dyDescent="0.3">
      <c r="B3225" s="18" t="s">
        <v>6743</v>
      </c>
      <c r="C3225" s="13">
        <v>17</v>
      </c>
      <c r="D3225" s="21" t="s">
        <v>6744</v>
      </c>
      <c r="E3225" s="24">
        <v>47</v>
      </c>
    </row>
    <row r="3226" spans="2:5" x14ac:dyDescent="0.3">
      <c r="B3226" s="18" t="s">
        <v>6745</v>
      </c>
      <c r="C3226" s="13">
        <v>18</v>
      </c>
      <c r="D3226" s="21" t="s">
        <v>6746</v>
      </c>
      <c r="E3226" s="24">
        <v>48</v>
      </c>
    </row>
    <row r="3227" spans="2:5" x14ac:dyDescent="0.3">
      <c r="B3227" s="18" t="s">
        <v>6747</v>
      </c>
      <c r="C3227" s="13">
        <v>19</v>
      </c>
      <c r="D3227" s="21" t="s">
        <v>6748</v>
      </c>
      <c r="E3227" s="24">
        <v>49</v>
      </c>
    </row>
    <row r="3228" spans="2:5" x14ac:dyDescent="0.3">
      <c r="B3228" s="18" t="s">
        <v>6749</v>
      </c>
      <c r="C3228" s="13">
        <v>2</v>
      </c>
      <c r="D3228" s="21" t="s">
        <v>6750</v>
      </c>
      <c r="E3228" s="24">
        <v>50</v>
      </c>
    </row>
    <row r="3229" spans="2:5" x14ac:dyDescent="0.3">
      <c r="B3229" s="18" t="s">
        <v>6751</v>
      </c>
      <c r="C3229" s="13">
        <v>20</v>
      </c>
      <c r="D3229" s="21" t="s">
        <v>6752</v>
      </c>
      <c r="E3229" s="24">
        <v>51</v>
      </c>
    </row>
    <row r="3230" spans="2:5" x14ac:dyDescent="0.3">
      <c r="B3230" s="18" t="s">
        <v>6753</v>
      </c>
      <c r="C3230" s="13">
        <v>21</v>
      </c>
      <c r="D3230" s="21" t="s">
        <v>6754</v>
      </c>
      <c r="E3230" s="24">
        <v>52</v>
      </c>
    </row>
    <row r="3231" spans="2:5" x14ac:dyDescent="0.3">
      <c r="B3231" s="18" t="s">
        <v>6755</v>
      </c>
      <c r="C3231" s="13">
        <v>22</v>
      </c>
      <c r="D3231" s="21" t="s">
        <v>6756</v>
      </c>
      <c r="E3231" s="24">
        <v>53</v>
      </c>
    </row>
    <row r="3232" spans="2:5" x14ac:dyDescent="0.3">
      <c r="B3232" s="18" t="s">
        <v>6757</v>
      </c>
      <c r="C3232" s="13">
        <v>23</v>
      </c>
      <c r="D3232" s="21" t="s">
        <v>6758</v>
      </c>
      <c r="E3232" s="24">
        <v>37</v>
      </c>
    </row>
    <row r="3233" spans="2:5" x14ac:dyDescent="0.3">
      <c r="B3233" s="18" t="s">
        <v>6759</v>
      </c>
      <c r="C3233" s="13">
        <v>24</v>
      </c>
      <c r="D3233" s="21" t="s">
        <v>6760</v>
      </c>
      <c r="E3233" s="24">
        <v>38</v>
      </c>
    </row>
    <row r="3234" spans="2:5" x14ac:dyDescent="0.3">
      <c r="B3234" s="18" t="s">
        <v>6761</v>
      </c>
      <c r="C3234" s="13">
        <v>25</v>
      </c>
      <c r="D3234" s="21" t="s">
        <v>6762</v>
      </c>
      <c r="E3234" s="24">
        <v>39</v>
      </c>
    </row>
    <row r="3235" spans="2:5" x14ac:dyDescent="0.3">
      <c r="B3235" s="18" t="s">
        <v>6763</v>
      </c>
      <c r="C3235" s="13">
        <v>26</v>
      </c>
      <c r="D3235" s="21" t="s">
        <v>6764</v>
      </c>
      <c r="E3235" s="24">
        <v>40</v>
      </c>
    </row>
    <row r="3236" spans="2:5" x14ac:dyDescent="0.3">
      <c r="B3236" s="18" t="s">
        <v>6765</v>
      </c>
      <c r="C3236" s="13">
        <v>27</v>
      </c>
      <c r="D3236" s="21" t="s">
        <v>6766</v>
      </c>
      <c r="E3236" s="24">
        <v>41</v>
      </c>
    </row>
    <row r="3237" spans="2:5" x14ac:dyDescent="0.3">
      <c r="B3237" s="18" t="s">
        <v>6767</v>
      </c>
      <c r="C3237" s="13">
        <v>28</v>
      </c>
      <c r="D3237" s="21" t="s">
        <v>6768</v>
      </c>
      <c r="E3237" s="24">
        <v>42</v>
      </c>
    </row>
    <row r="3238" spans="2:5" x14ac:dyDescent="0.3">
      <c r="B3238" s="18" t="s">
        <v>6769</v>
      </c>
      <c r="C3238" s="13">
        <v>29</v>
      </c>
      <c r="D3238" s="21" t="s">
        <v>6770</v>
      </c>
      <c r="E3238" s="24">
        <v>43</v>
      </c>
    </row>
    <row r="3239" spans="2:5" x14ac:dyDescent="0.3">
      <c r="B3239" s="18" t="s">
        <v>6771</v>
      </c>
      <c r="C3239" s="13">
        <v>3</v>
      </c>
      <c r="D3239" s="21" t="s">
        <v>6772</v>
      </c>
      <c r="E3239" s="24">
        <v>44</v>
      </c>
    </row>
    <row r="3240" spans="2:5" x14ac:dyDescent="0.3">
      <c r="B3240" s="18" t="s">
        <v>6773</v>
      </c>
      <c r="C3240" s="13">
        <v>30</v>
      </c>
      <c r="D3240" s="21" t="s">
        <v>6774</v>
      </c>
      <c r="E3240" s="24">
        <v>45</v>
      </c>
    </row>
    <row r="3241" spans="2:5" x14ac:dyDescent="0.3">
      <c r="B3241" s="18" t="s">
        <v>6775</v>
      </c>
      <c r="C3241" s="13">
        <v>31</v>
      </c>
      <c r="D3241" s="21" t="s">
        <v>6776</v>
      </c>
      <c r="E3241" s="24">
        <v>54</v>
      </c>
    </row>
    <row r="3242" spans="2:5" x14ac:dyDescent="0.3">
      <c r="B3242" s="18" t="s">
        <v>6777</v>
      </c>
      <c r="C3242" s="13">
        <v>32</v>
      </c>
      <c r="D3242" s="21" t="s">
        <v>6778</v>
      </c>
      <c r="E3242" s="24">
        <v>27</v>
      </c>
    </row>
    <row r="3243" spans="2:5" x14ac:dyDescent="0.3">
      <c r="B3243" s="18" t="s">
        <v>6779</v>
      </c>
      <c r="C3243" s="13">
        <v>4</v>
      </c>
      <c r="D3243" s="21" t="s">
        <v>6780</v>
      </c>
      <c r="E3243" s="24">
        <v>26</v>
      </c>
    </row>
    <row r="3244" spans="2:5" x14ac:dyDescent="0.3">
      <c r="B3244" s="18" t="s">
        <v>6781</v>
      </c>
      <c r="C3244" s="13">
        <v>5</v>
      </c>
      <c r="D3244" s="21" t="s">
        <v>6782</v>
      </c>
      <c r="E3244" s="24">
        <v>25</v>
      </c>
    </row>
    <row r="3245" spans="2:5" x14ac:dyDescent="0.3">
      <c r="B3245" s="18" t="s">
        <v>6783</v>
      </c>
      <c r="C3245" s="13">
        <v>6</v>
      </c>
      <c r="D3245" s="21" t="s">
        <v>6784</v>
      </c>
      <c r="E3245" s="24">
        <v>24</v>
      </c>
    </row>
    <row r="3246" spans="2:5" x14ac:dyDescent="0.3">
      <c r="B3246" s="18" t="s">
        <v>6785</v>
      </c>
      <c r="C3246" s="13">
        <v>7</v>
      </c>
      <c r="D3246" s="21" t="s">
        <v>6786</v>
      </c>
      <c r="E3246" s="24">
        <v>23</v>
      </c>
    </row>
    <row r="3247" spans="2:5" x14ac:dyDescent="0.3">
      <c r="B3247" s="18" t="s">
        <v>6787</v>
      </c>
      <c r="C3247" s="13">
        <v>8</v>
      </c>
      <c r="D3247" s="21" t="s">
        <v>6788</v>
      </c>
      <c r="E3247" s="24">
        <v>22</v>
      </c>
    </row>
    <row r="3248" spans="2:5" x14ac:dyDescent="0.3">
      <c r="B3248" s="18" t="s">
        <v>6789</v>
      </c>
      <c r="C3248" s="13">
        <v>9</v>
      </c>
      <c r="D3248" s="21" t="s">
        <v>6790</v>
      </c>
      <c r="E3248" s="24">
        <v>21</v>
      </c>
    </row>
    <row r="3249" spans="2:5" x14ac:dyDescent="0.3">
      <c r="B3249" s="18" t="s">
        <v>6791</v>
      </c>
      <c r="C3249" s="13">
        <v>64</v>
      </c>
      <c r="D3249" s="21" t="s">
        <v>6792</v>
      </c>
      <c r="E3249" s="24">
        <v>20</v>
      </c>
    </row>
    <row r="3250" spans="2:5" x14ac:dyDescent="0.3">
      <c r="B3250" s="18" t="s">
        <v>6793</v>
      </c>
      <c r="C3250" s="13">
        <v>55</v>
      </c>
      <c r="D3250" s="21" t="s">
        <v>6794</v>
      </c>
      <c r="E3250" s="24">
        <v>36</v>
      </c>
    </row>
    <row r="3251" spans="2:5" x14ac:dyDescent="0.3">
      <c r="B3251" s="18" t="s">
        <v>6795</v>
      </c>
      <c r="C3251" s="13">
        <v>54</v>
      </c>
      <c r="D3251" s="21" t="s">
        <v>6796</v>
      </c>
      <c r="E3251" s="24">
        <v>35</v>
      </c>
    </row>
    <row r="3252" spans="2:5" x14ac:dyDescent="0.3">
      <c r="B3252" s="18" t="s">
        <v>6797</v>
      </c>
      <c r="C3252" s="13">
        <v>53</v>
      </c>
      <c r="D3252" s="21" t="s">
        <v>6798</v>
      </c>
      <c r="E3252" s="24">
        <v>34</v>
      </c>
    </row>
    <row r="3253" spans="2:5" x14ac:dyDescent="0.3">
      <c r="B3253" s="18" t="s">
        <v>6799</v>
      </c>
      <c r="C3253" s="13">
        <v>52</v>
      </c>
      <c r="D3253" s="21" t="s">
        <v>6800</v>
      </c>
      <c r="E3253" s="24">
        <v>33</v>
      </c>
    </row>
    <row r="3254" spans="2:5" x14ac:dyDescent="0.3">
      <c r="B3254" s="18" t="s">
        <v>6801</v>
      </c>
      <c r="C3254" s="13">
        <v>51</v>
      </c>
      <c r="D3254" s="21" t="s">
        <v>6802</v>
      </c>
      <c r="E3254" s="24">
        <v>32</v>
      </c>
    </row>
    <row r="3255" spans="2:5" x14ac:dyDescent="0.3">
      <c r="B3255" s="18" t="s">
        <v>6803</v>
      </c>
      <c r="C3255" s="13">
        <v>50</v>
      </c>
      <c r="D3255" s="21" t="s">
        <v>6804</v>
      </c>
      <c r="E3255" s="24">
        <v>31</v>
      </c>
    </row>
    <row r="3256" spans="2:5" x14ac:dyDescent="0.3">
      <c r="B3256" s="18" t="s">
        <v>6805</v>
      </c>
      <c r="C3256" s="13">
        <v>49</v>
      </c>
      <c r="D3256" s="21" t="s">
        <v>6806</v>
      </c>
      <c r="E3256" s="24">
        <v>30</v>
      </c>
    </row>
    <row r="3257" spans="2:5" x14ac:dyDescent="0.3">
      <c r="B3257" s="18" t="s">
        <v>6807</v>
      </c>
      <c r="C3257" s="13">
        <v>48</v>
      </c>
      <c r="D3257" s="21" t="s">
        <v>6808</v>
      </c>
      <c r="E3257" s="24">
        <v>29</v>
      </c>
    </row>
    <row r="3258" spans="2:5" x14ac:dyDescent="0.3">
      <c r="B3258" s="18" t="s">
        <v>6809</v>
      </c>
      <c r="C3258" s="13">
        <v>47</v>
      </c>
      <c r="D3258" s="21" t="s">
        <v>6810</v>
      </c>
      <c r="E3258" s="24">
        <v>28</v>
      </c>
    </row>
    <row r="3259" spans="2:5" x14ac:dyDescent="0.3">
      <c r="B3259" s="18" t="s">
        <v>6811</v>
      </c>
      <c r="C3259" s="13">
        <v>46</v>
      </c>
      <c r="D3259" s="21" t="s">
        <v>6812</v>
      </c>
      <c r="E3259" s="24">
        <v>19</v>
      </c>
    </row>
    <row r="3260" spans="2:5" x14ac:dyDescent="0.3">
      <c r="B3260" s="18" t="s">
        <v>6813</v>
      </c>
      <c r="C3260" s="13">
        <v>63</v>
      </c>
      <c r="D3260" s="21" t="s">
        <v>6814</v>
      </c>
      <c r="E3260" s="24">
        <v>9</v>
      </c>
    </row>
    <row r="3261" spans="2:5" x14ac:dyDescent="0.3">
      <c r="B3261" s="18" t="s">
        <v>6815</v>
      </c>
      <c r="C3261" s="13">
        <v>45</v>
      </c>
      <c r="D3261" s="21" t="s">
        <v>6816</v>
      </c>
      <c r="E3261" s="24">
        <v>8</v>
      </c>
    </row>
    <row r="3262" spans="2:5" x14ac:dyDescent="0.3">
      <c r="B3262" s="18" t="s">
        <v>6817</v>
      </c>
      <c r="C3262" s="13">
        <v>44</v>
      </c>
      <c r="D3262" s="21" t="s">
        <v>6818</v>
      </c>
      <c r="E3262" s="24">
        <v>7</v>
      </c>
    </row>
    <row r="3263" spans="2:5" x14ac:dyDescent="0.3">
      <c r="B3263" s="18" t="s">
        <v>6819</v>
      </c>
      <c r="C3263" s="13">
        <v>43</v>
      </c>
      <c r="D3263" s="21" t="s">
        <v>6820</v>
      </c>
      <c r="E3263" s="24">
        <v>6</v>
      </c>
    </row>
    <row r="3264" spans="2:5" x14ac:dyDescent="0.3">
      <c r="B3264" s="18" t="s">
        <v>6821</v>
      </c>
      <c r="C3264" s="13">
        <v>42</v>
      </c>
      <c r="D3264" s="21" t="s">
        <v>6822</v>
      </c>
      <c r="E3264" s="24">
        <v>5</v>
      </c>
    </row>
    <row r="3265" spans="2:5" x14ac:dyDescent="0.3">
      <c r="B3265" s="18" t="s">
        <v>6823</v>
      </c>
      <c r="C3265" s="13">
        <v>41</v>
      </c>
      <c r="D3265" s="21" t="s">
        <v>6824</v>
      </c>
      <c r="E3265" s="24">
        <v>4</v>
      </c>
    </row>
    <row r="3266" spans="2:5" x14ac:dyDescent="0.3">
      <c r="B3266" s="18" t="s">
        <v>6825</v>
      </c>
      <c r="C3266" s="13">
        <v>40</v>
      </c>
      <c r="D3266" s="21" t="s">
        <v>6826</v>
      </c>
      <c r="E3266" s="24">
        <v>3</v>
      </c>
    </row>
    <row r="3267" spans="2:5" x14ac:dyDescent="0.3">
      <c r="B3267" s="18" t="s">
        <v>6827</v>
      </c>
      <c r="C3267" s="13">
        <v>39</v>
      </c>
      <c r="D3267" s="21" t="s">
        <v>6828</v>
      </c>
      <c r="E3267" s="24">
        <v>2</v>
      </c>
    </row>
    <row r="3268" spans="2:5" x14ac:dyDescent="0.3">
      <c r="B3268" s="18" t="s">
        <v>6829</v>
      </c>
      <c r="C3268" s="13">
        <v>38</v>
      </c>
      <c r="D3268" s="21" t="s">
        <v>6830</v>
      </c>
      <c r="E3268" s="24">
        <v>18</v>
      </c>
    </row>
    <row r="3269" spans="2:5" x14ac:dyDescent="0.3">
      <c r="B3269" s="18" t="s">
        <v>6831</v>
      </c>
      <c r="C3269" s="13">
        <v>37</v>
      </c>
      <c r="D3269" s="21" t="s">
        <v>6832</v>
      </c>
      <c r="E3269" s="24">
        <v>17</v>
      </c>
    </row>
    <row r="3270" spans="2:5" x14ac:dyDescent="0.3">
      <c r="B3270" s="18" t="s">
        <v>6833</v>
      </c>
      <c r="C3270" s="13">
        <v>36</v>
      </c>
      <c r="D3270" s="21" t="s">
        <v>6834</v>
      </c>
      <c r="E3270" s="24">
        <v>16</v>
      </c>
    </row>
    <row r="3271" spans="2:5" x14ac:dyDescent="0.3">
      <c r="B3271" s="18" t="s">
        <v>6835</v>
      </c>
      <c r="C3271" s="13">
        <v>62</v>
      </c>
      <c r="D3271" s="21" t="s">
        <v>6836</v>
      </c>
      <c r="E3271" s="24">
        <v>15</v>
      </c>
    </row>
    <row r="3272" spans="2:5" x14ac:dyDescent="0.3">
      <c r="B3272" s="18" t="s">
        <v>6837</v>
      </c>
      <c r="C3272" s="13">
        <v>35</v>
      </c>
      <c r="D3272" s="21" t="s">
        <v>6838</v>
      </c>
      <c r="E3272" s="24">
        <v>14</v>
      </c>
    </row>
    <row r="3273" spans="2:5" x14ac:dyDescent="0.3">
      <c r="B3273" s="18" t="s">
        <v>6839</v>
      </c>
      <c r="C3273" s="13">
        <v>34</v>
      </c>
      <c r="D3273" s="21" t="s">
        <v>6840</v>
      </c>
      <c r="E3273" s="24">
        <v>13</v>
      </c>
    </row>
    <row r="3274" spans="2:5" x14ac:dyDescent="0.3">
      <c r="B3274" s="18" t="s">
        <v>6841</v>
      </c>
      <c r="C3274" s="13">
        <v>33</v>
      </c>
      <c r="D3274" s="21" t="s">
        <v>6842</v>
      </c>
      <c r="E3274" s="24">
        <v>12</v>
      </c>
    </row>
    <row r="3275" spans="2:5" x14ac:dyDescent="0.3">
      <c r="B3275" s="18" t="s">
        <v>6843</v>
      </c>
      <c r="C3275" s="13">
        <v>61</v>
      </c>
      <c r="D3275" s="21" t="s">
        <v>6844</v>
      </c>
      <c r="E3275" s="24">
        <v>11</v>
      </c>
    </row>
    <row r="3276" spans="2:5" x14ac:dyDescent="0.3">
      <c r="B3276" s="18" t="s">
        <v>6845</v>
      </c>
      <c r="C3276" s="13">
        <v>60</v>
      </c>
      <c r="D3276" s="21" t="s">
        <v>6846</v>
      </c>
      <c r="E3276" s="24">
        <v>10</v>
      </c>
    </row>
    <row r="3277" spans="2:5" x14ac:dyDescent="0.3">
      <c r="B3277" s="18" t="s">
        <v>6847</v>
      </c>
      <c r="C3277" s="13">
        <v>59</v>
      </c>
      <c r="D3277" s="21" t="s">
        <v>6848</v>
      </c>
      <c r="E3277" s="24">
        <v>1</v>
      </c>
    </row>
    <row r="3278" spans="2:5" x14ac:dyDescent="0.3">
      <c r="B3278" s="18" t="s">
        <v>6849</v>
      </c>
      <c r="C3278" s="13">
        <v>58</v>
      </c>
      <c r="D3278" s="21" t="s">
        <v>6850</v>
      </c>
      <c r="E3278" s="24">
        <v>46</v>
      </c>
    </row>
    <row r="3279" spans="2:5" x14ac:dyDescent="0.3">
      <c r="B3279" s="18" t="s">
        <v>6851</v>
      </c>
      <c r="C3279" s="13">
        <v>57</v>
      </c>
      <c r="D3279" s="21" t="s">
        <v>6852</v>
      </c>
      <c r="E3279" s="24">
        <v>47</v>
      </c>
    </row>
    <row r="3280" spans="2:5" x14ac:dyDescent="0.3">
      <c r="B3280" s="18" t="s">
        <v>6853</v>
      </c>
      <c r="C3280" s="13">
        <v>56</v>
      </c>
      <c r="D3280" s="21" t="s">
        <v>6854</v>
      </c>
      <c r="E3280" s="24">
        <v>48</v>
      </c>
    </row>
    <row r="3281" spans="2:5" x14ac:dyDescent="0.3">
      <c r="B3281" s="18" t="s">
        <v>6855</v>
      </c>
      <c r="C3281" s="13">
        <v>65</v>
      </c>
      <c r="D3281" s="21" t="s">
        <v>6856</v>
      </c>
      <c r="E3281" s="24">
        <v>49</v>
      </c>
    </row>
    <row r="3282" spans="2:5" x14ac:dyDescent="0.3">
      <c r="B3282" s="18" t="s">
        <v>6857</v>
      </c>
      <c r="C3282" s="13">
        <v>74</v>
      </c>
      <c r="D3282" s="21" t="s">
        <v>6858</v>
      </c>
      <c r="E3282" s="24">
        <v>50</v>
      </c>
    </row>
    <row r="3283" spans="2:5" x14ac:dyDescent="0.3">
      <c r="B3283" s="18" t="s">
        <v>6859</v>
      </c>
      <c r="C3283" s="13">
        <v>75</v>
      </c>
      <c r="D3283" s="21" t="s">
        <v>6860</v>
      </c>
      <c r="E3283" s="24">
        <v>51</v>
      </c>
    </row>
    <row r="3284" spans="2:5" x14ac:dyDescent="0.3">
      <c r="B3284" s="18" t="s">
        <v>6861</v>
      </c>
      <c r="C3284" s="13">
        <v>76</v>
      </c>
      <c r="D3284" s="21" t="s">
        <v>6862</v>
      </c>
      <c r="E3284" s="24">
        <v>52</v>
      </c>
    </row>
    <row r="3285" spans="2:5" x14ac:dyDescent="0.3">
      <c r="B3285" s="18" t="s">
        <v>6863</v>
      </c>
      <c r="C3285" s="13">
        <v>77</v>
      </c>
      <c r="D3285" s="21" t="s">
        <v>6864</v>
      </c>
      <c r="E3285" s="24">
        <v>53</v>
      </c>
    </row>
    <row r="3286" spans="2:5" x14ac:dyDescent="0.3">
      <c r="B3286" s="18" t="s">
        <v>6865</v>
      </c>
      <c r="C3286" s="13">
        <v>78</v>
      </c>
      <c r="D3286" s="21" t="s">
        <v>6866</v>
      </c>
      <c r="E3286" s="24">
        <v>37</v>
      </c>
    </row>
    <row r="3287" spans="2:5" x14ac:dyDescent="0.3">
      <c r="B3287" s="18" t="s">
        <v>6867</v>
      </c>
      <c r="C3287" s="13">
        <v>79</v>
      </c>
      <c r="D3287" s="21" t="s">
        <v>6868</v>
      </c>
      <c r="E3287" s="24">
        <v>38</v>
      </c>
    </row>
    <row r="3288" spans="2:5" x14ac:dyDescent="0.3">
      <c r="B3288" s="18" t="s">
        <v>6869</v>
      </c>
      <c r="C3288" s="13">
        <v>80</v>
      </c>
      <c r="D3288" s="21" t="s">
        <v>6870</v>
      </c>
      <c r="E3288" s="24">
        <v>39</v>
      </c>
    </row>
    <row r="3289" spans="2:5" x14ac:dyDescent="0.3">
      <c r="B3289" s="18" t="s">
        <v>6871</v>
      </c>
      <c r="C3289" s="13">
        <v>81</v>
      </c>
      <c r="D3289" s="21" t="s">
        <v>6872</v>
      </c>
      <c r="E3289" s="24">
        <v>40</v>
      </c>
    </row>
    <row r="3290" spans="2:5" x14ac:dyDescent="0.3">
      <c r="B3290" s="18" t="s">
        <v>6873</v>
      </c>
      <c r="C3290" s="13">
        <v>82</v>
      </c>
      <c r="D3290" s="21" t="s">
        <v>6874</v>
      </c>
      <c r="E3290" s="24">
        <v>41</v>
      </c>
    </row>
    <row r="3291" spans="2:5" x14ac:dyDescent="0.3">
      <c r="B3291" s="18" t="s">
        <v>6875</v>
      </c>
      <c r="C3291" s="13">
        <v>83</v>
      </c>
      <c r="D3291" s="21" t="s">
        <v>6876</v>
      </c>
      <c r="E3291" s="24">
        <v>42</v>
      </c>
    </row>
    <row r="3292" spans="2:5" x14ac:dyDescent="0.3">
      <c r="B3292" s="18" t="s">
        <v>6877</v>
      </c>
      <c r="C3292" s="13">
        <v>66</v>
      </c>
      <c r="D3292" s="21" t="s">
        <v>6878</v>
      </c>
      <c r="E3292" s="24">
        <v>43</v>
      </c>
    </row>
    <row r="3293" spans="2:5" x14ac:dyDescent="0.3">
      <c r="B3293" s="18" t="s">
        <v>6879</v>
      </c>
      <c r="C3293" s="13">
        <v>84</v>
      </c>
      <c r="D3293" s="21" t="s">
        <v>6880</v>
      </c>
      <c r="E3293" s="24">
        <v>44</v>
      </c>
    </row>
    <row r="3294" spans="2:5" x14ac:dyDescent="0.3">
      <c r="B3294" s="18" t="s">
        <v>6881</v>
      </c>
      <c r="C3294" s="13">
        <v>85</v>
      </c>
      <c r="D3294" s="21" t="s">
        <v>6882</v>
      </c>
      <c r="E3294" s="24">
        <v>45</v>
      </c>
    </row>
    <row r="3295" spans="2:5" x14ac:dyDescent="0.3">
      <c r="B3295" s="18" t="s">
        <v>6883</v>
      </c>
      <c r="C3295" s="13">
        <v>86</v>
      </c>
      <c r="D3295" s="21" t="s">
        <v>6884</v>
      </c>
      <c r="E3295" s="24">
        <v>27</v>
      </c>
    </row>
    <row r="3296" spans="2:5" x14ac:dyDescent="0.3">
      <c r="B3296" s="18" t="s">
        <v>6885</v>
      </c>
      <c r="C3296" s="13">
        <v>87</v>
      </c>
      <c r="D3296" s="21" t="s">
        <v>6886</v>
      </c>
      <c r="E3296" s="24">
        <v>26</v>
      </c>
    </row>
    <row r="3297" spans="2:5" x14ac:dyDescent="0.3">
      <c r="B3297" s="18" t="s">
        <v>6887</v>
      </c>
      <c r="C3297" s="13">
        <v>88</v>
      </c>
      <c r="D3297" s="21" t="s">
        <v>6888</v>
      </c>
      <c r="E3297" s="24">
        <v>25</v>
      </c>
    </row>
    <row r="3298" spans="2:5" x14ac:dyDescent="0.3">
      <c r="B3298" s="18" t="s">
        <v>6889</v>
      </c>
      <c r="C3298" s="13">
        <v>89</v>
      </c>
      <c r="D3298" s="21" t="s">
        <v>6890</v>
      </c>
      <c r="E3298" s="24">
        <v>24</v>
      </c>
    </row>
    <row r="3299" spans="2:5" x14ac:dyDescent="0.3">
      <c r="B3299" s="18" t="s">
        <v>6891</v>
      </c>
      <c r="C3299" s="13">
        <v>90</v>
      </c>
      <c r="D3299" s="21" t="s">
        <v>6892</v>
      </c>
      <c r="E3299" s="24">
        <v>23</v>
      </c>
    </row>
    <row r="3300" spans="2:5" x14ac:dyDescent="0.3">
      <c r="B3300" s="18" t="s">
        <v>6893</v>
      </c>
      <c r="C3300" s="13">
        <v>91</v>
      </c>
      <c r="D3300" s="21" t="s">
        <v>6894</v>
      </c>
      <c r="E3300" s="24">
        <v>22</v>
      </c>
    </row>
    <row r="3301" spans="2:5" x14ac:dyDescent="0.3">
      <c r="B3301" s="18" t="s">
        <v>6895</v>
      </c>
      <c r="C3301" s="13">
        <v>92</v>
      </c>
      <c r="D3301" s="21" t="s">
        <v>6896</v>
      </c>
      <c r="E3301" s="24">
        <v>21</v>
      </c>
    </row>
    <row r="3302" spans="2:5" x14ac:dyDescent="0.3">
      <c r="B3302" s="18" t="s">
        <v>6897</v>
      </c>
      <c r="C3302" s="13">
        <v>93</v>
      </c>
      <c r="D3302" s="21" t="s">
        <v>6898</v>
      </c>
      <c r="E3302" s="24">
        <v>20</v>
      </c>
    </row>
    <row r="3303" spans="2:5" x14ac:dyDescent="0.3">
      <c r="B3303" s="18" t="s">
        <v>6899</v>
      </c>
      <c r="C3303" s="13">
        <v>67</v>
      </c>
      <c r="D3303" s="21" t="s">
        <v>6900</v>
      </c>
      <c r="E3303" s="24">
        <v>36</v>
      </c>
    </row>
    <row r="3304" spans="2:5" x14ac:dyDescent="0.3">
      <c r="B3304" s="18" t="s">
        <v>6901</v>
      </c>
      <c r="C3304" s="13">
        <v>94</v>
      </c>
      <c r="D3304" s="21" t="s">
        <v>6902</v>
      </c>
      <c r="E3304" s="24">
        <v>35</v>
      </c>
    </row>
    <row r="3305" spans="2:5" x14ac:dyDescent="0.3">
      <c r="B3305" s="18" t="s">
        <v>6903</v>
      </c>
      <c r="C3305" s="13">
        <v>95</v>
      </c>
      <c r="D3305" s="21" t="s">
        <v>6904</v>
      </c>
      <c r="E3305" s="24">
        <v>34</v>
      </c>
    </row>
    <row r="3306" spans="2:5" x14ac:dyDescent="0.3">
      <c r="B3306" s="18" t="s">
        <v>6905</v>
      </c>
      <c r="C3306" s="13">
        <v>96</v>
      </c>
      <c r="D3306" s="21" t="s">
        <v>6906</v>
      </c>
      <c r="E3306" s="24">
        <v>33</v>
      </c>
    </row>
    <row r="3307" spans="2:5" x14ac:dyDescent="0.3">
      <c r="B3307" s="18" t="s">
        <v>6907</v>
      </c>
      <c r="C3307" s="13">
        <v>68</v>
      </c>
      <c r="D3307" s="21" t="s">
        <v>6908</v>
      </c>
      <c r="E3307" s="24">
        <v>32</v>
      </c>
    </row>
    <row r="3308" spans="2:5" x14ac:dyDescent="0.3">
      <c r="B3308" s="18" t="s">
        <v>6909</v>
      </c>
      <c r="C3308" s="13">
        <v>69</v>
      </c>
      <c r="D3308" s="21" t="s">
        <v>6910</v>
      </c>
      <c r="E3308" s="24">
        <v>31</v>
      </c>
    </row>
    <row r="3309" spans="2:5" x14ac:dyDescent="0.3">
      <c r="B3309" s="18" t="s">
        <v>6911</v>
      </c>
      <c r="C3309" s="13">
        <v>70</v>
      </c>
      <c r="D3309" s="21" t="s">
        <v>6912</v>
      </c>
      <c r="E3309" s="24">
        <v>30</v>
      </c>
    </row>
    <row r="3310" spans="2:5" x14ac:dyDescent="0.3">
      <c r="B3310" s="18" t="s">
        <v>6913</v>
      </c>
      <c r="C3310" s="13">
        <v>71</v>
      </c>
      <c r="D3310" s="21" t="s">
        <v>6914</v>
      </c>
      <c r="E3310" s="24">
        <v>29</v>
      </c>
    </row>
    <row r="3311" spans="2:5" x14ac:dyDescent="0.3">
      <c r="B3311" s="18" t="s">
        <v>6915</v>
      </c>
      <c r="C3311" s="13">
        <v>72</v>
      </c>
      <c r="D3311" s="21" t="s">
        <v>6916</v>
      </c>
      <c r="E3311" s="24">
        <v>28</v>
      </c>
    </row>
    <row r="3312" spans="2:5" x14ac:dyDescent="0.3">
      <c r="B3312" s="18" t="s">
        <v>6917</v>
      </c>
      <c r="C3312" s="13">
        <v>73</v>
      </c>
      <c r="D3312" s="21" t="s">
        <v>6918</v>
      </c>
      <c r="E3312" s="24">
        <v>19</v>
      </c>
    </row>
    <row r="3313" spans="2:5" x14ac:dyDescent="0.3">
      <c r="B3313" s="18" t="s">
        <v>6919</v>
      </c>
      <c r="C3313" s="13">
        <v>128</v>
      </c>
      <c r="D3313" s="21" t="s">
        <v>6920</v>
      </c>
      <c r="E3313" s="24">
        <v>9</v>
      </c>
    </row>
    <row r="3314" spans="2:5" x14ac:dyDescent="0.3">
      <c r="B3314" s="18" t="s">
        <v>6921</v>
      </c>
      <c r="C3314" s="13">
        <v>119</v>
      </c>
      <c r="D3314" s="21" t="s">
        <v>6922</v>
      </c>
      <c r="E3314" s="24">
        <v>8</v>
      </c>
    </row>
    <row r="3315" spans="2:5" x14ac:dyDescent="0.3">
      <c r="B3315" s="18" t="s">
        <v>6923</v>
      </c>
      <c r="C3315" s="13">
        <v>118</v>
      </c>
      <c r="D3315" s="21" t="s">
        <v>6924</v>
      </c>
      <c r="E3315" s="24">
        <v>7</v>
      </c>
    </row>
    <row r="3316" spans="2:5" x14ac:dyDescent="0.3">
      <c r="B3316" s="18" t="s">
        <v>6925</v>
      </c>
      <c r="C3316" s="13">
        <v>117</v>
      </c>
      <c r="D3316" s="21" t="s">
        <v>6926</v>
      </c>
      <c r="E3316" s="24">
        <v>6</v>
      </c>
    </row>
    <row r="3317" spans="2:5" x14ac:dyDescent="0.3">
      <c r="B3317" s="18" t="s">
        <v>6927</v>
      </c>
      <c r="C3317" s="13">
        <v>116</v>
      </c>
      <c r="D3317" s="21" t="s">
        <v>6928</v>
      </c>
      <c r="E3317" s="24">
        <v>5</v>
      </c>
    </row>
    <row r="3318" spans="2:5" x14ac:dyDescent="0.3">
      <c r="B3318" s="18" t="s">
        <v>6929</v>
      </c>
      <c r="C3318" s="13">
        <v>115</v>
      </c>
      <c r="D3318" s="21" t="s">
        <v>6930</v>
      </c>
      <c r="E3318" s="24">
        <v>4</v>
      </c>
    </row>
    <row r="3319" spans="2:5" x14ac:dyDescent="0.3">
      <c r="B3319" s="18" t="s">
        <v>6931</v>
      </c>
      <c r="C3319" s="13">
        <v>114</v>
      </c>
      <c r="D3319" s="21" t="s">
        <v>6932</v>
      </c>
      <c r="E3319" s="24">
        <v>3</v>
      </c>
    </row>
    <row r="3320" spans="2:5" x14ac:dyDescent="0.3">
      <c r="B3320" s="18" t="s">
        <v>6933</v>
      </c>
      <c r="C3320" s="13">
        <v>113</v>
      </c>
      <c r="D3320" s="21" t="s">
        <v>6934</v>
      </c>
      <c r="E3320" s="24">
        <v>2</v>
      </c>
    </row>
    <row r="3321" spans="2:5" x14ac:dyDescent="0.3">
      <c r="B3321" s="18" t="s">
        <v>6935</v>
      </c>
      <c r="C3321" s="13">
        <v>112</v>
      </c>
      <c r="D3321" s="21" t="s">
        <v>6936</v>
      </c>
      <c r="E3321" s="24">
        <v>18</v>
      </c>
    </row>
    <row r="3322" spans="2:5" x14ac:dyDescent="0.3">
      <c r="B3322" s="18" t="s">
        <v>6937</v>
      </c>
      <c r="C3322" s="13">
        <v>111</v>
      </c>
      <c r="D3322" s="21" t="s">
        <v>6938</v>
      </c>
      <c r="E3322" s="24">
        <v>17</v>
      </c>
    </row>
    <row r="3323" spans="2:5" x14ac:dyDescent="0.3">
      <c r="B3323" s="18" t="s">
        <v>6939</v>
      </c>
      <c r="C3323" s="13">
        <v>110</v>
      </c>
      <c r="D3323" s="21" t="s">
        <v>6940</v>
      </c>
      <c r="E3323" s="24">
        <v>16</v>
      </c>
    </row>
    <row r="3324" spans="2:5" x14ac:dyDescent="0.3">
      <c r="B3324" s="18" t="s">
        <v>6941</v>
      </c>
      <c r="C3324" s="13">
        <v>127</v>
      </c>
      <c r="D3324" s="21" t="s">
        <v>6942</v>
      </c>
      <c r="E3324" s="24">
        <v>15</v>
      </c>
    </row>
    <row r="3325" spans="2:5" x14ac:dyDescent="0.3">
      <c r="B3325" s="18" t="s">
        <v>6943</v>
      </c>
      <c r="C3325" s="13">
        <v>109</v>
      </c>
      <c r="D3325" s="21" t="s">
        <v>6944</v>
      </c>
      <c r="E3325" s="24">
        <v>14</v>
      </c>
    </row>
    <row r="3326" spans="2:5" x14ac:dyDescent="0.3">
      <c r="B3326" s="18" t="s">
        <v>6945</v>
      </c>
      <c r="C3326" s="13">
        <v>108</v>
      </c>
      <c r="D3326" s="21" t="s">
        <v>6946</v>
      </c>
      <c r="E3326" s="24">
        <v>13</v>
      </c>
    </row>
    <row r="3327" spans="2:5" x14ac:dyDescent="0.3">
      <c r="B3327" s="18" t="s">
        <v>6947</v>
      </c>
      <c r="C3327" s="13">
        <v>107</v>
      </c>
      <c r="D3327" s="21" t="s">
        <v>6948</v>
      </c>
      <c r="E3327" s="24">
        <v>12</v>
      </c>
    </row>
    <row r="3328" spans="2:5" x14ac:dyDescent="0.3">
      <c r="B3328" s="18" t="s">
        <v>6949</v>
      </c>
      <c r="C3328" s="13">
        <v>106</v>
      </c>
      <c r="D3328" s="21" t="s">
        <v>6950</v>
      </c>
      <c r="E3328" s="24">
        <v>11</v>
      </c>
    </row>
    <row r="3329" spans="2:5" x14ac:dyDescent="0.3">
      <c r="B3329" s="18" t="s">
        <v>6951</v>
      </c>
      <c r="C3329" s="13">
        <v>105</v>
      </c>
      <c r="D3329" s="21" t="s">
        <v>6952</v>
      </c>
      <c r="E3329" s="24">
        <v>10</v>
      </c>
    </row>
    <row r="3330" spans="2:5" x14ac:dyDescent="0.3">
      <c r="B3330" s="18" t="s">
        <v>6953</v>
      </c>
      <c r="C3330" s="13">
        <v>104</v>
      </c>
      <c r="D3330" s="21" t="s">
        <v>6954</v>
      </c>
      <c r="E3330" s="24">
        <v>1</v>
      </c>
    </row>
    <row r="3331" spans="2:5" x14ac:dyDescent="0.3">
      <c r="B3331" s="18" t="s">
        <v>6955</v>
      </c>
      <c r="C3331" s="13">
        <v>103</v>
      </c>
      <c r="D3331" s="21" t="s">
        <v>6956</v>
      </c>
      <c r="E3331" s="24">
        <v>46</v>
      </c>
    </row>
    <row r="3332" spans="2:5" x14ac:dyDescent="0.3">
      <c r="B3332" s="18" t="s">
        <v>6957</v>
      </c>
      <c r="C3332" s="13">
        <v>102</v>
      </c>
      <c r="D3332" s="21" t="s">
        <v>6958</v>
      </c>
      <c r="E3332" s="24">
        <v>47</v>
      </c>
    </row>
    <row r="3333" spans="2:5" x14ac:dyDescent="0.3">
      <c r="B3333" s="18" t="s">
        <v>6959</v>
      </c>
      <c r="C3333" s="13">
        <v>101</v>
      </c>
      <c r="D3333" s="21" t="s">
        <v>6960</v>
      </c>
      <c r="E3333" s="24">
        <v>48</v>
      </c>
    </row>
    <row r="3334" spans="2:5" x14ac:dyDescent="0.3">
      <c r="B3334" s="18" t="s">
        <v>6961</v>
      </c>
      <c r="C3334" s="13">
        <v>100</v>
      </c>
      <c r="D3334" s="21" t="s">
        <v>6962</v>
      </c>
      <c r="E3334" s="24">
        <v>49</v>
      </c>
    </row>
    <row r="3335" spans="2:5" x14ac:dyDescent="0.3">
      <c r="B3335" s="18" t="s">
        <v>6963</v>
      </c>
      <c r="C3335" s="13">
        <v>126</v>
      </c>
      <c r="D3335" s="21" t="s">
        <v>6964</v>
      </c>
      <c r="E3335" s="24">
        <v>50</v>
      </c>
    </row>
    <row r="3336" spans="2:5" x14ac:dyDescent="0.3">
      <c r="B3336" s="18" t="s">
        <v>6965</v>
      </c>
      <c r="C3336" s="13">
        <v>99</v>
      </c>
      <c r="D3336" s="21" t="s">
        <v>6966</v>
      </c>
      <c r="E3336" s="24">
        <v>51</v>
      </c>
    </row>
    <row r="3337" spans="2:5" x14ac:dyDescent="0.3">
      <c r="B3337" s="18" t="s">
        <v>6967</v>
      </c>
      <c r="C3337" s="13">
        <v>98</v>
      </c>
      <c r="D3337" s="21" t="s">
        <v>6968</v>
      </c>
      <c r="E3337" s="24">
        <v>52</v>
      </c>
    </row>
    <row r="3338" spans="2:5" x14ac:dyDescent="0.3">
      <c r="B3338" s="18" t="s">
        <v>6969</v>
      </c>
      <c r="C3338" s="13">
        <v>97</v>
      </c>
      <c r="D3338" s="21" t="s">
        <v>6970</v>
      </c>
      <c r="E3338" s="24">
        <v>37</v>
      </c>
    </row>
    <row r="3339" spans="2:5" x14ac:dyDescent="0.3">
      <c r="B3339" s="18" t="s">
        <v>6971</v>
      </c>
      <c r="C3339" s="13">
        <v>125</v>
      </c>
      <c r="D3339" s="21" t="s">
        <v>6972</v>
      </c>
      <c r="E3339" s="24">
        <v>38</v>
      </c>
    </row>
    <row r="3340" spans="2:5" x14ac:dyDescent="0.3">
      <c r="B3340" s="18" t="s">
        <v>6973</v>
      </c>
      <c r="C3340" s="13">
        <v>124</v>
      </c>
      <c r="D3340" s="21" t="s">
        <v>6974</v>
      </c>
      <c r="E3340" s="24">
        <v>39</v>
      </c>
    </row>
    <row r="3341" spans="2:5" x14ac:dyDescent="0.3">
      <c r="B3341" s="18" t="s">
        <v>6975</v>
      </c>
      <c r="C3341" s="13">
        <v>123</v>
      </c>
      <c r="D3341" s="21" t="s">
        <v>6976</v>
      </c>
      <c r="E3341" s="24">
        <v>40</v>
      </c>
    </row>
    <row r="3342" spans="2:5" x14ac:dyDescent="0.3">
      <c r="B3342" s="18" t="s">
        <v>6977</v>
      </c>
      <c r="C3342" s="13">
        <v>122</v>
      </c>
      <c r="D3342" s="21" t="s">
        <v>6978</v>
      </c>
      <c r="E3342" s="24">
        <v>41</v>
      </c>
    </row>
    <row r="3343" spans="2:5" x14ac:dyDescent="0.3">
      <c r="B3343" s="18" t="s">
        <v>6979</v>
      </c>
      <c r="C3343" s="13">
        <v>121</v>
      </c>
      <c r="D3343" s="21" t="s">
        <v>6980</v>
      </c>
      <c r="E3343" s="24">
        <v>42</v>
      </c>
    </row>
    <row r="3344" spans="2:5" x14ac:dyDescent="0.3">
      <c r="B3344" s="18" t="s">
        <v>6981</v>
      </c>
      <c r="C3344" s="13">
        <v>120</v>
      </c>
      <c r="D3344" s="21" t="s">
        <v>6982</v>
      </c>
      <c r="E3344" s="24">
        <v>43</v>
      </c>
    </row>
    <row r="3345" spans="2:5" x14ac:dyDescent="0.3">
      <c r="B3345" s="18" t="s">
        <v>6983</v>
      </c>
      <c r="C3345" s="13">
        <v>1</v>
      </c>
      <c r="D3345" s="21" t="s">
        <v>6984</v>
      </c>
      <c r="E3345" s="24">
        <v>44</v>
      </c>
    </row>
    <row r="3346" spans="2:5" x14ac:dyDescent="0.3">
      <c r="B3346" s="18" t="s">
        <v>6985</v>
      </c>
      <c r="C3346" s="13">
        <v>2</v>
      </c>
      <c r="D3346" s="21" t="s">
        <v>6986</v>
      </c>
      <c r="E3346" s="24">
        <v>45</v>
      </c>
    </row>
    <row r="3347" spans="2:5" x14ac:dyDescent="0.3">
      <c r="B3347" s="18" t="s">
        <v>6987</v>
      </c>
      <c r="C3347" s="13">
        <v>3</v>
      </c>
      <c r="D3347" s="21" t="s">
        <v>6988</v>
      </c>
      <c r="E3347" s="24">
        <v>27</v>
      </c>
    </row>
    <row r="3348" spans="2:5" x14ac:dyDescent="0.3">
      <c r="B3348" s="18" t="s">
        <v>6989</v>
      </c>
      <c r="C3348" s="13">
        <v>6</v>
      </c>
      <c r="D3348" s="21" t="s">
        <v>6990</v>
      </c>
      <c r="E3348" s="24">
        <v>26</v>
      </c>
    </row>
    <row r="3349" spans="2:5" x14ac:dyDescent="0.3">
      <c r="B3349" s="18" t="s">
        <v>6991</v>
      </c>
      <c r="C3349" s="13">
        <v>5</v>
      </c>
      <c r="D3349" s="21" t="s">
        <v>6992</v>
      </c>
      <c r="E3349" s="24">
        <v>25</v>
      </c>
    </row>
    <row r="3350" spans="2:5" x14ac:dyDescent="0.3">
      <c r="B3350" s="18" t="s">
        <v>6993</v>
      </c>
      <c r="C3350" s="13">
        <v>4</v>
      </c>
      <c r="D3350" s="21" t="s">
        <v>6994</v>
      </c>
      <c r="E3350" s="24">
        <v>24</v>
      </c>
    </row>
    <row r="3351" spans="2:5" x14ac:dyDescent="0.3">
      <c r="B3351" s="18" t="s">
        <v>6995</v>
      </c>
      <c r="C3351" s="13">
        <v>7</v>
      </c>
      <c r="D3351" s="21" t="s">
        <v>6996</v>
      </c>
      <c r="E3351" s="24">
        <v>23</v>
      </c>
    </row>
    <row r="3352" spans="2:5" x14ac:dyDescent="0.3">
      <c r="B3352" s="18" t="s">
        <v>6997</v>
      </c>
      <c r="C3352" s="13">
        <v>8</v>
      </c>
      <c r="D3352" s="21" t="s">
        <v>6998</v>
      </c>
      <c r="E3352" s="24">
        <v>22</v>
      </c>
    </row>
    <row r="3353" spans="2:5" x14ac:dyDescent="0.3">
      <c r="B3353" s="18" t="s">
        <v>6999</v>
      </c>
      <c r="C3353" s="13">
        <v>9</v>
      </c>
      <c r="D3353" s="21" t="s">
        <v>7000</v>
      </c>
      <c r="E3353" s="24">
        <v>21</v>
      </c>
    </row>
    <row r="3354" spans="2:5" x14ac:dyDescent="0.3">
      <c r="B3354" s="18" t="s">
        <v>7001</v>
      </c>
      <c r="C3354" s="13">
        <v>12</v>
      </c>
      <c r="D3354" s="21" t="s">
        <v>7002</v>
      </c>
      <c r="E3354" s="24">
        <v>20</v>
      </c>
    </row>
    <row r="3355" spans="2:5" x14ac:dyDescent="0.3">
      <c r="B3355" s="18" t="s">
        <v>7003</v>
      </c>
      <c r="C3355" s="13">
        <v>11</v>
      </c>
      <c r="D3355" s="21" t="s">
        <v>7004</v>
      </c>
      <c r="E3355" s="24">
        <v>36</v>
      </c>
    </row>
    <row r="3356" spans="2:5" x14ac:dyDescent="0.3">
      <c r="B3356" s="18" t="s">
        <v>7005</v>
      </c>
      <c r="C3356" s="13">
        <v>10</v>
      </c>
      <c r="D3356" s="21" t="s">
        <v>7006</v>
      </c>
      <c r="E3356" s="24">
        <v>35</v>
      </c>
    </row>
    <row r="3357" spans="2:5" x14ac:dyDescent="0.3">
      <c r="B3357" s="18" t="s">
        <v>7007</v>
      </c>
      <c r="C3357" s="13">
        <v>1</v>
      </c>
      <c r="D3357" s="21" t="s">
        <v>7008</v>
      </c>
      <c r="E3357" s="24">
        <v>34</v>
      </c>
    </row>
    <row r="3358" spans="2:5" x14ac:dyDescent="0.3">
      <c r="B3358" s="18" t="s">
        <v>7009</v>
      </c>
      <c r="C3358" s="13">
        <v>2</v>
      </c>
      <c r="D3358" s="21" t="s">
        <v>7010</v>
      </c>
      <c r="E3358" s="24">
        <v>33</v>
      </c>
    </row>
    <row r="3359" spans="2:5" x14ac:dyDescent="0.3">
      <c r="B3359" s="18" t="s">
        <v>7011</v>
      </c>
      <c r="C3359" s="13">
        <v>3</v>
      </c>
      <c r="D3359" s="21" t="s">
        <v>7012</v>
      </c>
      <c r="E3359" s="24">
        <v>32</v>
      </c>
    </row>
    <row r="3360" spans="2:5" x14ac:dyDescent="0.3">
      <c r="B3360" s="18" t="s">
        <v>7013</v>
      </c>
      <c r="C3360" s="13">
        <v>4</v>
      </c>
      <c r="D3360" s="21" t="s">
        <v>7014</v>
      </c>
      <c r="E3360" s="24">
        <v>31</v>
      </c>
    </row>
    <row r="3361" spans="2:5" x14ac:dyDescent="0.3">
      <c r="B3361" s="18" t="s">
        <v>7015</v>
      </c>
      <c r="C3361" s="13">
        <v>8</v>
      </c>
      <c r="D3361" s="21" t="s">
        <v>7016</v>
      </c>
      <c r="E3361" s="24">
        <v>30</v>
      </c>
    </row>
    <row r="3362" spans="2:5" x14ac:dyDescent="0.3">
      <c r="B3362" s="18" t="s">
        <v>7017</v>
      </c>
      <c r="C3362" s="13">
        <v>7</v>
      </c>
      <c r="D3362" s="21" t="s">
        <v>7018</v>
      </c>
      <c r="E3362" s="24">
        <v>29</v>
      </c>
    </row>
    <row r="3363" spans="2:5" x14ac:dyDescent="0.3">
      <c r="B3363" s="18" t="s">
        <v>7019</v>
      </c>
      <c r="C3363" s="13">
        <v>6</v>
      </c>
      <c r="D3363" s="21" t="s">
        <v>7020</v>
      </c>
      <c r="E3363" s="24">
        <v>28</v>
      </c>
    </row>
    <row r="3364" spans="2:5" x14ac:dyDescent="0.3">
      <c r="B3364" s="18" t="s">
        <v>7021</v>
      </c>
      <c r="C3364" s="13">
        <v>5</v>
      </c>
      <c r="D3364" s="21" t="s">
        <v>7022</v>
      </c>
      <c r="E3364" s="24">
        <v>19</v>
      </c>
    </row>
    <row r="3365" spans="2:5" x14ac:dyDescent="0.3">
      <c r="B3365" s="18" t="s">
        <v>7023</v>
      </c>
      <c r="C3365" s="13">
        <v>9</v>
      </c>
      <c r="D3365" s="21" t="s">
        <v>7024</v>
      </c>
      <c r="E3365" s="24">
        <v>9</v>
      </c>
    </row>
    <row r="3366" spans="2:5" x14ac:dyDescent="0.3">
      <c r="B3366" s="18" t="s">
        <v>7025</v>
      </c>
      <c r="C3366" s="13">
        <v>10</v>
      </c>
      <c r="D3366" s="21" t="s">
        <v>7026</v>
      </c>
      <c r="E3366" s="24">
        <v>8</v>
      </c>
    </row>
    <row r="3367" spans="2:5" x14ac:dyDescent="0.3">
      <c r="B3367" s="18" t="s">
        <v>7027</v>
      </c>
      <c r="C3367" s="13">
        <v>11</v>
      </c>
      <c r="D3367" s="21" t="s">
        <v>7028</v>
      </c>
      <c r="E3367" s="24">
        <v>7</v>
      </c>
    </row>
    <row r="3368" spans="2:5" x14ac:dyDescent="0.3">
      <c r="B3368" s="18" t="s">
        <v>7029</v>
      </c>
      <c r="C3368" s="13">
        <v>12</v>
      </c>
      <c r="D3368" s="21" t="s">
        <v>7030</v>
      </c>
      <c r="E3368" s="24">
        <v>6</v>
      </c>
    </row>
    <row r="3369" spans="2:5" x14ac:dyDescent="0.3">
      <c r="B3369" s="18" t="s">
        <v>7031</v>
      </c>
      <c r="C3369" s="13">
        <v>13</v>
      </c>
      <c r="D3369" s="21" t="s">
        <v>7032</v>
      </c>
      <c r="E3369" s="24">
        <v>5</v>
      </c>
    </row>
    <row r="3370" spans="2:5" x14ac:dyDescent="0.3">
      <c r="B3370" s="18" t="s">
        <v>7033</v>
      </c>
      <c r="C3370" s="13">
        <v>1</v>
      </c>
      <c r="D3370" s="21" t="s">
        <v>7034</v>
      </c>
      <c r="E3370" s="24">
        <v>4</v>
      </c>
    </row>
    <row r="3371" spans="2:5" x14ac:dyDescent="0.3">
      <c r="B3371" s="18" t="s">
        <v>7035</v>
      </c>
      <c r="C3371" s="13">
        <v>2</v>
      </c>
      <c r="D3371" s="21" t="s">
        <v>7036</v>
      </c>
      <c r="E3371" s="24">
        <v>3</v>
      </c>
    </row>
    <row r="3372" spans="2:5" x14ac:dyDescent="0.3">
      <c r="B3372" s="18" t="s">
        <v>7037</v>
      </c>
      <c r="C3372" s="13">
        <v>3</v>
      </c>
      <c r="D3372" s="21" t="s">
        <v>7038</v>
      </c>
      <c r="E3372" s="24">
        <v>2</v>
      </c>
    </row>
    <row r="3373" spans="2:5" x14ac:dyDescent="0.3">
      <c r="B3373" s="18" t="s">
        <v>7039</v>
      </c>
      <c r="C3373" s="13">
        <v>4</v>
      </c>
      <c r="D3373" s="21" t="s">
        <v>7040</v>
      </c>
      <c r="E3373" s="24">
        <v>18</v>
      </c>
    </row>
    <row r="3374" spans="2:5" x14ac:dyDescent="0.3">
      <c r="B3374" s="18" t="s">
        <v>7041</v>
      </c>
      <c r="C3374" s="13">
        <v>8</v>
      </c>
      <c r="D3374" s="21" t="s">
        <v>7042</v>
      </c>
      <c r="E3374" s="24">
        <v>17</v>
      </c>
    </row>
    <row r="3375" spans="2:5" x14ac:dyDescent="0.3">
      <c r="B3375" s="18" t="s">
        <v>7043</v>
      </c>
      <c r="C3375" s="13">
        <v>7</v>
      </c>
      <c r="D3375" s="21" t="s">
        <v>7044</v>
      </c>
      <c r="E3375" s="24">
        <v>16</v>
      </c>
    </row>
    <row r="3376" spans="2:5" x14ac:dyDescent="0.3">
      <c r="B3376" s="18" t="s">
        <v>7045</v>
      </c>
      <c r="C3376" s="13">
        <v>6</v>
      </c>
      <c r="D3376" s="21" t="s">
        <v>7046</v>
      </c>
      <c r="E3376" s="24">
        <v>15</v>
      </c>
    </row>
    <row r="3377" spans="2:5" x14ac:dyDescent="0.3">
      <c r="B3377" s="18" t="s">
        <v>7047</v>
      </c>
      <c r="C3377" s="13">
        <v>5</v>
      </c>
      <c r="D3377" s="21" t="s">
        <v>7048</v>
      </c>
      <c r="E3377" s="24">
        <v>14</v>
      </c>
    </row>
    <row r="3378" spans="2:5" x14ac:dyDescent="0.3">
      <c r="B3378" s="18" t="s">
        <v>7049</v>
      </c>
      <c r="C3378" s="13">
        <v>9</v>
      </c>
      <c r="D3378" s="21" t="s">
        <v>7050</v>
      </c>
      <c r="E3378" s="24">
        <v>13</v>
      </c>
    </row>
    <row r="3379" spans="2:5" x14ac:dyDescent="0.3">
      <c r="B3379" s="18" t="s">
        <v>7051</v>
      </c>
      <c r="C3379" s="13">
        <v>10</v>
      </c>
      <c r="D3379" s="21" t="s">
        <v>7052</v>
      </c>
      <c r="E3379" s="24">
        <v>12</v>
      </c>
    </row>
    <row r="3380" spans="2:5" x14ac:dyDescent="0.3">
      <c r="B3380" s="18" t="s">
        <v>7053</v>
      </c>
      <c r="C3380" s="13">
        <v>11</v>
      </c>
      <c r="D3380" s="21" t="s">
        <v>7054</v>
      </c>
      <c r="E3380" s="24">
        <v>11</v>
      </c>
    </row>
    <row r="3381" spans="2:5" x14ac:dyDescent="0.3">
      <c r="B3381" s="18" t="s">
        <v>7055</v>
      </c>
      <c r="C3381" s="13">
        <v>12</v>
      </c>
      <c r="D3381" s="21" t="s">
        <v>7056</v>
      </c>
      <c r="E3381" s="24">
        <v>10</v>
      </c>
    </row>
    <row r="3382" spans="2:5" x14ac:dyDescent="0.3">
      <c r="B3382" s="18" t="s">
        <v>7057</v>
      </c>
      <c r="C3382" s="13">
        <v>14</v>
      </c>
      <c r="D3382" s="21" t="s">
        <v>7058</v>
      </c>
      <c r="E3382" s="24">
        <v>1</v>
      </c>
    </row>
    <row r="3383" spans="2:5" x14ac:dyDescent="0.3">
      <c r="B3383" s="18" t="s">
        <v>7059</v>
      </c>
      <c r="C3383" s="13">
        <v>13</v>
      </c>
      <c r="D3383" s="21" t="s">
        <v>7060</v>
      </c>
      <c r="E3383" s="24">
        <v>43</v>
      </c>
    </row>
    <row r="3384" spans="2:5" x14ac:dyDescent="0.3">
      <c r="B3384" s="18" t="s">
        <v>7061</v>
      </c>
      <c r="C3384" s="13">
        <v>1</v>
      </c>
      <c r="D3384" s="21" t="s">
        <v>7062</v>
      </c>
      <c r="E3384" s="24">
        <v>44</v>
      </c>
    </row>
    <row r="3385" spans="2:5" x14ac:dyDescent="0.3">
      <c r="B3385" s="18" t="s">
        <v>7063</v>
      </c>
      <c r="C3385" s="13">
        <v>2</v>
      </c>
      <c r="D3385" s="21" t="s">
        <v>7064</v>
      </c>
      <c r="E3385" s="24">
        <v>45</v>
      </c>
    </row>
    <row r="3386" spans="2:5" x14ac:dyDescent="0.3">
      <c r="B3386" s="18" t="s">
        <v>7065</v>
      </c>
      <c r="C3386" s="13">
        <v>3</v>
      </c>
      <c r="D3386" s="21" t="s">
        <v>7066</v>
      </c>
      <c r="E3386" s="24">
        <v>46</v>
      </c>
    </row>
    <row r="3387" spans="2:5" x14ac:dyDescent="0.3">
      <c r="B3387" s="18" t="s">
        <v>7067</v>
      </c>
      <c r="C3387" s="13">
        <v>4</v>
      </c>
      <c r="D3387" s="21" t="s">
        <v>7068</v>
      </c>
      <c r="E3387" s="24">
        <v>47</v>
      </c>
    </row>
    <row r="3388" spans="2:5" x14ac:dyDescent="0.3">
      <c r="B3388" s="18" t="s">
        <v>7069</v>
      </c>
      <c r="C3388" s="13">
        <v>8</v>
      </c>
      <c r="D3388" s="21" t="s">
        <v>7070</v>
      </c>
      <c r="E3388" s="24">
        <v>48</v>
      </c>
    </row>
    <row r="3389" spans="2:5" x14ac:dyDescent="0.3">
      <c r="B3389" s="18" t="s">
        <v>7071</v>
      </c>
      <c r="C3389" s="13">
        <v>7</v>
      </c>
      <c r="D3389" s="21" t="s">
        <v>7072</v>
      </c>
      <c r="E3389" s="24">
        <v>49</v>
      </c>
    </row>
    <row r="3390" spans="2:5" x14ac:dyDescent="0.3">
      <c r="B3390" s="18" t="s">
        <v>7073</v>
      </c>
      <c r="C3390" s="13">
        <v>6</v>
      </c>
      <c r="D3390" s="21" t="s">
        <v>7074</v>
      </c>
      <c r="E3390" s="24">
        <v>50</v>
      </c>
    </row>
    <row r="3391" spans="2:5" x14ac:dyDescent="0.3">
      <c r="B3391" s="18" t="s">
        <v>7075</v>
      </c>
      <c r="C3391" s="13">
        <v>5</v>
      </c>
      <c r="D3391" s="21" t="s">
        <v>7076</v>
      </c>
      <c r="E3391" s="24">
        <v>35</v>
      </c>
    </row>
    <row r="3392" spans="2:5" x14ac:dyDescent="0.3">
      <c r="B3392" s="18" t="s">
        <v>7077</v>
      </c>
      <c r="C3392" s="13">
        <v>9</v>
      </c>
      <c r="D3392" s="21" t="s">
        <v>7078</v>
      </c>
      <c r="E3392" s="24">
        <v>36</v>
      </c>
    </row>
    <row r="3393" spans="2:5" x14ac:dyDescent="0.3">
      <c r="B3393" s="18" t="s">
        <v>7079</v>
      </c>
      <c r="C3393" s="13">
        <v>10</v>
      </c>
      <c r="D3393" s="21" t="s">
        <v>7080</v>
      </c>
      <c r="E3393" s="24">
        <v>37</v>
      </c>
    </row>
    <row r="3394" spans="2:5" x14ac:dyDescent="0.3">
      <c r="B3394" s="18" t="s">
        <v>7081</v>
      </c>
      <c r="C3394" s="13">
        <v>11</v>
      </c>
      <c r="D3394" s="21" t="s">
        <v>7082</v>
      </c>
      <c r="E3394" s="24">
        <v>38</v>
      </c>
    </row>
    <row r="3395" spans="2:5" x14ac:dyDescent="0.3">
      <c r="B3395" s="18" t="s">
        <v>7083</v>
      </c>
      <c r="C3395" s="13">
        <v>12</v>
      </c>
      <c r="D3395" s="21" t="s">
        <v>7084</v>
      </c>
      <c r="E3395" s="24">
        <v>39</v>
      </c>
    </row>
    <row r="3396" spans="2:5" x14ac:dyDescent="0.3">
      <c r="B3396" s="18" t="s">
        <v>7085</v>
      </c>
      <c r="C3396" s="13">
        <v>15</v>
      </c>
      <c r="D3396" s="21" t="s">
        <v>7086</v>
      </c>
      <c r="E3396" s="24">
        <v>40</v>
      </c>
    </row>
    <row r="3397" spans="2:5" x14ac:dyDescent="0.3">
      <c r="B3397" s="18" t="s">
        <v>7087</v>
      </c>
      <c r="C3397" s="13">
        <v>14</v>
      </c>
      <c r="D3397" s="21" t="s">
        <v>7088</v>
      </c>
      <c r="E3397" s="24">
        <v>41</v>
      </c>
    </row>
    <row r="3398" spans="2:5" x14ac:dyDescent="0.3">
      <c r="B3398" s="18" t="s">
        <v>7089</v>
      </c>
      <c r="C3398" s="13">
        <v>13</v>
      </c>
      <c r="D3398" s="21" t="s">
        <v>7090</v>
      </c>
      <c r="E3398" s="24">
        <v>42</v>
      </c>
    </row>
    <row r="3399" spans="2:5" x14ac:dyDescent="0.3">
      <c r="B3399" s="18" t="s">
        <v>7091</v>
      </c>
      <c r="C3399" s="13">
        <v>1</v>
      </c>
      <c r="D3399" s="21" t="s">
        <v>7092</v>
      </c>
      <c r="E3399" s="24">
        <v>51</v>
      </c>
    </row>
    <row r="3400" spans="2:5" x14ac:dyDescent="0.3">
      <c r="B3400" s="18" t="s">
        <v>7093</v>
      </c>
      <c r="C3400" s="13">
        <v>2</v>
      </c>
      <c r="D3400" s="21" t="s">
        <v>7094</v>
      </c>
      <c r="E3400" s="24">
        <v>26</v>
      </c>
    </row>
    <row r="3401" spans="2:5" x14ac:dyDescent="0.3">
      <c r="B3401" s="18" t="s">
        <v>7095</v>
      </c>
      <c r="C3401" s="13">
        <v>3</v>
      </c>
      <c r="D3401" s="21" t="s">
        <v>7096</v>
      </c>
      <c r="E3401" s="24">
        <v>25</v>
      </c>
    </row>
    <row r="3402" spans="2:5" x14ac:dyDescent="0.3">
      <c r="B3402" s="18" t="s">
        <v>7097</v>
      </c>
      <c r="C3402" s="13">
        <v>4</v>
      </c>
      <c r="D3402" s="21" t="s">
        <v>7098</v>
      </c>
      <c r="E3402" s="24">
        <v>24</v>
      </c>
    </row>
    <row r="3403" spans="2:5" x14ac:dyDescent="0.3">
      <c r="B3403" s="18" t="s">
        <v>7099</v>
      </c>
      <c r="C3403" s="13">
        <v>8</v>
      </c>
      <c r="D3403" s="21" t="s">
        <v>7100</v>
      </c>
      <c r="E3403" s="24">
        <v>23</v>
      </c>
    </row>
    <row r="3404" spans="2:5" x14ac:dyDescent="0.3">
      <c r="B3404" s="18" t="s">
        <v>7101</v>
      </c>
      <c r="C3404" s="13">
        <v>7</v>
      </c>
      <c r="D3404" s="21" t="s">
        <v>7102</v>
      </c>
      <c r="E3404" s="24">
        <v>22</v>
      </c>
    </row>
    <row r="3405" spans="2:5" x14ac:dyDescent="0.3">
      <c r="B3405" s="18" t="s">
        <v>7103</v>
      </c>
      <c r="C3405" s="13">
        <v>6</v>
      </c>
      <c r="D3405" s="21" t="s">
        <v>7104</v>
      </c>
      <c r="E3405" s="24">
        <v>21</v>
      </c>
    </row>
    <row r="3406" spans="2:5" x14ac:dyDescent="0.3">
      <c r="B3406" s="18" t="s">
        <v>7105</v>
      </c>
      <c r="C3406" s="13">
        <v>5</v>
      </c>
      <c r="D3406" s="21" t="s">
        <v>7106</v>
      </c>
      <c r="E3406" s="24">
        <v>20</v>
      </c>
    </row>
    <row r="3407" spans="2:5" x14ac:dyDescent="0.3">
      <c r="B3407" s="18" t="s">
        <v>7107</v>
      </c>
      <c r="C3407" s="13">
        <v>9</v>
      </c>
      <c r="D3407" s="21" t="s">
        <v>7108</v>
      </c>
      <c r="E3407" s="24">
        <v>19</v>
      </c>
    </row>
    <row r="3408" spans="2:5" x14ac:dyDescent="0.3">
      <c r="B3408" s="18" t="s">
        <v>7109</v>
      </c>
      <c r="C3408" s="13">
        <v>10</v>
      </c>
      <c r="D3408" s="21" t="s">
        <v>7110</v>
      </c>
      <c r="E3408" s="24">
        <v>34</v>
      </c>
    </row>
    <row r="3409" spans="2:5" x14ac:dyDescent="0.3">
      <c r="B3409" s="18" t="s">
        <v>7111</v>
      </c>
      <c r="C3409" s="13">
        <v>11</v>
      </c>
      <c r="D3409" s="21" t="s">
        <v>7112</v>
      </c>
      <c r="E3409" s="24">
        <v>33</v>
      </c>
    </row>
    <row r="3410" spans="2:5" x14ac:dyDescent="0.3">
      <c r="B3410" s="18" t="s">
        <v>7113</v>
      </c>
      <c r="C3410" s="13">
        <v>12</v>
      </c>
      <c r="D3410" s="21" t="s">
        <v>7114</v>
      </c>
      <c r="E3410" s="24">
        <v>32</v>
      </c>
    </row>
    <row r="3411" spans="2:5" x14ac:dyDescent="0.3">
      <c r="B3411" s="18" t="s">
        <v>7115</v>
      </c>
      <c r="C3411" s="13">
        <v>16</v>
      </c>
      <c r="D3411" s="21" t="s">
        <v>7116</v>
      </c>
      <c r="E3411" s="24">
        <v>31</v>
      </c>
    </row>
    <row r="3412" spans="2:5" x14ac:dyDescent="0.3">
      <c r="B3412" s="18" t="s">
        <v>7117</v>
      </c>
      <c r="C3412" s="13">
        <v>15</v>
      </c>
      <c r="D3412" s="21" t="s">
        <v>7118</v>
      </c>
      <c r="E3412" s="24">
        <v>30</v>
      </c>
    </row>
    <row r="3413" spans="2:5" x14ac:dyDescent="0.3">
      <c r="B3413" s="18" t="s">
        <v>7119</v>
      </c>
      <c r="C3413" s="13">
        <v>14</v>
      </c>
      <c r="D3413" s="21" t="s">
        <v>7120</v>
      </c>
      <c r="E3413" s="24">
        <v>29</v>
      </c>
    </row>
    <row r="3414" spans="2:5" x14ac:dyDescent="0.3">
      <c r="B3414" s="18" t="s">
        <v>7121</v>
      </c>
      <c r="C3414" s="13">
        <v>13</v>
      </c>
      <c r="D3414" s="21" t="s">
        <v>7122</v>
      </c>
      <c r="E3414" s="24">
        <v>28</v>
      </c>
    </row>
    <row r="3415" spans="2:5" x14ac:dyDescent="0.3">
      <c r="B3415" s="18" t="s">
        <v>7123</v>
      </c>
      <c r="C3415" s="13">
        <v>1</v>
      </c>
      <c r="D3415" s="21" t="s">
        <v>7124</v>
      </c>
      <c r="E3415" s="24">
        <v>27</v>
      </c>
    </row>
    <row r="3416" spans="2:5" x14ac:dyDescent="0.3">
      <c r="B3416" s="18" t="s">
        <v>7125</v>
      </c>
      <c r="C3416" s="13">
        <v>2</v>
      </c>
      <c r="D3416" s="21" t="s">
        <v>7126</v>
      </c>
      <c r="E3416" s="24">
        <v>18</v>
      </c>
    </row>
    <row r="3417" spans="2:5" x14ac:dyDescent="0.3">
      <c r="B3417" s="18" t="s">
        <v>7127</v>
      </c>
      <c r="C3417" s="13">
        <v>3</v>
      </c>
      <c r="D3417" s="21" t="s">
        <v>7128</v>
      </c>
      <c r="E3417" s="24">
        <v>9</v>
      </c>
    </row>
    <row r="3418" spans="2:5" x14ac:dyDescent="0.3">
      <c r="B3418" s="18" t="s">
        <v>7129</v>
      </c>
      <c r="C3418" s="13">
        <v>4</v>
      </c>
      <c r="D3418" s="21" t="s">
        <v>7130</v>
      </c>
      <c r="E3418" s="24">
        <v>8</v>
      </c>
    </row>
    <row r="3419" spans="2:5" x14ac:dyDescent="0.3">
      <c r="B3419" s="18" t="s">
        <v>7131</v>
      </c>
      <c r="C3419" s="13">
        <v>5</v>
      </c>
      <c r="D3419" s="21" t="s">
        <v>7132</v>
      </c>
      <c r="E3419" s="24">
        <v>7</v>
      </c>
    </row>
    <row r="3420" spans="2:5" x14ac:dyDescent="0.3">
      <c r="B3420" s="18" t="s">
        <v>7133</v>
      </c>
      <c r="C3420" s="13">
        <v>10</v>
      </c>
      <c r="D3420" s="21" t="s">
        <v>7134</v>
      </c>
      <c r="E3420" s="24">
        <v>6</v>
      </c>
    </row>
    <row r="3421" spans="2:5" x14ac:dyDescent="0.3">
      <c r="B3421" s="18" t="s">
        <v>7135</v>
      </c>
      <c r="C3421" s="13">
        <v>9</v>
      </c>
      <c r="D3421" s="21" t="s">
        <v>7136</v>
      </c>
      <c r="E3421" s="24">
        <v>5</v>
      </c>
    </row>
    <row r="3422" spans="2:5" x14ac:dyDescent="0.3">
      <c r="B3422" s="18" t="s">
        <v>7137</v>
      </c>
      <c r="C3422" s="13">
        <v>8</v>
      </c>
      <c r="D3422" s="21" t="s">
        <v>7138</v>
      </c>
      <c r="E3422" s="24">
        <v>4</v>
      </c>
    </row>
    <row r="3423" spans="2:5" x14ac:dyDescent="0.3">
      <c r="B3423" s="18" t="s">
        <v>7139</v>
      </c>
      <c r="C3423" s="13">
        <v>7</v>
      </c>
      <c r="D3423" s="21" t="s">
        <v>7140</v>
      </c>
      <c r="E3423" s="24">
        <v>3</v>
      </c>
    </row>
    <row r="3424" spans="2:5" x14ac:dyDescent="0.3">
      <c r="B3424" s="18" t="s">
        <v>7141</v>
      </c>
      <c r="C3424" s="13">
        <v>6</v>
      </c>
      <c r="D3424" s="21" t="s">
        <v>7142</v>
      </c>
      <c r="E3424" s="24">
        <v>2</v>
      </c>
    </row>
    <row r="3425" spans="2:5" x14ac:dyDescent="0.3">
      <c r="B3425" s="18" t="s">
        <v>7143</v>
      </c>
      <c r="C3425" s="13">
        <v>11</v>
      </c>
      <c r="D3425" s="21" t="s">
        <v>7144</v>
      </c>
      <c r="E3425" s="24">
        <v>17</v>
      </c>
    </row>
    <row r="3426" spans="2:5" x14ac:dyDescent="0.3">
      <c r="B3426" s="18" t="s">
        <v>7145</v>
      </c>
      <c r="C3426" s="13">
        <v>12</v>
      </c>
      <c r="D3426" s="21" t="s">
        <v>7146</v>
      </c>
      <c r="E3426" s="24">
        <v>16</v>
      </c>
    </row>
    <row r="3427" spans="2:5" x14ac:dyDescent="0.3">
      <c r="B3427" s="18" t="s">
        <v>7147</v>
      </c>
      <c r="C3427" s="13">
        <v>13</v>
      </c>
      <c r="D3427" s="21" t="s">
        <v>7148</v>
      </c>
      <c r="E3427" s="24">
        <v>15</v>
      </c>
    </row>
    <row r="3428" spans="2:5" x14ac:dyDescent="0.3">
      <c r="B3428" s="18" t="s">
        <v>7149</v>
      </c>
      <c r="C3428" s="13">
        <v>14</v>
      </c>
      <c r="D3428" s="21" t="s">
        <v>7150</v>
      </c>
      <c r="E3428" s="24">
        <v>14</v>
      </c>
    </row>
    <row r="3429" spans="2:5" x14ac:dyDescent="0.3">
      <c r="B3429" s="18" t="s">
        <v>7151</v>
      </c>
      <c r="C3429" s="13">
        <v>15</v>
      </c>
      <c r="D3429" s="21" t="s">
        <v>7152</v>
      </c>
      <c r="E3429" s="24">
        <v>13</v>
      </c>
    </row>
    <row r="3430" spans="2:5" x14ac:dyDescent="0.3">
      <c r="B3430" s="18" t="s">
        <v>7153</v>
      </c>
      <c r="C3430" s="13">
        <v>17</v>
      </c>
      <c r="D3430" s="21" t="s">
        <v>7154</v>
      </c>
      <c r="E3430" s="24">
        <v>12</v>
      </c>
    </row>
    <row r="3431" spans="2:5" x14ac:dyDescent="0.3">
      <c r="B3431" s="18" t="s">
        <v>7155</v>
      </c>
      <c r="C3431" s="13">
        <v>16</v>
      </c>
      <c r="D3431" s="21" t="s">
        <v>7156</v>
      </c>
      <c r="E3431" s="24">
        <v>11</v>
      </c>
    </row>
    <row r="3432" spans="2:5" x14ac:dyDescent="0.3">
      <c r="B3432" s="18" t="s">
        <v>7157</v>
      </c>
      <c r="C3432" s="13">
        <v>1</v>
      </c>
      <c r="D3432" s="21" t="s">
        <v>7158</v>
      </c>
      <c r="E3432" s="24">
        <v>10</v>
      </c>
    </row>
    <row r="3433" spans="2:5" x14ac:dyDescent="0.3">
      <c r="B3433" s="18" t="s">
        <v>7159</v>
      </c>
      <c r="C3433" s="13">
        <v>2</v>
      </c>
      <c r="D3433" s="21" t="s">
        <v>7160</v>
      </c>
      <c r="E3433" s="24">
        <v>1</v>
      </c>
    </row>
    <row r="3434" spans="2:5" x14ac:dyDescent="0.3">
      <c r="B3434" s="18" t="s">
        <v>7161</v>
      </c>
      <c r="C3434" s="13">
        <v>3</v>
      </c>
      <c r="D3434" s="21" t="s">
        <v>7162</v>
      </c>
      <c r="E3434" s="24">
        <v>43</v>
      </c>
    </row>
    <row r="3435" spans="2:5" x14ac:dyDescent="0.3">
      <c r="B3435" s="18" t="s">
        <v>7163</v>
      </c>
      <c r="C3435" s="13">
        <v>4</v>
      </c>
      <c r="D3435" s="21" t="s">
        <v>7164</v>
      </c>
      <c r="E3435" s="24">
        <v>44</v>
      </c>
    </row>
    <row r="3436" spans="2:5" x14ac:dyDescent="0.3">
      <c r="B3436" s="18" t="s">
        <v>7165</v>
      </c>
      <c r="C3436" s="13">
        <v>5</v>
      </c>
      <c r="D3436" s="21" t="s">
        <v>7166</v>
      </c>
      <c r="E3436" s="24">
        <v>45</v>
      </c>
    </row>
    <row r="3437" spans="2:5" x14ac:dyDescent="0.3">
      <c r="B3437" s="18" t="s">
        <v>7167</v>
      </c>
      <c r="C3437" s="13">
        <v>10</v>
      </c>
      <c r="D3437" s="21" t="s">
        <v>7168</v>
      </c>
      <c r="E3437" s="24">
        <v>46</v>
      </c>
    </row>
    <row r="3438" spans="2:5" x14ac:dyDescent="0.3">
      <c r="B3438" s="18" t="s">
        <v>7169</v>
      </c>
      <c r="C3438" s="13">
        <v>9</v>
      </c>
      <c r="D3438" s="21" t="s">
        <v>7170</v>
      </c>
      <c r="E3438" s="24">
        <v>47</v>
      </c>
    </row>
    <row r="3439" spans="2:5" x14ac:dyDescent="0.3">
      <c r="B3439" s="18" t="s">
        <v>7171</v>
      </c>
      <c r="C3439" s="13">
        <v>8</v>
      </c>
      <c r="D3439" s="21" t="s">
        <v>7172</v>
      </c>
      <c r="E3439" s="24">
        <v>48</v>
      </c>
    </row>
    <row r="3440" spans="2:5" x14ac:dyDescent="0.3">
      <c r="B3440" s="18" t="s">
        <v>7173</v>
      </c>
      <c r="C3440" s="13">
        <v>7</v>
      </c>
      <c r="D3440" s="21" t="s">
        <v>7174</v>
      </c>
      <c r="E3440" s="24">
        <v>49</v>
      </c>
    </row>
    <row r="3441" spans="2:5" x14ac:dyDescent="0.3">
      <c r="B3441" s="18" t="s">
        <v>7175</v>
      </c>
      <c r="C3441" s="13">
        <v>6</v>
      </c>
      <c r="D3441" s="21" t="s">
        <v>7176</v>
      </c>
      <c r="E3441" s="24">
        <v>50</v>
      </c>
    </row>
    <row r="3442" spans="2:5" x14ac:dyDescent="0.3">
      <c r="B3442" s="18" t="s">
        <v>7177</v>
      </c>
      <c r="C3442" s="13">
        <v>11</v>
      </c>
      <c r="D3442" s="21" t="s">
        <v>7178</v>
      </c>
      <c r="E3442" s="24">
        <v>35</v>
      </c>
    </row>
    <row r="3443" spans="2:5" x14ac:dyDescent="0.3">
      <c r="B3443" s="18" t="s">
        <v>7179</v>
      </c>
      <c r="C3443" s="13">
        <v>12</v>
      </c>
      <c r="D3443" s="21" t="s">
        <v>7180</v>
      </c>
      <c r="E3443" s="24">
        <v>36</v>
      </c>
    </row>
    <row r="3444" spans="2:5" x14ac:dyDescent="0.3">
      <c r="B3444" s="18" t="s">
        <v>7181</v>
      </c>
      <c r="C3444" s="13">
        <v>13</v>
      </c>
      <c r="D3444" s="21" t="s">
        <v>7182</v>
      </c>
      <c r="E3444" s="24">
        <v>37</v>
      </c>
    </row>
    <row r="3445" spans="2:5" x14ac:dyDescent="0.3">
      <c r="B3445" s="18" t="s">
        <v>7183</v>
      </c>
      <c r="C3445" s="13">
        <v>14</v>
      </c>
      <c r="D3445" s="21" t="s">
        <v>7184</v>
      </c>
      <c r="E3445" s="24">
        <v>38</v>
      </c>
    </row>
    <row r="3446" spans="2:5" x14ac:dyDescent="0.3">
      <c r="B3446" s="18" t="s">
        <v>7185</v>
      </c>
      <c r="C3446" s="13">
        <v>15</v>
      </c>
      <c r="D3446" s="21" t="s">
        <v>7186</v>
      </c>
      <c r="E3446" s="24">
        <v>39</v>
      </c>
    </row>
    <row r="3447" spans="2:5" x14ac:dyDescent="0.3">
      <c r="B3447" s="18" t="s">
        <v>7187</v>
      </c>
      <c r="C3447" s="13">
        <v>18</v>
      </c>
      <c r="D3447" s="21" t="s">
        <v>7188</v>
      </c>
      <c r="E3447" s="24">
        <v>40</v>
      </c>
    </row>
    <row r="3448" spans="2:5" x14ac:dyDescent="0.3">
      <c r="B3448" s="18" t="s">
        <v>7189</v>
      </c>
      <c r="C3448" s="13">
        <v>17</v>
      </c>
      <c r="D3448" s="21" t="s">
        <v>7190</v>
      </c>
      <c r="E3448" s="24">
        <v>41</v>
      </c>
    </row>
    <row r="3449" spans="2:5" x14ac:dyDescent="0.3">
      <c r="B3449" s="18" t="s">
        <v>7191</v>
      </c>
      <c r="C3449" s="13">
        <v>16</v>
      </c>
      <c r="D3449" s="21" t="s">
        <v>7192</v>
      </c>
      <c r="E3449" s="24">
        <v>42</v>
      </c>
    </row>
    <row r="3450" spans="2:5" x14ac:dyDescent="0.3">
      <c r="B3450" s="18" t="s">
        <v>7193</v>
      </c>
      <c r="C3450" s="13">
        <v>1</v>
      </c>
      <c r="D3450" s="21" t="s">
        <v>7194</v>
      </c>
      <c r="E3450" s="24">
        <v>26</v>
      </c>
    </row>
    <row r="3451" spans="2:5" x14ac:dyDescent="0.3">
      <c r="B3451" s="18" t="s">
        <v>7195</v>
      </c>
      <c r="C3451" s="13">
        <v>2</v>
      </c>
      <c r="D3451" s="21" t="s">
        <v>7196</v>
      </c>
      <c r="E3451" s="24">
        <v>25</v>
      </c>
    </row>
    <row r="3452" spans="2:5" x14ac:dyDescent="0.3">
      <c r="B3452" s="18" t="s">
        <v>7197</v>
      </c>
      <c r="C3452" s="13">
        <v>3</v>
      </c>
      <c r="D3452" s="21" t="s">
        <v>7198</v>
      </c>
      <c r="E3452" s="24">
        <v>24</v>
      </c>
    </row>
    <row r="3453" spans="2:5" x14ac:dyDescent="0.3">
      <c r="B3453" s="18" t="s">
        <v>7199</v>
      </c>
      <c r="C3453" s="13">
        <v>4</v>
      </c>
      <c r="D3453" s="21" t="s">
        <v>7200</v>
      </c>
      <c r="E3453" s="24">
        <v>23</v>
      </c>
    </row>
    <row r="3454" spans="2:5" x14ac:dyDescent="0.3">
      <c r="B3454" s="18" t="s">
        <v>7201</v>
      </c>
      <c r="C3454" s="13">
        <v>5</v>
      </c>
      <c r="D3454" s="21" t="s">
        <v>7202</v>
      </c>
      <c r="E3454" s="24">
        <v>22</v>
      </c>
    </row>
    <row r="3455" spans="2:5" x14ac:dyDescent="0.3">
      <c r="B3455" s="18" t="s">
        <v>7203</v>
      </c>
      <c r="C3455" s="13">
        <v>10</v>
      </c>
      <c r="D3455" s="21" t="s">
        <v>7204</v>
      </c>
      <c r="E3455" s="24">
        <v>21</v>
      </c>
    </row>
    <row r="3456" spans="2:5" x14ac:dyDescent="0.3">
      <c r="B3456" s="18" t="s">
        <v>7205</v>
      </c>
      <c r="C3456" s="13">
        <v>9</v>
      </c>
      <c r="D3456" s="21" t="s">
        <v>7206</v>
      </c>
      <c r="E3456" s="24">
        <v>20</v>
      </c>
    </row>
    <row r="3457" spans="2:5" x14ac:dyDescent="0.3">
      <c r="B3457" s="18" t="s">
        <v>7207</v>
      </c>
      <c r="C3457" s="13">
        <v>8</v>
      </c>
      <c r="D3457" s="21" t="s">
        <v>7208</v>
      </c>
      <c r="E3457" s="24">
        <v>19</v>
      </c>
    </row>
    <row r="3458" spans="2:5" x14ac:dyDescent="0.3">
      <c r="B3458" s="18" t="s">
        <v>7209</v>
      </c>
      <c r="C3458" s="13">
        <v>7</v>
      </c>
      <c r="D3458" s="21" t="s">
        <v>7210</v>
      </c>
      <c r="E3458" s="24">
        <v>34</v>
      </c>
    </row>
    <row r="3459" spans="2:5" x14ac:dyDescent="0.3">
      <c r="B3459" s="18" t="s">
        <v>7211</v>
      </c>
      <c r="C3459" s="13">
        <v>6</v>
      </c>
      <c r="D3459" s="21" t="s">
        <v>7212</v>
      </c>
      <c r="E3459" s="24">
        <v>33</v>
      </c>
    </row>
    <row r="3460" spans="2:5" x14ac:dyDescent="0.3">
      <c r="B3460" s="18" t="s">
        <v>7213</v>
      </c>
      <c r="C3460" s="13">
        <v>11</v>
      </c>
      <c r="D3460" s="21" t="s">
        <v>7214</v>
      </c>
      <c r="E3460" s="24">
        <v>32</v>
      </c>
    </row>
    <row r="3461" spans="2:5" x14ac:dyDescent="0.3">
      <c r="B3461" s="18" t="s">
        <v>7215</v>
      </c>
      <c r="C3461" s="13">
        <v>12</v>
      </c>
      <c r="D3461" s="21" t="s">
        <v>7216</v>
      </c>
      <c r="E3461" s="24">
        <v>31</v>
      </c>
    </row>
    <row r="3462" spans="2:5" x14ac:dyDescent="0.3">
      <c r="B3462" s="18" t="s">
        <v>7217</v>
      </c>
      <c r="C3462" s="13">
        <v>13</v>
      </c>
      <c r="D3462" s="21" t="s">
        <v>7218</v>
      </c>
      <c r="E3462" s="24">
        <v>30</v>
      </c>
    </row>
    <row r="3463" spans="2:5" x14ac:dyDescent="0.3">
      <c r="B3463" s="18" t="s">
        <v>7219</v>
      </c>
      <c r="C3463" s="13">
        <v>14</v>
      </c>
      <c r="D3463" s="21" t="s">
        <v>7220</v>
      </c>
      <c r="E3463" s="24">
        <v>29</v>
      </c>
    </row>
    <row r="3464" spans="2:5" x14ac:dyDescent="0.3">
      <c r="B3464" s="18" t="s">
        <v>7221</v>
      </c>
      <c r="C3464" s="13">
        <v>15</v>
      </c>
      <c r="D3464" s="21" t="s">
        <v>7222</v>
      </c>
      <c r="E3464" s="24">
        <v>28</v>
      </c>
    </row>
    <row r="3465" spans="2:5" x14ac:dyDescent="0.3">
      <c r="B3465" s="18" t="s">
        <v>7223</v>
      </c>
      <c r="C3465" s="13">
        <v>19</v>
      </c>
      <c r="D3465" s="21" t="s">
        <v>7224</v>
      </c>
      <c r="E3465" s="24">
        <v>27</v>
      </c>
    </row>
    <row r="3466" spans="2:5" x14ac:dyDescent="0.3">
      <c r="B3466" s="18" t="s">
        <v>7225</v>
      </c>
      <c r="C3466" s="13">
        <v>18</v>
      </c>
      <c r="D3466" s="21" t="s">
        <v>7226</v>
      </c>
      <c r="E3466" s="24">
        <v>18</v>
      </c>
    </row>
    <row r="3467" spans="2:5" x14ac:dyDescent="0.3">
      <c r="B3467" s="18" t="s">
        <v>7227</v>
      </c>
      <c r="C3467" s="13">
        <v>17</v>
      </c>
      <c r="D3467" s="21" t="s">
        <v>7228</v>
      </c>
      <c r="E3467" s="24">
        <v>9</v>
      </c>
    </row>
    <row r="3468" spans="2:5" x14ac:dyDescent="0.3">
      <c r="B3468" s="18" t="s">
        <v>7229</v>
      </c>
      <c r="C3468" s="13">
        <v>16</v>
      </c>
      <c r="D3468" s="21" t="s">
        <v>7230</v>
      </c>
      <c r="E3468" s="24">
        <v>8</v>
      </c>
    </row>
    <row r="3469" spans="2:5" x14ac:dyDescent="0.3">
      <c r="B3469" s="18" t="s">
        <v>7231</v>
      </c>
      <c r="C3469" s="13">
        <v>1</v>
      </c>
      <c r="D3469" s="21" t="s">
        <v>7232</v>
      </c>
      <c r="E3469" s="24">
        <v>7</v>
      </c>
    </row>
    <row r="3470" spans="2:5" x14ac:dyDescent="0.3">
      <c r="B3470" s="18" t="s">
        <v>7233</v>
      </c>
      <c r="C3470" s="13">
        <v>1</v>
      </c>
      <c r="D3470" s="21" t="s">
        <v>7234</v>
      </c>
      <c r="E3470" s="24">
        <v>6</v>
      </c>
    </row>
    <row r="3471" spans="2:5" x14ac:dyDescent="0.3">
      <c r="B3471" s="18" t="s">
        <v>7235</v>
      </c>
      <c r="C3471" s="13">
        <v>2</v>
      </c>
      <c r="D3471" s="21" t="s">
        <v>7236</v>
      </c>
      <c r="E3471" s="24">
        <v>5</v>
      </c>
    </row>
    <row r="3472" spans="2:5" x14ac:dyDescent="0.3">
      <c r="B3472" s="18" t="s">
        <v>7237</v>
      </c>
      <c r="C3472" s="13">
        <v>3</v>
      </c>
      <c r="D3472" s="21" t="s">
        <v>7238</v>
      </c>
      <c r="E3472" s="24">
        <v>4</v>
      </c>
    </row>
    <row r="3473" spans="2:5" x14ac:dyDescent="0.3">
      <c r="B3473" s="18" t="s">
        <v>7239</v>
      </c>
      <c r="C3473" s="13">
        <v>4</v>
      </c>
      <c r="D3473" s="21" t="s">
        <v>7240</v>
      </c>
      <c r="E3473" s="24">
        <v>3</v>
      </c>
    </row>
    <row r="3474" spans="2:5" x14ac:dyDescent="0.3">
      <c r="B3474" s="18" t="s">
        <v>7241</v>
      </c>
      <c r="C3474" s="13">
        <v>5</v>
      </c>
      <c r="D3474" s="21" t="s">
        <v>7242</v>
      </c>
      <c r="E3474" s="24">
        <v>2</v>
      </c>
    </row>
    <row r="3475" spans="2:5" x14ac:dyDescent="0.3">
      <c r="B3475" s="18" t="s">
        <v>7243</v>
      </c>
      <c r="C3475" s="13">
        <v>10</v>
      </c>
      <c r="D3475" s="21" t="s">
        <v>7244</v>
      </c>
      <c r="E3475" s="24">
        <v>17</v>
      </c>
    </row>
    <row r="3476" spans="2:5" x14ac:dyDescent="0.3">
      <c r="B3476" s="18" t="s">
        <v>7245</v>
      </c>
      <c r="C3476" s="13">
        <v>9</v>
      </c>
      <c r="D3476" s="21" t="s">
        <v>7246</v>
      </c>
      <c r="E3476" s="24">
        <v>16</v>
      </c>
    </row>
    <row r="3477" spans="2:5" x14ac:dyDescent="0.3">
      <c r="B3477" s="18" t="s">
        <v>7247</v>
      </c>
      <c r="C3477" s="13">
        <v>8</v>
      </c>
      <c r="D3477" s="21" t="s">
        <v>7248</v>
      </c>
      <c r="E3477" s="24">
        <v>15</v>
      </c>
    </row>
    <row r="3478" spans="2:5" x14ac:dyDescent="0.3">
      <c r="B3478" s="18" t="s">
        <v>7249</v>
      </c>
      <c r="C3478" s="13">
        <v>7</v>
      </c>
      <c r="D3478" s="21" t="s">
        <v>7250</v>
      </c>
      <c r="E3478" s="24">
        <v>14</v>
      </c>
    </row>
    <row r="3479" spans="2:5" x14ac:dyDescent="0.3">
      <c r="B3479" s="18" t="s">
        <v>7251</v>
      </c>
      <c r="C3479" s="13">
        <v>6</v>
      </c>
      <c r="D3479" s="21" t="s">
        <v>7252</v>
      </c>
      <c r="E3479" s="24">
        <v>13</v>
      </c>
    </row>
    <row r="3480" spans="2:5" x14ac:dyDescent="0.3">
      <c r="B3480" s="18" t="s">
        <v>7253</v>
      </c>
      <c r="C3480" s="13">
        <v>11</v>
      </c>
      <c r="D3480" s="21" t="s">
        <v>7254</v>
      </c>
      <c r="E3480" s="24">
        <v>12</v>
      </c>
    </row>
    <row r="3481" spans="2:5" x14ac:dyDescent="0.3">
      <c r="B3481" s="18" t="s">
        <v>7255</v>
      </c>
      <c r="C3481" s="13">
        <v>12</v>
      </c>
      <c r="D3481" s="21" t="s">
        <v>7256</v>
      </c>
      <c r="E3481" s="24">
        <v>11</v>
      </c>
    </row>
    <row r="3482" spans="2:5" x14ac:dyDescent="0.3">
      <c r="B3482" s="18" t="s">
        <v>7257</v>
      </c>
      <c r="C3482" s="13">
        <v>13</v>
      </c>
      <c r="D3482" s="21" t="s">
        <v>7258</v>
      </c>
      <c r="E3482" s="24">
        <v>10</v>
      </c>
    </row>
    <row r="3483" spans="2:5" x14ac:dyDescent="0.3">
      <c r="B3483" s="18" t="s">
        <v>7259</v>
      </c>
      <c r="C3483" s="13">
        <v>14</v>
      </c>
      <c r="D3483" s="21" t="s">
        <v>7260</v>
      </c>
      <c r="E3483" s="24">
        <v>1</v>
      </c>
    </row>
    <row r="3484" spans="2:5" x14ac:dyDescent="0.3">
      <c r="B3484" s="18" t="s">
        <v>7261</v>
      </c>
      <c r="C3484" s="13">
        <v>15</v>
      </c>
      <c r="D3484" s="21" t="s">
        <v>7262</v>
      </c>
      <c r="E3484" s="24">
        <v>4</v>
      </c>
    </row>
    <row r="3485" spans="2:5" x14ac:dyDescent="0.3">
      <c r="B3485" s="18" t="s">
        <v>7263</v>
      </c>
      <c r="C3485" s="13">
        <v>20</v>
      </c>
      <c r="D3485" s="21" t="s">
        <v>7264</v>
      </c>
      <c r="E3485" s="24">
        <v>3</v>
      </c>
    </row>
    <row r="3486" spans="2:5" x14ac:dyDescent="0.3">
      <c r="B3486" s="18" t="s">
        <v>7265</v>
      </c>
      <c r="C3486" s="13">
        <v>19</v>
      </c>
      <c r="D3486" s="21" t="s">
        <v>7266</v>
      </c>
      <c r="E3486" s="24">
        <v>2</v>
      </c>
    </row>
    <row r="3487" spans="2:5" x14ac:dyDescent="0.3">
      <c r="B3487" s="18" t="s">
        <v>7267</v>
      </c>
      <c r="C3487" s="13">
        <v>18</v>
      </c>
      <c r="D3487" s="21" t="s">
        <v>7268</v>
      </c>
      <c r="E3487" s="24">
        <v>1</v>
      </c>
    </row>
    <row r="3488" spans="2:5" x14ac:dyDescent="0.3">
      <c r="B3488" s="18" t="s">
        <v>7269</v>
      </c>
      <c r="C3488" s="13">
        <v>17</v>
      </c>
      <c r="D3488" s="21" t="s">
        <v>7270</v>
      </c>
      <c r="E3488" s="24">
        <v>43</v>
      </c>
    </row>
    <row r="3489" spans="2:5" x14ac:dyDescent="0.3">
      <c r="B3489" s="18" t="s">
        <v>7271</v>
      </c>
      <c r="C3489" s="13">
        <v>16</v>
      </c>
      <c r="D3489" s="21" t="s">
        <v>7272</v>
      </c>
      <c r="E3489" s="24">
        <v>44</v>
      </c>
    </row>
    <row r="3490" spans="2:5" x14ac:dyDescent="0.3">
      <c r="B3490" s="18" t="s">
        <v>7273</v>
      </c>
      <c r="C3490" s="13">
        <v>1</v>
      </c>
      <c r="D3490" s="21" t="s">
        <v>7274</v>
      </c>
      <c r="E3490" s="24">
        <v>45</v>
      </c>
    </row>
    <row r="3491" spans="2:5" x14ac:dyDescent="0.3">
      <c r="B3491" s="18" t="s">
        <v>7275</v>
      </c>
      <c r="C3491" s="13">
        <v>2</v>
      </c>
      <c r="D3491" s="21" t="s">
        <v>7276</v>
      </c>
      <c r="E3491" s="24">
        <v>46</v>
      </c>
    </row>
    <row r="3492" spans="2:5" x14ac:dyDescent="0.3">
      <c r="B3492" s="18" t="s">
        <v>7277</v>
      </c>
      <c r="C3492" s="13">
        <v>3</v>
      </c>
      <c r="D3492" s="21" t="s">
        <v>7278</v>
      </c>
      <c r="E3492" s="24">
        <v>47</v>
      </c>
    </row>
    <row r="3493" spans="2:5" x14ac:dyDescent="0.3">
      <c r="B3493" s="18" t="s">
        <v>7279</v>
      </c>
      <c r="C3493" s="13">
        <v>4</v>
      </c>
      <c r="D3493" s="21" t="s">
        <v>7280</v>
      </c>
      <c r="E3493" s="24">
        <v>48</v>
      </c>
    </row>
    <row r="3494" spans="2:5" x14ac:dyDescent="0.3">
      <c r="B3494" s="18" t="s">
        <v>7281</v>
      </c>
      <c r="C3494" s="13">
        <v>5</v>
      </c>
      <c r="D3494" s="21" t="s">
        <v>7282</v>
      </c>
      <c r="E3494" s="24">
        <v>49</v>
      </c>
    </row>
    <row r="3495" spans="2:5" x14ac:dyDescent="0.3">
      <c r="B3495" s="18" t="s">
        <v>7283</v>
      </c>
      <c r="C3495" s="13">
        <v>6</v>
      </c>
      <c r="D3495" s="21" t="s">
        <v>7284</v>
      </c>
      <c r="E3495" s="24">
        <v>35</v>
      </c>
    </row>
    <row r="3496" spans="2:5" x14ac:dyDescent="0.3">
      <c r="B3496" s="18" t="s">
        <v>7285</v>
      </c>
      <c r="C3496" s="13">
        <v>12</v>
      </c>
      <c r="D3496" s="21" t="s">
        <v>7286</v>
      </c>
      <c r="E3496" s="24">
        <v>36</v>
      </c>
    </row>
    <row r="3497" spans="2:5" x14ac:dyDescent="0.3">
      <c r="B3497" s="18" t="s">
        <v>7287</v>
      </c>
      <c r="C3497" s="13">
        <v>11</v>
      </c>
      <c r="D3497" s="21" t="s">
        <v>7288</v>
      </c>
      <c r="E3497" s="24">
        <v>37</v>
      </c>
    </row>
    <row r="3498" spans="2:5" x14ac:dyDescent="0.3">
      <c r="B3498" s="18" t="s">
        <v>7289</v>
      </c>
      <c r="C3498" s="13">
        <v>10</v>
      </c>
      <c r="D3498" s="21" t="s">
        <v>7290</v>
      </c>
      <c r="E3498" s="24">
        <v>38</v>
      </c>
    </row>
    <row r="3499" spans="2:5" x14ac:dyDescent="0.3">
      <c r="B3499" s="18" t="s">
        <v>7291</v>
      </c>
      <c r="C3499" s="13">
        <v>9</v>
      </c>
      <c r="D3499" s="21" t="s">
        <v>7292</v>
      </c>
      <c r="E3499" s="24">
        <v>39</v>
      </c>
    </row>
    <row r="3500" spans="2:5" x14ac:dyDescent="0.3">
      <c r="B3500" s="18" t="s">
        <v>7293</v>
      </c>
      <c r="C3500" s="13">
        <v>8</v>
      </c>
      <c r="D3500" s="21" t="s">
        <v>7294</v>
      </c>
      <c r="E3500" s="24">
        <v>40</v>
      </c>
    </row>
    <row r="3501" spans="2:5" x14ac:dyDescent="0.3">
      <c r="B3501" s="18" t="s">
        <v>7295</v>
      </c>
      <c r="C3501" s="13">
        <v>7</v>
      </c>
      <c r="D3501" s="21" t="s">
        <v>7296</v>
      </c>
      <c r="E3501" s="24">
        <v>41</v>
      </c>
    </row>
    <row r="3502" spans="2:5" x14ac:dyDescent="0.3">
      <c r="B3502" s="18" t="s">
        <v>7297</v>
      </c>
      <c r="C3502" s="13">
        <v>13</v>
      </c>
      <c r="D3502" s="21" t="s">
        <v>7298</v>
      </c>
      <c r="E3502" s="24">
        <v>42</v>
      </c>
    </row>
    <row r="3503" spans="2:5" x14ac:dyDescent="0.3">
      <c r="B3503" s="18" t="s">
        <v>7299</v>
      </c>
      <c r="C3503" s="13">
        <v>14</v>
      </c>
      <c r="D3503" s="21" t="s">
        <v>7300</v>
      </c>
      <c r="E3503" s="24">
        <v>26</v>
      </c>
    </row>
    <row r="3504" spans="2:5" x14ac:dyDescent="0.3">
      <c r="B3504" s="18" t="s">
        <v>7301</v>
      </c>
      <c r="C3504" s="13">
        <v>15</v>
      </c>
      <c r="D3504" s="21" t="s">
        <v>7302</v>
      </c>
      <c r="E3504" s="24">
        <v>25</v>
      </c>
    </row>
    <row r="3505" spans="2:5" x14ac:dyDescent="0.3">
      <c r="B3505" s="18" t="s">
        <v>7303</v>
      </c>
      <c r="C3505" s="13">
        <v>16</v>
      </c>
      <c r="D3505" s="21" t="s">
        <v>7304</v>
      </c>
      <c r="E3505" s="24">
        <v>24</v>
      </c>
    </row>
    <row r="3506" spans="2:5" x14ac:dyDescent="0.3">
      <c r="B3506" s="18" t="s">
        <v>7305</v>
      </c>
      <c r="C3506" s="13">
        <v>17</v>
      </c>
      <c r="D3506" s="21" t="s">
        <v>7306</v>
      </c>
      <c r="E3506" s="24">
        <v>23</v>
      </c>
    </row>
    <row r="3507" spans="2:5" x14ac:dyDescent="0.3">
      <c r="B3507" s="18" t="s">
        <v>7307</v>
      </c>
      <c r="C3507" s="13">
        <v>18</v>
      </c>
      <c r="D3507" s="21" t="s">
        <v>7308</v>
      </c>
      <c r="E3507" s="24">
        <v>22</v>
      </c>
    </row>
    <row r="3508" spans="2:5" x14ac:dyDescent="0.3">
      <c r="B3508" s="18" t="s">
        <v>7309</v>
      </c>
      <c r="C3508" s="13">
        <v>21</v>
      </c>
      <c r="D3508" s="21" t="s">
        <v>7310</v>
      </c>
      <c r="E3508" s="24">
        <v>21</v>
      </c>
    </row>
    <row r="3509" spans="2:5" x14ac:dyDescent="0.3">
      <c r="B3509" s="18" t="s">
        <v>7311</v>
      </c>
      <c r="C3509" s="13">
        <v>20</v>
      </c>
      <c r="D3509" s="21" t="s">
        <v>7312</v>
      </c>
      <c r="E3509" s="24">
        <v>20</v>
      </c>
    </row>
    <row r="3510" spans="2:5" x14ac:dyDescent="0.3">
      <c r="B3510" s="18" t="s">
        <v>7313</v>
      </c>
      <c r="C3510" s="13">
        <v>19</v>
      </c>
      <c r="D3510" s="21" t="s">
        <v>7314</v>
      </c>
      <c r="E3510" s="24">
        <v>19</v>
      </c>
    </row>
    <row r="3511" spans="2:5" x14ac:dyDescent="0.3">
      <c r="B3511" s="18" t="s">
        <v>7315</v>
      </c>
      <c r="C3511" s="13">
        <v>1</v>
      </c>
      <c r="D3511" s="21" t="s">
        <v>7316</v>
      </c>
      <c r="E3511" s="24">
        <v>34</v>
      </c>
    </row>
    <row r="3512" spans="2:5" x14ac:dyDescent="0.3">
      <c r="B3512" s="18" t="s">
        <v>7317</v>
      </c>
      <c r="C3512" s="13">
        <v>2</v>
      </c>
      <c r="D3512" s="21" t="s">
        <v>7318</v>
      </c>
      <c r="E3512" s="24">
        <v>33</v>
      </c>
    </row>
    <row r="3513" spans="2:5" x14ac:dyDescent="0.3">
      <c r="B3513" s="18" t="s">
        <v>7319</v>
      </c>
      <c r="C3513" s="13">
        <v>3</v>
      </c>
      <c r="D3513" s="21" t="s">
        <v>7320</v>
      </c>
      <c r="E3513" s="24">
        <v>32</v>
      </c>
    </row>
    <row r="3514" spans="2:5" x14ac:dyDescent="0.3">
      <c r="B3514" s="18" t="s">
        <v>7321</v>
      </c>
      <c r="C3514" s="13">
        <v>4</v>
      </c>
      <c r="D3514" s="21" t="s">
        <v>7322</v>
      </c>
      <c r="E3514" s="24">
        <v>31</v>
      </c>
    </row>
    <row r="3515" spans="2:5" x14ac:dyDescent="0.3">
      <c r="B3515" s="18" t="s">
        <v>7323</v>
      </c>
      <c r="C3515" s="13">
        <v>5</v>
      </c>
      <c r="D3515" s="21" t="s">
        <v>7324</v>
      </c>
      <c r="E3515" s="24">
        <v>30</v>
      </c>
    </row>
    <row r="3516" spans="2:5" x14ac:dyDescent="0.3">
      <c r="B3516" s="18" t="s">
        <v>7325</v>
      </c>
      <c r="C3516" s="13">
        <v>6</v>
      </c>
      <c r="D3516" s="21" t="s">
        <v>7326</v>
      </c>
      <c r="E3516" s="24">
        <v>29</v>
      </c>
    </row>
    <row r="3517" spans="2:5" x14ac:dyDescent="0.3">
      <c r="B3517" s="18" t="s">
        <v>7327</v>
      </c>
      <c r="C3517" s="13">
        <v>12</v>
      </c>
      <c r="D3517" s="21" t="s">
        <v>7328</v>
      </c>
      <c r="E3517" s="24">
        <v>28</v>
      </c>
    </row>
    <row r="3518" spans="2:5" x14ac:dyDescent="0.3">
      <c r="B3518" s="18" t="s">
        <v>7329</v>
      </c>
      <c r="C3518" s="13">
        <v>11</v>
      </c>
      <c r="D3518" s="21" t="s">
        <v>7330</v>
      </c>
      <c r="E3518" s="24">
        <v>27</v>
      </c>
    </row>
    <row r="3519" spans="2:5" x14ac:dyDescent="0.3">
      <c r="B3519" s="18" t="s">
        <v>7331</v>
      </c>
      <c r="C3519" s="13">
        <v>10</v>
      </c>
      <c r="D3519" s="21" t="s">
        <v>7332</v>
      </c>
      <c r="E3519" s="24">
        <v>18</v>
      </c>
    </row>
    <row r="3520" spans="2:5" x14ac:dyDescent="0.3">
      <c r="B3520" s="18" t="s">
        <v>7333</v>
      </c>
      <c r="C3520" s="13">
        <v>9</v>
      </c>
      <c r="D3520" s="21" t="s">
        <v>7334</v>
      </c>
      <c r="E3520" s="24">
        <v>9</v>
      </c>
    </row>
    <row r="3521" spans="2:5" x14ac:dyDescent="0.3">
      <c r="B3521" s="18" t="s">
        <v>7335</v>
      </c>
      <c r="C3521" s="13">
        <v>8</v>
      </c>
      <c r="D3521" s="21" t="s">
        <v>7336</v>
      </c>
      <c r="E3521" s="24">
        <v>8</v>
      </c>
    </row>
    <row r="3522" spans="2:5" x14ac:dyDescent="0.3">
      <c r="B3522" s="18" t="s">
        <v>7337</v>
      </c>
      <c r="C3522" s="13">
        <v>7</v>
      </c>
      <c r="D3522" s="21" t="s">
        <v>7338</v>
      </c>
      <c r="E3522" s="24">
        <v>7</v>
      </c>
    </row>
    <row r="3523" spans="2:5" x14ac:dyDescent="0.3">
      <c r="B3523" s="18" t="s">
        <v>7339</v>
      </c>
      <c r="C3523" s="13">
        <v>13</v>
      </c>
      <c r="D3523" s="21" t="s">
        <v>7340</v>
      </c>
      <c r="E3523" s="24">
        <v>6</v>
      </c>
    </row>
    <row r="3524" spans="2:5" x14ac:dyDescent="0.3">
      <c r="B3524" s="18" t="s">
        <v>7341</v>
      </c>
      <c r="C3524" s="13">
        <v>14</v>
      </c>
      <c r="D3524" s="21" t="s">
        <v>7342</v>
      </c>
      <c r="E3524" s="24">
        <v>5</v>
      </c>
    </row>
    <row r="3525" spans="2:5" x14ac:dyDescent="0.3">
      <c r="B3525" s="18" t="s">
        <v>7343</v>
      </c>
      <c r="C3525" s="13">
        <v>15</v>
      </c>
      <c r="D3525" s="21" t="s">
        <v>7344</v>
      </c>
      <c r="E3525" s="24">
        <v>4</v>
      </c>
    </row>
    <row r="3526" spans="2:5" x14ac:dyDescent="0.3">
      <c r="B3526" s="18" t="s">
        <v>7345</v>
      </c>
      <c r="C3526" s="13">
        <v>16</v>
      </c>
      <c r="D3526" s="21" t="s">
        <v>7346</v>
      </c>
      <c r="E3526" s="24">
        <v>3</v>
      </c>
    </row>
    <row r="3527" spans="2:5" x14ac:dyDescent="0.3">
      <c r="B3527" s="18" t="s">
        <v>7347</v>
      </c>
      <c r="C3527" s="13">
        <v>17</v>
      </c>
      <c r="D3527" s="21" t="s">
        <v>7348</v>
      </c>
      <c r="E3527" s="24">
        <v>2</v>
      </c>
    </row>
    <row r="3528" spans="2:5" x14ac:dyDescent="0.3">
      <c r="B3528" s="18" t="s">
        <v>7349</v>
      </c>
      <c r="C3528" s="13">
        <v>18</v>
      </c>
      <c r="D3528" s="21" t="s">
        <v>7350</v>
      </c>
      <c r="E3528" s="24">
        <v>17</v>
      </c>
    </row>
    <row r="3529" spans="2:5" x14ac:dyDescent="0.3">
      <c r="B3529" s="18" t="s">
        <v>7351</v>
      </c>
      <c r="C3529" s="13">
        <v>22</v>
      </c>
      <c r="D3529" s="21" t="s">
        <v>7352</v>
      </c>
      <c r="E3529" s="24">
        <v>16</v>
      </c>
    </row>
    <row r="3530" spans="2:5" x14ac:dyDescent="0.3">
      <c r="B3530" s="18" t="s">
        <v>7353</v>
      </c>
      <c r="C3530" s="13">
        <v>21</v>
      </c>
      <c r="D3530" s="21" t="s">
        <v>7354</v>
      </c>
      <c r="E3530" s="24">
        <v>15</v>
      </c>
    </row>
    <row r="3531" spans="2:5" x14ac:dyDescent="0.3">
      <c r="B3531" s="18" t="s">
        <v>7355</v>
      </c>
      <c r="C3531" s="13">
        <v>20</v>
      </c>
      <c r="D3531" s="21" t="s">
        <v>7356</v>
      </c>
      <c r="E3531" s="24">
        <v>14</v>
      </c>
    </row>
    <row r="3532" spans="2:5" x14ac:dyDescent="0.3">
      <c r="B3532" s="18" t="s">
        <v>7357</v>
      </c>
      <c r="C3532" s="13">
        <v>19</v>
      </c>
      <c r="D3532" s="21" t="s">
        <v>7358</v>
      </c>
      <c r="E3532" s="24">
        <v>13</v>
      </c>
    </row>
    <row r="3533" spans="2:5" x14ac:dyDescent="0.3">
      <c r="B3533" s="18" t="s">
        <v>7359</v>
      </c>
      <c r="C3533" s="13">
        <v>1</v>
      </c>
      <c r="D3533" s="21" t="s">
        <v>7360</v>
      </c>
      <c r="E3533" s="24">
        <v>12</v>
      </c>
    </row>
    <row r="3534" spans="2:5" x14ac:dyDescent="0.3">
      <c r="B3534" s="18" t="s">
        <v>7361</v>
      </c>
      <c r="C3534" s="13">
        <v>2</v>
      </c>
      <c r="D3534" s="21" t="s">
        <v>7362</v>
      </c>
      <c r="E3534" s="24">
        <v>11</v>
      </c>
    </row>
    <row r="3535" spans="2:5" x14ac:dyDescent="0.3">
      <c r="B3535" s="18" t="s">
        <v>7363</v>
      </c>
      <c r="C3535" s="13">
        <v>3</v>
      </c>
      <c r="D3535" s="21" t="s">
        <v>7364</v>
      </c>
      <c r="E3535" s="24">
        <v>10</v>
      </c>
    </row>
    <row r="3536" spans="2:5" x14ac:dyDescent="0.3">
      <c r="B3536" s="18" t="s">
        <v>7365</v>
      </c>
      <c r="C3536" s="13">
        <v>4</v>
      </c>
      <c r="D3536" s="21" t="s">
        <v>7366</v>
      </c>
      <c r="E3536" s="24">
        <v>1</v>
      </c>
    </row>
    <row r="3537" spans="2:5" x14ac:dyDescent="0.3">
      <c r="B3537" s="18" t="s">
        <v>7367</v>
      </c>
      <c r="C3537" s="13">
        <v>5</v>
      </c>
      <c r="D3537" s="21" t="s">
        <v>7368</v>
      </c>
      <c r="E3537" s="24">
        <v>40</v>
      </c>
    </row>
    <row r="3538" spans="2:5" x14ac:dyDescent="0.3">
      <c r="B3538" s="18" t="s">
        <v>7369</v>
      </c>
      <c r="C3538" s="13">
        <v>6</v>
      </c>
      <c r="D3538" s="21" t="s">
        <v>7370</v>
      </c>
      <c r="E3538" s="24">
        <v>41</v>
      </c>
    </row>
    <row r="3539" spans="2:5" x14ac:dyDescent="0.3">
      <c r="B3539" s="18" t="s">
        <v>7371</v>
      </c>
      <c r="C3539" s="13">
        <v>12</v>
      </c>
      <c r="D3539" s="21" t="s">
        <v>7372</v>
      </c>
      <c r="E3539" s="24">
        <v>42</v>
      </c>
    </row>
    <row r="3540" spans="2:5" x14ac:dyDescent="0.3">
      <c r="B3540" s="18" t="s">
        <v>7373</v>
      </c>
      <c r="C3540" s="13">
        <v>11</v>
      </c>
      <c r="D3540" s="21" t="s">
        <v>7374</v>
      </c>
      <c r="E3540" s="24">
        <v>43</v>
      </c>
    </row>
    <row r="3541" spans="2:5" x14ac:dyDescent="0.3">
      <c r="B3541" s="18" t="s">
        <v>7375</v>
      </c>
      <c r="C3541" s="13">
        <v>10</v>
      </c>
      <c r="D3541" s="21" t="s">
        <v>7376</v>
      </c>
      <c r="E3541" s="24">
        <v>44</v>
      </c>
    </row>
    <row r="3542" spans="2:5" x14ac:dyDescent="0.3">
      <c r="B3542" s="18" t="s">
        <v>7377</v>
      </c>
      <c r="C3542" s="13">
        <v>9</v>
      </c>
      <c r="D3542" s="21" t="s">
        <v>7378</v>
      </c>
      <c r="E3542" s="24">
        <v>45</v>
      </c>
    </row>
    <row r="3543" spans="2:5" x14ac:dyDescent="0.3">
      <c r="B3543" s="18" t="s">
        <v>7379</v>
      </c>
      <c r="C3543" s="13">
        <v>8</v>
      </c>
      <c r="D3543" s="21" t="s">
        <v>7380</v>
      </c>
      <c r="E3543" s="24">
        <v>46</v>
      </c>
    </row>
    <row r="3544" spans="2:5" x14ac:dyDescent="0.3">
      <c r="B3544" s="18" t="s">
        <v>7381</v>
      </c>
      <c r="C3544" s="13">
        <v>7</v>
      </c>
      <c r="D3544" s="21" t="s">
        <v>7382</v>
      </c>
      <c r="E3544" s="24">
        <v>47</v>
      </c>
    </row>
    <row r="3545" spans="2:5" x14ac:dyDescent="0.3">
      <c r="B3545" s="18" t="s">
        <v>7383</v>
      </c>
      <c r="C3545" s="13">
        <v>13</v>
      </c>
      <c r="D3545" s="21" t="s">
        <v>7384</v>
      </c>
      <c r="E3545" s="24">
        <v>33</v>
      </c>
    </row>
    <row r="3546" spans="2:5" x14ac:dyDescent="0.3">
      <c r="B3546" s="18" t="s">
        <v>7385</v>
      </c>
      <c r="C3546" s="13">
        <v>14</v>
      </c>
      <c r="D3546" s="21" t="s">
        <v>7386</v>
      </c>
      <c r="E3546" s="24">
        <v>34</v>
      </c>
    </row>
    <row r="3547" spans="2:5" x14ac:dyDescent="0.3">
      <c r="B3547" s="18" t="s">
        <v>7387</v>
      </c>
      <c r="C3547" s="13">
        <v>15</v>
      </c>
      <c r="D3547" s="21" t="s">
        <v>7388</v>
      </c>
      <c r="E3547" s="24">
        <v>35</v>
      </c>
    </row>
    <row r="3548" spans="2:5" x14ac:dyDescent="0.3">
      <c r="B3548" s="18" t="s">
        <v>7389</v>
      </c>
      <c r="C3548" s="13">
        <v>16</v>
      </c>
      <c r="D3548" s="21" t="s">
        <v>7390</v>
      </c>
      <c r="E3548" s="24">
        <v>36</v>
      </c>
    </row>
    <row r="3549" spans="2:5" x14ac:dyDescent="0.3">
      <c r="B3549" s="18" t="s">
        <v>7391</v>
      </c>
      <c r="C3549" s="13">
        <v>17</v>
      </c>
      <c r="D3549" s="21" t="s">
        <v>7392</v>
      </c>
      <c r="E3549" s="24">
        <v>37</v>
      </c>
    </row>
    <row r="3550" spans="2:5" x14ac:dyDescent="0.3">
      <c r="B3550" s="18" t="s">
        <v>7393</v>
      </c>
      <c r="C3550" s="13">
        <v>18</v>
      </c>
      <c r="D3550" s="21" t="s">
        <v>7394</v>
      </c>
      <c r="E3550" s="24">
        <v>38</v>
      </c>
    </row>
    <row r="3551" spans="2:5" x14ac:dyDescent="0.3">
      <c r="B3551" s="18" t="s">
        <v>7395</v>
      </c>
      <c r="C3551" s="13">
        <v>23</v>
      </c>
      <c r="D3551" s="21" t="s">
        <v>7396</v>
      </c>
      <c r="E3551" s="24">
        <v>39</v>
      </c>
    </row>
    <row r="3552" spans="2:5" x14ac:dyDescent="0.3">
      <c r="B3552" s="18" t="s">
        <v>7397</v>
      </c>
      <c r="C3552" s="13">
        <v>22</v>
      </c>
      <c r="D3552" s="21" t="s">
        <v>7398</v>
      </c>
      <c r="E3552" s="24">
        <v>48</v>
      </c>
    </row>
    <row r="3553" spans="2:5" x14ac:dyDescent="0.3">
      <c r="B3553" s="18" t="s">
        <v>7399</v>
      </c>
      <c r="C3553" s="13">
        <v>21</v>
      </c>
      <c r="D3553" s="21" t="s">
        <v>7400</v>
      </c>
      <c r="E3553" s="24">
        <v>25</v>
      </c>
    </row>
    <row r="3554" spans="2:5" x14ac:dyDescent="0.3">
      <c r="B3554" s="18" t="s">
        <v>7401</v>
      </c>
      <c r="C3554" s="13">
        <v>20</v>
      </c>
      <c r="D3554" s="21" t="s">
        <v>7402</v>
      </c>
      <c r="E3554" s="24">
        <v>24</v>
      </c>
    </row>
    <row r="3555" spans="2:5" x14ac:dyDescent="0.3">
      <c r="B3555" s="18" t="s">
        <v>7403</v>
      </c>
      <c r="C3555" s="13">
        <v>19</v>
      </c>
      <c r="D3555" s="21" t="s">
        <v>7404</v>
      </c>
      <c r="E3555" s="24">
        <v>23</v>
      </c>
    </row>
    <row r="3556" spans="2:5" x14ac:dyDescent="0.3">
      <c r="B3556" s="18" t="s">
        <v>7405</v>
      </c>
      <c r="C3556" s="13">
        <v>1</v>
      </c>
      <c r="D3556" s="21" t="s">
        <v>7406</v>
      </c>
      <c r="E3556" s="24">
        <v>22</v>
      </c>
    </row>
    <row r="3557" spans="2:5" x14ac:dyDescent="0.3">
      <c r="B3557" s="18" t="s">
        <v>7407</v>
      </c>
      <c r="C3557" s="13">
        <v>2</v>
      </c>
      <c r="D3557" s="21" t="s">
        <v>7408</v>
      </c>
      <c r="E3557" s="24">
        <v>21</v>
      </c>
    </row>
    <row r="3558" spans="2:5" x14ac:dyDescent="0.3">
      <c r="B3558" s="18" t="s">
        <v>7409</v>
      </c>
      <c r="C3558" s="13">
        <v>3</v>
      </c>
      <c r="D3558" s="21" t="s">
        <v>7410</v>
      </c>
      <c r="E3558" s="24">
        <v>20</v>
      </c>
    </row>
    <row r="3559" spans="2:5" x14ac:dyDescent="0.3">
      <c r="B3559" s="18" t="s">
        <v>7411</v>
      </c>
      <c r="C3559" s="13">
        <v>4</v>
      </c>
      <c r="D3559" s="21" t="s">
        <v>7412</v>
      </c>
      <c r="E3559" s="24">
        <v>19</v>
      </c>
    </row>
    <row r="3560" spans="2:5" x14ac:dyDescent="0.3">
      <c r="B3560" s="18" t="s">
        <v>7413</v>
      </c>
      <c r="C3560" s="13">
        <v>5</v>
      </c>
      <c r="D3560" s="21" t="s">
        <v>7414</v>
      </c>
      <c r="E3560" s="24">
        <v>18</v>
      </c>
    </row>
    <row r="3561" spans="2:5" x14ac:dyDescent="0.3">
      <c r="B3561" s="18" t="s">
        <v>7415</v>
      </c>
      <c r="C3561" s="13">
        <v>6</v>
      </c>
      <c r="D3561" s="21" t="s">
        <v>7416</v>
      </c>
      <c r="E3561" s="24">
        <v>32</v>
      </c>
    </row>
    <row r="3562" spans="2:5" x14ac:dyDescent="0.3">
      <c r="B3562" s="18" t="s">
        <v>7417</v>
      </c>
      <c r="C3562" s="13">
        <v>12</v>
      </c>
      <c r="D3562" s="21" t="s">
        <v>7418</v>
      </c>
      <c r="E3562" s="24">
        <v>31</v>
      </c>
    </row>
    <row r="3563" spans="2:5" x14ac:dyDescent="0.3">
      <c r="B3563" s="18" t="s">
        <v>7419</v>
      </c>
      <c r="C3563" s="13">
        <v>11</v>
      </c>
      <c r="D3563" s="21" t="s">
        <v>7420</v>
      </c>
      <c r="E3563" s="24">
        <v>30</v>
      </c>
    </row>
    <row r="3564" spans="2:5" x14ac:dyDescent="0.3">
      <c r="B3564" s="18" t="s">
        <v>7421</v>
      </c>
      <c r="C3564" s="13">
        <v>10</v>
      </c>
      <c r="D3564" s="21" t="s">
        <v>7422</v>
      </c>
      <c r="E3564" s="24">
        <v>29</v>
      </c>
    </row>
    <row r="3565" spans="2:5" x14ac:dyDescent="0.3">
      <c r="B3565" s="18" t="s">
        <v>7423</v>
      </c>
      <c r="C3565" s="13">
        <v>9</v>
      </c>
      <c r="D3565" s="21" t="s">
        <v>7424</v>
      </c>
      <c r="E3565" s="24">
        <v>28</v>
      </c>
    </row>
    <row r="3566" spans="2:5" x14ac:dyDescent="0.3">
      <c r="B3566" s="18" t="s">
        <v>7425</v>
      </c>
      <c r="C3566" s="13">
        <v>8</v>
      </c>
      <c r="D3566" s="21" t="s">
        <v>7426</v>
      </c>
      <c r="E3566" s="24">
        <v>27</v>
      </c>
    </row>
    <row r="3567" spans="2:5" x14ac:dyDescent="0.3">
      <c r="B3567" s="18" t="s">
        <v>7427</v>
      </c>
      <c r="C3567" s="13">
        <v>7</v>
      </c>
      <c r="D3567" s="21" t="s">
        <v>7428</v>
      </c>
      <c r="E3567" s="24">
        <v>26</v>
      </c>
    </row>
    <row r="3568" spans="2:5" x14ac:dyDescent="0.3">
      <c r="B3568" s="18" t="s">
        <v>7429</v>
      </c>
      <c r="C3568" s="13">
        <v>13</v>
      </c>
      <c r="D3568" s="21" t="s">
        <v>7430</v>
      </c>
      <c r="E3568" s="24">
        <v>17</v>
      </c>
    </row>
    <row r="3569" spans="2:5" x14ac:dyDescent="0.3">
      <c r="B3569" s="18" t="s">
        <v>7431</v>
      </c>
      <c r="C3569" s="13">
        <v>14</v>
      </c>
      <c r="D3569" s="21" t="s">
        <v>7432</v>
      </c>
      <c r="E3569" s="24">
        <v>9</v>
      </c>
    </row>
    <row r="3570" spans="2:5" x14ac:dyDescent="0.3">
      <c r="B3570" s="18" t="s">
        <v>7433</v>
      </c>
      <c r="C3570" s="13">
        <v>15</v>
      </c>
      <c r="D3570" s="21" t="s">
        <v>7434</v>
      </c>
      <c r="E3570" s="24">
        <v>8</v>
      </c>
    </row>
    <row r="3571" spans="2:5" x14ac:dyDescent="0.3">
      <c r="B3571" s="18" t="s">
        <v>7435</v>
      </c>
      <c r="C3571" s="13">
        <v>16</v>
      </c>
      <c r="D3571" s="21" t="s">
        <v>7436</v>
      </c>
      <c r="E3571" s="24">
        <v>7</v>
      </c>
    </row>
    <row r="3572" spans="2:5" x14ac:dyDescent="0.3">
      <c r="B3572" s="18" t="s">
        <v>7437</v>
      </c>
      <c r="C3572" s="13">
        <v>17</v>
      </c>
      <c r="D3572" s="21" t="s">
        <v>7438</v>
      </c>
      <c r="E3572" s="24">
        <v>6</v>
      </c>
    </row>
    <row r="3573" spans="2:5" x14ac:dyDescent="0.3">
      <c r="B3573" s="18" t="s">
        <v>7439</v>
      </c>
      <c r="C3573" s="13">
        <v>18</v>
      </c>
      <c r="D3573" s="21" t="s">
        <v>7440</v>
      </c>
      <c r="E3573" s="24">
        <v>5</v>
      </c>
    </row>
    <row r="3574" spans="2:5" x14ac:dyDescent="0.3">
      <c r="B3574" s="18" t="s">
        <v>7441</v>
      </c>
      <c r="C3574" s="13">
        <v>24</v>
      </c>
      <c r="D3574" s="21" t="s">
        <v>7442</v>
      </c>
      <c r="E3574" s="24">
        <v>4</v>
      </c>
    </row>
    <row r="3575" spans="2:5" x14ac:dyDescent="0.3">
      <c r="B3575" s="18" t="s">
        <v>7443</v>
      </c>
      <c r="C3575" s="13">
        <v>23</v>
      </c>
      <c r="D3575" s="21" t="s">
        <v>7444</v>
      </c>
      <c r="E3575" s="24">
        <v>3</v>
      </c>
    </row>
    <row r="3576" spans="2:5" x14ac:dyDescent="0.3">
      <c r="B3576" s="18" t="s">
        <v>7445</v>
      </c>
      <c r="C3576" s="13">
        <v>22</v>
      </c>
      <c r="D3576" s="21" t="s">
        <v>7446</v>
      </c>
      <c r="E3576" s="24">
        <v>2</v>
      </c>
    </row>
    <row r="3577" spans="2:5" x14ac:dyDescent="0.3">
      <c r="B3577" s="18" t="s">
        <v>7447</v>
      </c>
      <c r="C3577" s="13">
        <v>21</v>
      </c>
      <c r="D3577" s="21" t="s">
        <v>7448</v>
      </c>
      <c r="E3577" s="24">
        <v>16</v>
      </c>
    </row>
    <row r="3578" spans="2:5" x14ac:dyDescent="0.3">
      <c r="B3578" s="18" t="s">
        <v>7449</v>
      </c>
      <c r="C3578" s="13">
        <v>20</v>
      </c>
      <c r="D3578" s="21" t="s">
        <v>7450</v>
      </c>
      <c r="E3578" s="24">
        <v>15</v>
      </c>
    </row>
    <row r="3579" spans="2:5" x14ac:dyDescent="0.3">
      <c r="B3579" s="18" t="s">
        <v>7451</v>
      </c>
      <c r="C3579" s="13">
        <v>19</v>
      </c>
      <c r="D3579" s="21" t="s">
        <v>7452</v>
      </c>
      <c r="E3579" s="24">
        <v>14</v>
      </c>
    </row>
    <row r="3580" spans="2:5" x14ac:dyDescent="0.3">
      <c r="B3580" s="18" t="s">
        <v>7453</v>
      </c>
      <c r="C3580" s="13">
        <v>1</v>
      </c>
      <c r="D3580" s="21" t="s">
        <v>7454</v>
      </c>
      <c r="E3580" s="24">
        <v>13</v>
      </c>
    </row>
    <row r="3581" spans="2:5" x14ac:dyDescent="0.3">
      <c r="B3581" s="18" t="s">
        <v>7455</v>
      </c>
      <c r="C3581" s="13">
        <v>2</v>
      </c>
      <c r="D3581" s="21" t="s">
        <v>7456</v>
      </c>
      <c r="E3581" s="24">
        <v>12</v>
      </c>
    </row>
    <row r="3582" spans="2:5" x14ac:dyDescent="0.3">
      <c r="B3582" s="18" t="s">
        <v>7457</v>
      </c>
      <c r="C3582" s="13">
        <v>3</v>
      </c>
      <c r="D3582" s="21" t="s">
        <v>7458</v>
      </c>
      <c r="E3582" s="24">
        <v>11</v>
      </c>
    </row>
    <row r="3583" spans="2:5" x14ac:dyDescent="0.3">
      <c r="B3583" s="18" t="s">
        <v>7459</v>
      </c>
      <c r="C3583" s="13">
        <v>4</v>
      </c>
      <c r="D3583" s="21" t="s">
        <v>7460</v>
      </c>
      <c r="E3583" s="24">
        <v>10</v>
      </c>
    </row>
    <row r="3584" spans="2:5" x14ac:dyDescent="0.3">
      <c r="B3584" s="18" t="s">
        <v>7461</v>
      </c>
      <c r="C3584" s="13">
        <v>5</v>
      </c>
      <c r="D3584" s="21" t="s">
        <v>7462</v>
      </c>
      <c r="E3584" s="24">
        <v>1</v>
      </c>
    </row>
    <row r="3585" spans="2:5" x14ac:dyDescent="0.3">
      <c r="B3585" s="18" t="s">
        <v>7463</v>
      </c>
      <c r="C3585" s="13">
        <v>6</v>
      </c>
      <c r="D3585" s="21" t="s">
        <v>7464</v>
      </c>
      <c r="E3585" s="24">
        <v>40</v>
      </c>
    </row>
    <row r="3586" spans="2:5" x14ac:dyDescent="0.3">
      <c r="B3586" s="18" t="s">
        <v>7465</v>
      </c>
      <c r="C3586" s="13">
        <v>7</v>
      </c>
      <c r="D3586" s="21" t="s">
        <v>7466</v>
      </c>
      <c r="E3586" s="24">
        <v>41</v>
      </c>
    </row>
    <row r="3587" spans="2:5" x14ac:dyDescent="0.3">
      <c r="B3587" s="18" t="s">
        <v>7467</v>
      </c>
      <c r="C3587" s="13">
        <v>14</v>
      </c>
      <c r="D3587" s="21" t="s">
        <v>7468</v>
      </c>
      <c r="E3587" s="24">
        <v>42</v>
      </c>
    </row>
    <row r="3588" spans="2:5" x14ac:dyDescent="0.3">
      <c r="B3588" s="18" t="s">
        <v>7469</v>
      </c>
      <c r="C3588" s="13">
        <v>13</v>
      </c>
      <c r="D3588" s="21" t="s">
        <v>7470</v>
      </c>
      <c r="E3588" s="24">
        <v>43</v>
      </c>
    </row>
    <row r="3589" spans="2:5" x14ac:dyDescent="0.3">
      <c r="B3589" s="18" t="s">
        <v>7471</v>
      </c>
      <c r="C3589" s="13">
        <v>12</v>
      </c>
      <c r="D3589" s="21" t="s">
        <v>7472</v>
      </c>
      <c r="E3589" s="24">
        <v>44</v>
      </c>
    </row>
    <row r="3590" spans="2:5" x14ac:dyDescent="0.3">
      <c r="B3590" s="18" t="s">
        <v>7473</v>
      </c>
      <c r="C3590" s="13">
        <v>11</v>
      </c>
      <c r="D3590" s="21" t="s">
        <v>7474</v>
      </c>
      <c r="E3590" s="24">
        <v>45</v>
      </c>
    </row>
    <row r="3591" spans="2:5" x14ac:dyDescent="0.3">
      <c r="B3591" s="18" t="s">
        <v>7475</v>
      </c>
      <c r="C3591" s="13">
        <v>10</v>
      </c>
      <c r="D3591" s="21" t="s">
        <v>7476</v>
      </c>
      <c r="E3591" s="24">
        <v>46</v>
      </c>
    </row>
    <row r="3592" spans="2:5" x14ac:dyDescent="0.3">
      <c r="B3592" s="18" t="s">
        <v>7477</v>
      </c>
      <c r="C3592" s="13">
        <v>9</v>
      </c>
      <c r="D3592" s="21" t="s">
        <v>7478</v>
      </c>
      <c r="E3592" s="24">
        <v>47</v>
      </c>
    </row>
    <row r="3593" spans="2:5" x14ac:dyDescent="0.3">
      <c r="B3593" s="18" t="s">
        <v>7479</v>
      </c>
      <c r="C3593" s="13">
        <v>8</v>
      </c>
      <c r="D3593" s="21" t="s">
        <v>7480</v>
      </c>
      <c r="E3593" s="24">
        <v>33</v>
      </c>
    </row>
    <row r="3594" spans="2:5" x14ac:dyDescent="0.3">
      <c r="B3594" s="18" t="s">
        <v>7481</v>
      </c>
      <c r="C3594" s="13">
        <v>15</v>
      </c>
      <c r="D3594" s="21" t="s">
        <v>7482</v>
      </c>
      <c r="E3594" s="24">
        <v>34</v>
      </c>
    </row>
    <row r="3595" spans="2:5" x14ac:dyDescent="0.3">
      <c r="B3595" s="18" t="s">
        <v>7483</v>
      </c>
      <c r="C3595" s="13">
        <v>16</v>
      </c>
      <c r="D3595" s="21" t="s">
        <v>7484</v>
      </c>
      <c r="E3595" s="24">
        <v>35</v>
      </c>
    </row>
    <row r="3596" spans="2:5" x14ac:dyDescent="0.3">
      <c r="B3596" s="18" t="s">
        <v>7485</v>
      </c>
      <c r="C3596" s="13">
        <v>17</v>
      </c>
      <c r="D3596" s="21" t="s">
        <v>7486</v>
      </c>
      <c r="E3596" s="24">
        <v>36</v>
      </c>
    </row>
    <row r="3597" spans="2:5" x14ac:dyDescent="0.3">
      <c r="B3597" s="18" t="s">
        <v>7487</v>
      </c>
      <c r="C3597" s="13">
        <v>18</v>
      </c>
      <c r="D3597" s="21" t="s">
        <v>7488</v>
      </c>
      <c r="E3597" s="24">
        <v>37</v>
      </c>
    </row>
    <row r="3598" spans="2:5" x14ac:dyDescent="0.3">
      <c r="B3598" s="18" t="s">
        <v>7489</v>
      </c>
      <c r="C3598" s="13">
        <v>19</v>
      </c>
      <c r="D3598" s="21" t="s">
        <v>7490</v>
      </c>
      <c r="E3598" s="24">
        <v>38</v>
      </c>
    </row>
    <row r="3599" spans="2:5" x14ac:dyDescent="0.3">
      <c r="B3599" s="18" t="s">
        <v>7491</v>
      </c>
      <c r="C3599" s="13">
        <v>20</v>
      </c>
      <c r="D3599" s="21" t="s">
        <v>7492</v>
      </c>
      <c r="E3599" s="24">
        <v>39</v>
      </c>
    </row>
    <row r="3600" spans="2:5" x14ac:dyDescent="0.3">
      <c r="B3600" s="18" t="s">
        <v>7493</v>
      </c>
      <c r="C3600" s="13">
        <v>21</v>
      </c>
      <c r="D3600" s="21" t="s">
        <v>7494</v>
      </c>
      <c r="E3600" s="24">
        <v>25</v>
      </c>
    </row>
    <row r="3601" spans="2:5" x14ac:dyDescent="0.3">
      <c r="B3601" s="18" t="s">
        <v>7495</v>
      </c>
      <c r="C3601" s="13">
        <v>25</v>
      </c>
      <c r="D3601" s="21" t="s">
        <v>7496</v>
      </c>
      <c r="E3601" s="24">
        <v>24</v>
      </c>
    </row>
    <row r="3602" spans="2:5" x14ac:dyDescent="0.3">
      <c r="B3602" s="18" t="s">
        <v>7497</v>
      </c>
      <c r="C3602" s="13">
        <v>24</v>
      </c>
      <c r="D3602" s="21" t="s">
        <v>7498</v>
      </c>
      <c r="E3602" s="24">
        <v>23</v>
      </c>
    </row>
    <row r="3603" spans="2:5" x14ac:dyDescent="0.3">
      <c r="B3603" s="18" t="s">
        <v>7499</v>
      </c>
      <c r="C3603" s="13">
        <v>23</v>
      </c>
      <c r="D3603" s="21" t="s">
        <v>7500</v>
      </c>
      <c r="E3603" s="24">
        <v>22</v>
      </c>
    </row>
    <row r="3604" spans="2:5" x14ac:dyDescent="0.3">
      <c r="B3604" s="18" t="s">
        <v>7501</v>
      </c>
      <c r="C3604" s="13">
        <v>22</v>
      </c>
      <c r="D3604" s="21" t="s">
        <v>7502</v>
      </c>
      <c r="E3604" s="24">
        <v>21</v>
      </c>
    </row>
    <row r="3605" spans="2:5" x14ac:dyDescent="0.3">
      <c r="B3605" s="18" t="s">
        <v>7503</v>
      </c>
      <c r="C3605" s="13">
        <v>1</v>
      </c>
      <c r="D3605" s="21" t="s">
        <v>7504</v>
      </c>
      <c r="E3605" s="24">
        <v>20</v>
      </c>
    </row>
    <row r="3606" spans="2:5" x14ac:dyDescent="0.3">
      <c r="B3606" s="18" t="s">
        <v>7505</v>
      </c>
      <c r="C3606" s="13">
        <v>2</v>
      </c>
      <c r="D3606" s="21" t="s">
        <v>7506</v>
      </c>
      <c r="E3606" s="24">
        <v>19</v>
      </c>
    </row>
    <row r="3607" spans="2:5" x14ac:dyDescent="0.3">
      <c r="B3607" s="18" t="s">
        <v>7507</v>
      </c>
      <c r="C3607" s="13">
        <v>3</v>
      </c>
      <c r="D3607" s="21" t="s">
        <v>7508</v>
      </c>
      <c r="E3607" s="24">
        <v>18</v>
      </c>
    </row>
    <row r="3608" spans="2:5" x14ac:dyDescent="0.3">
      <c r="B3608" s="18" t="s">
        <v>7509</v>
      </c>
      <c r="C3608" s="13">
        <v>4</v>
      </c>
      <c r="D3608" s="21" t="s">
        <v>7510</v>
      </c>
      <c r="E3608" s="24">
        <v>32</v>
      </c>
    </row>
    <row r="3609" spans="2:5" x14ac:dyDescent="0.3">
      <c r="B3609" s="18" t="s">
        <v>7511</v>
      </c>
      <c r="C3609" s="13">
        <v>5</v>
      </c>
      <c r="D3609" s="21" t="s">
        <v>7512</v>
      </c>
      <c r="E3609" s="24">
        <v>31</v>
      </c>
    </row>
    <row r="3610" spans="2:5" x14ac:dyDescent="0.3">
      <c r="B3610" s="18" t="s">
        <v>7513</v>
      </c>
      <c r="C3610" s="13">
        <v>6</v>
      </c>
      <c r="D3610" s="21" t="s">
        <v>7514</v>
      </c>
      <c r="E3610" s="24">
        <v>30</v>
      </c>
    </row>
    <row r="3611" spans="2:5" x14ac:dyDescent="0.3">
      <c r="B3611" s="18" t="s">
        <v>7515</v>
      </c>
      <c r="C3611" s="13">
        <v>7</v>
      </c>
      <c r="D3611" s="21" t="s">
        <v>7516</v>
      </c>
      <c r="E3611" s="24">
        <v>29</v>
      </c>
    </row>
    <row r="3612" spans="2:5" x14ac:dyDescent="0.3">
      <c r="B3612" s="18" t="s">
        <v>7517</v>
      </c>
      <c r="C3612" s="13">
        <v>14</v>
      </c>
      <c r="D3612" s="21" t="s">
        <v>7518</v>
      </c>
      <c r="E3612" s="24">
        <v>28</v>
      </c>
    </row>
    <row r="3613" spans="2:5" x14ac:dyDescent="0.3">
      <c r="B3613" s="18" t="s">
        <v>7519</v>
      </c>
      <c r="C3613" s="13">
        <v>13</v>
      </c>
      <c r="D3613" s="21" t="s">
        <v>7520</v>
      </c>
      <c r="E3613" s="24">
        <v>27</v>
      </c>
    </row>
    <row r="3614" spans="2:5" x14ac:dyDescent="0.3">
      <c r="B3614" s="18" t="s">
        <v>7521</v>
      </c>
      <c r="C3614" s="13">
        <v>12</v>
      </c>
      <c r="D3614" s="21" t="s">
        <v>7522</v>
      </c>
      <c r="E3614" s="24">
        <v>26</v>
      </c>
    </row>
    <row r="3615" spans="2:5" x14ac:dyDescent="0.3">
      <c r="B3615" s="18" t="s">
        <v>7523</v>
      </c>
      <c r="C3615" s="13">
        <v>11</v>
      </c>
      <c r="D3615" s="21" t="s">
        <v>7524</v>
      </c>
      <c r="E3615" s="24">
        <v>17</v>
      </c>
    </row>
    <row r="3616" spans="2:5" x14ac:dyDescent="0.3">
      <c r="B3616" s="18" t="s">
        <v>7525</v>
      </c>
      <c r="C3616" s="13">
        <v>10</v>
      </c>
      <c r="D3616" s="21" t="s">
        <v>7526</v>
      </c>
      <c r="E3616" s="24">
        <v>9</v>
      </c>
    </row>
    <row r="3617" spans="2:5" x14ac:dyDescent="0.3">
      <c r="B3617" s="18" t="s">
        <v>7527</v>
      </c>
      <c r="C3617" s="13">
        <v>9</v>
      </c>
      <c r="D3617" s="21" t="s">
        <v>7528</v>
      </c>
      <c r="E3617" s="24">
        <v>8</v>
      </c>
    </row>
    <row r="3618" spans="2:5" x14ac:dyDescent="0.3">
      <c r="B3618" s="18" t="s">
        <v>7529</v>
      </c>
      <c r="C3618" s="13">
        <v>8</v>
      </c>
      <c r="D3618" s="21" t="s">
        <v>7530</v>
      </c>
      <c r="E3618" s="24">
        <v>7</v>
      </c>
    </row>
    <row r="3619" spans="2:5" x14ac:dyDescent="0.3">
      <c r="B3619" s="18" t="s">
        <v>7531</v>
      </c>
      <c r="C3619" s="13">
        <v>15</v>
      </c>
      <c r="D3619" s="21" t="s">
        <v>7532</v>
      </c>
      <c r="E3619" s="24">
        <v>6</v>
      </c>
    </row>
    <row r="3620" spans="2:5" x14ac:dyDescent="0.3">
      <c r="B3620" s="18" t="s">
        <v>7533</v>
      </c>
      <c r="C3620" s="13">
        <v>16</v>
      </c>
      <c r="D3620" s="21" t="s">
        <v>7534</v>
      </c>
      <c r="E3620" s="24">
        <v>5</v>
      </c>
    </row>
    <row r="3621" spans="2:5" x14ac:dyDescent="0.3">
      <c r="B3621" s="18" t="s">
        <v>7535</v>
      </c>
      <c r="C3621" s="13">
        <v>17</v>
      </c>
      <c r="D3621" s="21" t="s">
        <v>7536</v>
      </c>
      <c r="E3621" s="24">
        <v>4</v>
      </c>
    </row>
    <row r="3622" spans="2:5" x14ac:dyDescent="0.3">
      <c r="B3622" s="18" t="s">
        <v>7537</v>
      </c>
      <c r="C3622" s="13">
        <v>18</v>
      </c>
      <c r="D3622" s="21" t="s">
        <v>7538</v>
      </c>
      <c r="E3622" s="24">
        <v>3</v>
      </c>
    </row>
    <row r="3623" spans="2:5" x14ac:dyDescent="0.3">
      <c r="B3623" s="18" t="s">
        <v>7539</v>
      </c>
      <c r="C3623" s="13">
        <v>19</v>
      </c>
      <c r="D3623" s="21" t="s">
        <v>7540</v>
      </c>
      <c r="E3623" s="24">
        <v>2</v>
      </c>
    </row>
    <row r="3624" spans="2:5" x14ac:dyDescent="0.3">
      <c r="B3624" s="18" t="s">
        <v>7541</v>
      </c>
      <c r="C3624" s="13">
        <v>20</v>
      </c>
      <c r="D3624" s="21" t="s">
        <v>7542</v>
      </c>
      <c r="E3624" s="24">
        <v>16</v>
      </c>
    </row>
    <row r="3625" spans="2:5" x14ac:dyDescent="0.3">
      <c r="B3625" s="18" t="s">
        <v>7543</v>
      </c>
      <c r="C3625" s="13">
        <v>21</v>
      </c>
      <c r="D3625" s="21" t="s">
        <v>7544</v>
      </c>
      <c r="E3625" s="24">
        <v>15</v>
      </c>
    </row>
    <row r="3626" spans="2:5" x14ac:dyDescent="0.3">
      <c r="B3626" s="18" t="s">
        <v>7545</v>
      </c>
      <c r="C3626" s="13">
        <v>26</v>
      </c>
      <c r="D3626" s="21" t="s">
        <v>7546</v>
      </c>
      <c r="E3626" s="24">
        <v>14</v>
      </c>
    </row>
    <row r="3627" spans="2:5" x14ac:dyDescent="0.3">
      <c r="B3627" s="18" t="s">
        <v>7547</v>
      </c>
      <c r="C3627" s="13">
        <v>25</v>
      </c>
      <c r="D3627" s="21" t="s">
        <v>7548</v>
      </c>
      <c r="E3627" s="24">
        <v>13</v>
      </c>
    </row>
    <row r="3628" spans="2:5" x14ac:dyDescent="0.3">
      <c r="B3628" s="18" t="s">
        <v>7549</v>
      </c>
      <c r="C3628" s="13">
        <v>24</v>
      </c>
      <c r="D3628" s="21" t="s">
        <v>7550</v>
      </c>
      <c r="E3628" s="24">
        <v>12</v>
      </c>
    </row>
    <row r="3629" spans="2:5" x14ac:dyDescent="0.3">
      <c r="B3629" s="18" t="s">
        <v>7551</v>
      </c>
      <c r="C3629" s="13">
        <v>23</v>
      </c>
      <c r="D3629" s="21" t="s">
        <v>7552</v>
      </c>
      <c r="E3629" s="24">
        <v>11</v>
      </c>
    </row>
    <row r="3630" spans="2:5" x14ac:dyDescent="0.3">
      <c r="B3630" s="18" t="s">
        <v>7553</v>
      </c>
      <c r="C3630" s="13">
        <v>22</v>
      </c>
      <c r="D3630" s="21" t="s">
        <v>7554</v>
      </c>
      <c r="E3630" s="24">
        <v>10</v>
      </c>
    </row>
    <row r="3631" spans="2:5" x14ac:dyDescent="0.3">
      <c r="B3631" s="18" t="s">
        <v>7555</v>
      </c>
      <c r="C3631" s="13">
        <v>1</v>
      </c>
      <c r="D3631" s="21" t="s">
        <v>7556</v>
      </c>
      <c r="E3631" s="24">
        <v>1</v>
      </c>
    </row>
    <row r="3632" spans="2:5" x14ac:dyDescent="0.3">
      <c r="B3632" s="18" t="s">
        <v>7557</v>
      </c>
      <c r="C3632" s="13">
        <v>2</v>
      </c>
      <c r="D3632" s="21" t="s">
        <v>7558</v>
      </c>
      <c r="E3632" s="24">
        <v>40</v>
      </c>
    </row>
    <row r="3633" spans="2:5" x14ac:dyDescent="0.3">
      <c r="B3633" s="18" t="s">
        <v>7559</v>
      </c>
      <c r="C3633" s="13">
        <v>3</v>
      </c>
      <c r="D3633" s="21" t="s">
        <v>7560</v>
      </c>
      <c r="E3633" s="24">
        <v>41</v>
      </c>
    </row>
    <row r="3634" spans="2:5" x14ac:dyDescent="0.3">
      <c r="B3634" s="18" t="s">
        <v>7561</v>
      </c>
      <c r="C3634" s="13">
        <v>4</v>
      </c>
      <c r="D3634" s="21" t="s">
        <v>7562</v>
      </c>
      <c r="E3634" s="24">
        <v>42</v>
      </c>
    </row>
    <row r="3635" spans="2:5" x14ac:dyDescent="0.3">
      <c r="B3635" s="18" t="s">
        <v>7563</v>
      </c>
      <c r="C3635" s="13">
        <v>5</v>
      </c>
      <c r="D3635" s="21" t="s">
        <v>7564</v>
      </c>
      <c r="E3635" s="24">
        <v>43</v>
      </c>
    </row>
    <row r="3636" spans="2:5" x14ac:dyDescent="0.3">
      <c r="B3636" s="18" t="s">
        <v>7565</v>
      </c>
      <c r="C3636" s="13">
        <v>6</v>
      </c>
      <c r="D3636" s="21" t="s">
        <v>7566</v>
      </c>
      <c r="E3636" s="24">
        <v>44</v>
      </c>
    </row>
    <row r="3637" spans="2:5" x14ac:dyDescent="0.3">
      <c r="B3637" s="18" t="s">
        <v>7567</v>
      </c>
      <c r="C3637" s="13">
        <v>7</v>
      </c>
      <c r="D3637" s="21" t="s">
        <v>7568</v>
      </c>
      <c r="E3637" s="24">
        <v>45</v>
      </c>
    </row>
    <row r="3638" spans="2:5" x14ac:dyDescent="0.3">
      <c r="B3638" s="18" t="s">
        <v>7569</v>
      </c>
      <c r="C3638" s="13">
        <v>14</v>
      </c>
      <c r="D3638" s="21" t="s">
        <v>7570</v>
      </c>
      <c r="E3638" s="24">
        <v>46</v>
      </c>
    </row>
    <row r="3639" spans="2:5" x14ac:dyDescent="0.3">
      <c r="B3639" s="18" t="s">
        <v>7571</v>
      </c>
      <c r="C3639" s="13">
        <v>13</v>
      </c>
      <c r="D3639" s="21" t="s">
        <v>7572</v>
      </c>
      <c r="E3639" s="24">
        <v>33</v>
      </c>
    </row>
    <row r="3640" spans="2:5" x14ac:dyDescent="0.3">
      <c r="B3640" s="18" t="s">
        <v>7573</v>
      </c>
      <c r="C3640" s="13">
        <v>12</v>
      </c>
      <c r="D3640" s="21" t="s">
        <v>7574</v>
      </c>
      <c r="E3640" s="24">
        <v>34</v>
      </c>
    </row>
    <row r="3641" spans="2:5" x14ac:dyDescent="0.3">
      <c r="B3641" s="18" t="s">
        <v>7575</v>
      </c>
      <c r="C3641" s="13">
        <v>11</v>
      </c>
      <c r="D3641" s="21" t="s">
        <v>7576</v>
      </c>
      <c r="E3641" s="24">
        <v>35</v>
      </c>
    </row>
    <row r="3642" spans="2:5" x14ac:dyDescent="0.3">
      <c r="B3642" s="18" t="s">
        <v>7577</v>
      </c>
      <c r="C3642" s="13">
        <v>10</v>
      </c>
      <c r="D3642" s="21" t="s">
        <v>7578</v>
      </c>
      <c r="E3642" s="24">
        <v>36</v>
      </c>
    </row>
    <row r="3643" spans="2:5" x14ac:dyDescent="0.3">
      <c r="B3643" s="18" t="s">
        <v>7579</v>
      </c>
      <c r="C3643" s="13">
        <v>9</v>
      </c>
      <c r="D3643" s="21" t="s">
        <v>7580</v>
      </c>
      <c r="E3643" s="24">
        <v>37</v>
      </c>
    </row>
    <row r="3644" spans="2:5" x14ac:dyDescent="0.3">
      <c r="B3644" s="18" t="s">
        <v>7581</v>
      </c>
      <c r="C3644" s="13">
        <v>8</v>
      </c>
      <c r="D3644" s="21" t="s">
        <v>7582</v>
      </c>
      <c r="E3644" s="24">
        <v>38</v>
      </c>
    </row>
    <row r="3645" spans="2:5" x14ac:dyDescent="0.3">
      <c r="B3645" s="18" t="s">
        <v>7583</v>
      </c>
      <c r="C3645" s="13">
        <v>15</v>
      </c>
      <c r="D3645" s="21" t="s">
        <v>7584</v>
      </c>
      <c r="E3645" s="24">
        <v>39</v>
      </c>
    </row>
    <row r="3646" spans="2:5" x14ac:dyDescent="0.3">
      <c r="B3646" s="18" t="s">
        <v>7585</v>
      </c>
      <c r="C3646" s="13">
        <v>16</v>
      </c>
      <c r="D3646" s="21" t="s">
        <v>7586</v>
      </c>
      <c r="E3646" s="24">
        <v>25</v>
      </c>
    </row>
    <row r="3647" spans="2:5" x14ac:dyDescent="0.3">
      <c r="B3647" s="18" t="s">
        <v>7587</v>
      </c>
      <c r="C3647" s="13">
        <v>17</v>
      </c>
      <c r="D3647" s="21" t="s">
        <v>7588</v>
      </c>
      <c r="E3647" s="24">
        <v>24</v>
      </c>
    </row>
    <row r="3648" spans="2:5" x14ac:dyDescent="0.3">
      <c r="B3648" s="18" t="s">
        <v>7589</v>
      </c>
      <c r="C3648" s="13">
        <v>18</v>
      </c>
      <c r="D3648" s="21" t="s">
        <v>7590</v>
      </c>
      <c r="E3648" s="24">
        <v>23</v>
      </c>
    </row>
    <row r="3649" spans="2:5" x14ac:dyDescent="0.3">
      <c r="B3649" s="18" t="s">
        <v>7591</v>
      </c>
      <c r="C3649" s="13">
        <v>19</v>
      </c>
      <c r="D3649" s="21" t="s">
        <v>7592</v>
      </c>
      <c r="E3649" s="24">
        <v>22</v>
      </c>
    </row>
    <row r="3650" spans="2:5" x14ac:dyDescent="0.3">
      <c r="B3650" s="18" t="s">
        <v>7593</v>
      </c>
      <c r="C3650" s="13">
        <v>20</v>
      </c>
      <c r="D3650" s="21" t="s">
        <v>7594</v>
      </c>
      <c r="E3650" s="24">
        <v>21</v>
      </c>
    </row>
    <row r="3651" spans="2:5" x14ac:dyDescent="0.3">
      <c r="B3651" s="18" t="s">
        <v>7595</v>
      </c>
      <c r="C3651" s="13">
        <v>21</v>
      </c>
      <c r="D3651" s="21" t="s">
        <v>7596</v>
      </c>
      <c r="E3651" s="24">
        <v>20</v>
      </c>
    </row>
    <row r="3652" spans="2:5" x14ac:dyDescent="0.3">
      <c r="B3652" s="18" t="s">
        <v>7597</v>
      </c>
      <c r="C3652" s="13">
        <v>27</v>
      </c>
      <c r="D3652" s="21" t="s">
        <v>7598</v>
      </c>
      <c r="E3652" s="24">
        <v>19</v>
      </c>
    </row>
    <row r="3653" spans="2:5" x14ac:dyDescent="0.3">
      <c r="B3653" s="18" t="s">
        <v>7599</v>
      </c>
      <c r="C3653" s="13">
        <v>26</v>
      </c>
      <c r="D3653" s="21" t="s">
        <v>7600</v>
      </c>
      <c r="E3653" s="24">
        <v>18</v>
      </c>
    </row>
    <row r="3654" spans="2:5" x14ac:dyDescent="0.3">
      <c r="B3654" s="18" t="s">
        <v>7601</v>
      </c>
      <c r="C3654" s="13">
        <v>25</v>
      </c>
      <c r="D3654" s="21" t="s">
        <v>7602</v>
      </c>
      <c r="E3654" s="24">
        <v>32</v>
      </c>
    </row>
    <row r="3655" spans="2:5" x14ac:dyDescent="0.3">
      <c r="B3655" s="18" t="s">
        <v>7603</v>
      </c>
      <c r="C3655" s="13">
        <v>24</v>
      </c>
      <c r="D3655" s="21" t="s">
        <v>7604</v>
      </c>
      <c r="E3655" s="24">
        <v>31</v>
      </c>
    </row>
    <row r="3656" spans="2:5" x14ac:dyDescent="0.3">
      <c r="B3656" s="18" t="s">
        <v>7605</v>
      </c>
      <c r="C3656" s="13">
        <v>23</v>
      </c>
      <c r="D3656" s="21" t="s">
        <v>7606</v>
      </c>
      <c r="E3656" s="24">
        <v>30</v>
      </c>
    </row>
    <row r="3657" spans="2:5" x14ac:dyDescent="0.3">
      <c r="B3657" s="18" t="s">
        <v>7607</v>
      </c>
      <c r="C3657" s="13">
        <v>22</v>
      </c>
      <c r="D3657" s="21" t="s">
        <v>7608</v>
      </c>
      <c r="E3657" s="24">
        <v>29</v>
      </c>
    </row>
    <row r="3658" spans="2:5" x14ac:dyDescent="0.3">
      <c r="B3658" s="18" t="s">
        <v>7609</v>
      </c>
      <c r="C3658" s="13">
        <v>1</v>
      </c>
      <c r="D3658" s="21" t="s">
        <v>7610</v>
      </c>
      <c r="E3658" s="24">
        <v>28</v>
      </c>
    </row>
    <row r="3659" spans="2:5" x14ac:dyDescent="0.3">
      <c r="B3659" s="18" t="s">
        <v>7611</v>
      </c>
      <c r="C3659" s="13">
        <v>2</v>
      </c>
      <c r="D3659" s="21" t="s">
        <v>7612</v>
      </c>
      <c r="E3659" s="24">
        <v>27</v>
      </c>
    </row>
    <row r="3660" spans="2:5" x14ac:dyDescent="0.3">
      <c r="B3660" s="18" t="s">
        <v>7613</v>
      </c>
      <c r="C3660" s="13">
        <v>3</v>
      </c>
      <c r="D3660" s="21" t="s">
        <v>7614</v>
      </c>
      <c r="E3660" s="24">
        <v>26</v>
      </c>
    </row>
    <row r="3661" spans="2:5" x14ac:dyDescent="0.3">
      <c r="B3661" s="18" t="s">
        <v>7615</v>
      </c>
      <c r="C3661" s="13">
        <v>4</v>
      </c>
      <c r="D3661" s="21" t="s">
        <v>7616</v>
      </c>
      <c r="E3661" s="24">
        <v>17</v>
      </c>
    </row>
    <row r="3662" spans="2:5" x14ac:dyDescent="0.3">
      <c r="B3662" s="18" t="s">
        <v>7617</v>
      </c>
      <c r="C3662" s="13">
        <v>5</v>
      </c>
      <c r="D3662" s="21" t="s">
        <v>7618</v>
      </c>
      <c r="E3662" s="24">
        <v>9</v>
      </c>
    </row>
    <row r="3663" spans="2:5" x14ac:dyDescent="0.3">
      <c r="B3663" s="18" t="s">
        <v>7619</v>
      </c>
      <c r="C3663" s="13">
        <v>6</v>
      </c>
      <c r="D3663" s="21" t="s">
        <v>7620</v>
      </c>
      <c r="E3663" s="24">
        <v>8</v>
      </c>
    </row>
    <row r="3664" spans="2:5" x14ac:dyDescent="0.3">
      <c r="B3664" s="18" t="s">
        <v>7621</v>
      </c>
      <c r="C3664" s="13">
        <v>7</v>
      </c>
      <c r="D3664" s="21" t="s">
        <v>7622</v>
      </c>
      <c r="E3664" s="24">
        <v>7</v>
      </c>
    </row>
    <row r="3665" spans="2:5" x14ac:dyDescent="0.3">
      <c r="B3665" s="18" t="s">
        <v>7623</v>
      </c>
      <c r="C3665" s="13">
        <v>14</v>
      </c>
      <c r="D3665" s="21" t="s">
        <v>7624</v>
      </c>
      <c r="E3665" s="24">
        <v>6</v>
      </c>
    </row>
    <row r="3666" spans="2:5" x14ac:dyDescent="0.3">
      <c r="B3666" s="18" t="s">
        <v>7625</v>
      </c>
      <c r="C3666" s="13">
        <v>13</v>
      </c>
      <c r="D3666" s="21" t="s">
        <v>7626</v>
      </c>
      <c r="E3666" s="24">
        <v>5</v>
      </c>
    </row>
    <row r="3667" spans="2:5" x14ac:dyDescent="0.3">
      <c r="B3667" s="18" t="s">
        <v>7627</v>
      </c>
      <c r="C3667" s="13">
        <v>12</v>
      </c>
      <c r="D3667" s="21" t="s">
        <v>7628</v>
      </c>
      <c r="E3667" s="24">
        <v>4</v>
      </c>
    </row>
    <row r="3668" spans="2:5" x14ac:dyDescent="0.3">
      <c r="B3668" s="18" t="s">
        <v>7629</v>
      </c>
      <c r="C3668" s="13">
        <v>11</v>
      </c>
      <c r="D3668" s="21" t="s">
        <v>7630</v>
      </c>
      <c r="E3668" s="24">
        <v>3</v>
      </c>
    </row>
    <row r="3669" spans="2:5" x14ac:dyDescent="0.3">
      <c r="B3669" s="18" t="s">
        <v>7631</v>
      </c>
      <c r="C3669" s="13">
        <v>10</v>
      </c>
      <c r="D3669" s="21" t="s">
        <v>7632</v>
      </c>
      <c r="E3669" s="24">
        <v>2</v>
      </c>
    </row>
    <row r="3670" spans="2:5" x14ac:dyDescent="0.3">
      <c r="B3670" s="18" t="s">
        <v>7633</v>
      </c>
      <c r="C3670" s="13">
        <v>9</v>
      </c>
      <c r="D3670" s="21" t="s">
        <v>7634</v>
      </c>
      <c r="E3670" s="24">
        <v>16</v>
      </c>
    </row>
    <row r="3671" spans="2:5" x14ac:dyDescent="0.3">
      <c r="B3671" s="18" t="s">
        <v>7635</v>
      </c>
      <c r="C3671" s="13">
        <v>8</v>
      </c>
      <c r="D3671" s="21" t="s">
        <v>7636</v>
      </c>
      <c r="E3671" s="24">
        <v>15</v>
      </c>
    </row>
    <row r="3672" spans="2:5" x14ac:dyDescent="0.3">
      <c r="B3672" s="18" t="s">
        <v>7637</v>
      </c>
      <c r="C3672" s="13">
        <v>15</v>
      </c>
      <c r="D3672" s="21" t="s">
        <v>7638</v>
      </c>
      <c r="E3672" s="24">
        <v>14</v>
      </c>
    </row>
    <row r="3673" spans="2:5" x14ac:dyDescent="0.3">
      <c r="B3673" s="18" t="s">
        <v>7639</v>
      </c>
      <c r="C3673" s="13">
        <v>16</v>
      </c>
      <c r="D3673" s="21" t="s">
        <v>7640</v>
      </c>
      <c r="E3673" s="24">
        <v>13</v>
      </c>
    </row>
    <row r="3674" spans="2:5" x14ac:dyDescent="0.3">
      <c r="B3674" s="18" t="s">
        <v>7641</v>
      </c>
      <c r="C3674" s="13">
        <v>17</v>
      </c>
      <c r="D3674" s="21" t="s">
        <v>7642</v>
      </c>
      <c r="E3674" s="24">
        <v>12</v>
      </c>
    </row>
    <row r="3675" spans="2:5" x14ac:dyDescent="0.3">
      <c r="B3675" s="18" t="s">
        <v>7643</v>
      </c>
      <c r="C3675" s="13">
        <v>18</v>
      </c>
      <c r="D3675" s="21" t="s">
        <v>7644</v>
      </c>
      <c r="E3675" s="24">
        <v>11</v>
      </c>
    </row>
    <row r="3676" spans="2:5" x14ac:dyDescent="0.3">
      <c r="B3676" s="18" t="s">
        <v>7645</v>
      </c>
      <c r="C3676" s="13">
        <v>19</v>
      </c>
      <c r="D3676" s="21" t="s">
        <v>7646</v>
      </c>
      <c r="E3676" s="24">
        <v>10</v>
      </c>
    </row>
    <row r="3677" spans="2:5" x14ac:dyDescent="0.3">
      <c r="B3677" s="18" t="s">
        <v>7647</v>
      </c>
      <c r="C3677" s="13">
        <v>20</v>
      </c>
      <c r="D3677" s="21" t="s">
        <v>7648</v>
      </c>
      <c r="E3677" s="24">
        <v>1</v>
      </c>
    </row>
    <row r="3678" spans="2:5" x14ac:dyDescent="0.3">
      <c r="B3678" s="18" t="s">
        <v>7649</v>
      </c>
      <c r="C3678" s="13">
        <v>21</v>
      </c>
      <c r="D3678" s="21" t="s">
        <v>7650</v>
      </c>
      <c r="E3678" s="24">
        <v>37</v>
      </c>
    </row>
    <row r="3679" spans="2:5" x14ac:dyDescent="0.3">
      <c r="B3679" s="18" t="s">
        <v>7651</v>
      </c>
      <c r="C3679" s="13">
        <v>28</v>
      </c>
      <c r="D3679" s="21" t="s">
        <v>7652</v>
      </c>
      <c r="E3679" s="24">
        <v>38</v>
      </c>
    </row>
    <row r="3680" spans="2:5" x14ac:dyDescent="0.3">
      <c r="B3680" s="18" t="s">
        <v>7653</v>
      </c>
      <c r="C3680" s="13">
        <v>27</v>
      </c>
      <c r="D3680" s="21" t="s">
        <v>7654</v>
      </c>
      <c r="E3680" s="24">
        <v>39</v>
      </c>
    </row>
    <row r="3681" spans="2:5" x14ac:dyDescent="0.3">
      <c r="B3681" s="18" t="s">
        <v>7655</v>
      </c>
      <c r="C3681" s="13">
        <v>26</v>
      </c>
      <c r="D3681" s="21" t="s">
        <v>7656</v>
      </c>
      <c r="E3681" s="24">
        <v>40</v>
      </c>
    </row>
    <row r="3682" spans="2:5" x14ac:dyDescent="0.3">
      <c r="B3682" s="18" t="s">
        <v>7657</v>
      </c>
      <c r="C3682" s="13">
        <v>25</v>
      </c>
      <c r="D3682" s="21" t="s">
        <v>7658</v>
      </c>
      <c r="E3682" s="24">
        <v>41</v>
      </c>
    </row>
    <row r="3683" spans="2:5" x14ac:dyDescent="0.3">
      <c r="B3683" s="18" t="s">
        <v>7659</v>
      </c>
      <c r="C3683" s="13">
        <v>24</v>
      </c>
      <c r="D3683" s="21" t="s">
        <v>7660</v>
      </c>
      <c r="E3683" s="24">
        <v>42</v>
      </c>
    </row>
    <row r="3684" spans="2:5" x14ac:dyDescent="0.3">
      <c r="B3684" s="18" t="s">
        <v>7661</v>
      </c>
      <c r="C3684" s="13">
        <v>23</v>
      </c>
      <c r="D3684" s="21" t="s">
        <v>7662</v>
      </c>
      <c r="E3684" s="24">
        <v>43</v>
      </c>
    </row>
    <row r="3685" spans="2:5" x14ac:dyDescent="0.3">
      <c r="B3685" s="18" t="s">
        <v>7663</v>
      </c>
      <c r="C3685" s="13">
        <v>22</v>
      </c>
      <c r="D3685" s="21" t="s">
        <v>7664</v>
      </c>
      <c r="E3685" s="24">
        <v>44</v>
      </c>
    </row>
    <row r="3686" spans="2:5" x14ac:dyDescent="0.3">
      <c r="B3686" s="18" t="s">
        <v>7665</v>
      </c>
      <c r="C3686" s="13">
        <v>1</v>
      </c>
      <c r="D3686" s="21" t="s">
        <v>7666</v>
      </c>
      <c r="E3686" s="24">
        <v>31</v>
      </c>
    </row>
    <row r="3687" spans="2:5" x14ac:dyDescent="0.3">
      <c r="B3687" s="18" t="s">
        <v>7667</v>
      </c>
      <c r="C3687" s="13">
        <v>2</v>
      </c>
      <c r="D3687" s="21" t="s">
        <v>7668</v>
      </c>
      <c r="E3687" s="24">
        <v>32</v>
      </c>
    </row>
    <row r="3688" spans="2:5" x14ac:dyDescent="0.3">
      <c r="B3688" s="18" t="s">
        <v>7669</v>
      </c>
      <c r="C3688" s="13">
        <v>3</v>
      </c>
      <c r="D3688" s="21" t="s">
        <v>7670</v>
      </c>
      <c r="E3688" s="24">
        <v>33</v>
      </c>
    </row>
    <row r="3689" spans="2:5" x14ac:dyDescent="0.3">
      <c r="B3689" s="18" t="s">
        <v>7671</v>
      </c>
      <c r="C3689" s="13">
        <v>4</v>
      </c>
      <c r="D3689" s="21" t="s">
        <v>7672</v>
      </c>
      <c r="E3689" s="24">
        <v>34</v>
      </c>
    </row>
    <row r="3690" spans="2:5" x14ac:dyDescent="0.3">
      <c r="B3690" s="18" t="s">
        <v>7673</v>
      </c>
      <c r="C3690" s="13">
        <v>5</v>
      </c>
      <c r="D3690" s="21" t="s">
        <v>7674</v>
      </c>
      <c r="E3690" s="24">
        <v>35</v>
      </c>
    </row>
    <row r="3691" spans="2:5" x14ac:dyDescent="0.3">
      <c r="B3691" s="18" t="s">
        <v>7675</v>
      </c>
      <c r="C3691" s="13">
        <v>6</v>
      </c>
      <c r="D3691" s="21" t="s">
        <v>7676</v>
      </c>
      <c r="E3691" s="24">
        <v>36</v>
      </c>
    </row>
    <row r="3692" spans="2:5" x14ac:dyDescent="0.3">
      <c r="B3692" s="18" t="s">
        <v>7677</v>
      </c>
      <c r="C3692" s="13">
        <v>7</v>
      </c>
      <c r="D3692" s="21" t="s">
        <v>7678</v>
      </c>
      <c r="E3692" s="24">
        <v>45</v>
      </c>
    </row>
    <row r="3693" spans="2:5" x14ac:dyDescent="0.3">
      <c r="B3693" s="18" t="s">
        <v>7679</v>
      </c>
      <c r="C3693" s="13">
        <v>8</v>
      </c>
      <c r="D3693" s="21" t="s">
        <v>7680</v>
      </c>
      <c r="E3693" s="24">
        <v>24</v>
      </c>
    </row>
    <row r="3694" spans="2:5" x14ac:dyDescent="0.3">
      <c r="B3694" s="18" t="s">
        <v>7681</v>
      </c>
      <c r="C3694" s="13">
        <v>16</v>
      </c>
      <c r="D3694" s="21" t="s">
        <v>7682</v>
      </c>
      <c r="E3694" s="24">
        <v>23</v>
      </c>
    </row>
    <row r="3695" spans="2:5" x14ac:dyDescent="0.3">
      <c r="B3695" s="18" t="s">
        <v>7683</v>
      </c>
      <c r="C3695" s="13">
        <v>15</v>
      </c>
      <c r="D3695" s="21" t="s">
        <v>7684</v>
      </c>
      <c r="E3695" s="24">
        <v>22</v>
      </c>
    </row>
    <row r="3696" spans="2:5" x14ac:dyDescent="0.3">
      <c r="B3696" s="18" t="s">
        <v>7685</v>
      </c>
      <c r="C3696" s="13">
        <v>14</v>
      </c>
      <c r="D3696" s="21" t="s">
        <v>7686</v>
      </c>
      <c r="E3696" s="24">
        <v>21</v>
      </c>
    </row>
    <row r="3697" spans="2:5" x14ac:dyDescent="0.3">
      <c r="B3697" s="18" t="s">
        <v>7687</v>
      </c>
      <c r="C3697" s="13">
        <v>13</v>
      </c>
      <c r="D3697" s="21" t="s">
        <v>7688</v>
      </c>
      <c r="E3697" s="24">
        <v>20</v>
      </c>
    </row>
    <row r="3698" spans="2:5" x14ac:dyDescent="0.3">
      <c r="B3698" s="18" t="s">
        <v>7689</v>
      </c>
      <c r="C3698" s="13">
        <v>12</v>
      </c>
      <c r="D3698" s="21" t="s">
        <v>7690</v>
      </c>
      <c r="E3698" s="24">
        <v>19</v>
      </c>
    </row>
    <row r="3699" spans="2:5" x14ac:dyDescent="0.3">
      <c r="B3699" s="18" t="s">
        <v>7691</v>
      </c>
      <c r="C3699" s="13">
        <v>11</v>
      </c>
      <c r="D3699" s="21" t="s">
        <v>7692</v>
      </c>
      <c r="E3699" s="24">
        <v>18</v>
      </c>
    </row>
    <row r="3700" spans="2:5" x14ac:dyDescent="0.3">
      <c r="B3700" s="18" t="s">
        <v>7693</v>
      </c>
      <c r="C3700" s="13">
        <v>10</v>
      </c>
      <c r="D3700" s="21" t="s">
        <v>7694</v>
      </c>
      <c r="E3700" s="24">
        <v>17</v>
      </c>
    </row>
    <row r="3701" spans="2:5" x14ac:dyDescent="0.3">
      <c r="B3701" s="18" t="s">
        <v>7695</v>
      </c>
      <c r="C3701" s="13">
        <v>9</v>
      </c>
      <c r="D3701" s="21" t="s">
        <v>7696</v>
      </c>
      <c r="E3701" s="24">
        <v>30</v>
      </c>
    </row>
    <row r="3702" spans="2:5" x14ac:dyDescent="0.3">
      <c r="B3702" s="18" t="s">
        <v>7697</v>
      </c>
      <c r="C3702" s="13">
        <v>17</v>
      </c>
      <c r="D3702" s="21" t="s">
        <v>7698</v>
      </c>
      <c r="E3702" s="24">
        <v>29</v>
      </c>
    </row>
    <row r="3703" spans="2:5" x14ac:dyDescent="0.3">
      <c r="B3703" s="18" t="s">
        <v>7699</v>
      </c>
      <c r="C3703" s="13">
        <v>18</v>
      </c>
      <c r="D3703" s="21" t="s">
        <v>7700</v>
      </c>
      <c r="E3703" s="24">
        <v>28</v>
      </c>
    </row>
    <row r="3704" spans="2:5" x14ac:dyDescent="0.3">
      <c r="B3704" s="18" t="s">
        <v>7701</v>
      </c>
      <c r="C3704" s="13">
        <v>19</v>
      </c>
      <c r="D3704" s="21" t="s">
        <v>7702</v>
      </c>
      <c r="E3704" s="24">
        <v>27</v>
      </c>
    </row>
    <row r="3705" spans="2:5" x14ac:dyDescent="0.3">
      <c r="B3705" s="18" t="s">
        <v>7703</v>
      </c>
      <c r="C3705" s="13">
        <v>20</v>
      </c>
      <c r="D3705" s="21" t="s">
        <v>7704</v>
      </c>
      <c r="E3705" s="24">
        <v>26</v>
      </c>
    </row>
    <row r="3706" spans="2:5" x14ac:dyDescent="0.3">
      <c r="B3706" s="18" t="s">
        <v>7705</v>
      </c>
      <c r="C3706" s="13">
        <v>21</v>
      </c>
      <c r="D3706" s="21" t="s">
        <v>7706</v>
      </c>
      <c r="E3706" s="24">
        <v>25</v>
      </c>
    </row>
    <row r="3707" spans="2:5" x14ac:dyDescent="0.3">
      <c r="B3707" s="18" t="s">
        <v>7707</v>
      </c>
      <c r="C3707" s="13">
        <v>22</v>
      </c>
      <c r="D3707" s="21" t="s">
        <v>7708</v>
      </c>
      <c r="E3707" s="24">
        <v>16</v>
      </c>
    </row>
    <row r="3708" spans="2:5" x14ac:dyDescent="0.3">
      <c r="B3708" s="18" t="s">
        <v>7709</v>
      </c>
      <c r="C3708" s="13">
        <v>23</v>
      </c>
      <c r="D3708" s="21" t="s">
        <v>7710</v>
      </c>
      <c r="E3708" s="24">
        <v>9</v>
      </c>
    </row>
    <row r="3709" spans="2:5" x14ac:dyDescent="0.3">
      <c r="B3709" s="18" t="s">
        <v>7711</v>
      </c>
      <c r="C3709" s="13">
        <v>24</v>
      </c>
      <c r="D3709" s="21" t="s">
        <v>7712</v>
      </c>
      <c r="E3709" s="24">
        <v>8</v>
      </c>
    </row>
    <row r="3710" spans="2:5" x14ac:dyDescent="0.3">
      <c r="B3710" s="18" t="s">
        <v>7713</v>
      </c>
      <c r="C3710" s="13">
        <v>29</v>
      </c>
      <c r="D3710" s="21" t="s">
        <v>7714</v>
      </c>
      <c r="E3710" s="24">
        <v>7</v>
      </c>
    </row>
    <row r="3711" spans="2:5" x14ac:dyDescent="0.3">
      <c r="B3711" s="18" t="s">
        <v>7715</v>
      </c>
      <c r="C3711" s="13">
        <v>28</v>
      </c>
      <c r="D3711" s="21" t="s">
        <v>7716</v>
      </c>
      <c r="E3711" s="24">
        <v>6</v>
      </c>
    </row>
    <row r="3712" spans="2:5" x14ac:dyDescent="0.3">
      <c r="B3712" s="18" t="s">
        <v>7717</v>
      </c>
      <c r="C3712" s="13">
        <v>27</v>
      </c>
      <c r="D3712" s="21" t="s">
        <v>7718</v>
      </c>
      <c r="E3712" s="24">
        <v>5</v>
      </c>
    </row>
    <row r="3713" spans="2:5" x14ac:dyDescent="0.3">
      <c r="B3713" s="18" t="s">
        <v>7719</v>
      </c>
      <c r="C3713" s="13">
        <v>26</v>
      </c>
      <c r="D3713" s="21" t="s">
        <v>7720</v>
      </c>
      <c r="E3713" s="24">
        <v>4</v>
      </c>
    </row>
    <row r="3714" spans="2:5" x14ac:dyDescent="0.3">
      <c r="B3714" s="18" t="s">
        <v>7721</v>
      </c>
      <c r="C3714" s="13">
        <v>25</v>
      </c>
      <c r="D3714" s="21" t="s">
        <v>7722</v>
      </c>
      <c r="E3714" s="24">
        <v>3</v>
      </c>
    </row>
    <row r="3715" spans="2:5" x14ac:dyDescent="0.3">
      <c r="B3715" s="18" t="s">
        <v>7723</v>
      </c>
      <c r="C3715" s="13">
        <v>1</v>
      </c>
      <c r="D3715" s="21" t="s">
        <v>7724</v>
      </c>
      <c r="E3715" s="24">
        <v>2</v>
      </c>
    </row>
    <row r="3716" spans="2:5" x14ac:dyDescent="0.3">
      <c r="B3716" s="18" t="s">
        <v>7725</v>
      </c>
      <c r="C3716" s="13">
        <v>2</v>
      </c>
      <c r="D3716" s="21" t="s">
        <v>7726</v>
      </c>
      <c r="E3716" s="24">
        <v>15</v>
      </c>
    </row>
    <row r="3717" spans="2:5" x14ac:dyDescent="0.3">
      <c r="B3717" s="18" t="s">
        <v>7727</v>
      </c>
      <c r="C3717" s="13">
        <v>1</v>
      </c>
      <c r="D3717" s="21" t="s">
        <v>7728</v>
      </c>
      <c r="E3717" s="24">
        <v>14</v>
      </c>
    </row>
    <row r="3718" spans="2:5" x14ac:dyDescent="0.3">
      <c r="B3718" s="18" t="s">
        <v>7729</v>
      </c>
      <c r="C3718" s="13">
        <v>2</v>
      </c>
      <c r="D3718" s="21" t="s">
        <v>7730</v>
      </c>
      <c r="E3718" s="24">
        <v>13</v>
      </c>
    </row>
    <row r="3719" spans="2:5" x14ac:dyDescent="0.3">
      <c r="B3719" s="18" t="s">
        <v>7731</v>
      </c>
      <c r="C3719" s="13">
        <v>3</v>
      </c>
      <c r="D3719" s="21" t="s">
        <v>7732</v>
      </c>
      <c r="E3719" s="24">
        <v>12</v>
      </c>
    </row>
    <row r="3720" spans="2:5" x14ac:dyDescent="0.3">
      <c r="B3720" s="18" t="s">
        <v>7733</v>
      </c>
      <c r="C3720" s="13">
        <v>4</v>
      </c>
      <c r="D3720" s="21" t="s">
        <v>7734</v>
      </c>
      <c r="E3720" s="24">
        <v>11</v>
      </c>
    </row>
    <row r="3721" spans="2:5" x14ac:dyDescent="0.3">
      <c r="B3721" s="18" t="s">
        <v>7735</v>
      </c>
      <c r="C3721" s="13">
        <v>5</v>
      </c>
      <c r="D3721" s="21" t="s">
        <v>7736</v>
      </c>
      <c r="E3721" s="24">
        <v>10</v>
      </c>
    </row>
    <row r="3722" spans="2:5" x14ac:dyDescent="0.3">
      <c r="B3722" s="18" t="s">
        <v>7737</v>
      </c>
      <c r="C3722" s="13">
        <v>6</v>
      </c>
      <c r="D3722" s="21" t="s">
        <v>7738</v>
      </c>
      <c r="E3722" s="24">
        <v>1</v>
      </c>
    </row>
    <row r="3723" spans="2:5" x14ac:dyDescent="0.3">
      <c r="B3723" s="18" t="s">
        <v>7739</v>
      </c>
      <c r="C3723" s="13">
        <v>7</v>
      </c>
      <c r="D3723" s="21" t="s">
        <v>7740</v>
      </c>
      <c r="E3723" s="24">
        <v>37</v>
      </c>
    </row>
    <row r="3724" spans="2:5" x14ac:dyDescent="0.3">
      <c r="B3724" s="18" t="s">
        <v>7741</v>
      </c>
      <c r="C3724" s="13">
        <v>8</v>
      </c>
      <c r="D3724" s="21" t="s">
        <v>7742</v>
      </c>
      <c r="E3724" s="24">
        <v>38</v>
      </c>
    </row>
    <row r="3725" spans="2:5" x14ac:dyDescent="0.3">
      <c r="B3725" s="18" t="s">
        <v>7743</v>
      </c>
      <c r="C3725" s="13">
        <v>16</v>
      </c>
      <c r="D3725" s="21" t="s">
        <v>7744</v>
      </c>
      <c r="E3725" s="24">
        <v>39</v>
      </c>
    </row>
    <row r="3726" spans="2:5" x14ac:dyDescent="0.3">
      <c r="B3726" s="18" t="s">
        <v>7745</v>
      </c>
      <c r="C3726" s="13">
        <v>15</v>
      </c>
      <c r="D3726" s="21" t="s">
        <v>7746</v>
      </c>
      <c r="E3726" s="24">
        <v>40</v>
      </c>
    </row>
    <row r="3727" spans="2:5" x14ac:dyDescent="0.3">
      <c r="B3727" s="18" t="s">
        <v>7747</v>
      </c>
      <c r="C3727" s="13">
        <v>14</v>
      </c>
      <c r="D3727" s="21" t="s">
        <v>7748</v>
      </c>
      <c r="E3727" s="24">
        <v>41</v>
      </c>
    </row>
    <row r="3728" spans="2:5" x14ac:dyDescent="0.3">
      <c r="B3728" s="18" t="s">
        <v>7749</v>
      </c>
      <c r="C3728" s="13">
        <v>13</v>
      </c>
      <c r="D3728" s="21" t="s">
        <v>7750</v>
      </c>
      <c r="E3728" s="24">
        <v>42</v>
      </c>
    </row>
    <row r="3729" spans="2:5" x14ac:dyDescent="0.3">
      <c r="B3729" s="18" t="s">
        <v>7751</v>
      </c>
      <c r="C3729" s="13">
        <v>12</v>
      </c>
      <c r="D3729" s="21" t="s">
        <v>7752</v>
      </c>
      <c r="E3729" s="24">
        <v>43</v>
      </c>
    </row>
    <row r="3730" spans="2:5" x14ac:dyDescent="0.3">
      <c r="B3730" s="18" t="s">
        <v>7753</v>
      </c>
      <c r="C3730" s="13">
        <v>11</v>
      </c>
      <c r="D3730" s="21" t="s">
        <v>7754</v>
      </c>
      <c r="E3730" s="24">
        <v>44</v>
      </c>
    </row>
    <row r="3731" spans="2:5" x14ac:dyDescent="0.3">
      <c r="B3731" s="18" t="s">
        <v>7755</v>
      </c>
      <c r="C3731" s="13">
        <v>10</v>
      </c>
      <c r="D3731" s="21" t="s">
        <v>7756</v>
      </c>
      <c r="E3731" s="24">
        <v>31</v>
      </c>
    </row>
    <row r="3732" spans="2:5" x14ac:dyDescent="0.3">
      <c r="B3732" s="18" t="s">
        <v>7757</v>
      </c>
      <c r="C3732" s="13">
        <v>9</v>
      </c>
      <c r="D3732" s="21" t="s">
        <v>7758</v>
      </c>
      <c r="E3732" s="24">
        <v>32</v>
      </c>
    </row>
    <row r="3733" spans="2:5" x14ac:dyDescent="0.3">
      <c r="B3733" s="18" t="s">
        <v>7759</v>
      </c>
      <c r="C3733" s="13">
        <v>17</v>
      </c>
      <c r="D3733" s="21" t="s">
        <v>7760</v>
      </c>
      <c r="E3733" s="24">
        <v>33</v>
      </c>
    </row>
    <row r="3734" spans="2:5" x14ac:dyDescent="0.3">
      <c r="B3734" s="18" t="s">
        <v>7761</v>
      </c>
      <c r="C3734" s="13">
        <v>18</v>
      </c>
      <c r="D3734" s="21" t="s">
        <v>7762</v>
      </c>
      <c r="E3734" s="24">
        <v>34</v>
      </c>
    </row>
    <row r="3735" spans="2:5" x14ac:dyDescent="0.3">
      <c r="B3735" s="18" t="s">
        <v>7763</v>
      </c>
      <c r="C3735" s="13">
        <v>19</v>
      </c>
      <c r="D3735" s="21" t="s">
        <v>7764</v>
      </c>
      <c r="E3735" s="24">
        <v>35</v>
      </c>
    </row>
    <row r="3736" spans="2:5" x14ac:dyDescent="0.3">
      <c r="B3736" s="18" t="s">
        <v>7765</v>
      </c>
      <c r="C3736" s="13">
        <v>20</v>
      </c>
      <c r="D3736" s="21" t="s">
        <v>7766</v>
      </c>
      <c r="E3736" s="24">
        <v>36</v>
      </c>
    </row>
    <row r="3737" spans="2:5" x14ac:dyDescent="0.3">
      <c r="B3737" s="18" t="s">
        <v>7767</v>
      </c>
      <c r="C3737" s="13">
        <v>21</v>
      </c>
      <c r="D3737" s="21" t="s">
        <v>7768</v>
      </c>
      <c r="E3737" s="24">
        <v>24</v>
      </c>
    </row>
    <row r="3738" spans="2:5" x14ac:dyDescent="0.3">
      <c r="B3738" s="18" t="s">
        <v>7769</v>
      </c>
      <c r="C3738" s="13">
        <v>22</v>
      </c>
      <c r="D3738" s="21" t="s">
        <v>7770</v>
      </c>
      <c r="E3738" s="24">
        <v>23</v>
      </c>
    </row>
    <row r="3739" spans="2:5" x14ac:dyDescent="0.3">
      <c r="B3739" s="18" t="s">
        <v>7771</v>
      </c>
      <c r="C3739" s="13">
        <v>23</v>
      </c>
      <c r="D3739" s="21" t="s">
        <v>7772</v>
      </c>
      <c r="E3739" s="24">
        <v>22</v>
      </c>
    </row>
    <row r="3740" spans="2:5" x14ac:dyDescent="0.3">
      <c r="B3740" s="18" t="s">
        <v>7773</v>
      </c>
      <c r="C3740" s="13">
        <v>24</v>
      </c>
      <c r="D3740" s="21" t="s">
        <v>7774</v>
      </c>
      <c r="E3740" s="24">
        <v>21</v>
      </c>
    </row>
    <row r="3741" spans="2:5" x14ac:dyDescent="0.3">
      <c r="B3741" s="18" t="s">
        <v>7775</v>
      </c>
      <c r="C3741" s="13">
        <v>30</v>
      </c>
      <c r="D3741" s="21" t="s">
        <v>7776</v>
      </c>
      <c r="E3741" s="24">
        <v>20</v>
      </c>
    </row>
    <row r="3742" spans="2:5" x14ac:dyDescent="0.3">
      <c r="B3742" s="18" t="s">
        <v>7777</v>
      </c>
      <c r="C3742" s="13">
        <v>29</v>
      </c>
      <c r="D3742" s="21" t="s">
        <v>7778</v>
      </c>
      <c r="E3742" s="24">
        <v>19</v>
      </c>
    </row>
    <row r="3743" spans="2:5" x14ac:dyDescent="0.3">
      <c r="B3743" s="18" t="s">
        <v>7779</v>
      </c>
      <c r="C3743" s="13">
        <v>28</v>
      </c>
      <c r="D3743" s="21" t="s">
        <v>7780</v>
      </c>
      <c r="E3743" s="24">
        <v>18</v>
      </c>
    </row>
    <row r="3744" spans="2:5" x14ac:dyDescent="0.3">
      <c r="B3744" s="18" t="s">
        <v>7781</v>
      </c>
      <c r="C3744" s="13">
        <v>27</v>
      </c>
      <c r="D3744" s="21" t="s">
        <v>7782</v>
      </c>
      <c r="E3744" s="24">
        <v>17</v>
      </c>
    </row>
    <row r="3745" spans="2:5" x14ac:dyDescent="0.3">
      <c r="B3745" s="18" t="s">
        <v>7783</v>
      </c>
      <c r="C3745" s="13">
        <v>26</v>
      </c>
      <c r="D3745" s="21" t="s">
        <v>7784</v>
      </c>
      <c r="E3745" s="24">
        <v>30</v>
      </c>
    </row>
    <row r="3746" spans="2:5" x14ac:dyDescent="0.3">
      <c r="B3746" s="18" t="s">
        <v>7785</v>
      </c>
      <c r="C3746" s="13">
        <v>25</v>
      </c>
      <c r="D3746" s="21" t="s">
        <v>7786</v>
      </c>
      <c r="E3746" s="24">
        <v>29</v>
      </c>
    </row>
    <row r="3747" spans="2:5" x14ac:dyDescent="0.3">
      <c r="B3747" s="18" t="s">
        <v>7787</v>
      </c>
      <c r="C3747" s="13">
        <v>1</v>
      </c>
      <c r="D3747" s="21" t="s">
        <v>7788</v>
      </c>
      <c r="E3747" s="24">
        <v>28</v>
      </c>
    </row>
    <row r="3748" spans="2:5" x14ac:dyDescent="0.3">
      <c r="B3748" s="18" t="s">
        <v>7789</v>
      </c>
      <c r="C3748" s="13">
        <v>2</v>
      </c>
      <c r="D3748" s="21" t="s">
        <v>7790</v>
      </c>
      <c r="E3748" s="24">
        <v>27</v>
      </c>
    </row>
    <row r="3749" spans="2:5" x14ac:dyDescent="0.3">
      <c r="B3749" s="18" t="s">
        <v>7791</v>
      </c>
      <c r="C3749" s="13">
        <v>3</v>
      </c>
      <c r="D3749" s="21" t="s">
        <v>7792</v>
      </c>
      <c r="E3749" s="24">
        <v>26</v>
      </c>
    </row>
    <row r="3750" spans="2:5" x14ac:dyDescent="0.3">
      <c r="B3750" s="18" t="s">
        <v>7793</v>
      </c>
      <c r="C3750" s="13">
        <v>4</v>
      </c>
      <c r="D3750" s="21" t="s">
        <v>7794</v>
      </c>
      <c r="E3750" s="24">
        <v>25</v>
      </c>
    </row>
    <row r="3751" spans="2:5" x14ac:dyDescent="0.3">
      <c r="B3751" s="18" t="s">
        <v>7795</v>
      </c>
      <c r="C3751" s="13">
        <v>5</v>
      </c>
      <c r="D3751" s="21" t="s">
        <v>7796</v>
      </c>
      <c r="E3751" s="24">
        <v>16</v>
      </c>
    </row>
    <row r="3752" spans="2:5" x14ac:dyDescent="0.3">
      <c r="B3752" s="18" t="s">
        <v>7797</v>
      </c>
      <c r="C3752" s="13">
        <v>6</v>
      </c>
      <c r="D3752" s="21" t="s">
        <v>7798</v>
      </c>
      <c r="E3752" s="24">
        <v>9</v>
      </c>
    </row>
    <row r="3753" spans="2:5" x14ac:dyDescent="0.3">
      <c r="B3753" s="18" t="s">
        <v>7799</v>
      </c>
      <c r="C3753" s="13">
        <v>7</v>
      </c>
      <c r="D3753" s="21" t="s">
        <v>7800</v>
      </c>
      <c r="E3753" s="24">
        <v>8</v>
      </c>
    </row>
    <row r="3754" spans="2:5" x14ac:dyDescent="0.3">
      <c r="B3754" s="18" t="s">
        <v>7801</v>
      </c>
      <c r="C3754" s="13">
        <v>8</v>
      </c>
      <c r="D3754" s="21" t="s">
        <v>7802</v>
      </c>
      <c r="E3754" s="24">
        <v>7</v>
      </c>
    </row>
    <row r="3755" spans="2:5" x14ac:dyDescent="0.3">
      <c r="B3755" s="18" t="s">
        <v>7803</v>
      </c>
      <c r="C3755" s="13">
        <v>16</v>
      </c>
      <c r="D3755" s="21" t="s">
        <v>7804</v>
      </c>
      <c r="E3755" s="24">
        <v>6</v>
      </c>
    </row>
    <row r="3756" spans="2:5" x14ac:dyDescent="0.3">
      <c r="B3756" s="18" t="s">
        <v>7805</v>
      </c>
      <c r="C3756" s="13">
        <v>15</v>
      </c>
      <c r="D3756" s="21" t="s">
        <v>7806</v>
      </c>
      <c r="E3756" s="24">
        <v>5</v>
      </c>
    </row>
    <row r="3757" spans="2:5" x14ac:dyDescent="0.3">
      <c r="B3757" s="18" t="s">
        <v>7807</v>
      </c>
      <c r="C3757" s="13">
        <v>14</v>
      </c>
      <c r="D3757" s="21" t="s">
        <v>7808</v>
      </c>
      <c r="E3757" s="24">
        <v>4</v>
      </c>
    </row>
    <row r="3758" spans="2:5" x14ac:dyDescent="0.3">
      <c r="B3758" s="18" t="s">
        <v>7809</v>
      </c>
      <c r="C3758" s="13">
        <v>13</v>
      </c>
      <c r="D3758" s="21" t="s">
        <v>7810</v>
      </c>
      <c r="E3758" s="24">
        <v>3</v>
      </c>
    </row>
    <row r="3759" spans="2:5" x14ac:dyDescent="0.3">
      <c r="B3759" s="18" t="s">
        <v>7811</v>
      </c>
      <c r="C3759" s="13">
        <v>12</v>
      </c>
      <c r="D3759" s="21" t="s">
        <v>7812</v>
      </c>
      <c r="E3759" s="24">
        <v>2</v>
      </c>
    </row>
    <row r="3760" spans="2:5" x14ac:dyDescent="0.3">
      <c r="B3760" s="18" t="s">
        <v>7813</v>
      </c>
      <c r="C3760" s="13">
        <v>11</v>
      </c>
      <c r="D3760" s="21" t="s">
        <v>7814</v>
      </c>
      <c r="E3760" s="24">
        <v>15</v>
      </c>
    </row>
    <row r="3761" spans="2:5" x14ac:dyDescent="0.3">
      <c r="B3761" s="18" t="s">
        <v>7815</v>
      </c>
      <c r="C3761" s="13">
        <v>10</v>
      </c>
      <c r="D3761" s="21" t="s">
        <v>7816</v>
      </c>
      <c r="E3761" s="24">
        <v>14</v>
      </c>
    </row>
    <row r="3762" spans="2:5" x14ac:dyDescent="0.3">
      <c r="B3762" s="18" t="s">
        <v>7817</v>
      </c>
      <c r="C3762" s="13">
        <v>9</v>
      </c>
      <c r="D3762" s="21" t="s">
        <v>7818</v>
      </c>
      <c r="E3762" s="24">
        <v>13</v>
      </c>
    </row>
    <row r="3763" spans="2:5" x14ac:dyDescent="0.3">
      <c r="B3763" s="18" t="s">
        <v>7819</v>
      </c>
      <c r="C3763" s="13">
        <v>17</v>
      </c>
      <c r="D3763" s="21" t="s">
        <v>7820</v>
      </c>
      <c r="E3763" s="24">
        <v>12</v>
      </c>
    </row>
    <row r="3764" spans="2:5" x14ac:dyDescent="0.3">
      <c r="B3764" s="18" t="s">
        <v>7821</v>
      </c>
      <c r="C3764" s="13">
        <v>18</v>
      </c>
      <c r="D3764" s="21" t="s">
        <v>7822</v>
      </c>
      <c r="E3764" s="24">
        <v>11</v>
      </c>
    </row>
    <row r="3765" spans="2:5" x14ac:dyDescent="0.3">
      <c r="B3765" s="18" t="s">
        <v>7823</v>
      </c>
      <c r="C3765" s="13">
        <v>19</v>
      </c>
      <c r="D3765" s="21" t="s">
        <v>7824</v>
      </c>
      <c r="E3765" s="24">
        <v>10</v>
      </c>
    </row>
    <row r="3766" spans="2:5" x14ac:dyDescent="0.3">
      <c r="B3766" s="18" t="s">
        <v>7825</v>
      </c>
      <c r="C3766" s="13">
        <v>20</v>
      </c>
      <c r="D3766" s="21" t="s">
        <v>7826</v>
      </c>
      <c r="E3766" s="24">
        <v>1</v>
      </c>
    </row>
    <row r="3767" spans="2:5" x14ac:dyDescent="0.3">
      <c r="B3767" s="18" t="s">
        <v>7827</v>
      </c>
      <c r="C3767" s="13">
        <v>21</v>
      </c>
      <c r="D3767" s="21" t="s">
        <v>7828</v>
      </c>
      <c r="E3767" s="24">
        <v>37</v>
      </c>
    </row>
    <row r="3768" spans="2:5" x14ac:dyDescent="0.3">
      <c r="B3768" s="18" t="s">
        <v>7829</v>
      </c>
      <c r="C3768" s="13">
        <v>22</v>
      </c>
      <c r="D3768" s="21" t="s">
        <v>7830</v>
      </c>
      <c r="E3768" s="24">
        <v>38</v>
      </c>
    </row>
    <row r="3769" spans="2:5" x14ac:dyDescent="0.3">
      <c r="B3769" s="18" t="s">
        <v>7831</v>
      </c>
      <c r="C3769" s="13">
        <v>23</v>
      </c>
      <c r="D3769" s="21" t="s">
        <v>7832</v>
      </c>
      <c r="E3769" s="24">
        <v>39</v>
      </c>
    </row>
    <row r="3770" spans="2:5" x14ac:dyDescent="0.3">
      <c r="B3770" s="18" t="s">
        <v>7833</v>
      </c>
      <c r="C3770" s="13">
        <v>24</v>
      </c>
      <c r="D3770" s="21" t="s">
        <v>7834</v>
      </c>
      <c r="E3770" s="24">
        <v>40</v>
      </c>
    </row>
    <row r="3771" spans="2:5" x14ac:dyDescent="0.3">
      <c r="B3771" s="18" t="s">
        <v>7835</v>
      </c>
      <c r="C3771" s="13">
        <v>31</v>
      </c>
      <c r="D3771" s="21" t="s">
        <v>7836</v>
      </c>
      <c r="E3771" s="24">
        <v>41</v>
      </c>
    </row>
    <row r="3772" spans="2:5" x14ac:dyDescent="0.3">
      <c r="B3772" s="18" t="s">
        <v>7837</v>
      </c>
      <c r="C3772" s="13">
        <v>30</v>
      </c>
      <c r="D3772" s="21" t="s">
        <v>7838</v>
      </c>
      <c r="E3772" s="24">
        <v>42</v>
      </c>
    </row>
    <row r="3773" spans="2:5" x14ac:dyDescent="0.3">
      <c r="B3773" s="18" t="s">
        <v>7839</v>
      </c>
      <c r="C3773" s="13">
        <v>29</v>
      </c>
      <c r="D3773" s="21" t="s">
        <v>7840</v>
      </c>
      <c r="E3773" s="24">
        <v>43</v>
      </c>
    </row>
    <row r="3774" spans="2:5" x14ac:dyDescent="0.3">
      <c r="B3774" s="18" t="s">
        <v>7841</v>
      </c>
      <c r="C3774" s="13">
        <v>28</v>
      </c>
      <c r="D3774" s="21" t="s">
        <v>7842</v>
      </c>
      <c r="E3774" s="24">
        <v>31</v>
      </c>
    </row>
    <row r="3775" spans="2:5" x14ac:dyDescent="0.3">
      <c r="B3775" s="18" t="s">
        <v>7843</v>
      </c>
      <c r="C3775" s="13">
        <v>27</v>
      </c>
      <c r="D3775" s="21" t="s">
        <v>7844</v>
      </c>
      <c r="E3775" s="24">
        <v>32</v>
      </c>
    </row>
    <row r="3776" spans="2:5" x14ac:dyDescent="0.3">
      <c r="B3776" s="18" t="s">
        <v>7845</v>
      </c>
      <c r="C3776" s="13">
        <v>26</v>
      </c>
      <c r="D3776" s="21" t="s">
        <v>7846</v>
      </c>
      <c r="E3776" s="24">
        <v>33</v>
      </c>
    </row>
    <row r="3777" spans="2:5" x14ac:dyDescent="0.3">
      <c r="B3777" s="18" t="s">
        <v>7847</v>
      </c>
      <c r="C3777" s="13">
        <v>25</v>
      </c>
      <c r="D3777" s="21" t="s">
        <v>7848</v>
      </c>
      <c r="E3777" s="24">
        <v>34</v>
      </c>
    </row>
    <row r="3778" spans="2:5" x14ac:dyDescent="0.3">
      <c r="B3778" s="18" t="s">
        <v>7849</v>
      </c>
      <c r="C3778" s="13">
        <v>1</v>
      </c>
      <c r="D3778" s="21" t="s">
        <v>7850</v>
      </c>
      <c r="E3778" s="24">
        <v>35</v>
      </c>
    </row>
    <row r="3779" spans="2:5" x14ac:dyDescent="0.3">
      <c r="B3779" s="18" t="s">
        <v>7851</v>
      </c>
      <c r="C3779" s="13">
        <v>2</v>
      </c>
      <c r="D3779" s="21" t="s">
        <v>7852</v>
      </c>
      <c r="E3779" s="24">
        <v>36</v>
      </c>
    </row>
    <row r="3780" spans="2:5" x14ac:dyDescent="0.3">
      <c r="B3780" s="18" t="s">
        <v>7853</v>
      </c>
      <c r="C3780" s="13">
        <v>3</v>
      </c>
      <c r="D3780" s="21" t="s">
        <v>7854</v>
      </c>
      <c r="E3780" s="24">
        <v>24</v>
      </c>
    </row>
    <row r="3781" spans="2:5" x14ac:dyDescent="0.3">
      <c r="B3781" s="18" t="s">
        <v>7855</v>
      </c>
      <c r="C3781" s="13">
        <v>4</v>
      </c>
      <c r="D3781" s="21" t="s">
        <v>7856</v>
      </c>
      <c r="E3781" s="24">
        <v>23</v>
      </c>
    </row>
    <row r="3782" spans="2:5" x14ac:dyDescent="0.3">
      <c r="B3782" s="18" t="s">
        <v>7857</v>
      </c>
      <c r="C3782" s="13">
        <v>5</v>
      </c>
      <c r="D3782" s="21" t="s">
        <v>7858</v>
      </c>
      <c r="E3782" s="24">
        <v>22</v>
      </c>
    </row>
    <row r="3783" spans="2:5" x14ac:dyDescent="0.3">
      <c r="B3783" s="18" t="s">
        <v>7859</v>
      </c>
      <c r="C3783" s="13">
        <v>6</v>
      </c>
      <c r="D3783" s="21" t="s">
        <v>7860</v>
      </c>
      <c r="E3783" s="24">
        <v>21</v>
      </c>
    </row>
    <row r="3784" spans="2:5" x14ac:dyDescent="0.3">
      <c r="B3784" s="18" t="s">
        <v>7861</v>
      </c>
      <c r="C3784" s="13">
        <v>7</v>
      </c>
      <c r="D3784" s="21" t="s">
        <v>7862</v>
      </c>
      <c r="E3784" s="24">
        <v>20</v>
      </c>
    </row>
    <row r="3785" spans="2:5" x14ac:dyDescent="0.3">
      <c r="B3785" s="18" t="s">
        <v>7863</v>
      </c>
      <c r="C3785" s="13">
        <v>8</v>
      </c>
      <c r="D3785" s="21" t="s">
        <v>7864</v>
      </c>
      <c r="E3785" s="24">
        <v>19</v>
      </c>
    </row>
    <row r="3786" spans="2:5" x14ac:dyDescent="0.3">
      <c r="B3786" s="18" t="s">
        <v>7865</v>
      </c>
      <c r="C3786" s="13">
        <v>16</v>
      </c>
      <c r="D3786" s="21" t="s">
        <v>7866</v>
      </c>
      <c r="E3786" s="24">
        <v>18</v>
      </c>
    </row>
    <row r="3787" spans="2:5" x14ac:dyDescent="0.3">
      <c r="B3787" s="18" t="s">
        <v>7867</v>
      </c>
      <c r="C3787" s="13">
        <v>15</v>
      </c>
      <c r="D3787" s="21" t="s">
        <v>7868</v>
      </c>
      <c r="E3787" s="24">
        <v>17</v>
      </c>
    </row>
    <row r="3788" spans="2:5" x14ac:dyDescent="0.3">
      <c r="B3788" s="18" t="s">
        <v>7869</v>
      </c>
      <c r="C3788" s="13">
        <v>14</v>
      </c>
      <c r="D3788" s="21" t="s">
        <v>7870</v>
      </c>
      <c r="E3788" s="24">
        <v>30</v>
      </c>
    </row>
    <row r="3789" spans="2:5" x14ac:dyDescent="0.3">
      <c r="B3789" s="18" t="s">
        <v>7871</v>
      </c>
      <c r="C3789" s="13">
        <v>13</v>
      </c>
      <c r="D3789" s="21" t="s">
        <v>7872</v>
      </c>
      <c r="E3789" s="24">
        <v>29</v>
      </c>
    </row>
    <row r="3790" spans="2:5" x14ac:dyDescent="0.3">
      <c r="B3790" s="18" t="s">
        <v>7873</v>
      </c>
      <c r="C3790" s="13">
        <v>12</v>
      </c>
      <c r="D3790" s="21" t="s">
        <v>7874</v>
      </c>
      <c r="E3790" s="24">
        <v>28</v>
      </c>
    </row>
    <row r="3791" spans="2:5" x14ac:dyDescent="0.3">
      <c r="B3791" s="18" t="s">
        <v>7875</v>
      </c>
      <c r="C3791" s="13">
        <v>11</v>
      </c>
      <c r="D3791" s="21" t="s">
        <v>7876</v>
      </c>
      <c r="E3791" s="24">
        <v>27</v>
      </c>
    </row>
    <row r="3792" spans="2:5" x14ac:dyDescent="0.3">
      <c r="B3792" s="18" t="s">
        <v>7877</v>
      </c>
      <c r="C3792" s="13">
        <v>10</v>
      </c>
      <c r="D3792" s="21" t="s">
        <v>7878</v>
      </c>
      <c r="E3792" s="24">
        <v>26</v>
      </c>
    </row>
    <row r="3793" spans="2:5" x14ac:dyDescent="0.3">
      <c r="B3793" s="18" t="s">
        <v>7879</v>
      </c>
      <c r="C3793" s="13">
        <v>9</v>
      </c>
      <c r="D3793" s="21" t="s">
        <v>7880</v>
      </c>
      <c r="E3793" s="24">
        <v>25</v>
      </c>
    </row>
    <row r="3794" spans="2:5" x14ac:dyDescent="0.3">
      <c r="B3794" s="18" t="s">
        <v>7881</v>
      </c>
      <c r="C3794" s="13">
        <v>17</v>
      </c>
      <c r="D3794" s="21" t="s">
        <v>7882</v>
      </c>
      <c r="E3794" s="24">
        <v>16</v>
      </c>
    </row>
    <row r="3795" spans="2:5" x14ac:dyDescent="0.3">
      <c r="B3795" s="18" t="s">
        <v>7883</v>
      </c>
      <c r="C3795" s="13">
        <v>18</v>
      </c>
      <c r="D3795" s="21" t="s">
        <v>7884</v>
      </c>
      <c r="E3795" s="24">
        <v>9</v>
      </c>
    </row>
    <row r="3796" spans="2:5" x14ac:dyDescent="0.3">
      <c r="B3796" s="18" t="s">
        <v>7885</v>
      </c>
      <c r="C3796" s="13">
        <v>19</v>
      </c>
      <c r="D3796" s="21" t="s">
        <v>7886</v>
      </c>
      <c r="E3796" s="24">
        <v>8</v>
      </c>
    </row>
    <row r="3797" spans="2:5" x14ac:dyDescent="0.3">
      <c r="B3797" s="18" t="s">
        <v>7887</v>
      </c>
      <c r="C3797" s="13">
        <v>20</v>
      </c>
      <c r="D3797" s="21" t="s">
        <v>7888</v>
      </c>
      <c r="E3797" s="24">
        <v>7</v>
      </c>
    </row>
    <row r="3798" spans="2:5" x14ac:dyDescent="0.3">
      <c r="B3798" s="18" t="s">
        <v>7889</v>
      </c>
      <c r="C3798" s="13">
        <v>21</v>
      </c>
      <c r="D3798" s="21" t="s">
        <v>7890</v>
      </c>
      <c r="E3798" s="24">
        <v>6</v>
      </c>
    </row>
    <row r="3799" spans="2:5" x14ac:dyDescent="0.3">
      <c r="B3799" s="18" t="s">
        <v>7891</v>
      </c>
      <c r="C3799" s="13">
        <v>22</v>
      </c>
      <c r="D3799" s="21" t="s">
        <v>7892</v>
      </c>
      <c r="E3799" s="24">
        <v>5</v>
      </c>
    </row>
    <row r="3800" spans="2:5" x14ac:dyDescent="0.3">
      <c r="B3800" s="18" t="s">
        <v>7893</v>
      </c>
      <c r="C3800" s="13">
        <v>23</v>
      </c>
      <c r="D3800" s="21" t="s">
        <v>7894</v>
      </c>
      <c r="E3800" s="24">
        <v>4</v>
      </c>
    </row>
    <row r="3801" spans="2:5" x14ac:dyDescent="0.3">
      <c r="B3801" s="18" t="s">
        <v>7895</v>
      </c>
      <c r="C3801" s="13">
        <v>24</v>
      </c>
      <c r="D3801" s="21" t="s">
        <v>7896</v>
      </c>
      <c r="E3801" s="24">
        <v>3</v>
      </c>
    </row>
    <row r="3802" spans="2:5" x14ac:dyDescent="0.3">
      <c r="B3802" s="18" t="s">
        <v>7897</v>
      </c>
      <c r="C3802" s="13">
        <v>32</v>
      </c>
      <c r="D3802" s="21" t="s">
        <v>7898</v>
      </c>
      <c r="E3802" s="24">
        <v>2</v>
      </c>
    </row>
    <row r="3803" spans="2:5" x14ac:dyDescent="0.3">
      <c r="B3803" s="18" t="s">
        <v>7899</v>
      </c>
      <c r="C3803" s="13">
        <v>31</v>
      </c>
      <c r="D3803" s="21" t="s">
        <v>7900</v>
      </c>
      <c r="E3803" s="24">
        <v>15</v>
      </c>
    </row>
    <row r="3804" spans="2:5" x14ac:dyDescent="0.3">
      <c r="B3804" s="18" t="s">
        <v>7901</v>
      </c>
      <c r="C3804" s="13">
        <v>30</v>
      </c>
      <c r="D3804" s="21" t="s">
        <v>7902</v>
      </c>
      <c r="E3804" s="24">
        <v>14</v>
      </c>
    </row>
    <row r="3805" spans="2:5" x14ac:dyDescent="0.3">
      <c r="B3805" s="18" t="s">
        <v>7903</v>
      </c>
      <c r="C3805" s="13">
        <v>29</v>
      </c>
      <c r="D3805" s="21" t="s">
        <v>7904</v>
      </c>
      <c r="E3805" s="24">
        <v>13</v>
      </c>
    </row>
    <row r="3806" spans="2:5" x14ac:dyDescent="0.3">
      <c r="B3806" s="18" t="s">
        <v>7905</v>
      </c>
      <c r="C3806" s="13">
        <v>28</v>
      </c>
      <c r="D3806" s="21" t="s">
        <v>7906</v>
      </c>
      <c r="E3806" s="24">
        <v>12</v>
      </c>
    </row>
    <row r="3807" spans="2:5" x14ac:dyDescent="0.3">
      <c r="B3807" s="18" t="s">
        <v>7907</v>
      </c>
      <c r="C3807" s="13">
        <v>27</v>
      </c>
      <c r="D3807" s="21" t="s">
        <v>7908</v>
      </c>
      <c r="E3807" s="24">
        <v>11</v>
      </c>
    </row>
    <row r="3808" spans="2:5" x14ac:dyDescent="0.3">
      <c r="B3808" s="18" t="s">
        <v>7909</v>
      </c>
      <c r="C3808" s="13">
        <v>26</v>
      </c>
      <c r="D3808" s="21" t="s">
        <v>7910</v>
      </c>
      <c r="E3808" s="24">
        <v>10</v>
      </c>
    </row>
    <row r="3809" spans="2:5" x14ac:dyDescent="0.3">
      <c r="B3809" s="18" t="s">
        <v>7911</v>
      </c>
      <c r="C3809" s="13">
        <v>25</v>
      </c>
      <c r="D3809" s="21" t="s">
        <v>7912</v>
      </c>
      <c r="E3809" s="24">
        <v>1</v>
      </c>
    </row>
    <row r="3810" spans="2:5" x14ac:dyDescent="0.3">
      <c r="B3810" s="18" t="s">
        <v>7913</v>
      </c>
      <c r="C3810" s="13">
        <v>1</v>
      </c>
      <c r="D3810" s="21" t="s">
        <v>7914</v>
      </c>
      <c r="E3810" s="24">
        <v>34</v>
      </c>
    </row>
    <row r="3811" spans="2:5" x14ac:dyDescent="0.3">
      <c r="B3811" s="18" t="s">
        <v>7915</v>
      </c>
      <c r="C3811" s="13">
        <v>2</v>
      </c>
      <c r="D3811" s="21" t="s">
        <v>7916</v>
      </c>
      <c r="E3811" s="24">
        <v>35</v>
      </c>
    </row>
    <row r="3812" spans="2:5" x14ac:dyDescent="0.3">
      <c r="B3812" s="18" t="s">
        <v>7917</v>
      </c>
      <c r="C3812" s="13">
        <v>3</v>
      </c>
      <c r="D3812" s="21" t="s">
        <v>7918</v>
      </c>
      <c r="E3812" s="24">
        <v>36</v>
      </c>
    </row>
    <row r="3813" spans="2:5" x14ac:dyDescent="0.3">
      <c r="B3813" s="18" t="s">
        <v>7919</v>
      </c>
      <c r="C3813" s="13">
        <v>4</v>
      </c>
      <c r="D3813" s="21" t="s">
        <v>7920</v>
      </c>
      <c r="E3813" s="24">
        <v>37</v>
      </c>
    </row>
    <row r="3814" spans="2:5" x14ac:dyDescent="0.3">
      <c r="B3814" s="18" t="s">
        <v>7921</v>
      </c>
      <c r="C3814" s="13">
        <v>5</v>
      </c>
      <c r="D3814" s="21" t="s">
        <v>7922</v>
      </c>
      <c r="E3814" s="24">
        <v>38</v>
      </c>
    </row>
    <row r="3815" spans="2:5" x14ac:dyDescent="0.3">
      <c r="B3815" s="18" t="s">
        <v>7923</v>
      </c>
      <c r="C3815" s="13">
        <v>6</v>
      </c>
      <c r="D3815" s="21" t="s">
        <v>7924</v>
      </c>
      <c r="E3815" s="24">
        <v>39</v>
      </c>
    </row>
    <row r="3816" spans="2:5" x14ac:dyDescent="0.3">
      <c r="B3816" s="18" t="s">
        <v>7925</v>
      </c>
      <c r="C3816" s="13">
        <v>7</v>
      </c>
      <c r="D3816" s="21" t="s">
        <v>7926</v>
      </c>
      <c r="E3816" s="24">
        <v>40</v>
      </c>
    </row>
    <row r="3817" spans="2:5" x14ac:dyDescent="0.3">
      <c r="B3817" s="18" t="s">
        <v>7927</v>
      </c>
      <c r="C3817" s="13">
        <v>8</v>
      </c>
      <c r="D3817" s="21" t="s">
        <v>7928</v>
      </c>
      <c r="E3817" s="24">
        <v>41</v>
      </c>
    </row>
    <row r="3818" spans="2:5" x14ac:dyDescent="0.3">
      <c r="B3818" s="18" t="s">
        <v>7929</v>
      </c>
      <c r="C3818" s="13">
        <v>9</v>
      </c>
      <c r="D3818" s="21" t="s">
        <v>7930</v>
      </c>
      <c r="E3818" s="24">
        <v>29</v>
      </c>
    </row>
    <row r="3819" spans="2:5" x14ac:dyDescent="0.3">
      <c r="B3819" s="18" t="s">
        <v>7931</v>
      </c>
      <c r="C3819" s="13">
        <v>18</v>
      </c>
      <c r="D3819" s="21" t="s">
        <v>7932</v>
      </c>
      <c r="E3819" s="24">
        <v>30</v>
      </c>
    </row>
    <row r="3820" spans="2:5" x14ac:dyDescent="0.3">
      <c r="B3820" s="18" t="s">
        <v>7933</v>
      </c>
      <c r="C3820" s="13">
        <v>17</v>
      </c>
      <c r="D3820" s="21" t="s">
        <v>7934</v>
      </c>
      <c r="E3820" s="24">
        <v>31</v>
      </c>
    </row>
    <row r="3821" spans="2:5" x14ac:dyDescent="0.3">
      <c r="B3821" s="18" t="s">
        <v>7935</v>
      </c>
      <c r="C3821" s="13">
        <v>16</v>
      </c>
      <c r="D3821" s="21" t="s">
        <v>7936</v>
      </c>
      <c r="E3821" s="24">
        <v>32</v>
      </c>
    </row>
    <row r="3822" spans="2:5" x14ac:dyDescent="0.3">
      <c r="B3822" s="18" t="s">
        <v>7937</v>
      </c>
      <c r="C3822" s="13">
        <v>15</v>
      </c>
      <c r="D3822" s="21" t="s">
        <v>7938</v>
      </c>
      <c r="E3822" s="24">
        <v>33</v>
      </c>
    </row>
    <row r="3823" spans="2:5" x14ac:dyDescent="0.3">
      <c r="B3823" s="18" t="s">
        <v>7939</v>
      </c>
      <c r="C3823" s="13">
        <v>14</v>
      </c>
      <c r="D3823" s="21" t="s">
        <v>7940</v>
      </c>
      <c r="E3823" s="24">
        <v>42</v>
      </c>
    </row>
    <row r="3824" spans="2:5" x14ac:dyDescent="0.3">
      <c r="B3824" s="18" t="s">
        <v>7941</v>
      </c>
      <c r="C3824" s="13">
        <v>13</v>
      </c>
      <c r="D3824" s="21" t="s">
        <v>7942</v>
      </c>
      <c r="E3824" s="24">
        <v>23</v>
      </c>
    </row>
    <row r="3825" spans="2:5" x14ac:dyDescent="0.3">
      <c r="B3825" s="18" t="s">
        <v>7943</v>
      </c>
      <c r="C3825" s="13">
        <v>12</v>
      </c>
      <c r="D3825" s="21" t="s">
        <v>7944</v>
      </c>
      <c r="E3825" s="24">
        <v>22</v>
      </c>
    </row>
    <row r="3826" spans="2:5" x14ac:dyDescent="0.3">
      <c r="B3826" s="18" t="s">
        <v>7945</v>
      </c>
      <c r="C3826" s="13">
        <v>11</v>
      </c>
      <c r="D3826" s="21" t="s">
        <v>7946</v>
      </c>
      <c r="E3826" s="24">
        <v>21</v>
      </c>
    </row>
    <row r="3827" spans="2:5" x14ac:dyDescent="0.3">
      <c r="B3827" s="18" t="s">
        <v>7947</v>
      </c>
      <c r="C3827" s="13">
        <v>10</v>
      </c>
      <c r="D3827" s="21" t="s">
        <v>7948</v>
      </c>
      <c r="E3827" s="24">
        <v>20</v>
      </c>
    </row>
    <row r="3828" spans="2:5" x14ac:dyDescent="0.3">
      <c r="B3828" s="18" t="s">
        <v>7949</v>
      </c>
      <c r="C3828" s="13">
        <v>19</v>
      </c>
      <c r="D3828" s="21" t="s">
        <v>7950</v>
      </c>
      <c r="E3828" s="24">
        <v>19</v>
      </c>
    </row>
    <row r="3829" spans="2:5" x14ac:dyDescent="0.3">
      <c r="B3829" s="18" t="s">
        <v>7951</v>
      </c>
      <c r="C3829" s="13">
        <v>20</v>
      </c>
      <c r="D3829" s="21" t="s">
        <v>7952</v>
      </c>
      <c r="E3829" s="24">
        <v>18</v>
      </c>
    </row>
    <row r="3830" spans="2:5" x14ac:dyDescent="0.3">
      <c r="B3830" s="18" t="s">
        <v>7953</v>
      </c>
      <c r="C3830" s="13">
        <v>21</v>
      </c>
      <c r="D3830" s="21" t="s">
        <v>7954</v>
      </c>
      <c r="E3830" s="24">
        <v>17</v>
      </c>
    </row>
    <row r="3831" spans="2:5" x14ac:dyDescent="0.3">
      <c r="B3831" s="18" t="s">
        <v>7955</v>
      </c>
      <c r="C3831" s="13">
        <v>22</v>
      </c>
      <c r="D3831" s="21" t="s">
        <v>7956</v>
      </c>
      <c r="E3831" s="24">
        <v>16</v>
      </c>
    </row>
    <row r="3832" spans="2:5" x14ac:dyDescent="0.3">
      <c r="B3832" s="18" t="s">
        <v>7957</v>
      </c>
      <c r="C3832" s="13">
        <v>23</v>
      </c>
      <c r="D3832" s="21" t="s">
        <v>7958</v>
      </c>
      <c r="E3832" s="24">
        <v>28</v>
      </c>
    </row>
    <row r="3833" spans="2:5" x14ac:dyDescent="0.3">
      <c r="B3833" s="18" t="s">
        <v>7959</v>
      </c>
      <c r="C3833" s="13">
        <v>24</v>
      </c>
      <c r="D3833" s="21" t="s">
        <v>7960</v>
      </c>
      <c r="E3833" s="24">
        <v>27</v>
      </c>
    </row>
    <row r="3834" spans="2:5" x14ac:dyDescent="0.3">
      <c r="B3834" s="18" t="s">
        <v>7961</v>
      </c>
      <c r="C3834" s="13">
        <v>25</v>
      </c>
      <c r="D3834" s="21" t="s">
        <v>7962</v>
      </c>
      <c r="E3834" s="24">
        <v>26</v>
      </c>
    </row>
    <row r="3835" spans="2:5" x14ac:dyDescent="0.3">
      <c r="B3835" s="18" t="s">
        <v>7963</v>
      </c>
      <c r="C3835" s="13">
        <v>26</v>
      </c>
      <c r="D3835" s="21" t="s">
        <v>7964</v>
      </c>
      <c r="E3835" s="24">
        <v>25</v>
      </c>
    </row>
    <row r="3836" spans="2:5" x14ac:dyDescent="0.3">
      <c r="B3836" s="18" t="s">
        <v>7965</v>
      </c>
      <c r="C3836" s="13">
        <v>27</v>
      </c>
      <c r="D3836" s="21" t="s">
        <v>7966</v>
      </c>
      <c r="E3836" s="24">
        <v>24</v>
      </c>
    </row>
    <row r="3837" spans="2:5" x14ac:dyDescent="0.3">
      <c r="B3837" s="18" t="s">
        <v>7967</v>
      </c>
      <c r="C3837" s="13">
        <v>33</v>
      </c>
      <c r="D3837" s="21" t="s">
        <v>7968</v>
      </c>
      <c r="E3837" s="24">
        <v>15</v>
      </c>
    </row>
    <row r="3838" spans="2:5" x14ac:dyDescent="0.3">
      <c r="B3838" s="18" t="s">
        <v>7969</v>
      </c>
      <c r="C3838" s="13">
        <v>32</v>
      </c>
      <c r="D3838" s="21" t="s">
        <v>7970</v>
      </c>
      <c r="E3838" s="24">
        <v>9</v>
      </c>
    </row>
    <row r="3839" spans="2:5" x14ac:dyDescent="0.3">
      <c r="B3839" s="18" t="s">
        <v>7971</v>
      </c>
      <c r="C3839" s="13">
        <v>31</v>
      </c>
      <c r="D3839" s="21" t="s">
        <v>7972</v>
      </c>
      <c r="E3839" s="24">
        <v>8</v>
      </c>
    </row>
    <row r="3840" spans="2:5" x14ac:dyDescent="0.3">
      <c r="B3840" s="18" t="s">
        <v>7973</v>
      </c>
      <c r="C3840" s="13">
        <v>30</v>
      </c>
      <c r="D3840" s="21" t="s">
        <v>7974</v>
      </c>
      <c r="E3840" s="24">
        <v>7</v>
      </c>
    </row>
    <row r="3841" spans="2:5" x14ac:dyDescent="0.3">
      <c r="B3841" s="18" t="s">
        <v>7975</v>
      </c>
      <c r="C3841" s="13">
        <v>29</v>
      </c>
      <c r="D3841" s="21" t="s">
        <v>7976</v>
      </c>
      <c r="E3841" s="24">
        <v>6</v>
      </c>
    </row>
    <row r="3842" spans="2:5" x14ac:dyDescent="0.3">
      <c r="B3842" s="18" t="s">
        <v>7977</v>
      </c>
      <c r="C3842" s="13">
        <v>28</v>
      </c>
      <c r="D3842" s="21" t="s">
        <v>7978</v>
      </c>
      <c r="E3842" s="24">
        <v>5</v>
      </c>
    </row>
    <row r="3843" spans="2:5" x14ac:dyDescent="0.3">
      <c r="B3843" s="18" t="s">
        <v>7979</v>
      </c>
      <c r="C3843" s="13">
        <v>1</v>
      </c>
      <c r="D3843" s="21" t="s">
        <v>7980</v>
      </c>
      <c r="E3843" s="24">
        <v>4</v>
      </c>
    </row>
    <row r="3844" spans="2:5" x14ac:dyDescent="0.3">
      <c r="B3844" s="18" t="s">
        <v>7981</v>
      </c>
      <c r="C3844" s="13">
        <v>2</v>
      </c>
      <c r="D3844" s="21" t="s">
        <v>7982</v>
      </c>
      <c r="E3844" s="24">
        <v>3</v>
      </c>
    </row>
    <row r="3845" spans="2:5" x14ac:dyDescent="0.3">
      <c r="B3845" s="18" t="s">
        <v>7983</v>
      </c>
      <c r="C3845" s="13">
        <v>3</v>
      </c>
      <c r="D3845" s="21" t="s">
        <v>7984</v>
      </c>
      <c r="E3845" s="24">
        <v>2</v>
      </c>
    </row>
    <row r="3846" spans="2:5" x14ac:dyDescent="0.3">
      <c r="B3846" s="18" t="s">
        <v>7985</v>
      </c>
      <c r="C3846" s="13">
        <v>4</v>
      </c>
      <c r="D3846" s="21" t="s">
        <v>7986</v>
      </c>
      <c r="E3846" s="24">
        <v>14</v>
      </c>
    </row>
    <row r="3847" spans="2:5" x14ac:dyDescent="0.3">
      <c r="B3847" s="18" t="s">
        <v>7987</v>
      </c>
      <c r="C3847" s="13">
        <v>5</v>
      </c>
      <c r="D3847" s="21" t="s">
        <v>7988</v>
      </c>
      <c r="E3847" s="24">
        <v>13</v>
      </c>
    </row>
    <row r="3848" spans="2:5" x14ac:dyDescent="0.3">
      <c r="B3848" s="18" t="s">
        <v>7989</v>
      </c>
      <c r="C3848" s="13">
        <v>6</v>
      </c>
      <c r="D3848" s="21" t="s">
        <v>7990</v>
      </c>
      <c r="E3848" s="24">
        <v>12</v>
      </c>
    </row>
    <row r="3849" spans="2:5" x14ac:dyDescent="0.3">
      <c r="B3849" s="18" t="s">
        <v>7991</v>
      </c>
      <c r="C3849" s="13">
        <v>7</v>
      </c>
      <c r="D3849" s="21" t="s">
        <v>7992</v>
      </c>
      <c r="E3849" s="24">
        <v>11</v>
      </c>
    </row>
    <row r="3850" spans="2:5" x14ac:dyDescent="0.3">
      <c r="B3850" s="18" t="s">
        <v>7993</v>
      </c>
      <c r="C3850" s="13">
        <v>8</v>
      </c>
      <c r="D3850" s="21" t="s">
        <v>7994</v>
      </c>
      <c r="E3850" s="24">
        <v>10</v>
      </c>
    </row>
    <row r="3851" spans="2:5" x14ac:dyDescent="0.3">
      <c r="B3851" s="18" t="s">
        <v>7995</v>
      </c>
      <c r="C3851" s="13">
        <v>9</v>
      </c>
      <c r="D3851" s="21" t="s">
        <v>7996</v>
      </c>
      <c r="E3851" s="24">
        <v>1</v>
      </c>
    </row>
    <row r="3852" spans="2:5" x14ac:dyDescent="0.3">
      <c r="B3852" s="18" t="s">
        <v>7997</v>
      </c>
      <c r="C3852" s="13">
        <v>18</v>
      </c>
      <c r="D3852" s="21" t="s">
        <v>7998</v>
      </c>
      <c r="E3852" s="24">
        <v>34</v>
      </c>
    </row>
    <row r="3853" spans="2:5" x14ac:dyDescent="0.3">
      <c r="B3853" s="18" t="s">
        <v>7999</v>
      </c>
      <c r="C3853" s="13">
        <v>17</v>
      </c>
      <c r="D3853" s="21" t="s">
        <v>8000</v>
      </c>
      <c r="E3853" s="24">
        <v>35</v>
      </c>
    </row>
    <row r="3854" spans="2:5" x14ac:dyDescent="0.3">
      <c r="B3854" s="18" t="s">
        <v>8001</v>
      </c>
      <c r="C3854" s="13">
        <v>16</v>
      </c>
      <c r="D3854" s="21" t="s">
        <v>8002</v>
      </c>
      <c r="E3854" s="24">
        <v>36</v>
      </c>
    </row>
    <row r="3855" spans="2:5" x14ac:dyDescent="0.3">
      <c r="B3855" s="18" t="s">
        <v>8003</v>
      </c>
      <c r="C3855" s="13">
        <v>15</v>
      </c>
      <c r="D3855" s="21" t="s">
        <v>8004</v>
      </c>
      <c r="E3855" s="24">
        <v>37</v>
      </c>
    </row>
    <row r="3856" spans="2:5" x14ac:dyDescent="0.3">
      <c r="B3856" s="18" t="s">
        <v>8005</v>
      </c>
      <c r="C3856" s="13">
        <v>14</v>
      </c>
      <c r="D3856" s="21" t="s">
        <v>8006</v>
      </c>
      <c r="E3856" s="24">
        <v>38</v>
      </c>
    </row>
    <row r="3857" spans="2:5" x14ac:dyDescent="0.3">
      <c r="B3857" s="18" t="s">
        <v>8007</v>
      </c>
      <c r="C3857" s="13">
        <v>13</v>
      </c>
      <c r="D3857" s="21" t="s">
        <v>8008</v>
      </c>
      <c r="E3857" s="24">
        <v>39</v>
      </c>
    </row>
    <row r="3858" spans="2:5" x14ac:dyDescent="0.3">
      <c r="B3858" s="18" t="s">
        <v>8009</v>
      </c>
      <c r="C3858" s="13">
        <v>12</v>
      </c>
      <c r="D3858" s="21" t="s">
        <v>8010</v>
      </c>
      <c r="E3858" s="24">
        <v>40</v>
      </c>
    </row>
    <row r="3859" spans="2:5" x14ac:dyDescent="0.3">
      <c r="B3859" s="18" t="s">
        <v>8011</v>
      </c>
      <c r="C3859" s="13">
        <v>11</v>
      </c>
      <c r="D3859" s="21" t="s">
        <v>8012</v>
      </c>
      <c r="E3859" s="24">
        <v>41</v>
      </c>
    </row>
    <row r="3860" spans="2:5" x14ac:dyDescent="0.3">
      <c r="B3860" s="18" t="s">
        <v>8013</v>
      </c>
      <c r="C3860" s="13">
        <v>10</v>
      </c>
      <c r="D3860" s="21" t="s">
        <v>8014</v>
      </c>
      <c r="E3860" s="24">
        <v>29</v>
      </c>
    </row>
    <row r="3861" spans="2:5" x14ac:dyDescent="0.3">
      <c r="B3861" s="18" t="s">
        <v>8015</v>
      </c>
      <c r="C3861" s="13">
        <v>19</v>
      </c>
      <c r="D3861" s="21" t="s">
        <v>8016</v>
      </c>
      <c r="E3861" s="24">
        <v>30</v>
      </c>
    </row>
    <row r="3862" spans="2:5" x14ac:dyDescent="0.3">
      <c r="B3862" s="18" t="s">
        <v>8017</v>
      </c>
      <c r="C3862" s="13">
        <v>20</v>
      </c>
      <c r="D3862" s="21" t="s">
        <v>8018</v>
      </c>
      <c r="E3862" s="24">
        <v>31</v>
      </c>
    </row>
    <row r="3863" spans="2:5" x14ac:dyDescent="0.3">
      <c r="B3863" s="18" t="s">
        <v>8019</v>
      </c>
      <c r="C3863" s="13">
        <v>21</v>
      </c>
      <c r="D3863" s="21" t="s">
        <v>8020</v>
      </c>
      <c r="E3863" s="24">
        <v>32</v>
      </c>
    </row>
    <row r="3864" spans="2:5" x14ac:dyDescent="0.3">
      <c r="B3864" s="18" t="s">
        <v>8021</v>
      </c>
      <c r="C3864" s="13">
        <v>22</v>
      </c>
      <c r="D3864" s="21" t="s">
        <v>8022</v>
      </c>
      <c r="E3864" s="24">
        <v>33</v>
      </c>
    </row>
    <row r="3865" spans="2:5" x14ac:dyDescent="0.3">
      <c r="B3865" s="18" t="s">
        <v>8023</v>
      </c>
      <c r="C3865" s="13">
        <v>23</v>
      </c>
      <c r="D3865" s="21" t="s">
        <v>8024</v>
      </c>
      <c r="E3865" s="24">
        <v>23</v>
      </c>
    </row>
    <row r="3866" spans="2:5" x14ac:dyDescent="0.3">
      <c r="B3866" s="18" t="s">
        <v>8025</v>
      </c>
      <c r="C3866" s="13">
        <v>24</v>
      </c>
      <c r="D3866" s="21" t="s">
        <v>8026</v>
      </c>
      <c r="E3866" s="24">
        <v>22</v>
      </c>
    </row>
    <row r="3867" spans="2:5" x14ac:dyDescent="0.3">
      <c r="B3867" s="18" t="s">
        <v>8027</v>
      </c>
      <c r="C3867" s="13">
        <v>25</v>
      </c>
      <c r="D3867" s="21" t="s">
        <v>8028</v>
      </c>
      <c r="E3867" s="24">
        <v>21</v>
      </c>
    </row>
    <row r="3868" spans="2:5" x14ac:dyDescent="0.3">
      <c r="B3868" s="18" t="s">
        <v>8029</v>
      </c>
      <c r="C3868" s="13">
        <v>26</v>
      </c>
      <c r="D3868" s="21" t="s">
        <v>8030</v>
      </c>
      <c r="E3868" s="24">
        <v>20</v>
      </c>
    </row>
    <row r="3869" spans="2:5" x14ac:dyDescent="0.3">
      <c r="B3869" s="18" t="s">
        <v>8031</v>
      </c>
      <c r="C3869" s="13">
        <v>27</v>
      </c>
      <c r="D3869" s="21" t="s">
        <v>8032</v>
      </c>
      <c r="E3869" s="24">
        <v>19</v>
      </c>
    </row>
    <row r="3870" spans="2:5" x14ac:dyDescent="0.3">
      <c r="B3870" s="18" t="s">
        <v>8033</v>
      </c>
      <c r="C3870" s="13">
        <v>34</v>
      </c>
      <c r="D3870" s="21" t="s">
        <v>8034</v>
      </c>
      <c r="E3870" s="24">
        <v>18</v>
      </c>
    </row>
    <row r="3871" spans="2:5" x14ac:dyDescent="0.3">
      <c r="B3871" s="18" t="s">
        <v>8035</v>
      </c>
      <c r="C3871" s="13">
        <v>33</v>
      </c>
      <c r="D3871" s="21" t="s">
        <v>8036</v>
      </c>
      <c r="E3871" s="24">
        <v>17</v>
      </c>
    </row>
    <row r="3872" spans="2:5" x14ac:dyDescent="0.3">
      <c r="B3872" s="18" t="s">
        <v>8037</v>
      </c>
      <c r="C3872" s="13">
        <v>32</v>
      </c>
      <c r="D3872" s="21" t="s">
        <v>8038</v>
      </c>
      <c r="E3872" s="24">
        <v>16</v>
      </c>
    </row>
    <row r="3873" spans="2:5" x14ac:dyDescent="0.3">
      <c r="B3873" s="18" t="s">
        <v>8039</v>
      </c>
      <c r="C3873" s="13">
        <v>31</v>
      </c>
      <c r="D3873" s="21" t="s">
        <v>8040</v>
      </c>
      <c r="E3873" s="24">
        <v>28</v>
      </c>
    </row>
    <row r="3874" spans="2:5" x14ac:dyDescent="0.3">
      <c r="B3874" s="18" t="s">
        <v>8041</v>
      </c>
      <c r="C3874" s="13">
        <v>30</v>
      </c>
      <c r="D3874" s="21" t="s">
        <v>8042</v>
      </c>
      <c r="E3874" s="24">
        <v>27</v>
      </c>
    </row>
    <row r="3875" spans="2:5" x14ac:dyDescent="0.3">
      <c r="B3875" s="18" t="s">
        <v>8043</v>
      </c>
      <c r="C3875" s="13">
        <v>29</v>
      </c>
      <c r="D3875" s="21" t="s">
        <v>8044</v>
      </c>
      <c r="E3875" s="24">
        <v>26</v>
      </c>
    </row>
    <row r="3876" spans="2:5" x14ac:dyDescent="0.3">
      <c r="B3876" s="18" t="s">
        <v>8045</v>
      </c>
      <c r="C3876" s="13">
        <v>28</v>
      </c>
      <c r="D3876" s="21" t="s">
        <v>8046</v>
      </c>
      <c r="E3876" s="24">
        <v>25</v>
      </c>
    </row>
    <row r="3877" spans="2:5" x14ac:dyDescent="0.3">
      <c r="B3877" s="18" t="s">
        <v>8047</v>
      </c>
      <c r="C3877" s="13">
        <v>1</v>
      </c>
      <c r="D3877" s="21" t="s">
        <v>8048</v>
      </c>
      <c r="E3877" s="24">
        <v>24</v>
      </c>
    </row>
    <row r="3878" spans="2:5" x14ac:dyDescent="0.3">
      <c r="B3878" s="18" t="s">
        <v>8049</v>
      </c>
      <c r="C3878" s="13">
        <v>2</v>
      </c>
      <c r="D3878" s="21" t="s">
        <v>8050</v>
      </c>
      <c r="E3878" s="24">
        <v>15</v>
      </c>
    </row>
    <row r="3879" spans="2:5" x14ac:dyDescent="0.3">
      <c r="B3879" s="18" t="s">
        <v>8051</v>
      </c>
      <c r="C3879" s="13">
        <v>3</v>
      </c>
      <c r="D3879" s="21" t="s">
        <v>8052</v>
      </c>
      <c r="E3879" s="24">
        <v>9</v>
      </c>
    </row>
    <row r="3880" spans="2:5" x14ac:dyDescent="0.3">
      <c r="B3880" s="18" t="s">
        <v>8053</v>
      </c>
      <c r="C3880" s="13">
        <v>4</v>
      </c>
      <c r="D3880" s="21" t="s">
        <v>8054</v>
      </c>
      <c r="E3880" s="24">
        <v>8</v>
      </c>
    </row>
    <row r="3881" spans="2:5" x14ac:dyDescent="0.3">
      <c r="B3881" s="18" t="s">
        <v>8055</v>
      </c>
      <c r="C3881" s="13">
        <v>5</v>
      </c>
      <c r="D3881" s="21" t="s">
        <v>8056</v>
      </c>
      <c r="E3881" s="24">
        <v>7</v>
      </c>
    </row>
    <row r="3882" spans="2:5" x14ac:dyDescent="0.3">
      <c r="B3882" s="18" t="s">
        <v>8057</v>
      </c>
      <c r="C3882" s="13">
        <v>6</v>
      </c>
      <c r="D3882" s="21" t="s">
        <v>8058</v>
      </c>
      <c r="E3882" s="24">
        <v>6</v>
      </c>
    </row>
    <row r="3883" spans="2:5" x14ac:dyDescent="0.3">
      <c r="B3883" s="18" t="s">
        <v>8059</v>
      </c>
      <c r="C3883" s="13">
        <v>7</v>
      </c>
      <c r="D3883" s="21" t="s">
        <v>8060</v>
      </c>
      <c r="E3883" s="24">
        <v>5</v>
      </c>
    </row>
    <row r="3884" spans="2:5" x14ac:dyDescent="0.3">
      <c r="B3884" s="18" t="s">
        <v>8061</v>
      </c>
      <c r="C3884" s="13">
        <v>8</v>
      </c>
      <c r="D3884" s="21" t="s">
        <v>8062</v>
      </c>
      <c r="E3884" s="24">
        <v>4</v>
      </c>
    </row>
    <row r="3885" spans="2:5" x14ac:dyDescent="0.3">
      <c r="B3885" s="18" t="s">
        <v>8063</v>
      </c>
      <c r="C3885" s="13">
        <v>9</v>
      </c>
      <c r="D3885" s="21" t="s">
        <v>8064</v>
      </c>
      <c r="E3885" s="24">
        <v>3</v>
      </c>
    </row>
    <row r="3886" spans="2:5" x14ac:dyDescent="0.3">
      <c r="B3886" s="18" t="s">
        <v>8065</v>
      </c>
      <c r="C3886" s="13">
        <v>18</v>
      </c>
      <c r="D3886" s="21" t="s">
        <v>8066</v>
      </c>
      <c r="E3886" s="24">
        <v>2</v>
      </c>
    </row>
    <row r="3887" spans="2:5" x14ac:dyDescent="0.3">
      <c r="B3887" s="18" t="s">
        <v>8067</v>
      </c>
      <c r="C3887" s="13">
        <v>17</v>
      </c>
      <c r="D3887" s="21" t="s">
        <v>8068</v>
      </c>
      <c r="E3887" s="24">
        <v>14</v>
      </c>
    </row>
    <row r="3888" spans="2:5" x14ac:dyDescent="0.3">
      <c r="B3888" s="18" t="s">
        <v>8069</v>
      </c>
      <c r="C3888" s="13">
        <v>16</v>
      </c>
      <c r="D3888" s="21" t="s">
        <v>8070</v>
      </c>
      <c r="E3888" s="24">
        <v>13</v>
      </c>
    </row>
    <row r="3889" spans="2:5" x14ac:dyDescent="0.3">
      <c r="B3889" s="18" t="s">
        <v>8071</v>
      </c>
      <c r="C3889" s="13">
        <v>15</v>
      </c>
      <c r="D3889" s="21" t="s">
        <v>8072</v>
      </c>
      <c r="E3889" s="24">
        <v>12</v>
      </c>
    </row>
    <row r="3890" spans="2:5" x14ac:dyDescent="0.3">
      <c r="B3890" s="18" t="s">
        <v>8073</v>
      </c>
      <c r="C3890" s="13">
        <v>14</v>
      </c>
      <c r="D3890" s="21" t="s">
        <v>8074</v>
      </c>
      <c r="E3890" s="24">
        <v>11</v>
      </c>
    </row>
    <row r="3891" spans="2:5" x14ac:dyDescent="0.3">
      <c r="B3891" s="18" t="s">
        <v>8075</v>
      </c>
      <c r="C3891" s="13">
        <v>13</v>
      </c>
      <c r="D3891" s="21" t="s">
        <v>8076</v>
      </c>
      <c r="E3891" s="24">
        <v>10</v>
      </c>
    </row>
    <row r="3892" spans="2:5" x14ac:dyDescent="0.3">
      <c r="B3892" s="18" t="s">
        <v>8077</v>
      </c>
      <c r="C3892" s="13">
        <v>12</v>
      </c>
      <c r="D3892" s="21" t="s">
        <v>8078</v>
      </c>
      <c r="E3892" s="24">
        <v>1</v>
      </c>
    </row>
    <row r="3893" spans="2:5" x14ac:dyDescent="0.3">
      <c r="B3893" s="18" t="s">
        <v>8079</v>
      </c>
      <c r="C3893" s="13">
        <v>11</v>
      </c>
      <c r="D3893" s="21" t="s">
        <v>8080</v>
      </c>
      <c r="E3893" s="24">
        <v>34</v>
      </c>
    </row>
    <row r="3894" spans="2:5" x14ac:dyDescent="0.3">
      <c r="B3894" s="18" t="s">
        <v>8081</v>
      </c>
      <c r="C3894" s="13">
        <v>10</v>
      </c>
      <c r="D3894" s="21" t="s">
        <v>8082</v>
      </c>
      <c r="E3894" s="24">
        <v>35</v>
      </c>
    </row>
    <row r="3895" spans="2:5" x14ac:dyDescent="0.3">
      <c r="B3895" s="18" t="s">
        <v>8083</v>
      </c>
      <c r="C3895" s="13">
        <v>19</v>
      </c>
      <c r="D3895" s="21" t="s">
        <v>8084</v>
      </c>
      <c r="E3895" s="24">
        <v>36</v>
      </c>
    </row>
    <row r="3896" spans="2:5" x14ac:dyDescent="0.3">
      <c r="B3896" s="18" t="s">
        <v>8085</v>
      </c>
      <c r="C3896" s="13">
        <v>20</v>
      </c>
      <c r="D3896" s="21" t="s">
        <v>8086</v>
      </c>
      <c r="E3896" s="24">
        <v>37</v>
      </c>
    </row>
    <row r="3897" spans="2:5" x14ac:dyDescent="0.3">
      <c r="B3897" s="18" t="s">
        <v>8087</v>
      </c>
      <c r="C3897" s="13">
        <v>21</v>
      </c>
      <c r="D3897" s="21" t="s">
        <v>8088</v>
      </c>
      <c r="E3897" s="24">
        <v>38</v>
      </c>
    </row>
    <row r="3898" spans="2:5" x14ac:dyDescent="0.3">
      <c r="B3898" s="18" t="s">
        <v>8089</v>
      </c>
      <c r="C3898" s="13">
        <v>22</v>
      </c>
      <c r="D3898" s="21" t="s">
        <v>8090</v>
      </c>
      <c r="E3898" s="24">
        <v>39</v>
      </c>
    </row>
    <row r="3899" spans="2:5" x14ac:dyDescent="0.3">
      <c r="B3899" s="18" t="s">
        <v>8091</v>
      </c>
      <c r="C3899" s="13">
        <v>23</v>
      </c>
      <c r="D3899" s="21" t="s">
        <v>8092</v>
      </c>
      <c r="E3899" s="24">
        <v>40</v>
      </c>
    </row>
    <row r="3900" spans="2:5" x14ac:dyDescent="0.3">
      <c r="B3900" s="18" t="s">
        <v>8093</v>
      </c>
      <c r="C3900" s="13">
        <v>24</v>
      </c>
      <c r="D3900" s="21" t="s">
        <v>8094</v>
      </c>
      <c r="E3900" s="24">
        <v>29</v>
      </c>
    </row>
    <row r="3901" spans="2:5" x14ac:dyDescent="0.3">
      <c r="B3901" s="18" t="s">
        <v>8095</v>
      </c>
      <c r="C3901" s="13">
        <v>25</v>
      </c>
      <c r="D3901" s="21" t="s">
        <v>8096</v>
      </c>
      <c r="E3901" s="24">
        <v>30</v>
      </c>
    </row>
    <row r="3902" spans="2:5" x14ac:dyDescent="0.3">
      <c r="B3902" s="18" t="s">
        <v>8097</v>
      </c>
      <c r="C3902" s="13">
        <v>26</v>
      </c>
      <c r="D3902" s="21" t="s">
        <v>8098</v>
      </c>
      <c r="E3902" s="24">
        <v>31</v>
      </c>
    </row>
    <row r="3903" spans="2:5" x14ac:dyDescent="0.3">
      <c r="B3903" s="18" t="s">
        <v>8099</v>
      </c>
      <c r="C3903" s="13">
        <v>27</v>
      </c>
      <c r="D3903" s="21" t="s">
        <v>8100</v>
      </c>
      <c r="E3903" s="24">
        <v>32</v>
      </c>
    </row>
    <row r="3904" spans="2:5" x14ac:dyDescent="0.3">
      <c r="B3904" s="18" t="s">
        <v>8101</v>
      </c>
      <c r="C3904" s="13">
        <v>35</v>
      </c>
      <c r="D3904" s="21" t="s">
        <v>8102</v>
      </c>
      <c r="E3904" s="24">
        <v>33</v>
      </c>
    </row>
    <row r="3905" spans="2:5" x14ac:dyDescent="0.3">
      <c r="B3905" s="18" t="s">
        <v>8103</v>
      </c>
      <c r="C3905" s="13">
        <v>34</v>
      </c>
      <c r="D3905" s="21" t="s">
        <v>8104</v>
      </c>
      <c r="E3905" s="24">
        <v>23</v>
      </c>
    </row>
    <row r="3906" spans="2:5" x14ac:dyDescent="0.3">
      <c r="B3906" s="18" t="s">
        <v>8105</v>
      </c>
      <c r="C3906" s="13">
        <v>33</v>
      </c>
      <c r="D3906" s="21" t="s">
        <v>8106</v>
      </c>
      <c r="E3906" s="24">
        <v>22</v>
      </c>
    </row>
    <row r="3907" spans="2:5" x14ac:dyDescent="0.3">
      <c r="B3907" s="18" t="s">
        <v>8107</v>
      </c>
      <c r="C3907" s="13">
        <v>32</v>
      </c>
      <c r="D3907" s="21" t="s">
        <v>8108</v>
      </c>
      <c r="E3907" s="24">
        <v>21</v>
      </c>
    </row>
    <row r="3908" spans="2:5" x14ac:dyDescent="0.3">
      <c r="B3908" s="18" t="s">
        <v>8109</v>
      </c>
      <c r="C3908" s="13">
        <v>31</v>
      </c>
      <c r="D3908" s="21" t="s">
        <v>8110</v>
      </c>
      <c r="E3908" s="24">
        <v>20</v>
      </c>
    </row>
    <row r="3909" spans="2:5" x14ac:dyDescent="0.3">
      <c r="B3909" s="18" t="s">
        <v>8111</v>
      </c>
      <c r="C3909" s="13">
        <v>30</v>
      </c>
      <c r="D3909" s="21" t="s">
        <v>8112</v>
      </c>
      <c r="E3909" s="24">
        <v>19</v>
      </c>
    </row>
    <row r="3910" spans="2:5" x14ac:dyDescent="0.3">
      <c r="B3910" s="18" t="s">
        <v>8113</v>
      </c>
      <c r="C3910" s="13">
        <v>29</v>
      </c>
      <c r="D3910" s="21" t="s">
        <v>8114</v>
      </c>
      <c r="E3910" s="24">
        <v>18</v>
      </c>
    </row>
    <row r="3911" spans="2:5" x14ac:dyDescent="0.3">
      <c r="B3911" s="18" t="s">
        <v>8115</v>
      </c>
      <c r="C3911" s="13">
        <v>28</v>
      </c>
      <c r="D3911" s="21" t="s">
        <v>8116</v>
      </c>
      <c r="E3911" s="24">
        <v>17</v>
      </c>
    </row>
    <row r="3912" spans="2:5" x14ac:dyDescent="0.3">
      <c r="B3912" s="18" t="s">
        <v>8117</v>
      </c>
      <c r="C3912" s="13">
        <v>1</v>
      </c>
      <c r="D3912" s="21" t="s">
        <v>8118</v>
      </c>
      <c r="E3912" s="24">
        <v>16</v>
      </c>
    </row>
    <row r="3913" spans="2:5" x14ac:dyDescent="0.3">
      <c r="B3913" s="18" t="s">
        <v>8119</v>
      </c>
      <c r="C3913" s="13">
        <v>2</v>
      </c>
      <c r="D3913" s="21" t="s">
        <v>8120</v>
      </c>
      <c r="E3913" s="24">
        <v>28</v>
      </c>
    </row>
    <row r="3914" spans="2:5" x14ac:dyDescent="0.3">
      <c r="B3914" s="18" t="s">
        <v>8121</v>
      </c>
      <c r="C3914" s="13">
        <v>3</v>
      </c>
      <c r="D3914" s="21" t="s">
        <v>8122</v>
      </c>
      <c r="E3914" s="24">
        <v>27</v>
      </c>
    </row>
    <row r="3915" spans="2:5" x14ac:dyDescent="0.3">
      <c r="B3915" s="18" t="s">
        <v>8123</v>
      </c>
      <c r="C3915" s="13">
        <v>4</v>
      </c>
      <c r="D3915" s="21" t="s">
        <v>8124</v>
      </c>
      <c r="E3915" s="24">
        <v>26</v>
      </c>
    </row>
    <row r="3916" spans="2:5" x14ac:dyDescent="0.3">
      <c r="B3916" s="18" t="s">
        <v>8125</v>
      </c>
      <c r="C3916" s="13">
        <v>5</v>
      </c>
      <c r="D3916" s="21" t="s">
        <v>8126</v>
      </c>
      <c r="E3916" s="24">
        <v>25</v>
      </c>
    </row>
    <row r="3917" spans="2:5" x14ac:dyDescent="0.3">
      <c r="B3917" s="18" t="s">
        <v>8127</v>
      </c>
      <c r="C3917" s="13">
        <v>6</v>
      </c>
      <c r="D3917" s="21" t="s">
        <v>8128</v>
      </c>
      <c r="E3917" s="24">
        <v>24</v>
      </c>
    </row>
    <row r="3918" spans="2:5" x14ac:dyDescent="0.3">
      <c r="B3918" s="18" t="s">
        <v>8129</v>
      </c>
      <c r="C3918" s="13">
        <v>7</v>
      </c>
      <c r="D3918" s="21" t="s">
        <v>8130</v>
      </c>
      <c r="E3918" s="24">
        <v>15</v>
      </c>
    </row>
    <row r="3919" spans="2:5" x14ac:dyDescent="0.3">
      <c r="B3919" s="18" t="s">
        <v>8131</v>
      </c>
      <c r="C3919" s="13">
        <v>8</v>
      </c>
      <c r="D3919" s="21" t="s">
        <v>8132</v>
      </c>
      <c r="E3919" s="24">
        <v>9</v>
      </c>
    </row>
    <row r="3920" spans="2:5" x14ac:dyDescent="0.3">
      <c r="B3920" s="18" t="s">
        <v>8133</v>
      </c>
      <c r="C3920" s="13">
        <v>9</v>
      </c>
      <c r="D3920" s="21" t="s">
        <v>8134</v>
      </c>
      <c r="E3920" s="24">
        <v>8</v>
      </c>
    </row>
    <row r="3921" spans="2:5" x14ac:dyDescent="0.3">
      <c r="B3921" s="18" t="s">
        <v>8135</v>
      </c>
      <c r="C3921" s="13">
        <v>18</v>
      </c>
      <c r="D3921" s="21" t="s">
        <v>8136</v>
      </c>
      <c r="E3921" s="24">
        <v>7</v>
      </c>
    </row>
    <row r="3922" spans="2:5" x14ac:dyDescent="0.3">
      <c r="B3922" s="18" t="s">
        <v>8137</v>
      </c>
      <c r="C3922" s="13">
        <v>17</v>
      </c>
      <c r="D3922" s="21" t="s">
        <v>8138</v>
      </c>
      <c r="E3922" s="24">
        <v>6</v>
      </c>
    </row>
    <row r="3923" spans="2:5" x14ac:dyDescent="0.3">
      <c r="B3923" s="18" t="s">
        <v>8139</v>
      </c>
      <c r="C3923" s="13">
        <v>16</v>
      </c>
      <c r="D3923" s="21" t="s">
        <v>8140</v>
      </c>
      <c r="E3923" s="24">
        <v>5</v>
      </c>
    </row>
    <row r="3924" spans="2:5" x14ac:dyDescent="0.3">
      <c r="B3924" s="18" t="s">
        <v>8141</v>
      </c>
      <c r="C3924" s="13">
        <v>15</v>
      </c>
      <c r="D3924" s="21" t="s">
        <v>8142</v>
      </c>
      <c r="E3924" s="24">
        <v>4</v>
      </c>
    </row>
    <row r="3925" spans="2:5" x14ac:dyDescent="0.3">
      <c r="B3925" s="18" t="s">
        <v>8143</v>
      </c>
      <c r="C3925" s="13">
        <v>14</v>
      </c>
      <c r="D3925" s="21" t="s">
        <v>8144</v>
      </c>
      <c r="E3925" s="24">
        <v>3</v>
      </c>
    </row>
    <row r="3926" spans="2:5" x14ac:dyDescent="0.3">
      <c r="B3926" s="18" t="s">
        <v>8145</v>
      </c>
      <c r="C3926" s="13">
        <v>13</v>
      </c>
      <c r="D3926" s="21" t="s">
        <v>8146</v>
      </c>
      <c r="E3926" s="24">
        <v>2</v>
      </c>
    </row>
    <row r="3927" spans="2:5" x14ac:dyDescent="0.3">
      <c r="B3927" s="18" t="s">
        <v>8147</v>
      </c>
      <c r="C3927" s="13">
        <v>12</v>
      </c>
      <c r="D3927" s="21" t="s">
        <v>8148</v>
      </c>
      <c r="E3927" s="24">
        <v>14</v>
      </c>
    </row>
    <row r="3928" spans="2:5" x14ac:dyDescent="0.3">
      <c r="B3928" s="18" t="s">
        <v>8149</v>
      </c>
      <c r="C3928" s="13">
        <v>11</v>
      </c>
      <c r="D3928" s="21" t="s">
        <v>8150</v>
      </c>
      <c r="E3928" s="24">
        <v>13</v>
      </c>
    </row>
    <row r="3929" spans="2:5" x14ac:dyDescent="0.3">
      <c r="B3929" s="18" t="s">
        <v>8151</v>
      </c>
      <c r="C3929" s="13">
        <v>10</v>
      </c>
      <c r="D3929" s="21" t="s">
        <v>8152</v>
      </c>
      <c r="E3929" s="24">
        <v>12</v>
      </c>
    </row>
    <row r="3930" spans="2:5" x14ac:dyDescent="0.3">
      <c r="B3930" s="18" t="s">
        <v>8153</v>
      </c>
      <c r="C3930" s="13">
        <v>19</v>
      </c>
      <c r="D3930" s="21" t="s">
        <v>8154</v>
      </c>
      <c r="E3930" s="24">
        <v>11</v>
      </c>
    </row>
    <row r="3931" spans="2:5" x14ac:dyDescent="0.3">
      <c r="B3931" s="18" t="s">
        <v>8155</v>
      </c>
      <c r="C3931" s="13">
        <v>20</v>
      </c>
      <c r="D3931" s="21" t="s">
        <v>8156</v>
      </c>
      <c r="E3931" s="24">
        <v>10</v>
      </c>
    </row>
    <row r="3932" spans="2:5" x14ac:dyDescent="0.3">
      <c r="B3932" s="18" t="s">
        <v>8157</v>
      </c>
      <c r="C3932" s="13">
        <v>21</v>
      </c>
      <c r="D3932" s="21" t="s">
        <v>8158</v>
      </c>
      <c r="E3932" s="24">
        <v>1</v>
      </c>
    </row>
    <row r="3933" spans="2:5" x14ac:dyDescent="0.3">
      <c r="B3933" s="18" t="s">
        <v>8159</v>
      </c>
      <c r="C3933" s="13">
        <v>22</v>
      </c>
      <c r="D3933" s="21" t="s">
        <v>8160</v>
      </c>
      <c r="E3933" s="24">
        <v>3</v>
      </c>
    </row>
    <row r="3934" spans="2:5" x14ac:dyDescent="0.3">
      <c r="B3934" s="18" t="s">
        <v>8161</v>
      </c>
      <c r="C3934" s="13">
        <v>23</v>
      </c>
      <c r="D3934" s="21" t="s">
        <v>8162</v>
      </c>
      <c r="E3934" s="24">
        <v>2</v>
      </c>
    </row>
    <row r="3935" spans="2:5" x14ac:dyDescent="0.3">
      <c r="B3935" s="18" t="s">
        <v>8163</v>
      </c>
      <c r="C3935" s="13">
        <v>24</v>
      </c>
      <c r="D3935" s="21" t="s">
        <v>8164</v>
      </c>
      <c r="E3935" s="24">
        <v>1</v>
      </c>
    </row>
    <row r="3936" spans="2:5" x14ac:dyDescent="0.3">
      <c r="B3936" s="18" t="s">
        <v>8165</v>
      </c>
      <c r="C3936" s="13">
        <v>25</v>
      </c>
      <c r="D3936" s="21" t="s">
        <v>8166</v>
      </c>
      <c r="E3936" s="24">
        <v>31</v>
      </c>
    </row>
    <row r="3937" spans="2:5" x14ac:dyDescent="0.3">
      <c r="B3937" s="18" t="s">
        <v>8167</v>
      </c>
      <c r="C3937" s="13">
        <v>26</v>
      </c>
      <c r="D3937" s="21" t="s">
        <v>8168</v>
      </c>
      <c r="E3937" s="24">
        <v>32</v>
      </c>
    </row>
    <row r="3938" spans="2:5" x14ac:dyDescent="0.3">
      <c r="B3938" s="18" t="s">
        <v>8169</v>
      </c>
      <c r="C3938" s="13">
        <v>27</v>
      </c>
      <c r="D3938" s="21" t="s">
        <v>8170</v>
      </c>
      <c r="E3938" s="24">
        <v>33</v>
      </c>
    </row>
    <row r="3939" spans="2:5" x14ac:dyDescent="0.3">
      <c r="B3939" s="18" t="s">
        <v>8171</v>
      </c>
      <c r="C3939" s="13">
        <v>36</v>
      </c>
      <c r="D3939" s="21" t="s">
        <v>8172</v>
      </c>
      <c r="E3939" s="24">
        <v>34</v>
      </c>
    </row>
    <row r="3940" spans="2:5" x14ac:dyDescent="0.3">
      <c r="B3940" s="18" t="s">
        <v>8173</v>
      </c>
      <c r="C3940" s="13">
        <v>35</v>
      </c>
      <c r="D3940" s="21" t="s">
        <v>8174</v>
      </c>
      <c r="E3940" s="24">
        <v>35</v>
      </c>
    </row>
    <row r="3941" spans="2:5" x14ac:dyDescent="0.3">
      <c r="B3941" s="18" t="s">
        <v>8175</v>
      </c>
      <c r="C3941" s="13">
        <v>34</v>
      </c>
      <c r="D3941" s="21" t="s">
        <v>8176</v>
      </c>
      <c r="E3941" s="24">
        <v>36</v>
      </c>
    </row>
    <row r="3942" spans="2:5" x14ac:dyDescent="0.3">
      <c r="B3942" s="18" t="s">
        <v>8177</v>
      </c>
      <c r="C3942" s="13">
        <v>33</v>
      </c>
      <c r="D3942" s="21" t="s">
        <v>8178</v>
      </c>
      <c r="E3942" s="24">
        <v>37</v>
      </c>
    </row>
    <row r="3943" spans="2:5" x14ac:dyDescent="0.3">
      <c r="B3943" s="18" t="s">
        <v>8179</v>
      </c>
      <c r="C3943" s="13">
        <v>32</v>
      </c>
      <c r="D3943" s="21" t="s">
        <v>8180</v>
      </c>
      <c r="E3943" s="24">
        <v>38</v>
      </c>
    </row>
    <row r="3944" spans="2:5" x14ac:dyDescent="0.3">
      <c r="B3944" s="18" t="s">
        <v>8181</v>
      </c>
      <c r="C3944" s="13">
        <v>31</v>
      </c>
      <c r="D3944" s="21" t="s">
        <v>8182</v>
      </c>
      <c r="E3944" s="24">
        <v>27</v>
      </c>
    </row>
    <row r="3945" spans="2:5" x14ac:dyDescent="0.3">
      <c r="B3945" s="18" t="s">
        <v>8183</v>
      </c>
      <c r="C3945" s="13">
        <v>30</v>
      </c>
      <c r="D3945" s="21" t="s">
        <v>8184</v>
      </c>
      <c r="E3945" s="24">
        <v>28</v>
      </c>
    </row>
    <row r="3946" spans="2:5" x14ac:dyDescent="0.3">
      <c r="B3946" s="18" t="s">
        <v>8185</v>
      </c>
      <c r="C3946" s="13">
        <v>29</v>
      </c>
      <c r="D3946" s="21" t="s">
        <v>8186</v>
      </c>
      <c r="E3946" s="24">
        <v>29</v>
      </c>
    </row>
    <row r="3947" spans="2:5" x14ac:dyDescent="0.3">
      <c r="B3947" s="18" t="s">
        <v>8187</v>
      </c>
      <c r="C3947" s="13">
        <v>28</v>
      </c>
      <c r="D3947" s="21" t="s">
        <v>8188</v>
      </c>
      <c r="E3947" s="24">
        <v>30</v>
      </c>
    </row>
    <row r="3948" spans="2:5" x14ac:dyDescent="0.3">
      <c r="B3948" s="18" t="s">
        <v>8189</v>
      </c>
      <c r="C3948" s="13">
        <v>1</v>
      </c>
      <c r="D3948" s="21" t="s">
        <v>8190</v>
      </c>
      <c r="E3948" s="24">
        <v>39</v>
      </c>
    </row>
    <row r="3949" spans="2:5" x14ac:dyDescent="0.3">
      <c r="B3949" s="18" t="s">
        <v>8191</v>
      </c>
      <c r="C3949" s="13">
        <v>2</v>
      </c>
      <c r="D3949" s="21" t="s">
        <v>8192</v>
      </c>
      <c r="E3949" s="24">
        <v>22</v>
      </c>
    </row>
    <row r="3950" spans="2:5" x14ac:dyDescent="0.3">
      <c r="B3950" s="18" t="s">
        <v>8193</v>
      </c>
      <c r="C3950" s="13">
        <v>3</v>
      </c>
      <c r="D3950" s="21" t="s">
        <v>8194</v>
      </c>
      <c r="E3950" s="24">
        <v>21</v>
      </c>
    </row>
    <row r="3951" spans="2:5" x14ac:dyDescent="0.3">
      <c r="B3951" s="18" t="s">
        <v>8195</v>
      </c>
      <c r="C3951" s="13">
        <v>4</v>
      </c>
      <c r="D3951" s="21" t="s">
        <v>8196</v>
      </c>
      <c r="E3951" s="24">
        <v>20</v>
      </c>
    </row>
    <row r="3952" spans="2:5" x14ac:dyDescent="0.3">
      <c r="B3952" s="18" t="s">
        <v>8197</v>
      </c>
      <c r="C3952" s="13">
        <v>5</v>
      </c>
      <c r="D3952" s="21" t="s">
        <v>8198</v>
      </c>
      <c r="E3952" s="24">
        <v>19</v>
      </c>
    </row>
    <row r="3953" spans="2:5" x14ac:dyDescent="0.3">
      <c r="B3953" s="18" t="s">
        <v>8199</v>
      </c>
      <c r="C3953" s="13">
        <v>6</v>
      </c>
      <c r="D3953" s="21" t="s">
        <v>8200</v>
      </c>
      <c r="E3953" s="24">
        <v>18</v>
      </c>
    </row>
    <row r="3954" spans="2:5" x14ac:dyDescent="0.3">
      <c r="B3954" s="18" t="s">
        <v>8201</v>
      </c>
      <c r="C3954" s="13">
        <v>7</v>
      </c>
      <c r="D3954" s="21" t="s">
        <v>8202</v>
      </c>
      <c r="E3954" s="24">
        <v>17</v>
      </c>
    </row>
    <row r="3955" spans="2:5" x14ac:dyDescent="0.3">
      <c r="B3955" s="18" t="s">
        <v>8203</v>
      </c>
      <c r="C3955" s="13">
        <v>8</v>
      </c>
      <c r="D3955" s="21" t="s">
        <v>8204</v>
      </c>
      <c r="E3955" s="24">
        <v>16</v>
      </c>
    </row>
    <row r="3956" spans="2:5" x14ac:dyDescent="0.3">
      <c r="B3956" s="18" t="s">
        <v>8205</v>
      </c>
      <c r="C3956" s="13">
        <v>9</v>
      </c>
      <c r="D3956" s="21" t="s">
        <v>8206</v>
      </c>
      <c r="E3956" s="24">
        <v>15</v>
      </c>
    </row>
    <row r="3957" spans="2:5" x14ac:dyDescent="0.3">
      <c r="B3957" s="18" t="s">
        <v>8207</v>
      </c>
      <c r="C3957" s="13">
        <v>10</v>
      </c>
      <c r="D3957" s="21" t="s">
        <v>8208</v>
      </c>
      <c r="E3957" s="24">
        <v>26</v>
      </c>
    </row>
    <row r="3958" spans="2:5" x14ac:dyDescent="0.3">
      <c r="B3958" s="18" t="s">
        <v>8209</v>
      </c>
      <c r="C3958" s="13">
        <v>20</v>
      </c>
      <c r="D3958" s="21" t="s">
        <v>8210</v>
      </c>
      <c r="E3958" s="24">
        <v>25</v>
      </c>
    </row>
    <row r="3959" spans="2:5" x14ac:dyDescent="0.3">
      <c r="B3959" s="18" t="s">
        <v>8211</v>
      </c>
      <c r="C3959" s="13">
        <v>19</v>
      </c>
      <c r="D3959" s="21" t="s">
        <v>8212</v>
      </c>
      <c r="E3959" s="24">
        <v>24</v>
      </c>
    </row>
    <row r="3960" spans="2:5" x14ac:dyDescent="0.3">
      <c r="B3960" s="18" t="s">
        <v>8213</v>
      </c>
      <c r="C3960" s="13">
        <v>18</v>
      </c>
      <c r="D3960" s="21" t="s">
        <v>8214</v>
      </c>
      <c r="E3960" s="24">
        <v>23</v>
      </c>
    </row>
    <row r="3961" spans="2:5" x14ac:dyDescent="0.3">
      <c r="B3961" s="18" t="s">
        <v>8215</v>
      </c>
      <c r="C3961" s="13">
        <v>17</v>
      </c>
      <c r="D3961" s="21" t="s">
        <v>8216</v>
      </c>
      <c r="E3961" s="24">
        <v>14</v>
      </c>
    </row>
    <row r="3962" spans="2:5" x14ac:dyDescent="0.3">
      <c r="B3962" s="18" t="s">
        <v>8217</v>
      </c>
      <c r="C3962" s="13">
        <v>16</v>
      </c>
      <c r="D3962" s="21" t="s">
        <v>8218</v>
      </c>
      <c r="E3962" s="24">
        <v>9</v>
      </c>
    </row>
    <row r="3963" spans="2:5" x14ac:dyDescent="0.3">
      <c r="B3963" s="18" t="s">
        <v>8219</v>
      </c>
      <c r="C3963" s="13">
        <v>15</v>
      </c>
      <c r="D3963" s="21" t="s">
        <v>8220</v>
      </c>
      <c r="E3963" s="24">
        <v>8</v>
      </c>
    </row>
    <row r="3964" spans="2:5" x14ac:dyDescent="0.3">
      <c r="B3964" s="18" t="s">
        <v>8221</v>
      </c>
      <c r="C3964" s="13">
        <v>14</v>
      </c>
      <c r="D3964" s="21" t="s">
        <v>8222</v>
      </c>
      <c r="E3964" s="24">
        <v>7</v>
      </c>
    </row>
    <row r="3965" spans="2:5" x14ac:dyDescent="0.3">
      <c r="B3965" s="18" t="s">
        <v>8223</v>
      </c>
      <c r="C3965" s="13">
        <v>13</v>
      </c>
      <c r="D3965" s="21" t="s">
        <v>8224</v>
      </c>
      <c r="E3965" s="24">
        <v>6</v>
      </c>
    </row>
    <row r="3966" spans="2:5" x14ac:dyDescent="0.3">
      <c r="B3966" s="18" t="s">
        <v>8225</v>
      </c>
      <c r="C3966" s="13">
        <v>12</v>
      </c>
      <c r="D3966" s="21" t="s">
        <v>8226</v>
      </c>
      <c r="E3966" s="24">
        <v>5</v>
      </c>
    </row>
    <row r="3967" spans="2:5" x14ac:dyDescent="0.3">
      <c r="B3967" s="18" t="s">
        <v>8227</v>
      </c>
      <c r="C3967" s="13">
        <v>11</v>
      </c>
      <c r="D3967" s="21" t="s">
        <v>8228</v>
      </c>
      <c r="E3967" s="24">
        <v>4</v>
      </c>
    </row>
    <row r="3968" spans="2:5" x14ac:dyDescent="0.3">
      <c r="B3968" s="18" t="s">
        <v>8229</v>
      </c>
      <c r="C3968" s="13">
        <v>21</v>
      </c>
      <c r="D3968" s="21" t="s">
        <v>8230</v>
      </c>
      <c r="E3968" s="24">
        <v>3</v>
      </c>
    </row>
    <row r="3969" spans="2:5" x14ac:dyDescent="0.3">
      <c r="B3969" s="18" t="s">
        <v>8231</v>
      </c>
      <c r="C3969" s="13">
        <v>22</v>
      </c>
      <c r="D3969" s="21" t="s">
        <v>8232</v>
      </c>
      <c r="E3969" s="24">
        <v>2</v>
      </c>
    </row>
    <row r="3970" spans="2:5" x14ac:dyDescent="0.3">
      <c r="B3970" s="18" t="s">
        <v>8233</v>
      </c>
      <c r="C3970" s="13">
        <v>23</v>
      </c>
      <c r="D3970" s="21" t="s">
        <v>8234</v>
      </c>
      <c r="E3970" s="24">
        <v>13</v>
      </c>
    </row>
    <row r="3971" spans="2:5" x14ac:dyDescent="0.3">
      <c r="B3971" s="18" t="s">
        <v>8235</v>
      </c>
      <c r="C3971" s="13">
        <v>24</v>
      </c>
      <c r="D3971" s="21" t="s">
        <v>8236</v>
      </c>
      <c r="E3971" s="24">
        <v>12</v>
      </c>
    </row>
    <row r="3972" spans="2:5" x14ac:dyDescent="0.3">
      <c r="B3972" s="18" t="s">
        <v>8237</v>
      </c>
      <c r="C3972" s="13">
        <v>25</v>
      </c>
      <c r="D3972" s="21" t="s">
        <v>8238</v>
      </c>
      <c r="E3972" s="24">
        <v>11</v>
      </c>
    </row>
    <row r="3973" spans="2:5" x14ac:dyDescent="0.3">
      <c r="B3973" s="18" t="s">
        <v>8239</v>
      </c>
      <c r="C3973" s="13">
        <v>26</v>
      </c>
      <c r="D3973" s="21" t="s">
        <v>8240</v>
      </c>
      <c r="E3973" s="24">
        <v>10</v>
      </c>
    </row>
    <row r="3974" spans="2:5" x14ac:dyDescent="0.3">
      <c r="B3974" s="18" t="s">
        <v>8241</v>
      </c>
      <c r="C3974" s="13">
        <v>27</v>
      </c>
      <c r="D3974" s="21" t="s">
        <v>8242</v>
      </c>
      <c r="E3974" s="24">
        <v>1</v>
      </c>
    </row>
    <row r="3975" spans="2:5" x14ac:dyDescent="0.3">
      <c r="B3975" s="18" t="s">
        <v>8243</v>
      </c>
      <c r="C3975" s="13">
        <v>28</v>
      </c>
      <c r="D3975" s="21" t="s">
        <v>8244</v>
      </c>
      <c r="E3975" s="24">
        <v>31</v>
      </c>
    </row>
    <row r="3976" spans="2:5" x14ac:dyDescent="0.3">
      <c r="B3976" s="18" t="s">
        <v>8245</v>
      </c>
      <c r="C3976" s="13">
        <v>29</v>
      </c>
      <c r="D3976" s="21" t="s">
        <v>8246</v>
      </c>
      <c r="E3976" s="24">
        <v>32</v>
      </c>
    </row>
    <row r="3977" spans="2:5" x14ac:dyDescent="0.3">
      <c r="B3977" s="18" t="s">
        <v>8247</v>
      </c>
      <c r="C3977" s="13">
        <v>30</v>
      </c>
      <c r="D3977" s="21" t="s">
        <v>8248</v>
      </c>
      <c r="E3977" s="24">
        <v>33</v>
      </c>
    </row>
    <row r="3978" spans="2:5" x14ac:dyDescent="0.3">
      <c r="B3978" s="18" t="s">
        <v>8249</v>
      </c>
      <c r="C3978" s="13">
        <v>37</v>
      </c>
      <c r="D3978" s="21" t="s">
        <v>8250</v>
      </c>
      <c r="E3978" s="24">
        <v>34</v>
      </c>
    </row>
    <row r="3979" spans="2:5" x14ac:dyDescent="0.3">
      <c r="B3979" s="18" t="s">
        <v>8251</v>
      </c>
      <c r="C3979" s="13">
        <v>36</v>
      </c>
      <c r="D3979" s="21" t="s">
        <v>8252</v>
      </c>
      <c r="E3979" s="24">
        <v>35</v>
      </c>
    </row>
    <row r="3980" spans="2:5" x14ac:dyDescent="0.3">
      <c r="B3980" s="18" t="s">
        <v>8253</v>
      </c>
      <c r="C3980" s="13">
        <v>35</v>
      </c>
      <c r="D3980" s="21" t="s">
        <v>8254</v>
      </c>
      <c r="E3980" s="24">
        <v>36</v>
      </c>
    </row>
    <row r="3981" spans="2:5" x14ac:dyDescent="0.3">
      <c r="B3981" s="18" t="s">
        <v>8255</v>
      </c>
      <c r="C3981" s="13">
        <v>34</v>
      </c>
      <c r="D3981" s="21" t="s">
        <v>8256</v>
      </c>
      <c r="E3981" s="24">
        <v>37</v>
      </c>
    </row>
    <row r="3982" spans="2:5" x14ac:dyDescent="0.3">
      <c r="B3982" s="18" t="s">
        <v>8257</v>
      </c>
      <c r="C3982" s="13">
        <v>33</v>
      </c>
      <c r="D3982" s="21" t="s">
        <v>8258</v>
      </c>
      <c r="E3982" s="24">
        <v>38</v>
      </c>
    </row>
    <row r="3983" spans="2:5" x14ac:dyDescent="0.3">
      <c r="B3983" s="18" t="s">
        <v>8259</v>
      </c>
      <c r="C3983" s="13">
        <v>32</v>
      </c>
      <c r="D3983" s="21" t="s">
        <v>8260</v>
      </c>
      <c r="E3983" s="24">
        <v>27</v>
      </c>
    </row>
    <row r="3984" spans="2:5" x14ac:dyDescent="0.3">
      <c r="B3984" s="18" t="s">
        <v>8261</v>
      </c>
      <c r="C3984" s="13">
        <v>31</v>
      </c>
      <c r="D3984" s="21" t="s">
        <v>8262</v>
      </c>
      <c r="E3984" s="24">
        <v>28</v>
      </c>
    </row>
    <row r="3985" spans="2:5" x14ac:dyDescent="0.3">
      <c r="B3985" s="18" t="s">
        <v>8263</v>
      </c>
      <c r="C3985" s="13">
        <v>1</v>
      </c>
      <c r="D3985" s="21" t="s">
        <v>8264</v>
      </c>
      <c r="E3985" s="24">
        <v>29</v>
      </c>
    </row>
    <row r="3986" spans="2:5" x14ac:dyDescent="0.3">
      <c r="B3986" s="18" t="s">
        <v>8265</v>
      </c>
      <c r="C3986" s="13">
        <v>2</v>
      </c>
      <c r="D3986" s="21" t="s">
        <v>8266</v>
      </c>
      <c r="E3986" s="24">
        <v>30</v>
      </c>
    </row>
    <row r="3987" spans="2:5" x14ac:dyDescent="0.3">
      <c r="B3987" s="18" t="s">
        <v>8267</v>
      </c>
      <c r="C3987" s="13">
        <v>3</v>
      </c>
      <c r="D3987" s="21" t="s">
        <v>8268</v>
      </c>
      <c r="E3987" s="24">
        <v>22</v>
      </c>
    </row>
    <row r="3988" spans="2:5" x14ac:dyDescent="0.3">
      <c r="B3988" s="18" t="s">
        <v>8269</v>
      </c>
      <c r="C3988" s="13">
        <v>4</v>
      </c>
      <c r="D3988" s="21" t="s">
        <v>8270</v>
      </c>
      <c r="E3988" s="24">
        <v>21</v>
      </c>
    </row>
    <row r="3989" spans="2:5" x14ac:dyDescent="0.3">
      <c r="B3989" s="18" t="s">
        <v>8271</v>
      </c>
      <c r="C3989" s="13">
        <v>5</v>
      </c>
      <c r="D3989" s="21" t="s">
        <v>8272</v>
      </c>
      <c r="E3989" s="24">
        <v>20</v>
      </c>
    </row>
    <row r="3990" spans="2:5" x14ac:dyDescent="0.3">
      <c r="B3990" s="18" t="s">
        <v>8273</v>
      </c>
      <c r="C3990" s="13">
        <v>6</v>
      </c>
      <c r="D3990" s="21" t="s">
        <v>8274</v>
      </c>
      <c r="E3990" s="24">
        <v>19</v>
      </c>
    </row>
    <row r="3991" spans="2:5" x14ac:dyDescent="0.3">
      <c r="B3991" s="18" t="s">
        <v>8275</v>
      </c>
      <c r="C3991" s="13">
        <v>7</v>
      </c>
      <c r="D3991" s="21" t="s">
        <v>8276</v>
      </c>
      <c r="E3991" s="24">
        <v>18</v>
      </c>
    </row>
    <row r="3992" spans="2:5" x14ac:dyDescent="0.3">
      <c r="B3992" s="18" t="s">
        <v>8277</v>
      </c>
      <c r="C3992" s="13">
        <v>8</v>
      </c>
      <c r="D3992" s="21" t="s">
        <v>8278</v>
      </c>
      <c r="E3992" s="24">
        <v>17</v>
      </c>
    </row>
    <row r="3993" spans="2:5" x14ac:dyDescent="0.3">
      <c r="B3993" s="18" t="s">
        <v>8279</v>
      </c>
      <c r="C3993" s="13">
        <v>9</v>
      </c>
      <c r="D3993" s="21" t="s">
        <v>8280</v>
      </c>
      <c r="E3993" s="24">
        <v>16</v>
      </c>
    </row>
    <row r="3994" spans="2:5" x14ac:dyDescent="0.3">
      <c r="B3994" s="18" t="s">
        <v>8281</v>
      </c>
      <c r="C3994" s="13">
        <v>10</v>
      </c>
      <c r="D3994" s="21" t="s">
        <v>8282</v>
      </c>
      <c r="E3994" s="24">
        <v>15</v>
      </c>
    </row>
    <row r="3995" spans="2:5" x14ac:dyDescent="0.3">
      <c r="B3995" s="18" t="s">
        <v>8283</v>
      </c>
      <c r="C3995" s="13">
        <v>20</v>
      </c>
      <c r="D3995" s="21" t="s">
        <v>8284</v>
      </c>
      <c r="E3995" s="24">
        <v>26</v>
      </c>
    </row>
    <row r="3996" spans="2:5" x14ac:dyDescent="0.3">
      <c r="B3996" s="18" t="s">
        <v>8285</v>
      </c>
      <c r="C3996" s="13">
        <v>19</v>
      </c>
      <c r="D3996" s="21" t="s">
        <v>8286</v>
      </c>
      <c r="E3996" s="24">
        <v>25</v>
      </c>
    </row>
    <row r="3997" spans="2:5" x14ac:dyDescent="0.3">
      <c r="B3997" s="18" t="s">
        <v>8282</v>
      </c>
      <c r="C3997" s="13">
        <v>18</v>
      </c>
      <c r="D3997" s="21" t="s">
        <v>8287</v>
      </c>
      <c r="E3997" s="24">
        <v>24</v>
      </c>
    </row>
    <row r="3998" spans="2:5" x14ac:dyDescent="0.3">
      <c r="B3998" s="18" t="s">
        <v>8280</v>
      </c>
      <c r="C3998" s="13">
        <v>17</v>
      </c>
      <c r="D3998" s="21" t="s">
        <v>8285</v>
      </c>
      <c r="E3998" s="24">
        <v>23</v>
      </c>
    </row>
    <row r="3999" spans="2:5" x14ac:dyDescent="0.3">
      <c r="B3999" s="18" t="s">
        <v>8278</v>
      </c>
      <c r="C3999" s="13">
        <v>16</v>
      </c>
      <c r="D3999" s="21" t="s">
        <v>8283</v>
      </c>
      <c r="E3999" s="24">
        <v>14</v>
      </c>
    </row>
    <row r="4000" spans="2:5" x14ac:dyDescent="0.3">
      <c r="B4000" s="18" t="s">
        <v>8276</v>
      </c>
      <c r="C4000" s="13">
        <v>15</v>
      </c>
      <c r="D4000" s="21" t="s">
        <v>8281</v>
      </c>
      <c r="E4000" s="24">
        <v>9</v>
      </c>
    </row>
    <row r="4001" spans="2:5" x14ac:dyDescent="0.3">
      <c r="B4001" s="18" t="s">
        <v>8274</v>
      </c>
      <c r="C4001" s="13">
        <v>14</v>
      </c>
      <c r="D4001" s="21" t="s">
        <v>8279</v>
      </c>
      <c r="E4001" s="24">
        <v>8</v>
      </c>
    </row>
    <row r="4002" spans="2:5" x14ac:dyDescent="0.3">
      <c r="B4002" s="18" t="s">
        <v>8272</v>
      </c>
      <c r="C4002" s="13">
        <v>13</v>
      </c>
      <c r="D4002" s="21" t="s">
        <v>8277</v>
      </c>
      <c r="E4002" s="24">
        <v>7</v>
      </c>
    </row>
    <row r="4003" spans="2:5" x14ac:dyDescent="0.3">
      <c r="B4003" s="18" t="s">
        <v>8270</v>
      </c>
      <c r="C4003" s="13">
        <v>12</v>
      </c>
      <c r="D4003" s="21" t="s">
        <v>8275</v>
      </c>
      <c r="E4003" s="24">
        <v>6</v>
      </c>
    </row>
    <row r="4004" spans="2:5" x14ac:dyDescent="0.3">
      <c r="B4004" s="18" t="s">
        <v>8268</v>
      </c>
      <c r="C4004" s="13">
        <v>11</v>
      </c>
      <c r="D4004" s="21" t="s">
        <v>8273</v>
      </c>
      <c r="E4004" s="24">
        <v>5</v>
      </c>
    </row>
    <row r="4005" spans="2:5" x14ac:dyDescent="0.3">
      <c r="B4005" s="18" t="s">
        <v>8288</v>
      </c>
      <c r="C4005" s="13">
        <v>21</v>
      </c>
      <c r="D4005" s="21" t="s">
        <v>8271</v>
      </c>
      <c r="E4005" s="24">
        <v>4</v>
      </c>
    </row>
    <row r="4006" spans="2:5" x14ac:dyDescent="0.3">
      <c r="B4006" s="18" t="s">
        <v>8266</v>
      </c>
      <c r="C4006" s="13">
        <v>22</v>
      </c>
      <c r="D4006" s="21" t="s">
        <v>8269</v>
      </c>
      <c r="E4006" s="24">
        <v>3</v>
      </c>
    </row>
    <row r="4007" spans="2:5" x14ac:dyDescent="0.3">
      <c r="B4007" s="18" t="s">
        <v>8258</v>
      </c>
      <c r="C4007" s="13">
        <v>23</v>
      </c>
      <c r="D4007" s="21" t="s">
        <v>8267</v>
      </c>
      <c r="E4007" s="24">
        <v>2</v>
      </c>
    </row>
    <row r="4008" spans="2:5" x14ac:dyDescent="0.3">
      <c r="B4008" s="18" t="s">
        <v>8256</v>
      </c>
      <c r="C4008" s="13">
        <v>24</v>
      </c>
      <c r="D4008" s="21" t="s">
        <v>8289</v>
      </c>
      <c r="E4008" s="24">
        <v>13</v>
      </c>
    </row>
    <row r="4009" spans="2:5" x14ac:dyDescent="0.3">
      <c r="B4009" s="18" t="s">
        <v>8254</v>
      </c>
      <c r="C4009" s="13">
        <v>25</v>
      </c>
      <c r="D4009" s="21" t="s">
        <v>8290</v>
      </c>
      <c r="E4009" s="24">
        <v>12</v>
      </c>
    </row>
    <row r="4010" spans="2:5" x14ac:dyDescent="0.3">
      <c r="B4010" s="18" t="s">
        <v>8252</v>
      </c>
      <c r="C4010" s="13">
        <v>26</v>
      </c>
      <c r="D4010" s="21" t="s">
        <v>8291</v>
      </c>
      <c r="E4010" s="24">
        <v>11</v>
      </c>
    </row>
    <row r="4011" spans="2:5" x14ac:dyDescent="0.3">
      <c r="B4011" s="18" t="s">
        <v>8250</v>
      </c>
      <c r="C4011" s="13">
        <v>27</v>
      </c>
      <c r="D4011" s="21" t="s">
        <v>8265</v>
      </c>
      <c r="E4011" s="24">
        <v>10</v>
      </c>
    </row>
    <row r="4012" spans="2:5" x14ac:dyDescent="0.3">
      <c r="B4012" s="18" t="s">
        <v>8248</v>
      </c>
      <c r="C4012" s="13">
        <v>28</v>
      </c>
      <c r="D4012" s="21" t="s">
        <v>8263</v>
      </c>
      <c r="E4012" s="24">
        <v>1</v>
      </c>
    </row>
    <row r="4013" spans="2:5" x14ac:dyDescent="0.3">
      <c r="B4013" s="18" t="s">
        <v>8246</v>
      </c>
      <c r="C4013" s="13">
        <v>29</v>
      </c>
      <c r="D4013" s="21" t="s">
        <v>8247</v>
      </c>
      <c r="E4013" s="24">
        <v>31</v>
      </c>
    </row>
    <row r="4014" spans="2:5" x14ac:dyDescent="0.3">
      <c r="B4014" s="18" t="s">
        <v>8244</v>
      </c>
      <c r="C4014" s="13">
        <v>30</v>
      </c>
      <c r="D4014" s="21" t="s">
        <v>8245</v>
      </c>
      <c r="E4014" s="24">
        <v>32</v>
      </c>
    </row>
    <row r="4015" spans="2:5" x14ac:dyDescent="0.3">
      <c r="B4015" s="18" t="s">
        <v>8292</v>
      </c>
      <c r="C4015" s="13">
        <v>38</v>
      </c>
      <c r="D4015" s="21" t="s">
        <v>8243</v>
      </c>
      <c r="E4015" s="24">
        <v>33</v>
      </c>
    </row>
    <row r="4016" spans="2:5" x14ac:dyDescent="0.3">
      <c r="B4016" s="18" t="s">
        <v>8293</v>
      </c>
      <c r="C4016" s="13">
        <v>37</v>
      </c>
      <c r="D4016" s="21" t="s">
        <v>8241</v>
      </c>
      <c r="E4016" s="24">
        <v>34</v>
      </c>
    </row>
    <row r="4017" spans="2:5" x14ac:dyDescent="0.3">
      <c r="B4017" s="18" t="s">
        <v>8294</v>
      </c>
      <c r="C4017" s="13">
        <v>36</v>
      </c>
      <c r="D4017" s="21" t="s">
        <v>8239</v>
      </c>
      <c r="E4017" s="24">
        <v>35</v>
      </c>
    </row>
    <row r="4018" spans="2:5" x14ac:dyDescent="0.3">
      <c r="B4018" s="18" t="s">
        <v>8295</v>
      </c>
      <c r="C4018" s="13">
        <v>35</v>
      </c>
      <c r="D4018" s="21" t="s">
        <v>8237</v>
      </c>
      <c r="E4018" s="24">
        <v>36</v>
      </c>
    </row>
    <row r="4019" spans="2:5" x14ac:dyDescent="0.3">
      <c r="B4019" s="18" t="s">
        <v>8296</v>
      </c>
      <c r="C4019" s="13">
        <v>34</v>
      </c>
      <c r="D4019" s="21" t="s">
        <v>8235</v>
      </c>
      <c r="E4019" s="24">
        <v>37</v>
      </c>
    </row>
    <row r="4020" spans="2:5" x14ac:dyDescent="0.3">
      <c r="B4020" s="18" t="s">
        <v>8297</v>
      </c>
      <c r="C4020" s="13">
        <v>33</v>
      </c>
      <c r="D4020" s="21" t="s">
        <v>8298</v>
      </c>
      <c r="E4020" s="24">
        <v>27</v>
      </c>
    </row>
    <row r="4021" spans="2:5" x14ac:dyDescent="0.3">
      <c r="B4021" s="18" t="s">
        <v>8299</v>
      </c>
      <c r="C4021" s="13">
        <v>32</v>
      </c>
      <c r="D4021" s="21" t="s">
        <v>8300</v>
      </c>
      <c r="E4021" s="24">
        <v>28</v>
      </c>
    </row>
    <row r="4022" spans="2:5" x14ac:dyDescent="0.3">
      <c r="B4022" s="18" t="s">
        <v>8301</v>
      </c>
      <c r="C4022" s="13">
        <v>31</v>
      </c>
      <c r="D4022" s="21" t="s">
        <v>8302</v>
      </c>
      <c r="E4022" s="24">
        <v>29</v>
      </c>
    </row>
    <row r="4023" spans="2:5" x14ac:dyDescent="0.3">
      <c r="B4023" s="18" t="s">
        <v>8242</v>
      </c>
      <c r="C4023" s="13">
        <v>1</v>
      </c>
      <c r="D4023" s="21" t="s">
        <v>8231</v>
      </c>
      <c r="E4023" s="24">
        <v>30</v>
      </c>
    </row>
    <row r="4024" spans="2:5" x14ac:dyDescent="0.3">
      <c r="B4024" s="18" t="s">
        <v>8240</v>
      </c>
      <c r="C4024" s="13">
        <v>2</v>
      </c>
      <c r="D4024" s="21" t="s">
        <v>8227</v>
      </c>
      <c r="E4024" s="24">
        <v>22</v>
      </c>
    </row>
    <row r="4025" spans="2:5" x14ac:dyDescent="0.3">
      <c r="B4025" s="18" t="s">
        <v>8232</v>
      </c>
      <c r="C4025" s="13">
        <v>3</v>
      </c>
      <c r="D4025" s="21" t="s">
        <v>8225</v>
      </c>
      <c r="E4025" s="24">
        <v>21</v>
      </c>
    </row>
    <row r="4026" spans="2:5" x14ac:dyDescent="0.3">
      <c r="B4026" s="18" t="s">
        <v>8230</v>
      </c>
      <c r="C4026" s="13">
        <v>4</v>
      </c>
      <c r="D4026" s="21" t="s">
        <v>8223</v>
      </c>
      <c r="E4026" s="24">
        <v>20</v>
      </c>
    </row>
    <row r="4027" spans="2:5" x14ac:dyDescent="0.3">
      <c r="B4027" s="18" t="s">
        <v>8228</v>
      </c>
      <c r="C4027" s="13">
        <v>5</v>
      </c>
      <c r="D4027" s="21" t="s">
        <v>8221</v>
      </c>
      <c r="E4027" s="24">
        <v>19</v>
      </c>
    </row>
    <row r="4028" spans="2:5" x14ac:dyDescent="0.3">
      <c r="B4028" s="18" t="s">
        <v>8226</v>
      </c>
      <c r="C4028" s="13">
        <v>6</v>
      </c>
      <c r="D4028" s="21" t="s">
        <v>8219</v>
      </c>
      <c r="E4028" s="24">
        <v>18</v>
      </c>
    </row>
    <row r="4029" spans="2:5" x14ac:dyDescent="0.3">
      <c r="B4029" s="18" t="s">
        <v>8224</v>
      </c>
      <c r="C4029" s="13">
        <v>7</v>
      </c>
      <c r="D4029" s="21" t="s">
        <v>8217</v>
      </c>
      <c r="E4029" s="24">
        <v>17</v>
      </c>
    </row>
    <row r="4030" spans="2:5" x14ac:dyDescent="0.3">
      <c r="B4030" s="18" t="s">
        <v>8222</v>
      </c>
      <c r="C4030" s="13">
        <v>8</v>
      </c>
      <c r="D4030" s="21" t="s">
        <v>8215</v>
      </c>
      <c r="E4030" s="24">
        <v>16</v>
      </c>
    </row>
    <row r="4031" spans="2:5" x14ac:dyDescent="0.3">
      <c r="B4031" s="18" t="s">
        <v>8220</v>
      </c>
      <c r="C4031" s="13">
        <v>9</v>
      </c>
      <c r="D4031" s="21" t="s">
        <v>8213</v>
      </c>
      <c r="E4031" s="24">
        <v>15</v>
      </c>
    </row>
    <row r="4032" spans="2:5" x14ac:dyDescent="0.3">
      <c r="B4032" s="18" t="s">
        <v>8218</v>
      </c>
      <c r="C4032" s="13">
        <v>10</v>
      </c>
      <c r="D4032" s="21" t="s">
        <v>8303</v>
      </c>
      <c r="E4032" s="24">
        <v>26</v>
      </c>
    </row>
    <row r="4033" spans="2:5" x14ac:dyDescent="0.3">
      <c r="B4033" s="18" t="s">
        <v>8216</v>
      </c>
      <c r="C4033" s="13">
        <v>20</v>
      </c>
      <c r="D4033" s="21" t="s">
        <v>8304</v>
      </c>
      <c r="E4033" s="24">
        <v>25</v>
      </c>
    </row>
    <row r="4034" spans="2:5" x14ac:dyDescent="0.3">
      <c r="B4034" s="18" t="s">
        <v>8214</v>
      </c>
      <c r="C4034" s="13">
        <v>19</v>
      </c>
      <c r="D4034" s="21" t="s">
        <v>8305</v>
      </c>
      <c r="E4034" s="24">
        <v>24</v>
      </c>
    </row>
    <row r="4035" spans="2:5" x14ac:dyDescent="0.3">
      <c r="B4035" s="18" t="s">
        <v>8206</v>
      </c>
      <c r="C4035" s="13">
        <v>18</v>
      </c>
      <c r="D4035" s="21" t="s">
        <v>8211</v>
      </c>
      <c r="E4035" s="24">
        <v>23</v>
      </c>
    </row>
    <row r="4036" spans="2:5" x14ac:dyDescent="0.3">
      <c r="B4036" s="18" t="s">
        <v>8204</v>
      </c>
      <c r="C4036" s="13">
        <v>17</v>
      </c>
      <c r="D4036" s="21" t="s">
        <v>8209</v>
      </c>
      <c r="E4036" s="24">
        <v>14</v>
      </c>
    </row>
    <row r="4037" spans="2:5" x14ac:dyDescent="0.3">
      <c r="B4037" s="18" t="s">
        <v>8202</v>
      </c>
      <c r="C4037" s="13">
        <v>16</v>
      </c>
      <c r="D4037" s="21" t="s">
        <v>8207</v>
      </c>
      <c r="E4037" s="24">
        <v>9</v>
      </c>
    </row>
    <row r="4038" spans="2:5" x14ac:dyDescent="0.3">
      <c r="B4038" s="18" t="s">
        <v>8200</v>
      </c>
      <c r="C4038" s="13">
        <v>15</v>
      </c>
      <c r="D4038" s="21" t="s">
        <v>8205</v>
      </c>
      <c r="E4038" s="24">
        <v>8</v>
      </c>
    </row>
    <row r="4039" spans="2:5" x14ac:dyDescent="0.3">
      <c r="B4039" s="18" t="s">
        <v>8198</v>
      </c>
      <c r="C4039" s="13">
        <v>14</v>
      </c>
      <c r="D4039" s="21" t="s">
        <v>8203</v>
      </c>
      <c r="E4039" s="24">
        <v>7</v>
      </c>
    </row>
    <row r="4040" spans="2:5" x14ac:dyDescent="0.3">
      <c r="B4040" s="18" t="s">
        <v>8196</v>
      </c>
      <c r="C4040" s="13">
        <v>13</v>
      </c>
      <c r="D4040" s="21" t="s">
        <v>8201</v>
      </c>
      <c r="E4040" s="24">
        <v>6</v>
      </c>
    </row>
    <row r="4041" spans="2:5" x14ac:dyDescent="0.3">
      <c r="B4041" s="18" t="s">
        <v>8194</v>
      </c>
      <c r="C4041" s="13">
        <v>12</v>
      </c>
      <c r="D4041" s="21" t="s">
        <v>8199</v>
      </c>
      <c r="E4041" s="24">
        <v>5</v>
      </c>
    </row>
    <row r="4042" spans="2:5" x14ac:dyDescent="0.3">
      <c r="B4042" s="18" t="s">
        <v>8192</v>
      </c>
      <c r="C4042" s="13">
        <v>11</v>
      </c>
      <c r="D4042" s="21" t="s">
        <v>8197</v>
      </c>
      <c r="E4042" s="24">
        <v>4</v>
      </c>
    </row>
    <row r="4043" spans="2:5" x14ac:dyDescent="0.3">
      <c r="B4043" s="18" t="s">
        <v>8190</v>
      </c>
      <c r="C4043" s="13">
        <v>21</v>
      </c>
      <c r="D4043" s="21" t="s">
        <v>8195</v>
      </c>
      <c r="E4043" s="24">
        <v>3</v>
      </c>
    </row>
    <row r="4044" spans="2:5" x14ac:dyDescent="0.3">
      <c r="B4044" s="18" t="s">
        <v>8188</v>
      </c>
      <c r="C4044" s="13">
        <v>22</v>
      </c>
      <c r="D4044" s="21" t="s">
        <v>8193</v>
      </c>
      <c r="E4044" s="24">
        <v>2</v>
      </c>
    </row>
    <row r="4045" spans="2:5" x14ac:dyDescent="0.3">
      <c r="B4045" s="18" t="s">
        <v>8180</v>
      </c>
      <c r="C4045" s="13">
        <v>23</v>
      </c>
      <c r="D4045" s="21" t="s">
        <v>8306</v>
      </c>
      <c r="E4045" s="24">
        <v>13</v>
      </c>
    </row>
    <row r="4046" spans="2:5" x14ac:dyDescent="0.3">
      <c r="B4046" s="18" t="s">
        <v>8178</v>
      </c>
      <c r="C4046" s="13">
        <v>24</v>
      </c>
      <c r="D4046" s="21" t="s">
        <v>8307</v>
      </c>
      <c r="E4046" s="24">
        <v>12</v>
      </c>
    </row>
    <row r="4047" spans="2:5" x14ac:dyDescent="0.3">
      <c r="B4047" s="18" t="s">
        <v>8176</v>
      </c>
      <c r="C4047" s="13">
        <v>25</v>
      </c>
      <c r="D4047" s="21" t="s">
        <v>8308</v>
      </c>
      <c r="E4047" s="24">
        <v>11</v>
      </c>
    </row>
    <row r="4048" spans="2:5" x14ac:dyDescent="0.3">
      <c r="B4048" s="18" t="s">
        <v>8174</v>
      </c>
      <c r="C4048" s="13">
        <v>26</v>
      </c>
      <c r="D4048" s="21" t="s">
        <v>8191</v>
      </c>
      <c r="E4048" s="24">
        <v>10</v>
      </c>
    </row>
    <row r="4049" spans="2:5" x14ac:dyDescent="0.3">
      <c r="B4049" s="18" t="s">
        <v>8172</v>
      </c>
      <c r="C4049" s="13">
        <v>27</v>
      </c>
      <c r="D4049" s="21" t="s">
        <v>8189</v>
      </c>
      <c r="E4049" s="24">
        <v>1</v>
      </c>
    </row>
    <row r="4050" spans="2:5" x14ac:dyDescent="0.3">
      <c r="B4050" s="18" t="s">
        <v>8170</v>
      </c>
      <c r="C4050" s="13">
        <v>28</v>
      </c>
      <c r="D4050" s="21" t="s">
        <v>8169</v>
      </c>
      <c r="E4050" s="24">
        <v>28</v>
      </c>
    </row>
    <row r="4051" spans="2:5" x14ac:dyDescent="0.3">
      <c r="B4051" s="18" t="s">
        <v>8168</v>
      </c>
      <c r="C4051" s="13">
        <v>29</v>
      </c>
      <c r="D4051" s="21" t="s">
        <v>8167</v>
      </c>
      <c r="E4051" s="24">
        <v>29</v>
      </c>
    </row>
    <row r="4052" spans="2:5" x14ac:dyDescent="0.3">
      <c r="B4052" s="18" t="s">
        <v>8166</v>
      </c>
      <c r="C4052" s="13">
        <v>30</v>
      </c>
      <c r="D4052" s="21" t="s">
        <v>8165</v>
      </c>
      <c r="E4052" s="24">
        <v>30</v>
      </c>
    </row>
    <row r="4053" spans="2:5" x14ac:dyDescent="0.3">
      <c r="B4053" s="18" t="s">
        <v>8309</v>
      </c>
      <c r="C4053" s="13">
        <v>39</v>
      </c>
      <c r="D4053" s="21" t="s">
        <v>8163</v>
      </c>
      <c r="E4053" s="24">
        <v>31</v>
      </c>
    </row>
    <row r="4054" spans="2:5" x14ac:dyDescent="0.3">
      <c r="B4054" s="18" t="s">
        <v>8310</v>
      </c>
      <c r="C4054" s="13">
        <v>38</v>
      </c>
      <c r="D4054" s="21" t="s">
        <v>8161</v>
      </c>
      <c r="E4054" s="24">
        <v>32</v>
      </c>
    </row>
    <row r="4055" spans="2:5" x14ac:dyDescent="0.3">
      <c r="B4055" s="18" t="s">
        <v>8311</v>
      </c>
      <c r="C4055" s="13">
        <v>37</v>
      </c>
      <c r="D4055" s="21" t="s">
        <v>8159</v>
      </c>
      <c r="E4055" s="24">
        <v>33</v>
      </c>
    </row>
    <row r="4056" spans="2:5" x14ac:dyDescent="0.3">
      <c r="B4056" s="18" t="s">
        <v>8312</v>
      </c>
      <c r="C4056" s="13">
        <v>36</v>
      </c>
      <c r="D4056" s="21" t="s">
        <v>8157</v>
      </c>
      <c r="E4056" s="24">
        <v>34</v>
      </c>
    </row>
    <row r="4057" spans="2:5" x14ac:dyDescent="0.3">
      <c r="B4057" s="18" t="s">
        <v>8313</v>
      </c>
      <c r="C4057" s="13">
        <v>35</v>
      </c>
      <c r="D4057" s="21" t="s">
        <v>8155</v>
      </c>
      <c r="E4057" s="24">
        <v>35</v>
      </c>
    </row>
    <row r="4058" spans="2:5" x14ac:dyDescent="0.3">
      <c r="B4058" s="18" t="s">
        <v>8314</v>
      </c>
      <c r="C4058" s="13">
        <v>34</v>
      </c>
      <c r="D4058" s="21" t="s">
        <v>8315</v>
      </c>
      <c r="E4058" s="24">
        <v>25</v>
      </c>
    </row>
    <row r="4059" spans="2:5" x14ac:dyDescent="0.3">
      <c r="B4059" s="18" t="s">
        <v>8316</v>
      </c>
      <c r="C4059" s="13">
        <v>33</v>
      </c>
      <c r="D4059" s="21" t="s">
        <v>8317</v>
      </c>
      <c r="E4059" s="24">
        <v>26</v>
      </c>
    </row>
    <row r="4060" spans="2:5" x14ac:dyDescent="0.3">
      <c r="B4060" s="18" t="s">
        <v>8318</v>
      </c>
      <c r="C4060" s="13">
        <v>32</v>
      </c>
      <c r="D4060" s="21" t="s">
        <v>8319</v>
      </c>
      <c r="E4060" s="24">
        <v>27</v>
      </c>
    </row>
    <row r="4061" spans="2:5" x14ac:dyDescent="0.3">
      <c r="B4061" s="18" t="s">
        <v>8320</v>
      </c>
      <c r="C4061" s="13">
        <v>31</v>
      </c>
      <c r="D4061" s="21" t="s">
        <v>8153</v>
      </c>
      <c r="E4061" s="24">
        <v>36</v>
      </c>
    </row>
    <row r="4062" spans="2:5" x14ac:dyDescent="0.3">
      <c r="B4062" s="18" t="s">
        <v>8164</v>
      </c>
      <c r="C4062" s="13">
        <v>1</v>
      </c>
      <c r="D4062" s="21" t="s">
        <v>8151</v>
      </c>
      <c r="E4062" s="24">
        <v>21</v>
      </c>
    </row>
    <row r="4063" spans="2:5" x14ac:dyDescent="0.3">
      <c r="B4063" s="18" t="s">
        <v>8162</v>
      </c>
      <c r="C4063" s="13">
        <v>2</v>
      </c>
      <c r="D4063" s="21" t="s">
        <v>8149</v>
      </c>
      <c r="E4063" s="24">
        <v>20</v>
      </c>
    </row>
    <row r="4064" spans="2:5" x14ac:dyDescent="0.3">
      <c r="B4064" s="18" t="s">
        <v>8160</v>
      </c>
      <c r="C4064" s="13">
        <v>3</v>
      </c>
      <c r="D4064" s="21" t="s">
        <v>8147</v>
      </c>
      <c r="E4064" s="24">
        <v>19</v>
      </c>
    </row>
    <row r="4065" spans="2:5" x14ac:dyDescent="0.3">
      <c r="B4065" s="18" t="s">
        <v>8158</v>
      </c>
      <c r="C4065" s="13">
        <v>1</v>
      </c>
      <c r="D4065" s="21" t="s">
        <v>8145</v>
      </c>
      <c r="E4065" s="24">
        <v>18</v>
      </c>
    </row>
    <row r="4066" spans="2:5" x14ac:dyDescent="0.3">
      <c r="B4066" s="18" t="s">
        <v>8156</v>
      </c>
      <c r="C4066" s="13">
        <v>2</v>
      </c>
      <c r="D4066" s="21" t="s">
        <v>8143</v>
      </c>
      <c r="E4066" s="24">
        <v>17</v>
      </c>
    </row>
    <row r="4067" spans="2:5" x14ac:dyDescent="0.3">
      <c r="B4067" s="18" t="s">
        <v>8146</v>
      </c>
      <c r="C4067" s="13">
        <v>3</v>
      </c>
      <c r="D4067" s="21" t="s">
        <v>8141</v>
      </c>
      <c r="E4067" s="24">
        <v>16</v>
      </c>
    </row>
    <row r="4068" spans="2:5" x14ac:dyDescent="0.3">
      <c r="B4068" s="18" t="s">
        <v>8144</v>
      </c>
      <c r="C4068" s="13">
        <v>4</v>
      </c>
      <c r="D4068" s="21" t="s">
        <v>8139</v>
      </c>
      <c r="E4068" s="24">
        <v>15</v>
      </c>
    </row>
    <row r="4069" spans="2:5" x14ac:dyDescent="0.3">
      <c r="B4069" s="18" t="s">
        <v>8142</v>
      </c>
      <c r="C4069" s="13">
        <v>5</v>
      </c>
      <c r="D4069" s="21" t="s">
        <v>8137</v>
      </c>
      <c r="E4069" s="24">
        <v>14</v>
      </c>
    </row>
    <row r="4070" spans="2:5" x14ac:dyDescent="0.3">
      <c r="B4070" s="18" t="s">
        <v>8140</v>
      </c>
      <c r="C4070" s="13">
        <v>6</v>
      </c>
      <c r="D4070" s="21" t="s">
        <v>8321</v>
      </c>
      <c r="E4070" s="24">
        <v>24</v>
      </c>
    </row>
    <row r="4071" spans="2:5" x14ac:dyDescent="0.3">
      <c r="B4071" s="18" t="s">
        <v>8138</v>
      </c>
      <c r="C4071" s="13">
        <v>7</v>
      </c>
      <c r="D4071" s="21" t="s">
        <v>8322</v>
      </c>
      <c r="E4071" s="24">
        <v>23</v>
      </c>
    </row>
    <row r="4072" spans="2:5" x14ac:dyDescent="0.3">
      <c r="B4072" s="18" t="s">
        <v>8136</v>
      </c>
      <c r="C4072" s="13">
        <v>8</v>
      </c>
      <c r="D4072" s="21" t="s">
        <v>8323</v>
      </c>
      <c r="E4072" s="24">
        <v>22</v>
      </c>
    </row>
    <row r="4073" spans="2:5" x14ac:dyDescent="0.3">
      <c r="B4073" s="18" t="s">
        <v>8134</v>
      </c>
      <c r="C4073" s="13">
        <v>9</v>
      </c>
      <c r="D4073" s="21" t="s">
        <v>8135</v>
      </c>
      <c r="E4073" s="24">
        <v>13</v>
      </c>
    </row>
    <row r="4074" spans="2:5" x14ac:dyDescent="0.3">
      <c r="B4074" s="18" t="s">
        <v>8132</v>
      </c>
      <c r="C4074" s="13">
        <v>10</v>
      </c>
      <c r="D4074" s="21" t="s">
        <v>8133</v>
      </c>
      <c r="E4074" s="24">
        <v>9</v>
      </c>
    </row>
    <row r="4075" spans="2:5" x14ac:dyDescent="0.3">
      <c r="B4075" s="18" t="s">
        <v>8130</v>
      </c>
      <c r="C4075" s="13">
        <v>20</v>
      </c>
      <c r="D4075" s="21" t="s">
        <v>8131</v>
      </c>
      <c r="E4075" s="24">
        <v>8</v>
      </c>
    </row>
    <row r="4076" spans="2:5" x14ac:dyDescent="0.3">
      <c r="B4076" s="18" t="s">
        <v>8128</v>
      </c>
      <c r="C4076" s="13">
        <v>19</v>
      </c>
      <c r="D4076" s="21" t="s">
        <v>8129</v>
      </c>
      <c r="E4076" s="24">
        <v>7</v>
      </c>
    </row>
    <row r="4077" spans="2:5" x14ac:dyDescent="0.3">
      <c r="B4077" s="18" t="s">
        <v>8118</v>
      </c>
      <c r="C4077" s="13">
        <v>18</v>
      </c>
      <c r="D4077" s="21" t="s">
        <v>8127</v>
      </c>
      <c r="E4077" s="24">
        <v>6</v>
      </c>
    </row>
    <row r="4078" spans="2:5" x14ac:dyDescent="0.3">
      <c r="B4078" s="18" t="s">
        <v>8116</v>
      </c>
      <c r="C4078" s="13">
        <v>17</v>
      </c>
      <c r="D4078" s="21" t="s">
        <v>8125</v>
      </c>
      <c r="E4078" s="24">
        <v>5</v>
      </c>
    </row>
    <row r="4079" spans="2:5" x14ac:dyDescent="0.3">
      <c r="B4079" s="18" t="s">
        <v>8114</v>
      </c>
      <c r="C4079" s="13">
        <v>16</v>
      </c>
      <c r="D4079" s="21" t="s">
        <v>8123</v>
      </c>
      <c r="E4079" s="24">
        <v>4</v>
      </c>
    </row>
    <row r="4080" spans="2:5" x14ac:dyDescent="0.3">
      <c r="B4080" s="18" t="s">
        <v>8112</v>
      </c>
      <c r="C4080" s="13">
        <v>15</v>
      </c>
      <c r="D4080" s="21" t="s">
        <v>8121</v>
      </c>
      <c r="E4080" s="24">
        <v>3</v>
      </c>
    </row>
    <row r="4081" spans="2:5" x14ac:dyDescent="0.3">
      <c r="B4081" s="18" t="s">
        <v>8110</v>
      </c>
      <c r="C4081" s="13">
        <v>14</v>
      </c>
      <c r="D4081" s="21" t="s">
        <v>8119</v>
      </c>
      <c r="E4081" s="24">
        <v>2</v>
      </c>
    </row>
    <row r="4082" spans="2:5" x14ac:dyDescent="0.3">
      <c r="B4082" s="18" t="s">
        <v>8108</v>
      </c>
      <c r="C4082" s="13">
        <v>13</v>
      </c>
      <c r="D4082" s="21" t="s">
        <v>8324</v>
      </c>
      <c r="E4082" s="24">
        <v>12</v>
      </c>
    </row>
    <row r="4083" spans="2:5" x14ac:dyDescent="0.3">
      <c r="B4083" s="18" t="s">
        <v>8106</v>
      </c>
      <c r="C4083" s="13">
        <v>12</v>
      </c>
      <c r="D4083" s="21" t="s">
        <v>8325</v>
      </c>
      <c r="E4083" s="24">
        <v>11</v>
      </c>
    </row>
    <row r="4084" spans="2:5" x14ac:dyDescent="0.3">
      <c r="B4084" s="18" t="s">
        <v>8104</v>
      </c>
      <c r="C4084" s="13">
        <v>11</v>
      </c>
      <c r="D4084" s="21" t="s">
        <v>8326</v>
      </c>
      <c r="E4084" s="24">
        <v>10</v>
      </c>
    </row>
    <row r="4085" spans="2:5" x14ac:dyDescent="0.3">
      <c r="B4085" s="18" t="s">
        <v>8327</v>
      </c>
      <c r="C4085" s="13">
        <v>21</v>
      </c>
      <c r="D4085" s="21" t="s">
        <v>8117</v>
      </c>
      <c r="E4085" s="24">
        <v>1</v>
      </c>
    </row>
    <row r="4086" spans="2:5" x14ac:dyDescent="0.3">
      <c r="B4086" s="18" t="s">
        <v>8102</v>
      </c>
      <c r="C4086" s="13">
        <v>22</v>
      </c>
      <c r="D4086" s="21" t="s">
        <v>8099</v>
      </c>
      <c r="E4086" s="24">
        <v>28</v>
      </c>
    </row>
    <row r="4087" spans="2:5" x14ac:dyDescent="0.3">
      <c r="B4087" s="18" t="s">
        <v>8328</v>
      </c>
      <c r="C4087" s="13">
        <v>23</v>
      </c>
      <c r="D4087" s="21" t="s">
        <v>8097</v>
      </c>
      <c r="E4087" s="24">
        <v>29</v>
      </c>
    </row>
    <row r="4088" spans="2:5" x14ac:dyDescent="0.3">
      <c r="B4088" s="18" t="s">
        <v>8092</v>
      </c>
      <c r="C4088" s="13">
        <v>24</v>
      </c>
      <c r="D4088" s="21" t="s">
        <v>8095</v>
      </c>
      <c r="E4088" s="24">
        <v>30</v>
      </c>
    </row>
    <row r="4089" spans="2:5" x14ac:dyDescent="0.3">
      <c r="B4089" s="18" t="s">
        <v>8090</v>
      </c>
      <c r="C4089" s="13">
        <v>25</v>
      </c>
      <c r="D4089" s="21" t="s">
        <v>8093</v>
      </c>
      <c r="E4089" s="24">
        <v>31</v>
      </c>
    </row>
    <row r="4090" spans="2:5" x14ac:dyDescent="0.3">
      <c r="B4090" s="18" t="s">
        <v>8088</v>
      </c>
      <c r="C4090" s="13">
        <v>26</v>
      </c>
      <c r="D4090" s="21" t="s">
        <v>8091</v>
      </c>
      <c r="E4090" s="24">
        <v>32</v>
      </c>
    </row>
    <row r="4091" spans="2:5" x14ac:dyDescent="0.3">
      <c r="B4091" s="18" t="s">
        <v>8086</v>
      </c>
      <c r="C4091" s="13">
        <v>27</v>
      </c>
      <c r="D4091" s="21" t="s">
        <v>8089</v>
      </c>
      <c r="E4091" s="24">
        <v>33</v>
      </c>
    </row>
    <row r="4092" spans="2:5" x14ac:dyDescent="0.3">
      <c r="B4092" s="18" t="s">
        <v>8084</v>
      </c>
      <c r="C4092" s="13">
        <v>28</v>
      </c>
      <c r="D4092" s="21" t="s">
        <v>8087</v>
      </c>
      <c r="E4092" s="24">
        <v>34</v>
      </c>
    </row>
    <row r="4093" spans="2:5" x14ac:dyDescent="0.3">
      <c r="B4093" s="18" t="s">
        <v>8082</v>
      </c>
      <c r="C4093" s="13">
        <v>29</v>
      </c>
      <c r="D4093" s="21" t="s">
        <v>8085</v>
      </c>
      <c r="E4093" s="24">
        <v>35</v>
      </c>
    </row>
    <row r="4094" spans="2:5" x14ac:dyDescent="0.3">
      <c r="B4094" s="18" t="s">
        <v>8080</v>
      </c>
      <c r="C4094" s="13">
        <v>30</v>
      </c>
      <c r="D4094" s="21" t="s">
        <v>8329</v>
      </c>
      <c r="E4094" s="24">
        <v>25</v>
      </c>
    </row>
    <row r="4095" spans="2:5" x14ac:dyDescent="0.3">
      <c r="B4095" s="18" t="s">
        <v>8330</v>
      </c>
      <c r="C4095" s="13">
        <v>40</v>
      </c>
      <c r="D4095" s="21" t="s">
        <v>8331</v>
      </c>
      <c r="E4095" s="24">
        <v>26</v>
      </c>
    </row>
    <row r="4096" spans="2:5" x14ac:dyDescent="0.3">
      <c r="B4096" s="18" t="s">
        <v>8332</v>
      </c>
      <c r="C4096" s="13">
        <v>39</v>
      </c>
      <c r="D4096" s="21" t="s">
        <v>8333</v>
      </c>
      <c r="E4096" s="24">
        <v>27</v>
      </c>
    </row>
    <row r="4097" spans="2:5" x14ac:dyDescent="0.3">
      <c r="B4097" s="18" t="s">
        <v>8334</v>
      </c>
      <c r="C4097" s="13">
        <v>38</v>
      </c>
      <c r="D4097" s="21" t="s">
        <v>8081</v>
      </c>
      <c r="E4097" s="24">
        <v>21</v>
      </c>
    </row>
    <row r="4098" spans="2:5" x14ac:dyDescent="0.3">
      <c r="B4098" s="18" t="s">
        <v>8335</v>
      </c>
      <c r="C4098" s="13">
        <v>37</v>
      </c>
      <c r="D4098" s="21" t="s">
        <v>8079</v>
      </c>
      <c r="E4098" s="24">
        <v>20</v>
      </c>
    </row>
    <row r="4099" spans="2:5" x14ac:dyDescent="0.3">
      <c r="B4099" s="18" t="s">
        <v>8336</v>
      </c>
      <c r="C4099" s="13">
        <v>36</v>
      </c>
      <c r="D4099" s="21" t="s">
        <v>8077</v>
      </c>
      <c r="E4099" s="24">
        <v>19</v>
      </c>
    </row>
    <row r="4100" spans="2:5" x14ac:dyDescent="0.3">
      <c r="B4100" s="18" t="s">
        <v>8337</v>
      </c>
      <c r="C4100" s="13">
        <v>35</v>
      </c>
      <c r="D4100" s="21" t="s">
        <v>8075</v>
      </c>
      <c r="E4100" s="24">
        <v>18</v>
      </c>
    </row>
    <row r="4101" spans="2:5" x14ac:dyDescent="0.3">
      <c r="B4101" s="18" t="s">
        <v>8338</v>
      </c>
      <c r="C4101" s="13">
        <v>34</v>
      </c>
      <c r="D4101" s="21" t="s">
        <v>8073</v>
      </c>
      <c r="E4101" s="24">
        <v>17</v>
      </c>
    </row>
    <row r="4102" spans="2:5" x14ac:dyDescent="0.3">
      <c r="B4102" s="18" t="s">
        <v>8339</v>
      </c>
      <c r="C4102" s="13">
        <v>33</v>
      </c>
      <c r="D4102" s="21" t="s">
        <v>8071</v>
      </c>
      <c r="E4102" s="24">
        <v>16</v>
      </c>
    </row>
    <row r="4103" spans="2:5" x14ac:dyDescent="0.3">
      <c r="B4103" s="18" t="s">
        <v>8340</v>
      </c>
      <c r="C4103" s="13">
        <v>32</v>
      </c>
      <c r="D4103" s="21" t="s">
        <v>8069</v>
      </c>
      <c r="E4103" s="24">
        <v>15</v>
      </c>
    </row>
    <row r="4104" spans="2:5" x14ac:dyDescent="0.3">
      <c r="B4104" s="18" t="s">
        <v>8341</v>
      </c>
      <c r="C4104" s="13">
        <v>31</v>
      </c>
      <c r="D4104" s="21" t="s">
        <v>8067</v>
      </c>
      <c r="E4104" s="24">
        <v>14</v>
      </c>
    </row>
    <row r="4105" spans="2:5" x14ac:dyDescent="0.3">
      <c r="B4105" s="18" t="s">
        <v>8078</v>
      </c>
      <c r="C4105" s="13">
        <v>1</v>
      </c>
      <c r="D4105" s="21" t="s">
        <v>8342</v>
      </c>
      <c r="E4105" s="24">
        <v>24</v>
      </c>
    </row>
    <row r="4106" spans="2:5" x14ac:dyDescent="0.3">
      <c r="B4106" s="18" t="s">
        <v>8076</v>
      </c>
      <c r="C4106" s="13">
        <v>2</v>
      </c>
      <c r="D4106" s="21" t="s">
        <v>8343</v>
      </c>
      <c r="E4106" s="24">
        <v>23</v>
      </c>
    </row>
    <row r="4107" spans="2:5" x14ac:dyDescent="0.3">
      <c r="B4107" s="18" t="s">
        <v>8074</v>
      </c>
      <c r="C4107" s="13">
        <v>3</v>
      </c>
      <c r="D4107" s="21" t="s">
        <v>8344</v>
      </c>
      <c r="E4107" s="24">
        <v>22</v>
      </c>
    </row>
    <row r="4108" spans="2:5" x14ac:dyDescent="0.3">
      <c r="B4108" s="18" t="s">
        <v>8066</v>
      </c>
      <c r="C4108" s="13">
        <v>4</v>
      </c>
      <c r="D4108" s="21" t="s">
        <v>8065</v>
      </c>
      <c r="E4108" s="24">
        <v>13</v>
      </c>
    </row>
    <row r="4109" spans="2:5" x14ac:dyDescent="0.3">
      <c r="B4109" s="18" t="s">
        <v>8064</v>
      </c>
      <c r="C4109" s="13">
        <v>5</v>
      </c>
      <c r="D4109" s="21" t="s">
        <v>8063</v>
      </c>
      <c r="E4109" s="24">
        <v>9</v>
      </c>
    </row>
    <row r="4110" spans="2:5" x14ac:dyDescent="0.3">
      <c r="B4110" s="18" t="s">
        <v>8062</v>
      </c>
      <c r="C4110" s="13">
        <v>6</v>
      </c>
      <c r="D4110" s="21" t="s">
        <v>8061</v>
      </c>
      <c r="E4110" s="24">
        <v>8</v>
      </c>
    </row>
    <row r="4111" spans="2:5" x14ac:dyDescent="0.3">
      <c r="B4111" s="18" t="s">
        <v>8060</v>
      </c>
      <c r="C4111" s="13">
        <v>7</v>
      </c>
      <c r="D4111" s="21" t="s">
        <v>8059</v>
      </c>
      <c r="E4111" s="24">
        <v>7</v>
      </c>
    </row>
    <row r="4112" spans="2:5" x14ac:dyDescent="0.3">
      <c r="B4112" s="18" t="s">
        <v>8058</v>
      </c>
      <c r="C4112" s="13">
        <v>8</v>
      </c>
      <c r="D4112" s="21" t="s">
        <v>8057</v>
      </c>
      <c r="E4112" s="24">
        <v>6</v>
      </c>
    </row>
    <row r="4113" spans="2:5" x14ac:dyDescent="0.3">
      <c r="B4113" s="18" t="s">
        <v>8056</v>
      </c>
      <c r="C4113" s="13">
        <v>9</v>
      </c>
      <c r="D4113" s="21" t="s">
        <v>8055</v>
      </c>
      <c r="E4113" s="24">
        <v>5</v>
      </c>
    </row>
    <row r="4114" spans="2:5" x14ac:dyDescent="0.3">
      <c r="B4114" s="18" t="s">
        <v>8054</v>
      </c>
      <c r="C4114" s="13">
        <v>10</v>
      </c>
      <c r="D4114" s="21" t="s">
        <v>8053</v>
      </c>
      <c r="E4114" s="24">
        <v>4</v>
      </c>
    </row>
    <row r="4115" spans="2:5" x14ac:dyDescent="0.3">
      <c r="B4115" s="18" t="s">
        <v>8052</v>
      </c>
      <c r="C4115" s="13">
        <v>11</v>
      </c>
      <c r="D4115" s="21" t="s">
        <v>8051</v>
      </c>
      <c r="E4115" s="24">
        <v>3</v>
      </c>
    </row>
    <row r="4116" spans="2:5" x14ac:dyDescent="0.3">
      <c r="B4116" s="18" t="s">
        <v>8050</v>
      </c>
      <c r="C4116" s="13">
        <v>22</v>
      </c>
      <c r="D4116" s="21" t="s">
        <v>8049</v>
      </c>
      <c r="E4116" s="24">
        <v>2</v>
      </c>
    </row>
    <row r="4117" spans="2:5" x14ac:dyDescent="0.3">
      <c r="B4117" s="18" t="s">
        <v>8048</v>
      </c>
      <c r="C4117" s="13">
        <v>21</v>
      </c>
      <c r="D4117" s="21" t="s">
        <v>8345</v>
      </c>
      <c r="E4117" s="24">
        <v>12</v>
      </c>
    </row>
    <row r="4118" spans="2:5" x14ac:dyDescent="0.3">
      <c r="B4118" s="18" t="s">
        <v>8046</v>
      </c>
      <c r="C4118" s="13">
        <v>20</v>
      </c>
      <c r="D4118" s="21" t="s">
        <v>8346</v>
      </c>
      <c r="E4118" s="24">
        <v>11</v>
      </c>
    </row>
    <row r="4119" spans="2:5" x14ac:dyDescent="0.3">
      <c r="B4119" s="18" t="s">
        <v>8038</v>
      </c>
      <c r="C4119" s="13">
        <v>19</v>
      </c>
      <c r="D4119" s="21" t="s">
        <v>8347</v>
      </c>
      <c r="E4119" s="24">
        <v>10</v>
      </c>
    </row>
    <row r="4120" spans="2:5" x14ac:dyDescent="0.3">
      <c r="B4120" s="18" t="s">
        <v>8036</v>
      </c>
      <c r="C4120" s="13">
        <v>18</v>
      </c>
      <c r="D4120" s="21" t="s">
        <v>8047</v>
      </c>
      <c r="E4120" s="24">
        <v>1</v>
      </c>
    </row>
    <row r="4121" spans="2:5" x14ac:dyDescent="0.3">
      <c r="B4121" s="18" t="s">
        <v>8034</v>
      </c>
      <c r="C4121" s="13">
        <v>17</v>
      </c>
      <c r="D4121" s="21" t="s">
        <v>8031</v>
      </c>
      <c r="E4121" s="24">
        <v>28</v>
      </c>
    </row>
    <row r="4122" spans="2:5" x14ac:dyDescent="0.3">
      <c r="B4122" s="18" t="s">
        <v>8032</v>
      </c>
      <c r="C4122" s="13">
        <v>16</v>
      </c>
      <c r="D4122" s="21" t="s">
        <v>8029</v>
      </c>
      <c r="E4122" s="24">
        <v>29</v>
      </c>
    </row>
    <row r="4123" spans="2:5" x14ac:dyDescent="0.3">
      <c r="B4123" s="18" t="s">
        <v>8030</v>
      </c>
      <c r="C4123" s="13">
        <v>15</v>
      </c>
      <c r="D4123" s="21" t="s">
        <v>8027</v>
      </c>
      <c r="E4123" s="24">
        <v>30</v>
      </c>
    </row>
    <row r="4124" spans="2:5" x14ac:dyDescent="0.3">
      <c r="B4124" s="18" t="s">
        <v>8028</v>
      </c>
      <c r="C4124" s="13">
        <v>14</v>
      </c>
      <c r="D4124" s="21" t="s">
        <v>8025</v>
      </c>
      <c r="E4124" s="24">
        <v>31</v>
      </c>
    </row>
    <row r="4125" spans="2:5" x14ac:dyDescent="0.3">
      <c r="B4125" s="18" t="s">
        <v>8026</v>
      </c>
      <c r="C4125" s="13">
        <v>13</v>
      </c>
      <c r="D4125" s="21" t="s">
        <v>8023</v>
      </c>
      <c r="E4125" s="24">
        <v>32</v>
      </c>
    </row>
    <row r="4126" spans="2:5" x14ac:dyDescent="0.3">
      <c r="B4126" s="18" t="s">
        <v>8024</v>
      </c>
      <c r="C4126" s="13">
        <v>12</v>
      </c>
      <c r="D4126" s="21" t="s">
        <v>8021</v>
      </c>
      <c r="E4126" s="24">
        <v>33</v>
      </c>
    </row>
    <row r="4127" spans="2:5" x14ac:dyDescent="0.3">
      <c r="B4127" s="18" t="s">
        <v>8348</v>
      </c>
      <c r="C4127" s="13">
        <v>23</v>
      </c>
      <c r="D4127" s="21" t="s">
        <v>8019</v>
      </c>
      <c r="E4127" s="24">
        <v>34</v>
      </c>
    </row>
    <row r="4128" spans="2:5" x14ac:dyDescent="0.3">
      <c r="B4128" s="18" t="s">
        <v>8022</v>
      </c>
      <c r="C4128" s="13">
        <v>24</v>
      </c>
      <c r="D4128" s="21" t="s">
        <v>8349</v>
      </c>
      <c r="E4128" s="24">
        <v>25</v>
      </c>
    </row>
    <row r="4129" spans="2:5" x14ac:dyDescent="0.3">
      <c r="B4129" s="18" t="s">
        <v>8020</v>
      </c>
      <c r="C4129" s="13">
        <v>25</v>
      </c>
      <c r="D4129" s="21" t="s">
        <v>8350</v>
      </c>
      <c r="E4129" s="24">
        <v>26</v>
      </c>
    </row>
    <row r="4130" spans="2:5" x14ac:dyDescent="0.3">
      <c r="B4130" s="18" t="s">
        <v>8012</v>
      </c>
      <c r="C4130" s="13">
        <v>26</v>
      </c>
      <c r="D4130" s="21" t="s">
        <v>8351</v>
      </c>
      <c r="E4130" s="24">
        <v>27</v>
      </c>
    </row>
    <row r="4131" spans="2:5" x14ac:dyDescent="0.3">
      <c r="B4131" s="18" t="s">
        <v>8010</v>
      </c>
      <c r="C4131" s="13">
        <v>27</v>
      </c>
      <c r="D4131" s="21" t="s">
        <v>8013</v>
      </c>
      <c r="E4131" s="24">
        <v>21</v>
      </c>
    </row>
    <row r="4132" spans="2:5" x14ac:dyDescent="0.3">
      <c r="B4132" s="18" t="s">
        <v>8008</v>
      </c>
      <c r="C4132" s="13">
        <v>28</v>
      </c>
      <c r="D4132" s="21" t="s">
        <v>8011</v>
      </c>
      <c r="E4132" s="24">
        <v>20</v>
      </c>
    </row>
    <row r="4133" spans="2:5" x14ac:dyDescent="0.3">
      <c r="B4133" s="18" t="s">
        <v>8006</v>
      </c>
      <c r="C4133" s="13">
        <v>29</v>
      </c>
      <c r="D4133" s="21" t="s">
        <v>8009</v>
      </c>
      <c r="E4133" s="24">
        <v>19</v>
      </c>
    </row>
    <row r="4134" spans="2:5" x14ac:dyDescent="0.3">
      <c r="B4134" s="18" t="s">
        <v>8004</v>
      </c>
      <c r="C4134" s="13">
        <v>30</v>
      </c>
      <c r="D4134" s="21" t="s">
        <v>8007</v>
      </c>
      <c r="E4134" s="24">
        <v>18</v>
      </c>
    </row>
    <row r="4135" spans="2:5" x14ac:dyDescent="0.3">
      <c r="B4135" s="18" t="s">
        <v>8002</v>
      </c>
      <c r="C4135" s="13">
        <v>31</v>
      </c>
      <c r="D4135" s="21" t="s">
        <v>8005</v>
      </c>
      <c r="E4135" s="24">
        <v>17</v>
      </c>
    </row>
    <row r="4136" spans="2:5" x14ac:dyDescent="0.3">
      <c r="B4136" s="18" t="s">
        <v>8000</v>
      </c>
      <c r="C4136" s="13">
        <v>32</v>
      </c>
      <c r="D4136" s="21" t="s">
        <v>8003</v>
      </c>
      <c r="E4136" s="24">
        <v>16</v>
      </c>
    </row>
    <row r="4137" spans="2:5" x14ac:dyDescent="0.3">
      <c r="B4137" s="18" t="s">
        <v>7998</v>
      </c>
      <c r="C4137" s="13">
        <v>33</v>
      </c>
      <c r="D4137" s="21" t="s">
        <v>8001</v>
      </c>
      <c r="E4137" s="24">
        <v>15</v>
      </c>
    </row>
    <row r="4138" spans="2:5" x14ac:dyDescent="0.3">
      <c r="B4138" s="18" t="s">
        <v>8352</v>
      </c>
      <c r="C4138" s="13">
        <v>41</v>
      </c>
      <c r="D4138" s="21" t="s">
        <v>7999</v>
      </c>
      <c r="E4138" s="24">
        <v>14</v>
      </c>
    </row>
    <row r="4139" spans="2:5" x14ac:dyDescent="0.3">
      <c r="B4139" s="18" t="s">
        <v>8353</v>
      </c>
      <c r="C4139" s="13">
        <v>40</v>
      </c>
      <c r="D4139" s="21" t="s">
        <v>8354</v>
      </c>
      <c r="E4139" s="24">
        <v>24</v>
      </c>
    </row>
    <row r="4140" spans="2:5" x14ac:dyDescent="0.3">
      <c r="B4140" s="18" t="s">
        <v>8355</v>
      </c>
      <c r="C4140" s="13">
        <v>39</v>
      </c>
      <c r="D4140" s="21" t="s">
        <v>8356</v>
      </c>
      <c r="E4140" s="24">
        <v>23</v>
      </c>
    </row>
    <row r="4141" spans="2:5" x14ac:dyDescent="0.3">
      <c r="B4141" s="18" t="s">
        <v>8357</v>
      </c>
      <c r="C4141" s="13">
        <v>38</v>
      </c>
      <c r="D4141" s="21" t="s">
        <v>8358</v>
      </c>
      <c r="E4141" s="24">
        <v>22</v>
      </c>
    </row>
    <row r="4142" spans="2:5" x14ac:dyDescent="0.3">
      <c r="B4142" s="18" t="s">
        <v>8359</v>
      </c>
      <c r="C4142" s="13">
        <v>37</v>
      </c>
      <c r="D4142" s="21" t="s">
        <v>7997</v>
      </c>
      <c r="E4142" s="24">
        <v>13</v>
      </c>
    </row>
    <row r="4143" spans="2:5" x14ac:dyDescent="0.3">
      <c r="B4143" s="18" t="s">
        <v>8360</v>
      </c>
      <c r="C4143" s="13">
        <v>36</v>
      </c>
      <c r="D4143" s="21" t="s">
        <v>7995</v>
      </c>
      <c r="E4143" s="24">
        <v>9</v>
      </c>
    </row>
    <row r="4144" spans="2:5" x14ac:dyDescent="0.3">
      <c r="B4144" s="18" t="s">
        <v>8361</v>
      </c>
      <c r="C4144" s="13">
        <v>35</v>
      </c>
      <c r="D4144" s="21" t="s">
        <v>7993</v>
      </c>
      <c r="E4144" s="24">
        <v>8</v>
      </c>
    </row>
    <row r="4145" spans="2:5" x14ac:dyDescent="0.3">
      <c r="B4145" s="18" t="s">
        <v>8362</v>
      </c>
      <c r="C4145" s="13">
        <v>34</v>
      </c>
      <c r="D4145" s="21" t="s">
        <v>7991</v>
      </c>
      <c r="E4145" s="24">
        <v>7</v>
      </c>
    </row>
    <row r="4146" spans="2:5" x14ac:dyDescent="0.3">
      <c r="B4146" s="18" t="s">
        <v>7996</v>
      </c>
      <c r="C4146" s="13">
        <v>1</v>
      </c>
      <c r="D4146" s="21" t="s">
        <v>7989</v>
      </c>
      <c r="E4146" s="24">
        <v>6</v>
      </c>
    </row>
    <row r="4147" spans="2:5" x14ac:dyDescent="0.3">
      <c r="B4147" s="18" t="s">
        <v>7994</v>
      </c>
      <c r="C4147" s="13">
        <v>2</v>
      </c>
      <c r="D4147" s="21" t="s">
        <v>7987</v>
      </c>
      <c r="E4147" s="24">
        <v>5</v>
      </c>
    </row>
    <row r="4148" spans="2:5" x14ac:dyDescent="0.3">
      <c r="B4148" s="18" t="s">
        <v>7992</v>
      </c>
      <c r="C4148" s="13">
        <v>3</v>
      </c>
      <c r="D4148" s="21" t="s">
        <v>7985</v>
      </c>
      <c r="E4148" s="24">
        <v>4</v>
      </c>
    </row>
    <row r="4149" spans="2:5" x14ac:dyDescent="0.3">
      <c r="B4149" s="18" t="s">
        <v>7984</v>
      </c>
      <c r="C4149" s="13">
        <v>4</v>
      </c>
      <c r="D4149" s="21" t="s">
        <v>7983</v>
      </c>
      <c r="E4149" s="24">
        <v>3</v>
      </c>
    </row>
    <row r="4150" spans="2:5" x14ac:dyDescent="0.3">
      <c r="B4150" s="18" t="s">
        <v>7982</v>
      </c>
      <c r="C4150" s="13">
        <v>5</v>
      </c>
      <c r="D4150" s="21" t="s">
        <v>7981</v>
      </c>
      <c r="E4150" s="24">
        <v>2</v>
      </c>
    </row>
    <row r="4151" spans="2:5" x14ac:dyDescent="0.3">
      <c r="B4151" s="18" t="s">
        <v>7980</v>
      </c>
      <c r="C4151" s="13">
        <v>6</v>
      </c>
      <c r="D4151" s="21" t="s">
        <v>8363</v>
      </c>
      <c r="E4151" s="24">
        <v>12</v>
      </c>
    </row>
    <row r="4152" spans="2:5" x14ac:dyDescent="0.3">
      <c r="B4152" s="18" t="s">
        <v>7978</v>
      </c>
      <c r="C4152" s="13">
        <v>7</v>
      </c>
      <c r="D4152" s="21" t="s">
        <v>8364</v>
      </c>
      <c r="E4152" s="24">
        <v>11</v>
      </c>
    </row>
    <row r="4153" spans="2:5" x14ac:dyDescent="0.3">
      <c r="B4153" s="18" t="s">
        <v>7976</v>
      </c>
      <c r="C4153" s="13">
        <v>8</v>
      </c>
      <c r="D4153" s="21" t="s">
        <v>8365</v>
      </c>
      <c r="E4153" s="24">
        <v>10</v>
      </c>
    </row>
    <row r="4154" spans="2:5" x14ac:dyDescent="0.3">
      <c r="B4154" s="18" t="s">
        <v>7974</v>
      </c>
      <c r="C4154" s="13">
        <v>9</v>
      </c>
      <c r="D4154" s="21" t="s">
        <v>7979</v>
      </c>
      <c r="E4154" s="24">
        <v>1</v>
      </c>
    </row>
    <row r="4155" spans="2:5" x14ac:dyDescent="0.3">
      <c r="B4155" s="18" t="s">
        <v>7972</v>
      </c>
      <c r="C4155" s="13">
        <v>10</v>
      </c>
      <c r="D4155" s="21" t="s">
        <v>7965</v>
      </c>
      <c r="E4155" s="24">
        <v>25</v>
      </c>
    </row>
    <row r="4156" spans="2:5" x14ac:dyDescent="0.3">
      <c r="B4156" s="18" t="s">
        <v>7970</v>
      </c>
      <c r="C4156" s="13">
        <v>11</v>
      </c>
      <c r="D4156" s="21" t="s">
        <v>7963</v>
      </c>
      <c r="E4156" s="24">
        <v>26</v>
      </c>
    </row>
    <row r="4157" spans="2:5" x14ac:dyDescent="0.3">
      <c r="B4157" s="18" t="s">
        <v>7968</v>
      </c>
      <c r="C4157" s="13">
        <v>22</v>
      </c>
      <c r="D4157" s="21" t="s">
        <v>7961</v>
      </c>
      <c r="E4157" s="24">
        <v>27</v>
      </c>
    </row>
    <row r="4158" spans="2:5" x14ac:dyDescent="0.3">
      <c r="B4158" s="18" t="s">
        <v>7966</v>
      </c>
      <c r="C4158" s="13">
        <v>21</v>
      </c>
      <c r="D4158" s="21" t="s">
        <v>7959</v>
      </c>
      <c r="E4158" s="24">
        <v>28</v>
      </c>
    </row>
    <row r="4159" spans="2:5" x14ac:dyDescent="0.3">
      <c r="B4159" s="18" t="s">
        <v>7964</v>
      </c>
      <c r="C4159" s="13">
        <v>20</v>
      </c>
      <c r="D4159" s="21" t="s">
        <v>7957</v>
      </c>
      <c r="E4159" s="24">
        <v>29</v>
      </c>
    </row>
    <row r="4160" spans="2:5" x14ac:dyDescent="0.3">
      <c r="B4160" s="18" t="s">
        <v>7956</v>
      </c>
      <c r="C4160" s="13">
        <v>19</v>
      </c>
      <c r="D4160" s="21" t="s">
        <v>7955</v>
      </c>
      <c r="E4160" s="24">
        <v>30</v>
      </c>
    </row>
    <row r="4161" spans="2:5" x14ac:dyDescent="0.3">
      <c r="B4161" s="18" t="s">
        <v>7954</v>
      </c>
      <c r="C4161" s="13">
        <v>18</v>
      </c>
      <c r="D4161" s="21" t="s">
        <v>7953</v>
      </c>
      <c r="E4161" s="24">
        <v>31</v>
      </c>
    </row>
    <row r="4162" spans="2:5" x14ac:dyDescent="0.3">
      <c r="B4162" s="18" t="s">
        <v>7952</v>
      </c>
      <c r="C4162" s="13">
        <v>17</v>
      </c>
      <c r="D4162" s="21" t="s">
        <v>7951</v>
      </c>
      <c r="E4162" s="24">
        <v>32</v>
      </c>
    </row>
    <row r="4163" spans="2:5" x14ac:dyDescent="0.3">
      <c r="B4163" s="18" t="s">
        <v>7950</v>
      </c>
      <c r="C4163" s="13">
        <v>16</v>
      </c>
      <c r="D4163" s="21" t="s">
        <v>8366</v>
      </c>
      <c r="E4163" s="24">
        <v>23</v>
      </c>
    </row>
    <row r="4164" spans="2:5" x14ac:dyDescent="0.3">
      <c r="B4164" s="18" t="s">
        <v>7948</v>
      </c>
      <c r="C4164" s="13">
        <v>15</v>
      </c>
      <c r="D4164" s="21" t="s">
        <v>8367</v>
      </c>
      <c r="E4164" s="24">
        <v>24</v>
      </c>
    </row>
    <row r="4165" spans="2:5" x14ac:dyDescent="0.3">
      <c r="B4165" s="18" t="s">
        <v>7946</v>
      </c>
      <c r="C4165" s="13">
        <v>14</v>
      </c>
      <c r="D4165" s="21" t="s">
        <v>7949</v>
      </c>
      <c r="E4165" s="24">
        <v>33</v>
      </c>
    </row>
    <row r="4166" spans="2:5" x14ac:dyDescent="0.3">
      <c r="B4166" s="18" t="s">
        <v>7944</v>
      </c>
      <c r="C4166" s="13">
        <v>13</v>
      </c>
      <c r="D4166" s="21" t="s">
        <v>7947</v>
      </c>
      <c r="E4166" s="24">
        <v>20</v>
      </c>
    </row>
    <row r="4167" spans="2:5" x14ac:dyDescent="0.3">
      <c r="B4167" s="18" t="s">
        <v>7942</v>
      </c>
      <c r="C4167" s="13">
        <v>12</v>
      </c>
      <c r="D4167" s="21" t="s">
        <v>7945</v>
      </c>
      <c r="E4167" s="24">
        <v>19</v>
      </c>
    </row>
    <row r="4168" spans="2:5" x14ac:dyDescent="0.3">
      <c r="B4168" s="18" t="s">
        <v>7940</v>
      </c>
      <c r="C4168" s="13">
        <v>23</v>
      </c>
      <c r="D4168" s="21" t="s">
        <v>7943</v>
      </c>
      <c r="E4168" s="24">
        <v>18</v>
      </c>
    </row>
    <row r="4169" spans="2:5" x14ac:dyDescent="0.3">
      <c r="B4169" s="18" t="s">
        <v>7938</v>
      </c>
      <c r="C4169" s="13">
        <v>24</v>
      </c>
      <c r="D4169" s="21" t="s">
        <v>7941</v>
      </c>
      <c r="E4169" s="24">
        <v>17</v>
      </c>
    </row>
    <row r="4170" spans="2:5" x14ac:dyDescent="0.3">
      <c r="B4170" s="18" t="s">
        <v>7936</v>
      </c>
      <c r="C4170" s="13">
        <v>25</v>
      </c>
      <c r="D4170" s="21" t="s">
        <v>7939</v>
      </c>
      <c r="E4170" s="24">
        <v>16</v>
      </c>
    </row>
    <row r="4171" spans="2:5" x14ac:dyDescent="0.3">
      <c r="B4171" s="18" t="s">
        <v>7928</v>
      </c>
      <c r="C4171" s="13">
        <v>26</v>
      </c>
      <c r="D4171" s="21" t="s">
        <v>7937</v>
      </c>
      <c r="E4171" s="24">
        <v>15</v>
      </c>
    </row>
    <row r="4172" spans="2:5" x14ac:dyDescent="0.3">
      <c r="B4172" s="18" t="s">
        <v>7926</v>
      </c>
      <c r="C4172" s="13">
        <v>27</v>
      </c>
      <c r="D4172" s="21" t="s">
        <v>7935</v>
      </c>
      <c r="E4172" s="24">
        <v>14</v>
      </c>
    </row>
    <row r="4173" spans="2:5" x14ac:dyDescent="0.3">
      <c r="B4173" s="18" t="s">
        <v>7924</v>
      </c>
      <c r="C4173" s="13">
        <v>28</v>
      </c>
      <c r="D4173" s="21" t="s">
        <v>7933</v>
      </c>
      <c r="E4173" s="24">
        <v>13</v>
      </c>
    </row>
    <row r="4174" spans="2:5" x14ac:dyDescent="0.3">
      <c r="B4174" s="18" t="s">
        <v>7922</v>
      </c>
      <c r="C4174" s="13">
        <v>29</v>
      </c>
      <c r="D4174" s="21" t="s">
        <v>8368</v>
      </c>
      <c r="E4174" s="24">
        <v>22</v>
      </c>
    </row>
    <row r="4175" spans="2:5" x14ac:dyDescent="0.3">
      <c r="B4175" s="18" t="s">
        <v>7920</v>
      </c>
      <c r="C4175" s="13">
        <v>30</v>
      </c>
      <c r="D4175" s="21" t="s">
        <v>8369</v>
      </c>
      <c r="E4175" s="24">
        <v>21</v>
      </c>
    </row>
    <row r="4176" spans="2:5" x14ac:dyDescent="0.3">
      <c r="B4176" s="18" t="s">
        <v>7918</v>
      </c>
      <c r="C4176" s="13">
        <v>31</v>
      </c>
      <c r="D4176" s="21" t="s">
        <v>7931</v>
      </c>
      <c r="E4176" s="24">
        <v>12</v>
      </c>
    </row>
    <row r="4177" spans="2:5" x14ac:dyDescent="0.3">
      <c r="B4177" s="18" t="s">
        <v>7916</v>
      </c>
      <c r="C4177" s="13">
        <v>32</v>
      </c>
      <c r="D4177" s="21" t="s">
        <v>7929</v>
      </c>
      <c r="E4177" s="24">
        <v>9</v>
      </c>
    </row>
    <row r="4178" spans="2:5" x14ac:dyDescent="0.3">
      <c r="B4178" s="18" t="s">
        <v>7914</v>
      </c>
      <c r="C4178" s="13">
        <v>33</v>
      </c>
      <c r="D4178" s="21" t="s">
        <v>7927</v>
      </c>
      <c r="E4178" s="24">
        <v>8</v>
      </c>
    </row>
    <row r="4179" spans="2:5" x14ac:dyDescent="0.3">
      <c r="B4179" s="18" t="s">
        <v>8370</v>
      </c>
      <c r="C4179" s="13">
        <v>42</v>
      </c>
      <c r="D4179" s="21" t="s">
        <v>7925</v>
      </c>
      <c r="E4179" s="24">
        <v>7</v>
      </c>
    </row>
    <row r="4180" spans="2:5" x14ac:dyDescent="0.3">
      <c r="B4180" s="18" t="s">
        <v>8371</v>
      </c>
      <c r="C4180" s="13">
        <v>41</v>
      </c>
      <c r="D4180" s="21" t="s">
        <v>7923</v>
      </c>
      <c r="E4180" s="24">
        <v>6</v>
      </c>
    </row>
    <row r="4181" spans="2:5" x14ac:dyDescent="0.3">
      <c r="B4181" s="18" t="s">
        <v>8372</v>
      </c>
      <c r="C4181" s="13">
        <v>40</v>
      </c>
      <c r="D4181" s="21" t="s">
        <v>7921</v>
      </c>
      <c r="E4181" s="24">
        <v>5</v>
      </c>
    </row>
    <row r="4182" spans="2:5" x14ac:dyDescent="0.3">
      <c r="B4182" s="18" t="s">
        <v>8373</v>
      </c>
      <c r="C4182" s="13">
        <v>39</v>
      </c>
      <c r="D4182" s="21" t="s">
        <v>7919</v>
      </c>
      <c r="E4182" s="24">
        <v>4</v>
      </c>
    </row>
    <row r="4183" spans="2:5" x14ac:dyDescent="0.3">
      <c r="B4183" s="18" t="s">
        <v>8374</v>
      </c>
      <c r="C4183" s="13">
        <v>38</v>
      </c>
      <c r="D4183" s="21" t="s">
        <v>7917</v>
      </c>
      <c r="E4183" s="24">
        <v>3</v>
      </c>
    </row>
    <row r="4184" spans="2:5" x14ac:dyDescent="0.3">
      <c r="B4184" s="18" t="s">
        <v>8375</v>
      </c>
      <c r="C4184" s="13">
        <v>37</v>
      </c>
      <c r="D4184" s="21" t="s">
        <v>7915</v>
      </c>
      <c r="E4184" s="24">
        <v>2</v>
      </c>
    </row>
    <row r="4185" spans="2:5" x14ac:dyDescent="0.3">
      <c r="B4185" s="18" t="s">
        <v>8376</v>
      </c>
      <c r="C4185" s="13">
        <v>36</v>
      </c>
      <c r="D4185" s="21" t="s">
        <v>8377</v>
      </c>
      <c r="E4185" s="24">
        <v>11</v>
      </c>
    </row>
    <row r="4186" spans="2:5" x14ac:dyDescent="0.3">
      <c r="B4186" s="18" t="s">
        <v>8378</v>
      </c>
      <c r="C4186" s="13">
        <v>35</v>
      </c>
      <c r="D4186" s="21" t="s">
        <v>8379</v>
      </c>
      <c r="E4186" s="24">
        <v>10</v>
      </c>
    </row>
    <row r="4187" spans="2:5" x14ac:dyDescent="0.3">
      <c r="B4187" s="18" t="s">
        <v>8380</v>
      </c>
      <c r="C4187" s="13">
        <v>34</v>
      </c>
      <c r="D4187" s="21" t="s">
        <v>7913</v>
      </c>
      <c r="E4187" s="24">
        <v>1</v>
      </c>
    </row>
    <row r="4188" spans="2:5" x14ac:dyDescent="0.3">
      <c r="B4188" s="18" t="s">
        <v>7912</v>
      </c>
      <c r="C4188" s="13">
        <v>1</v>
      </c>
      <c r="D4188" s="21" t="s">
        <v>8381</v>
      </c>
      <c r="E4188" s="24">
        <v>25</v>
      </c>
    </row>
    <row r="4189" spans="2:5" x14ac:dyDescent="0.3">
      <c r="B4189" s="18" t="s">
        <v>7910</v>
      </c>
      <c r="C4189" s="13">
        <v>2</v>
      </c>
      <c r="D4189" s="21" t="s">
        <v>7895</v>
      </c>
      <c r="E4189" s="24">
        <v>26</v>
      </c>
    </row>
    <row r="4190" spans="2:5" x14ac:dyDescent="0.3">
      <c r="B4190" s="18" t="s">
        <v>7908</v>
      </c>
      <c r="C4190" s="13">
        <v>3</v>
      </c>
      <c r="D4190" s="21" t="s">
        <v>7893</v>
      </c>
      <c r="E4190" s="24">
        <v>27</v>
      </c>
    </row>
    <row r="4191" spans="2:5" x14ac:dyDescent="0.3">
      <c r="B4191" s="18" t="s">
        <v>7898</v>
      </c>
      <c r="C4191" s="13">
        <v>4</v>
      </c>
      <c r="D4191" s="21" t="s">
        <v>7891</v>
      </c>
      <c r="E4191" s="24">
        <v>28</v>
      </c>
    </row>
    <row r="4192" spans="2:5" x14ac:dyDescent="0.3">
      <c r="B4192" s="18" t="s">
        <v>7896</v>
      </c>
      <c r="C4192" s="13">
        <v>5</v>
      </c>
      <c r="D4192" s="21" t="s">
        <v>7889</v>
      </c>
      <c r="E4192" s="24">
        <v>29</v>
      </c>
    </row>
    <row r="4193" spans="2:5" x14ac:dyDescent="0.3">
      <c r="B4193" s="18" t="s">
        <v>7894</v>
      </c>
      <c r="C4193" s="13">
        <v>6</v>
      </c>
      <c r="D4193" s="21" t="s">
        <v>7887</v>
      </c>
      <c r="E4193" s="24">
        <v>30</v>
      </c>
    </row>
    <row r="4194" spans="2:5" x14ac:dyDescent="0.3">
      <c r="B4194" s="18" t="s">
        <v>7892</v>
      </c>
      <c r="C4194" s="13">
        <v>7</v>
      </c>
      <c r="D4194" s="21" t="s">
        <v>7885</v>
      </c>
      <c r="E4194" s="24">
        <v>31</v>
      </c>
    </row>
    <row r="4195" spans="2:5" x14ac:dyDescent="0.3">
      <c r="B4195" s="18" t="s">
        <v>7890</v>
      </c>
      <c r="C4195" s="13">
        <v>8</v>
      </c>
      <c r="D4195" s="21" t="s">
        <v>7883</v>
      </c>
      <c r="E4195" s="24">
        <v>32</v>
      </c>
    </row>
    <row r="4196" spans="2:5" x14ac:dyDescent="0.3">
      <c r="B4196" s="18" t="s">
        <v>7888</v>
      </c>
      <c r="C4196" s="13">
        <v>9</v>
      </c>
      <c r="D4196" s="21" t="s">
        <v>8382</v>
      </c>
      <c r="E4196" s="24">
        <v>23</v>
      </c>
    </row>
    <row r="4197" spans="2:5" x14ac:dyDescent="0.3">
      <c r="B4197" s="18" t="s">
        <v>7886</v>
      </c>
      <c r="C4197" s="13">
        <v>10</v>
      </c>
      <c r="D4197" s="21" t="s">
        <v>8383</v>
      </c>
      <c r="E4197" s="24">
        <v>24</v>
      </c>
    </row>
    <row r="4198" spans="2:5" x14ac:dyDescent="0.3">
      <c r="B4198" s="18" t="s">
        <v>7884</v>
      </c>
      <c r="C4198" s="13">
        <v>11</v>
      </c>
      <c r="D4198" s="21" t="s">
        <v>8384</v>
      </c>
      <c r="E4198" s="24">
        <v>20</v>
      </c>
    </row>
    <row r="4199" spans="2:5" x14ac:dyDescent="0.3">
      <c r="B4199" s="18" t="s">
        <v>7882</v>
      </c>
      <c r="C4199" s="13">
        <v>22</v>
      </c>
      <c r="D4199" s="21" t="s">
        <v>7879</v>
      </c>
      <c r="E4199" s="24">
        <v>19</v>
      </c>
    </row>
    <row r="4200" spans="2:5" x14ac:dyDescent="0.3">
      <c r="B4200" s="18" t="s">
        <v>7880</v>
      </c>
      <c r="C4200" s="13">
        <v>21</v>
      </c>
      <c r="D4200" s="21" t="s">
        <v>7877</v>
      </c>
      <c r="E4200" s="24">
        <v>18</v>
      </c>
    </row>
    <row r="4201" spans="2:5" x14ac:dyDescent="0.3">
      <c r="B4201" s="18" t="s">
        <v>7878</v>
      </c>
      <c r="C4201" s="13">
        <v>20</v>
      </c>
      <c r="D4201" s="21" t="s">
        <v>7875</v>
      </c>
      <c r="E4201" s="24">
        <v>17</v>
      </c>
    </row>
    <row r="4202" spans="2:5" x14ac:dyDescent="0.3">
      <c r="B4202" s="18" t="s">
        <v>7868</v>
      </c>
      <c r="C4202" s="13">
        <v>19</v>
      </c>
      <c r="D4202" s="21" t="s">
        <v>7873</v>
      </c>
      <c r="E4202" s="24">
        <v>16</v>
      </c>
    </row>
    <row r="4203" spans="2:5" x14ac:dyDescent="0.3">
      <c r="B4203" s="18" t="s">
        <v>7866</v>
      </c>
      <c r="C4203" s="13">
        <v>18</v>
      </c>
      <c r="D4203" s="21" t="s">
        <v>7871</v>
      </c>
      <c r="E4203" s="24">
        <v>15</v>
      </c>
    </row>
    <row r="4204" spans="2:5" x14ac:dyDescent="0.3">
      <c r="B4204" s="18" t="s">
        <v>7864</v>
      </c>
      <c r="C4204" s="13">
        <v>17</v>
      </c>
      <c r="D4204" s="21" t="s">
        <v>7869</v>
      </c>
      <c r="E4204" s="24">
        <v>14</v>
      </c>
    </row>
    <row r="4205" spans="2:5" x14ac:dyDescent="0.3">
      <c r="B4205" s="18" t="s">
        <v>7862</v>
      </c>
      <c r="C4205" s="13">
        <v>16</v>
      </c>
      <c r="D4205" s="21" t="s">
        <v>7867</v>
      </c>
      <c r="E4205" s="24">
        <v>13</v>
      </c>
    </row>
    <row r="4206" spans="2:5" x14ac:dyDescent="0.3">
      <c r="B4206" s="18" t="s">
        <v>7860</v>
      </c>
      <c r="C4206" s="13">
        <v>15</v>
      </c>
      <c r="D4206" s="21" t="s">
        <v>8385</v>
      </c>
      <c r="E4206" s="24">
        <v>22</v>
      </c>
    </row>
    <row r="4207" spans="2:5" x14ac:dyDescent="0.3">
      <c r="B4207" s="18" t="s">
        <v>7858</v>
      </c>
      <c r="C4207" s="13">
        <v>14</v>
      </c>
      <c r="D4207" s="21" t="s">
        <v>8386</v>
      </c>
      <c r="E4207" s="24">
        <v>21</v>
      </c>
    </row>
    <row r="4208" spans="2:5" x14ac:dyDescent="0.3">
      <c r="B4208" s="18" t="s">
        <v>7856</v>
      </c>
      <c r="C4208" s="13">
        <v>13</v>
      </c>
      <c r="D4208" s="21" t="s">
        <v>7865</v>
      </c>
      <c r="E4208" s="24">
        <v>12</v>
      </c>
    </row>
    <row r="4209" spans="2:5" x14ac:dyDescent="0.3">
      <c r="B4209" s="18" t="s">
        <v>7854</v>
      </c>
      <c r="C4209" s="13">
        <v>12</v>
      </c>
      <c r="D4209" s="21" t="s">
        <v>8387</v>
      </c>
      <c r="E4209" s="24">
        <v>9</v>
      </c>
    </row>
    <row r="4210" spans="2:5" x14ac:dyDescent="0.3">
      <c r="B4210" s="18" t="s">
        <v>8388</v>
      </c>
      <c r="C4210" s="13">
        <v>23</v>
      </c>
      <c r="D4210" s="21" t="s">
        <v>7863</v>
      </c>
      <c r="E4210" s="24">
        <v>8</v>
      </c>
    </row>
    <row r="4211" spans="2:5" x14ac:dyDescent="0.3">
      <c r="B4211" s="18" t="s">
        <v>7852</v>
      </c>
      <c r="C4211" s="13">
        <v>24</v>
      </c>
      <c r="D4211" s="21" t="s">
        <v>7861</v>
      </c>
      <c r="E4211" s="24">
        <v>7</v>
      </c>
    </row>
    <row r="4212" spans="2:5" x14ac:dyDescent="0.3">
      <c r="B4212" s="18" t="s">
        <v>7850</v>
      </c>
      <c r="C4212" s="13">
        <v>25</v>
      </c>
      <c r="D4212" s="21" t="s">
        <v>7859</v>
      </c>
      <c r="E4212" s="24">
        <v>6</v>
      </c>
    </row>
    <row r="4213" spans="2:5" x14ac:dyDescent="0.3">
      <c r="B4213" s="18" t="s">
        <v>8389</v>
      </c>
      <c r="C4213" s="13">
        <v>26</v>
      </c>
      <c r="D4213" s="21" t="s">
        <v>7857</v>
      </c>
      <c r="E4213" s="24">
        <v>5</v>
      </c>
    </row>
    <row r="4214" spans="2:5" x14ac:dyDescent="0.3">
      <c r="B4214" s="18" t="s">
        <v>7840</v>
      </c>
      <c r="C4214" s="13">
        <v>27</v>
      </c>
      <c r="D4214" s="21" t="s">
        <v>7855</v>
      </c>
      <c r="E4214" s="24">
        <v>4</v>
      </c>
    </row>
    <row r="4215" spans="2:5" x14ac:dyDescent="0.3">
      <c r="B4215" s="18" t="s">
        <v>7838</v>
      </c>
      <c r="C4215" s="13">
        <v>28</v>
      </c>
      <c r="D4215" s="21" t="s">
        <v>7853</v>
      </c>
      <c r="E4215" s="24">
        <v>3</v>
      </c>
    </row>
    <row r="4216" spans="2:5" x14ac:dyDescent="0.3">
      <c r="B4216" s="18" t="s">
        <v>7836</v>
      </c>
      <c r="C4216" s="13">
        <v>29</v>
      </c>
      <c r="D4216" s="21" t="s">
        <v>7851</v>
      </c>
      <c r="E4216" s="24">
        <v>2</v>
      </c>
    </row>
    <row r="4217" spans="2:5" x14ac:dyDescent="0.3">
      <c r="B4217" s="18" t="s">
        <v>7834</v>
      </c>
      <c r="C4217" s="13">
        <v>30</v>
      </c>
      <c r="D4217" s="21" t="s">
        <v>8390</v>
      </c>
      <c r="E4217" s="24">
        <v>11</v>
      </c>
    </row>
    <row r="4218" spans="2:5" x14ac:dyDescent="0.3">
      <c r="B4218" s="18" t="s">
        <v>7832</v>
      </c>
      <c r="C4218" s="13">
        <v>31</v>
      </c>
      <c r="D4218" s="21" t="s">
        <v>8391</v>
      </c>
      <c r="E4218" s="24">
        <v>10</v>
      </c>
    </row>
    <row r="4219" spans="2:5" x14ac:dyDescent="0.3">
      <c r="B4219" s="18" t="s">
        <v>7830</v>
      </c>
      <c r="C4219" s="13">
        <v>32</v>
      </c>
      <c r="D4219" s="21" t="s">
        <v>7849</v>
      </c>
      <c r="E4219" s="24">
        <v>1</v>
      </c>
    </row>
    <row r="4220" spans="2:5" x14ac:dyDescent="0.3">
      <c r="B4220" s="18" t="s">
        <v>7828</v>
      </c>
      <c r="C4220" s="13">
        <v>33</v>
      </c>
      <c r="D4220" s="21" t="s">
        <v>8392</v>
      </c>
      <c r="E4220" s="24">
        <v>25</v>
      </c>
    </row>
    <row r="4221" spans="2:5" x14ac:dyDescent="0.3">
      <c r="B4221" s="18" t="s">
        <v>8393</v>
      </c>
      <c r="C4221" s="13">
        <v>43</v>
      </c>
      <c r="D4221" s="21" t="s">
        <v>7833</v>
      </c>
      <c r="E4221" s="24">
        <v>26</v>
      </c>
    </row>
    <row r="4222" spans="2:5" x14ac:dyDescent="0.3">
      <c r="B4222" s="18" t="s">
        <v>8394</v>
      </c>
      <c r="C4222" s="13">
        <v>42</v>
      </c>
      <c r="D4222" s="21" t="s">
        <v>7831</v>
      </c>
      <c r="E4222" s="24">
        <v>27</v>
      </c>
    </row>
    <row r="4223" spans="2:5" x14ac:dyDescent="0.3">
      <c r="B4223" s="18" t="s">
        <v>8395</v>
      </c>
      <c r="C4223" s="13">
        <v>41</v>
      </c>
      <c r="D4223" s="21" t="s">
        <v>7829</v>
      </c>
      <c r="E4223" s="24">
        <v>28</v>
      </c>
    </row>
    <row r="4224" spans="2:5" x14ac:dyDescent="0.3">
      <c r="B4224" s="18" t="s">
        <v>8396</v>
      </c>
      <c r="C4224" s="13">
        <v>40</v>
      </c>
      <c r="D4224" s="21" t="s">
        <v>7827</v>
      </c>
      <c r="E4224" s="24">
        <v>29</v>
      </c>
    </row>
    <row r="4225" spans="2:5" x14ac:dyDescent="0.3">
      <c r="B4225" s="18" t="s">
        <v>8397</v>
      </c>
      <c r="C4225" s="13">
        <v>39</v>
      </c>
      <c r="D4225" s="21" t="s">
        <v>7825</v>
      </c>
      <c r="E4225" s="24">
        <v>30</v>
      </c>
    </row>
    <row r="4226" spans="2:5" x14ac:dyDescent="0.3">
      <c r="B4226" s="18" t="s">
        <v>8398</v>
      </c>
      <c r="C4226" s="13">
        <v>38</v>
      </c>
      <c r="D4226" s="21" t="s">
        <v>7823</v>
      </c>
      <c r="E4226" s="24">
        <v>31</v>
      </c>
    </row>
    <row r="4227" spans="2:5" x14ac:dyDescent="0.3">
      <c r="B4227" s="18" t="s">
        <v>8399</v>
      </c>
      <c r="C4227" s="13">
        <v>37</v>
      </c>
      <c r="D4227" s="21" t="s">
        <v>8400</v>
      </c>
      <c r="E4227" s="24">
        <v>23</v>
      </c>
    </row>
    <row r="4228" spans="2:5" x14ac:dyDescent="0.3">
      <c r="B4228" s="18" t="s">
        <v>8401</v>
      </c>
      <c r="C4228" s="13">
        <v>36</v>
      </c>
      <c r="D4228" s="21" t="s">
        <v>8402</v>
      </c>
      <c r="E4228" s="24">
        <v>24</v>
      </c>
    </row>
    <row r="4229" spans="2:5" x14ac:dyDescent="0.3">
      <c r="B4229" s="18" t="s">
        <v>8403</v>
      </c>
      <c r="C4229" s="13">
        <v>35</v>
      </c>
      <c r="D4229" s="21" t="s">
        <v>8404</v>
      </c>
      <c r="E4229" s="24">
        <v>20</v>
      </c>
    </row>
    <row r="4230" spans="2:5" x14ac:dyDescent="0.3">
      <c r="B4230" s="18" t="s">
        <v>8405</v>
      </c>
      <c r="C4230" s="13">
        <v>34</v>
      </c>
      <c r="D4230" s="21" t="s">
        <v>7817</v>
      </c>
      <c r="E4230" s="24">
        <v>19</v>
      </c>
    </row>
    <row r="4231" spans="2:5" x14ac:dyDescent="0.3">
      <c r="B4231" s="18" t="s">
        <v>7826</v>
      </c>
      <c r="C4231" s="13">
        <v>1</v>
      </c>
      <c r="D4231" s="21" t="s">
        <v>7815</v>
      </c>
      <c r="E4231" s="24">
        <v>18</v>
      </c>
    </row>
    <row r="4232" spans="2:5" x14ac:dyDescent="0.3">
      <c r="B4232" s="18" t="s">
        <v>7824</v>
      </c>
      <c r="C4232" s="13">
        <v>2</v>
      </c>
      <c r="D4232" s="21" t="s">
        <v>7813</v>
      </c>
      <c r="E4232" s="24">
        <v>17</v>
      </c>
    </row>
    <row r="4233" spans="2:5" x14ac:dyDescent="0.3">
      <c r="B4233" s="18" t="s">
        <v>7822</v>
      </c>
      <c r="C4233" s="13">
        <v>3</v>
      </c>
      <c r="D4233" s="21" t="s">
        <v>7811</v>
      </c>
      <c r="E4233" s="24">
        <v>16</v>
      </c>
    </row>
    <row r="4234" spans="2:5" x14ac:dyDescent="0.3">
      <c r="B4234" s="18" t="s">
        <v>7812</v>
      </c>
      <c r="C4234" s="13">
        <v>4</v>
      </c>
      <c r="D4234" s="21" t="s">
        <v>7809</v>
      </c>
      <c r="E4234" s="24">
        <v>15</v>
      </c>
    </row>
    <row r="4235" spans="2:5" x14ac:dyDescent="0.3">
      <c r="B4235" s="18" t="s">
        <v>7810</v>
      </c>
      <c r="C4235" s="13">
        <v>5</v>
      </c>
      <c r="D4235" s="21" t="s">
        <v>7807</v>
      </c>
      <c r="E4235" s="24">
        <v>14</v>
      </c>
    </row>
    <row r="4236" spans="2:5" x14ac:dyDescent="0.3">
      <c r="B4236" s="18" t="s">
        <v>7808</v>
      </c>
      <c r="C4236" s="13">
        <v>6</v>
      </c>
      <c r="D4236" s="21" t="s">
        <v>7805</v>
      </c>
      <c r="E4236" s="24">
        <v>13</v>
      </c>
    </row>
    <row r="4237" spans="2:5" x14ac:dyDescent="0.3">
      <c r="B4237" s="18" t="s">
        <v>7806</v>
      </c>
      <c r="C4237" s="13">
        <v>7</v>
      </c>
      <c r="D4237" s="21" t="s">
        <v>8406</v>
      </c>
      <c r="E4237" s="24">
        <v>22</v>
      </c>
    </row>
    <row r="4238" spans="2:5" x14ac:dyDescent="0.3">
      <c r="B4238" s="18" t="s">
        <v>7804</v>
      </c>
      <c r="C4238" s="13">
        <v>8</v>
      </c>
      <c r="D4238" s="21" t="s">
        <v>8407</v>
      </c>
      <c r="E4238" s="24">
        <v>21</v>
      </c>
    </row>
    <row r="4239" spans="2:5" x14ac:dyDescent="0.3">
      <c r="B4239" s="18" t="s">
        <v>7802</v>
      </c>
      <c r="C4239" s="13">
        <v>9</v>
      </c>
      <c r="D4239" s="21" t="s">
        <v>7803</v>
      </c>
      <c r="E4239" s="24">
        <v>12</v>
      </c>
    </row>
    <row r="4240" spans="2:5" x14ac:dyDescent="0.3">
      <c r="B4240" s="18" t="s">
        <v>7800</v>
      </c>
      <c r="C4240" s="13">
        <v>10</v>
      </c>
      <c r="D4240" s="21" t="s">
        <v>8408</v>
      </c>
      <c r="E4240" s="24">
        <v>9</v>
      </c>
    </row>
    <row r="4241" spans="2:5" x14ac:dyDescent="0.3">
      <c r="B4241" s="18" t="s">
        <v>7798</v>
      </c>
      <c r="C4241" s="13">
        <v>11</v>
      </c>
      <c r="D4241" s="21" t="s">
        <v>7801</v>
      </c>
      <c r="E4241" s="24">
        <v>8</v>
      </c>
    </row>
    <row r="4242" spans="2:5" x14ac:dyDescent="0.3">
      <c r="B4242" s="18" t="s">
        <v>7796</v>
      </c>
      <c r="C4242" s="13">
        <v>22</v>
      </c>
      <c r="D4242" s="21" t="s">
        <v>7799</v>
      </c>
      <c r="E4242" s="24">
        <v>7</v>
      </c>
    </row>
    <row r="4243" spans="2:5" x14ac:dyDescent="0.3">
      <c r="B4243" s="18" t="s">
        <v>7794</v>
      </c>
      <c r="C4243" s="13">
        <v>21</v>
      </c>
      <c r="D4243" s="21" t="s">
        <v>7797</v>
      </c>
      <c r="E4243" s="24">
        <v>6</v>
      </c>
    </row>
    <row r="4244" spans="2:5" x14ac:dyDescent="0.3">
      <c r="B4244" s="18" t="s">
        <v>7792</v>
      </c>
      <c r="C4244" s="13">
        <v>20</v>
      </c>
      <c r="D4244" s="21" t="s">
        <v>7795</v>
      </c>
      <c r="E4244" s="24">
        <v>5</v>
      </c>
    </row>
    <row r="4245" spans="2:5" x14ac:dyDescent="0.3">
      <c r="B4245" s="18" t="s">
        <v>7782</v>
      </c>
      <c r="C4245" s="13">
        <v>19</v>
      </c>
      <c r="D4245" s="21" t="s">
        <v>7793</v>
      </c>
      <c r="E4245" s="24">
        <v>4</v>
      </c>
    </row>
    <row r="4246" spans="2:5" x14ac:dyDescent="0.3">
      <c r="B4246" s="18" t="s">
        <v>7780</v>
      </c>
      <c r="C4246" s="13">
        <v>18</v>
      </c>
      <c r="D4246" s="21" t="s">
        <v>7791</v>
      </c>
      <c r="E4246" s="24">
        <v>3</v>
      </c>
    </row>
    <row r="4247" spans="2:5" x14ac:dyDescent="0.3">
      <c r="B4247" s="18" t="s">
        <v>7778</v>
      </c>
      <c r="C4247" s="13">
        <v>17</v>
      </c>
      <c r="D4247" s="21" t="s">
        <v>7789</v>
      </c>
      <c r="E4247" s="24">
        <v>2</v>
      </c>
    </row>
    <row r="4248" spans="2:5" x14ac:dyDescent="0.3">
      <c r="B4248" s="18" t="s">
        <v>7776</v>
      </c>
      <c r="C4248" s="13">
        <v>16</v>
      </c>
      <c r="D4248" s="21" t="s">
        <v>8409</v>
      </c>
      <c r="E4248" s="24">
        <v>11</v>
      </c>
    </row>
    <row r="4249" spans="2:5" x14ac:dyDescent="0.3">
      <c r="B4249" s="18" t="s">
        <v>7774</v>
      </c>
      <c r="C4249" s="13">
        <v>15</v>
      </c>
      <c r="D4249" s="21" t="s">
        <v>8410</v>
      </c>
      <c r="E4249" s="24">
        <v>10</v>
      </c>
    </row>
    <row r="4250" spans="2:5" x14ac:dyDescent="0.3">
      <c r="B4250" s="18" t="s">
        <v>7772</v>
      </c>
      <c r="C4250" s="13">
        <v>14</v>
      </c>
      <c r="D4250" s="21" t="s">
        <v>7787</v>
      </c>
      <c r="E4250" s="24">
        <v>1</v>
      </c>
    </row>
    <row r="4251" spans="2:5" x14ac:dyDescent="0.3">
      <c r="B4251" s="18" t="s">
        <v>7770</v>
      </c>
      <c r="C4251" s="13">
        <v>13</v>
      </c>
      <c r="D4251" s="21" t="s">
        <v>8411</v>
      </c>
      <c r="E4251" s="24">
        <v>22</v>
      </c>
    </row>
    <row r="4252" spans="2:5" x14ac:dyDescent="0.3">
      <c r="B4252" s="18" t="s">
        <v>7768</v>
      </c>
      <c r="C4252" s="13">
        <v>12</v>
      </c>
      <c r="D4252" s="21" t="s">
        <v>7773</v>
      </c>
      <c r="E4252" s="24">
        <v>23</v>
      </c>
    </row>
    <row r="4253" spans="2:5" x14ac:dyDescent="0.3">
      <c r="B4253" s="18" t="s">
        <v>8412</v>
      </c>
      <c r="C4253" s="13">
        <v>23</v>
      </c>
      <c r="D4253" s="21" t="s">
        <v>7771</v>
      </c>
      <c r="E4253" s="24">
        <v>24</v>
      </c>
    </row>
    <row r="4254" spans="2:5" x14ac:dyDescent="0.3">
      <c r="B4254" s="18" t="s">
        <v>7766</v>
      </c>
      <c r="C4254" s="13">
        <v>24</v>
      </c>
      <c r="D4254" s="21" t="s">
        <v>7769</v>
      </c>
      <c r="E4254" s="24">
        <v>25</v>
      </c>
    </row>
    <row r="4255" spans="2:5" x14ac:dyDescent="0.3">
      <c r="B4255" s="18" t="s">
        <v>7764</v>
      </c>
      <c r="C4255" s="13">
        <v>25</v>
      </c>
      <c r="D4255" s="21" t="s">
        <v>7767</v>
      </c>
      <c r="E4255" s="24">
        <v>26</v>
      </c>
    </row>
    <row r="4256" spans="2:5" x14ac:dyDescent="0.3">
      <c r="B4256" s="18" t="s">
        <v>7754</v>
      </c>
      <c r="C4256" s="13">
        <v>26</v>
      </c>
      <c r="D4256" s="21" t="s">
        <v>7765</v>
      </c>
      <c r="E4256" s="24">
        <v>27</v>
      </c>
    </row>
    <row r="4257" spans="2:5" x14ac:dyDescent="0.3">
      <c r="B4257" s="18" t="s">
        <v>7752</v>
      </c>
      <c r="C4257" s="13">
        <v>27</v>
      </c>
      <c r="D4257" s="21" t="s">
        <v>7763</v>
      </c>
      <c r="E4257" s="24">
        <v>28</v>
      </c>
    </row>
    <row r="4258" spans="2:5" x14ac:dyDescent="0.3">
      <c r="B4258" s="18" t="s">
        <v>7750</v>
      </c>
      <c r="C4258" s="13">
        <v>28</v>
      </c>
      <c r="D4258" s="21" t="s">
        <v>7761</v>
      </c>
      <c r="E4258" s="24">
        <v>29</v>
      </c>
    </row>
    <row r="4259" spans="2:5" x14ac:dyDescent="0.3">
      <c r="B4259" s="18" t="s">
        <v>7748</v>
      </c>
      <c r="C4259" s="13">
        <v>29</v>
      </c>
      <c r="D4259" s="21" t="s">
        <v>8413</v>
      </c>
      <c r="E4259" s="24">
        <v>21</v>
      </c>
    </row>
    <row r="4260" spans="2:5" x14ac:dyDescent="0.3">
      <c r="B4260" s="18" t="s">
        <v>7746</v>
      </c>
      <c r="C4260" s="13">
        <v>30</v>
      </c>
      <c r="D4260" s="21" t="s">
        <v>7759</v>
      </c>
      <c r="E4260" s="24">
        <v>30</v>
      </c>
    </row>
    <row r="4261" spans="2:5" x14ac:dyDescent="0.3">
      <c r="B4261" s="18" t="s">
        <v>7744</v>
      </c>
      <c r="C4261" s="13">
        <v>31</v>
      </c>
      <c r="D4261" s="21" t="s">
        <v>8414</v>
      </c>
      <c r="E4261" s="24">
        <v>19</v>
      </c>
    </row>
    <row r="4262" spans="2:5" x14ac:dyDescent="0.3">
      <c r="B4262" s="18" t="s">
        <v>7742</v>
      </c>
      <c r="C4262" s="13">
        <v>32</v>
      </c>
      <c r="D4262" s="21" t="s">
        <v>7757</v>
      </c>
      <c r="E4262" s="24">
        <v>18</v>
      </c>
    </row>
    <row r="4263" spans="2:5" x14ac:dyDescent="0.3">
      <c r="B4263" s="18" t="s">
        <v>7740</v>
      </c>
      <c r="C4263" s="13">
        <v>33</v>
      </c>
      <c r="D4263" s="21" t="s">
        <v>7755</v>
      </c>
      <c r="E4263" s="24">
        <v>17</v>
      </c>
    </row>
    <row r="4264" spans="2:5" x14ac:dyDescent="0.3">
      <c r="B4264" s="18" t="s">
        <v>8415</v>
      </c>
      <c r="C4264" s="13">
        <v>44</v>
      </c>
      <c r="D4264" s="21" t="s">
        <v>7753</v>
      </c>
      <c r="E4264" s="24">
        <v>16</v>
      </c>
    </row>
    <row r="4265" spans="2:5" x14ac:dyDescent="0.3">
      <c r="B4265" s="18" t="s">
        <v>8416</v>
      </c>
      <c r="C4265" s="13">
        <v>43</v>
      </c>
      <c r="D4265" s="21" t="s">
        <v>7751</v>
      </c>
      <c r="E4265" s="24">
        <v>15</v>
      </c>
    </row>
    <row r="4266" spans="2:5" x14ac:dyDescent="0.3">
      <c r="B4266" s="18" t="s">
        <v>8417</v>
      </c>
      <c r="C4266" s="13">
        <v>42</v>
      </c>
      <c r="D4266" s="21" t="s">
        <v>7749</v>
      </c>
      <c r="E4266" s="24">
        <v>14</v>
      </c>
    </row>
    <row r="4267" spans="2:5" x14ac:dyDescent="0.3">
      <c r="B4267" s="18" t="s">
        <v>8418</v>
      </c>
      <c r="C4267" s="13">
        <v>41</v>
      </c>
      <c r="D4267" s="21" t="s">
        <v>7747</v>
      </c>
      <c r="E4267" s="24">
        <v>13</v>
      </c>
    </row>
    <row r="4268" spans="2:5" x14ac:dyDescent="0.3">
      <c r="B4268" s="18" t="s">
        <v>8419</v>
      </c>
      <c r="C4268" s="13">
        <v>40</v>
      </c>
      <c r="D4268" s="21" t="s">
        <v>7745</v>
      </c>
      <c r="E4268" s="24">
        <v>12</v>
      </c>
    </row>
    <row r="4269" spans="2:5" x14ac:dyDescent="0.3">
      <c r="B4269" s="18" t="s">
        <v>8420</v>
      </c>
      <c r="C4269" s="13">
        <v>39</v>
      </c>
      <c r="D4269" s="21" t="s">
        <v>8421</v>
      </c>
      <c r="E4269" s="24">
        <v>20</v>
      </c>
    </row>
    <row r="4270" spans="2:5" x14ac:dyDescent="0.3">
      <c r="B4270" s="18" t="s">
        <v>8422</v>
      </c>
      <c r="C4270" s="13">
        <v>38</v>
      </c>
      <c r="D4270" s="21" t="s">
        <v>7743</v>
      </c>
      <c r="E4270" s="24">
        <v>11</v>
      </c>
    </row>
    <row r="4271" spans="2:5" x14ac:dyDescent="0.3">
      <c r="B4271" s="18" t="s">
        <v>8423</v>
      </c>
      <c r="C4271" s="13">
        <v>37</v>
      </c>
      <c r="D4271" s="21" t="s">
        <v>8424</v>
      </c>
      <c r="E4271" s="24">
        <v>9</v>
      </c>
    </row>
    <row r="4272" spans="2:5" x14ac:dyDescent="0.3">
      <c r="B4272" s="18" t="s">
        <v>8425</v>
      </c>
      <c r="C4272" s="13">
        <v>36</v>
      </c>
      <c r="D4272" s="21" t="s">
        <v>7741</v>
      </c>
      <c r="E4272" s="24">
        <v>8</v>
      </c>
    </row>
    <row r="4273" spans="2:5" x14ac:dyDescent="0.3">
      <c r="B4273" s="18" t="s">
        <v>8426</v>
      </c>
      <c r="C4273" s="13">
        <v>35</v>
      </c>
      <c r="D4273" s="21" t="s">
        <v>7739</v>
      </c>
      <c r="E4273" s="24">
        <v>7</v>
      </c>
    </row>
    <row r="4274" spans="2:5" x14ac:dyDescent="0.3">
      <c r="B4274" s="18" t="s">
        <v>8427</v>
      </c>
      <c r="C4274" s="13">
        <v>34</v>
      </c>
      <c r="D4274" s="21" t="s">
        <v>7737</v>
      </c>
      <c r="E4274" s="24">
        <v>6</v>
      </c>
    </row>
    <row r="4275" spans="2:5" x14ac:dyDescent="0.3">
      <c r="B4275" s="18" t="s">
        <v>7738</v>
      </c>
      <c r="C4275" s="13">
        <v>1</v>
      </c>
      <c r="D4275" s="21" t="s">
        <v>7735</v>
      </c>
      <c r="E4275" s="24">
        <v>5</v>
      </c>
    </row>
    <row r="4276" spans="2:5" x14ac:dyDescent="0.3">
      <c r="B4276" s="18" t="s">
        <v>7736</v>
      </c>
      <c r="C4276" s="13">
        <v>2</v>
      </c>
      <c r="D4276" s="21" t="s">
        <v>7733</v>
      </c>
      <c r="E4276" s="24">
        <v>4</v>
      </c>
    </row>
    <row r="4277" spans="2:5" x14ac:dyDescent="0.3">
      <c r="B4277" s="18" t="s">
        <v>7734</v>
      </c>
      <c r="C4277" s="13">
        <v>3</v>
      </c>
      <c r="D4277" s="21" t="s">
        <v>7731</v>
      </c>
      <c r="E4277" s="24">
        <v>3</v>
      </c>
    </row>
    <row r="4278" spans="2:5" x14ac:dyDescent="0.3">
      <c r="B4278" s="18" t="s">
        <v>7732</v>
      </c>
      <c r="C4278" s="13">
        <v>4</v>
      </c>
      <c r="D4278" s="21" t="s">
        <v>7729</v>
      </c>
      <c r="E4278" s="24">
        <v>2</v>
      </c>
    </row>
    <row r="4279" spans="2:5" x14ac:dyDescent="0.3">
      <c r="B4279" s="18" t="s">
        <v>7724</v>
      </c>
      <c r="C4279" s="13">
        <v>5</v>
      </c>
      <c r="D4279" s="21" t="s">
        <v>8428</v>
      </c>
      <c r="E4279" s="24">
        <v>10</v>
      </c>
    </row>
    <row r="4280" spans="2:5" x14ac:dyDescent="0.3">
      <c r="B4280" s="18" t="s">
        <v>7722</v>
      </c>
      <c r="C4280" s="13">
        <v>6</v>
      </c>
      <c r="D4280" s="21" t="s">
        <v>7727</v>
      </c>
      <c r="E4280" s="24">
        <v>1</v>
      </c>
    </row>
    <row r="4281" spans="2:5" x14ac:dyDescent="0.3">
      <c r="B4281" s="18" t="s">
        <v>7720</v>
      </c>
      <c r="C4281" s="13">
        <v>7</v>
      </c>
      <c r="D4281" s="21" t="s">
        <v>7725</v>
      </c>
      <c r="E4281" s="24">
        <v>2</v>
      </c>
    </row>
    <row r="4282" spans="2:5" x14ac:dyDescent="0.3">
      <c r="B4282" s="18" t="s">
        <v>7718</v>
      </c>
      <c r="C4282" s="13">
        <v>8</v>
      </c>
      <c r="D4282" s="21" t="s">
        <v>7723</v>
      </c>
      <c r="E4282" s="24">
        <v>1</v>
      </c>
    </row>
    <row r="4283" spans="2:5" x14ac:dyDescent="0.3">
      <c r="B4283" s="18" t="s">
        <v>7716</v>
      </c>
      <c r="C4283" s="13">
        <v>9</v>
      </c>
      <c r="D4283" s="21" t="s">
        <v>8429</v>
      </c>
      <c r="E4283" s="24">
        <v>22</v>
      </c>
    </row>
    <row r="4284" spans="2:5" x14ac:dyDescent="0.3">
      <c r="B4284" s="18" t="s">
        <v>7714</v>
      </c>
      <c r="C4284" s="13">
        <v>10</v>
      </c>
      <c r="D4284" s="21" t="s">
        <v>7711</v>
      </c>
      <c r="E4284" s="24">
        <v>23</v>
      </c>
    </row>
    <row r="4285" spans="2:5" x14ac:dyDescent="0.3">
      <c r="B4285" s="18" t="s">
        <v>7712</v>
      </c>
      <c r="C4285" s="13">
        <v>11</v>
      </c>
      <c r="D4285" s="21" t="s">
        <v>7709</v>
      </c>
      <c r="E4285" s="24">
        <v>24</v>
      </c>
    </row>
    <row r="4286" spans="2:5" x14ac:dyDescent="0.3">
      <c r="B4286" s="18" t="s">
        <v>7710</v>
      </c>
      <c r="C4286" s="13">
        <v>12</v>
      </c>
      <c r="D4286" s="21" t="s">
        <v>7707</v>
      </c>
      <c r="E4286" s="24">
        <v>25</v>
      </c>
    </row>
    <row r="4287" spans="2:5" x14ac:dyDescent="0.3">
      <c r="B4287" s="18" t="s">
        <v>7708</v>
      </c>
      <c r="C4287" s="13">
        <v>24</v>
      </c>
      <c r="D4287" s="21" t="s">
        <v>7705</v>
      </c>
      <c r="E4287" s="24">
        <v>26</v>
      </c>
    </row>
    <row r="4288" spans="2:5" x14ac:dyDescent="0.3">
      <c r="B4288" s="18" t="s">
        <v>7706</v>
      </c>
      <c r="C4288" s="13">
        <v>23</v>
      </c>
      <c r="D4288" s="21" t="s">
        <v>7703</v>
      </c>
      <c r="E4288" s="24">
        <v>27</v>
      </c>
    </row>
    <row r="4289" spans="2:5" x14ac:dyDescent="0.3">
      <c r="B4289" s="18" t="s">
        <v>7704</v>
      </c>
      <c r="C4289" s="13">
        <v>22</v>
      </c>
      <c r="D4289" s="21" t="s">
        <v>7701</v>
      </c>
      <c r="E4289" s="24">
        <v>28</v>
      </c>
    </row>
    <row r="4290" spans="2:5" x14ac:dyDescent="0.3">
      <c r="B4290" s="18" t="s">
        <v>7702</v>
      </c>
      <c r="C4290" s="13">
        <v>21</v>
      </c>
      <c r="D4290" s="21" t="s">
        <v>7699</v>
      </c>
      <c r="E4290" s="24">
        <v>29</v>
      </c>
    </row>
    <row r="4291" spans="2:5" x14ac:dyDescent="0.3">
      <c r="B4291" s="18" t="s">
        <v>7694</v>
      </c>
      <c r="C4291" s="13">
        <v>20</v>
      </c>
      <c r="D4291" s="21" t="s">
        <v>8430</v>
      </c>
      <c r="E4291" s="24">
        <v>21</v>
      </c>
    </row>
    <row r="4292" spans="2:5" x14ac:dyDescent="0.3">
      <c r="B4292" s="18" t="s">
        <v>7692</v>
      </c>
      <c r="C4292" s="13">
        <v>19</v>
      </c>
      <c r="D4292" s="21" t="s">
        <v>8431</v>
      </c>
      <c r="E4292" s="24">
        <v>19</v>
      </c>
    </row>
    <row r="4293" spans="2:5" x14ac:dyDescent="0.3">
      <c r="B4293" s="18" t="s">
        <v>7690</v>
      </c>
      <c r="C4293" s="13">
        <v>18</v>
      </c>
      <c r="D4293" s="21" t="s">
        <v>7695</v>
      </c>
      <c r="E4293" s="24">
        <v>18</v>
      </c>
    </row>
    <row r="4294" spans="2:5" x14ac:dyDescent="0.3">
      <c r="B4294" s="18" t="s">
        <v>7688</v>
      </c>
      <c r="C4294" s="13">
        <v>17</v>
      </c>
      <c r="D4294" s="21" t="s">
        <v>7693</v>
      </c>
      <c r="E4294" s="24">
        <v>17</v>
      </c>
    </row>
    <row r="4295" spans="2:5" x14ac:dyDescent="0.3">
      <c r="B4295" s="18" t="s">
        <v>7686</v>
      </c>
      <c r="C4295" s="13">
        <v>16</v>
      </c>
      <c r="D4295" s="21" t="s">
        <v>7691</v>
      </c>
      <c r="E4295" s="24">
        <v>16</v>
      </c>
    </row>
    <row r="4296" spans="2:5" x14ac:dyDescent="0.3">
      <c r="B4296" s="18" t="s">
        <v>7684</v>
      </c>
      <c r="C4296" s="13">
        <v>15</v>
      </c>
      <c r="D4296" s="21" t="s">
        <v>7689</v>
      </c>
      <c r="E4296" s="24">
        <v>15</v>
      </c>
    </row>
    <row r="4297" spans="2:5" x14ac:dyDescent="0.3">
      <c r="B4297" s="18" t="s">
        <v>7682</v>
      </c>
      <c r="C4297" s="13">
        <v>14</v>
      </c>
      <c r="D4297" s="21" t="s">
        <v>7687</v>
      </c>
      <c r="E4297" s="24">
        <v>14</v>
      </c>
    </row>
    <row r="4298" spans="2:5" x14ac:dyDescent="0.3">
      <c r="B4298" s="18" t="s">
        <v>7680</v>
      </c>
      <c r="C4298" s="13">
        <v>13</v>
      </c>
      <c r="D4298" s="21" t="s">
        <v>7685</v>
      </c>
      <c r="E4298" s="24">
        <v>13</v>
      </c>
    </row>
    <row r="4299" spans="2:5" x14ac:dyDescent="0.3">
      <c r="B4299" s="18" t="s">
        <v>7678</v>
      </c>
      <c r="C4299" s="13">
        <v>25</v>
      </c>
      <c r="D4299" s="21" t="s">
        <v>7683</v>
      </c>
      <c r="E4299" s="24">
        <v>12</v>
      </c>
    </row>
    <row r="4300" spans="2:5" x14ac:dyDescent="0.3">
      <c r="B4300" s="18" t="s">
        <v>7676</v>
      </c>
      <c r="C4300" s="13">
        <v>26</v>
      </c>
      <c r="D4300" s="21" t="s">
        <v>8432</v>
      </c>
      <c r="E4300" s="24">
        <v>20</v>
      </c>
    </row>
    <row r="4301" spans="2:5" x14ac:dyDescent="0.3">
      <c r="B4301" s="18" t="s">
        <v>7674</v>
      </c>
      <c r="C4301" s="13">
        <v>27</v>
      </c>
      <c r="D4301" s="21" t="s">
        <v>7681</v>
      </c>
      <c r="E4301" s="24">
        <v>11</v>
      </c>
    </row>
    <row r="4302" spans="2:5" x14ac:dyDescent="0.3">
      <c r="B4302" s="18" t="s">
        <v>7672</v>
      </c>
      <c r="C4302" s="13">
        <v>28</v>
      </c>
      <c r="D4302" s="21" t="s">
        <v>8433</v>
      </c>
      <c r="E4302" s="24">
        <v>9</v>
      </c>
    </row>
    <row r="4303" spans="2:5" x14ac:dyDescent="0.3">
      <c r="B4303" s="18" t="s">
        <v>7664</v>
      </c>
      <c r="C4303" s="13">
        <v>29</v>
      </c>
      <c r="D4303" s="21" t="s">
        <v>7679</v>
      </c>
      <c r="E4303" s="24">
        <v>8</v>
      </c>
    </row>
    <row r="4304" spans="2:5" x14ac:dyDescent="0.3">
      <c r="B4304" s="18" t="s">
        <v>7662</v>
      </c>
      <c r="C4304" s="13">
        <v>30</v>
      </c>
      <c r="D4304" s="21" t="s">
        <v>7677</v>
      </c>
      <c r="E4304" s="24">
        <v>7</v>
      </c>
    </row>
    <row r="4305" spans="2:5" x14ac:dyDescent="0.3">
      <c r="B4305" s="18" t="s">
        <v>7660</v>
      </c>
      <c r="C4305" s="13">
        <v>31</v>
      </c>
      <c r="D4305" s="21" t="s">
        <v>7675</v>
      </c>
      <c r="E4305" s="24">
        <v>6</v>
      </c>
    </row>
    <row r="4306" spans="2:5" x14ac:dyDescent="0.3">
      <c r="B4306" s="18" t="s">
        <v>7658</v>
      </c>
      <c r="C4306" s="13">
        <v>32</v>
      </c>
      <c r="D4306" s="21" t="s">
        <v>7673</v>
      </c>
      <c r="E4306" s="24">
        <v>5</v>
      </c>
    </row>
    <row r="4307" spans="2:5" x14ac:dyDescent="0.3">
      <c r="B4307" s="18" t="s">
        <v>7656</v>
      </c>
      <c r="C4307" s="13">
        <v>33</v>
      </c>
      <c r="D4307" s="21" t="s">
        <v>7671</v>
      </c>
      <c r="E4307" s="24">
        <v>4</v>
      </c>
    </row>
    <row r="4308" spans="2:5" x14ac:dyDescent="0.3">
      <c r="B4308" s="18" t="s">
        <v>7654</v>
      </c>
      <c r="C4308" s="13">
        <v>34</v>
      </c>
      <c r="D4308" s="21" t="s">
        <v>7669</v>
      </c>
      <c r="E4308" s="24">
        <v>3</v>
      </c>
    </row>
    <row r="4309" spans="2:5" x14ac:dyDescent="0.3">
      <c r="B4309" s="18" t="s">
        <v>7652</v>
      </c>
      <c r="C4309" s="13">
        <v>35</v>
      </c>
      <c r="D4309" s="21" t="s">
        <v>7667</v>
      </c>
      <c r="E4309" s="24">
        <v>2</v>
      </c>
    </row>
    <row r="4310" spans="2:5" x14ac:dyDescent="0.3">
      <c r="B4310" s="18" t="s">
        <v>7650</v>
      </c>
      <c r="C4310" s="13">
        <v>36</v>
      </c>
      <c r="D4310" s="21" t="s">
        <v>8434</v>
      </c>
      <c r="E4310" s="24">
        <v>10</v>
      </c>
    </row>
    <row r="4311" spans="2:5" x14ac:dyDescent="0.3">
      <c r="B4311" s="18" t="s">
        <v>8435</v>
      </c>
      <c r="C4311" s="13">
        <v>45</v>
      </c>
      <c r="D4311" s="21" t="s">
        <v>7665</v>
      </c>
      <c r="E4311" s="24">
        <v>1</v>
      </c>
    </row>
    <row r="4312" spans="2:5" x14ac:dyDescent="0.3">
      <c r="B4312" s="18" t="s">
        <v>8436</v>
      </c>
      <c r="C4312" s="13">
        <v>44</v>
      </c>
      <c r="D4312" s="21" t="s">
        <v>8437</v>
      </c>
      <c r="E4312" s="24">
        <v>22</v>
      </c>
    </row>
    <row r="4313" spans="2:5" x14ac:dyDescent="0.3">
      <c r="B4313" s="18" t="s">
        <v>8438</v>
      </c>
      <c r="C4313" s="13">
        <v>43</v>
      </c>
      <c r="D4313" s="21" t="s">
        <v>8439</v>
      </c>
      <c r="E4313" s="24">
        <v>23</v>
      </c>
    </row>
    <row r="4314" spans="2:5" x14ac:dyDescent="0.3">
      <c r="B4314" s="18" t="s">
        <v>8440</v>
      </c>
      <c r="C4314" s="13">
        <v>42</v>
      </c>
      <c r="D4314" s="21" t="s">
        <v>7649</v>
      </c>
      <c r="E4314" s="24">
        <v>24</v>
      </c>
    </row>
    <row r="4315" spans="2:5" x14ac:dyDescent="0.3">
      <c r="B4315" s="18" t="s">
        <v>8441</v>
      </c>
      <c r="C4315" s="13">
        <v>41</v>
      </c>
      <c r="D4315" s="21" t="s">
        <v>7647</v>
      </c>
      <c r="E4315" s="24">
        <v>25</v>
      </c>
    </row>
    <row r="4316" spans="2:5" x14ac:dyDescent="0.3">
      <c r="B4316" s="18" t="s">
        <v>8442</v>
      </c>
      <c r="C4316" s="13">
        <v>40</v>
      </c>
      <c r="D4316" s="21" t="s">
        <v>7645</v>
      </c>
      <c r="E4316" s="24">
        <v>26</v>
      </c>
    </row>
    <row r="4317" spans="2:5" x14ac:dyDescent="0.3">
      <c r="B4317" s="18" t="s">
        <v>8443</v>
      </c>
      <c r="C4317" s="13">
        <v>39</v>
      </c>
      <c r="D4317" s="21" t="s">
        <v>7643</v>
      </c>
      <c r="E4317" s="24">
        <v>27</v>
      </c>
    </row>
    <row r="4318" spans="2:5" x14ac:dyDescent="0.3">
      <c r="B4318" s="18" t="s">
        <v>8444</v>
      </c>
      <c r="C4318" s="13">
        <v>38</v>
      </c>
      <c r="D4318" s="21" t="s">
        <v>7641</v>
      </c>
      <c r="E4318" s="24">
        <v>28</v>
      </c>
    </row>
    <row r="4319" spans="2:5" x14ac:dyDescent="0.3">
      <c r="B4319" s="18" t="s">
        <v>8445</v>
      </c>
      <c r="C4319" s="13">
        <v>37</v>
      </c>
      <c r="D4319" s="21" t="s">
        <v>8446</v>
      </c>
      <c r="E4319" s="24">
        <v>21</v>
      </c>
    </row>
    <row r="4320" spans="2:5" x14ac:dyDescent="0.3">
      <c r="B4320" s="18" t="s">
        <v>7648</v>
      </c>
      <c r="C4320" s="13">
        <v>1</v>
      </c>
      <c r="D4320" s="21" t="s">
        <v>8447</v>
      </c>
      <c r="E4320" s="24">
        <v>19</v>
      </c>
    </row>
    <row r="4321" spans="2:5" x14ac:dyDescent="0.3">
      <c r="B4321" s="18" t="s">
        <v>7646</v>
      </c>
      <c r="C4321" s="13">
        <v>2</v>
      </c>
      <c r="D4321" s="21" t="s">
        <v>8448</v>
      </c>
      <c r="E4321" s="24">
        <v>18</v>
      </c>
    </row>
    <row r="4322" spans="2:5" x14ac:dyDescent="0.3">
      <c r="B4322" s="18" t="s">
        <v>7644</v>
      </c>
      <c r="C4322" s="13">
        <v>3</v>
      </c>
      <c r="D4322" s="21" t="s">
        <v>7635</v>
      </c>
      <c r="E4322" s="24">
        <v>17</v>
      </c>
    </row>
    <row r="4323" spans="2:5" x14ac:dyDescent="0.3">
      <c r="B4323" s="18" t="s">
        <v>7642</v>
      </c>
      <c r="C4323" s="13">
        <v>4</v>
      </c>
      <c r="D4323" s="21" t="s">
        <v>7633</v>
      </c>
      <c r="E4323" s="24">
        <v>16</v>
      </c>
    </row>
    <row r="4324" spans="2:5" x14ac:dyDescent="0.3">
      <c r="B4324" s="18" t="s">
        <v>7632</v>
      </c>
      <c r="C4324" s="13">
        <v>5</v>
      </c>
      <c r="D4324" s="21" t="s">
        <v>7631</v>
      </c>
      <c r="E4324" s="24">
        <v>15</v>
      </c>
    </row>
    <row r="4325" spans="2:5" x14ac:dyDescent="0.3">
      <c r="B4325" s="18" t="s">
        <v>7630</v>
      </c>
      <c r="C4325" s="13">
        <v>6</v>
      </c>
      <c r="D4325" s="21" t="s">
        <v>7629</v>
      </c>
      <c r="E4325" s="24">
        <v>14</v>
      </c>
    </row>
    <row r="4326" spans="2:5" x14ac:dyDescent="0.3">
      <c r="B4326" s="18" t="s">
        <v>7628</v>
      </c>
      <c r="C4326" s="13">
        <v>7</v>
      </c>
      <c r="D4326" s="21" t="s">
        <v>7627</v>
      </c>
      <c r="E4326" s="24">
        <v>13</v>
      </c>
    </row>
    <row r="4327" spans="2:5" x14ac:dyDescent="0.3">
      <c r="B4327" s="18" t="s">
        <v>7626</v>
      </c>
      <c r="C4327" s="13">
        <v>8</v>
      </c>
      <c r="D4327" s="21" t="s">
        <v>7625</v>
      </c>
      <c r="E4327" s="24">
        <v>12</v>
      </c>
    </row>
    <row r="4328" spans="2:5" x14ac:dyDescent="0.3">
      <c r="B4328" s="18" t="s">
        <v>7624</v>
      </c>
      <c r="C4328" s="13">
        <v>9</v>
      </c>
      <c r="D4328" s="21" t="s">
        <v>8449</v>
      </c>
      <c r="E4328" s="24">
        <v>20</v>
      </c>
    </row>
    <row r="4329" spans="2:5" x14ac:dyDescent="0.3">
      <c r="B4329" s="18" t="s">
        <v>7622</v>
      </c>
      <c r="C4329" s="13">
        <v>10</v>
      </c>
      <c r="D4329" s="21" t="s">
        <v>7623</v>
      </c>
      <c r="E4329" s="24">
        <v>11</v>
      </c>
    </row>
    <row r="4330" spans="2:5" x14ac:dyDescent="0.3">
      <c r="B4330" s="18" t="s">
        <v>7620</v>
      </c>
      <c r="C4330" s="13">
        <v>11</v>
      </c>
      <c r="D4330" s="21" t="s">
        <v>8450</v>
      </c>
      <c r="E4330" s="24">
        <v>9</v>
      </c>
    </row>
    <row r="4331" spans="2:5" x14ac:dyDescent="0.3">
      <c r="B4331" s="18" t="s">
        <v>7618</v>
      </c>
      <c r="C4331" s="13">
        <v>12</v>
      </c>
      <c r="D4331" s="21" t="s">
        <v>8451</v>
      </c>
      <c r="E4331" s="24">
        <v>8</v>
      </c>
    </row>
    <row r="4332" spans="2:5" x14ac:dyDescent="0.3">
      <c r="B4332" s="18" t="s">
        <v>7616</v>
      </c>
      <c r="C4332" s="13">
        <v>24</v>
      </c>
      <c r="D4332" s="21" t="s">
        <v>7621</v>
      </c>
      <c r="E4332" s="24">
        <v>7</v>
      </c>
    </row>
    <row r="4333" spans="2:5" x14ac:dyDescent="0.3">
      <c r="B4333" s="18" t="s">
        <v>7614</v>
      </c>
      <c r="C4333" s="13">
        <v>23</v>
      </c>
      <c r="D4333" s="21" t="s">
        <v>7619</v>
      </c>
      <c r="E4333" s="24">
        <v>6</v>
      </c>
    </row>
    <row r="4334" spans="2:5" x14ac:dyDescent="0.3">
      <c r="B4334" s="18" t="s">
        <v>7612</v>
      </c>
      <c r="C4334" s="13">
        <v>22</v>
      </c>
      <c r="D4334" s="21" t="s">
        <v>7617</v>
      </c>
      <c r="E4334" s="24">
        <v>5</v>
      </c>
    </row>
    <row r="4335" spans="2:5" x14ac:dyDescent="0.3">
      <c r="B4335" s="18" t="s">
        <v>7610</v>
      </c>
      <c r="C4335" s="13">
        <v>21</v>
      </c>
      <c r="D4335" s="21" t="s">
        <v>7615</v>
      </c>
      <c r="E4335" s="24">
        <v>4</v>
      </c>
    </row>
    <row r="4336" spans="2:5" x14ac:dyDescent="0.3">
      <c r="B4336" s="18" t="s">
        <v>7600</v>
      </c>
      <c r="C4336" s="13">
        <v>20</v>
      </c>
      <c r="D4336" s="21" t="s">
        <v>7613</v>
      </c>
      <c r="E4336" s="24">
        <v>3</v>
      </c>
    </row>
    <row r="4337" spans="2:5" x14ac:dyDescent="0.3">
      <c r="B4337" s="18" t="s">
        <v>7598</v>
      </c>
      <c r="C4337" s="13">
        <v>19</v>
      </c>
      <c r="D4337" s="21" t="s">
        <v>7611</v>
      </c>
      <c r="E4337" s="24">
        <v>2</v>
      </c>
    </row>
    <row r="4338" spans="2:5" x14ac:dyDescent="0.3">
      <c r="B4338" s="18" t="s">
        <v>7596</v>
      </c>
      <c r="C4338" s="13">
        <v>18</v>
      </c>
      <c r="D4338" s="21" t="s">
        <v>8452</v>
      </c>
      <c r="E4338" s="24">
        <v>10</v>
      </c>
    </row>
    <row r="4339" spans="2:5" x14ac:dyDescent="0.3">
      <c r="B4339" s="18" t="s">
        <v>7594</v>
      </c>
      <c r="C4339" s="13">
        <v>17</v>
      </c>
      <c r="D4339" s="21" t="s">
        <v>7609</v>
      </c>
      <c r="E4339" s="24">
        <v>1</v>
      </c>
    </row>
    <row r="4340" spans="2:5" x14ac:dyDescent="0.3">
      <c r="B4340" s="18" t="s">
        <v>7592</v>
      </c>
      <c r="C4340" s="13">
        <v>16</v>
      </c>
      <c r="D4340" s="21" t="s">
        <v>8453</v>
      </c>
      <c r="E4340" s="24">
        <v>19</v>
      </c>
    </row>
    <row r="4341" spans="2:5" x14ac:dyDescent="0.3">
      <c r="B4341" s="18" t="s">
        <v>7590</v>
      </c>
      <c r="C4341" s="13">
        <v>15</v>
      </c>
      <c r="D4341" s="21" t="s">
        <v>8454</v>
      </c>
      <c r="E4341" s="24">
        <v>20</v>
      </c>
    </row>
    <row r="4342" spans="2:5" x14ac:dyDescent="0.3">
      <c r="B4342" s="18" t="s">
        <v>7588</v>
      </c>
      <c r="C4342" s="13">
        <v>14</v>
      </c>
      <c r="D4342" s="21" t="s">
        <v>7595</v>
      </c>
      <c r="E4342" s="24">
        <v>21</v>
      </c>
    </row>
    <row r="4343" spans="2:5" x14ac:dyDescent="0.3">
      <c r="B4343" s="18" t="s">
        <v>7586</v>
      </c>
      <c r="C4343" s="13">
        <v>13</v>
      </c>
      <c r="D4343" s="21" t="s">
        <v>7593</v>
      </c>
      <c r="E4343" s="24">
        <v>22</v>
      </c>
    </row>
    <row r="4344" spans="2:5" x14ac:dyDescent="0.3">
      <c r="B4344" s="18" t="s">
        <v>8455</v>
      </c>
      <c r="C4344" s="13">
        <v>25</v>
      </c>
      <c r="D4344" s="21" t="s">
        <v>7591</v>
      </c>
      <c r="E4344" s="24">
        <v>23</v>
      </c>
    </row>
    <row r="4345" spans="2:5" x14ac:dyDescent="0.3">
      <c r="B4345" s="18" t="s">
        <v>7584</v>
      </c>
      <c r="C4345" s="13">
        <v>26</v>
      </c>
      <c r="D4345" s="21" t="s">
        <v>7589</v>
      </c>
      <c r="E4345" s="24">
        <v>24</v>
      </c>
    </row>
    <row r="4346" spans="2:5" x14ac:dyDescent="0.3">
      <c r="B4346" s="18" t="s">
        <v>7582</v>
      </c>
      <c r="C4346" s="13">
        <v>27</v>
      </c>
      <c r="D4346" s="21" t="s">
        <v>7587</v>
      </c>
      <c r="E4346" s="24">
        <v>25</v>
      </c>
    </row>
    <row r="4347" spans="2:5" x14ac:dyDescent="0.3">
      <c r="B4347" s="18" t="s">
        <v>7580</v>
      </c>
      <c r="C4347" s="13">
        <v>28</v>
      </c>
      <c r="D4347" s="21" t="s">
        <v>7585</v>
      </c>
      <c r="E4347" s="24">
        <v>26</v>
      </c>
    </row>
    <row r="4348" spans="2:5" x14ac:dyDescent="0.3">
      <c r="B4348" s="18" t="s">
        <v>8456</v>
      </c>
      <c r="C4348" s="13">
        <v>29</v>
      </c>
      <c r="D4348" s="21" t="s">
        <v>7583</v>
      </c>
      <c r="E4348" s="24">
        <v>27</v>
      </c>
    </row>
    <row r="4349" spans="2:5" x14ac:dyDescent="0.3">
      <c r="B4349" s="18" t="s">
        <v>7570</v>
      </c>
      <c r="C4349" s="13">
        <v>30</v>
      </c>
      <c r="D4349" s="21" t="s">
        <v>8457</v>
      </c>
      <c r="E4349" s="24">
        <v>18</v>
      </c>
    </row>
    <row r="4350" spans="2:5" x14ac:dyDescent="0.3">
      <c r="B4350" s="18" t="s">
        <v>7568</v>
      </c>
      <c r="C4350" s="13">
        <v>31</v>
      </c>
      <c r="D4350" s="21" t="s">
        <v>8458</v>
      </c>
      <c r="E4350" s="24">
        <v>17</v>
      </c>
    </row>
    <row r="4351" spans="2:5" x14ac:dyDescent="0.3">
      <c r="B4351" s="18" t="s">
        <v>7566</v>
      </c>
      <c r="C4351" s="13">
        <v>32</v>
      </c>
      <c r="D4351" s="21" t="s">
        <v>7581</v>
      </c>
      <c r="E4351" s="24">
        <v>16</v>
      </c>
    </row>
    <row r="4352" spans="2:5" x14ac:dyDescent="0.3">
      <c r="B4352" s="18" t="s">
        <v>7564</v>
      </c>
      <c r="C4352" s="13">
        <v>33</v>
      </c>
      <c r="D4352" s="21" t="s">
        <v>7579</v>
      </c>
      <c r="E4352" s="24">
        <v>15</v>
      </c>
    </row>
    <row r="4353" spans="2:5" x14ac:dyDescent="0.3">
      <c r="B4353" s="18" t="s">
        <v>7562</v>
      </c>
      <c r="C4353" s="13">
        <v>34</v>
      </c>
      <c r="D4353" s="21" t="s">
        <v>7577</v>
      </c>
      <c r="E4353" s="24">
        <v>14</v>
      </c>
    </row>
    <row r="4354" spans="2:5" x14ac:dyDescent="0.3">
      <c r="B4354" s="18" t="s">
        <v>7560</v>
      </c>
      <c r="C4354" s="13">
        <v>35</v>
      </c>
      <c r="D4354" s="21" t="s">
        <v>7575</v>
      </c>
      <c r="E4354" s="24">
        <v>13</v>
      </c>
    </row>
    <row r="4355" spans="2:5" x14ac:dyDescent="0.3">
      <c r="B4355" s="18" t="s">
        <v>7558</v>
      </c>
      <c r="C4355" s="13">
        <v>36</v>
      </c>
      <c r="D4355" s="21" t="s">
        <v>7573</v>
      </c>
      <c r="E4355" s="24">
        <v>12</v>
      </c>
    </row>
    <row r="4356" spans="2:5" x14ac:dyDescent="0.3">
      <c r="B4356" s="18" t="s">
        <v>8459</v>
      </c>
      <c r="C4356" s="13">
        <v>46</v>
      </c>
      <c r="D4356" s="21" t="s">
        <v>7571</v>
      </c>
      <c r="E4356" s="24">
        <v>11</v>
      </c>
    </row>
    <row r="4357" spans="2:5" x14ac:dyDescent="0.3">
      <c r="B4357" s="18" t="s">
        <v>8460</v>
      </c>
      <c r="C4357" s="13">
        <v>45</v>
      </c>
      <c r="D4357" s="21" t="s">
        <v>7569</v>
      </c>
      <c r="E4357" s="24">
        <v>10</v>
      </c>
    </row>
    <row r="4358" spans="2:5" x14ac:dyDescent="0.3">
      <c r="B4358" s="18" t="s">
        <v>8461</v>
      </c>
      <c r="C4358" s="13">
        <v>44</v>
      </c>
      <c r="D4358" s="21" t="s">
        <v>8462</v>
      </c>
      <c r="E4358" s="24">
        <v>9</v>
      </c>
    </row>
    <row r="4359" spans="2:5" x14ac:dyDescent="0.3">
      <c r="B4359" s="18" t="s">
        <v>8463</v>
      </c>
      <c r="C4359" s="13">
        <v>43</v>
      </c>
      <c r="D4359" s="21" t="s">
        <v>8464</v>
      </c>
      <c r="E4359" s="24">
        <v>8</v>
      </c>
    </row>
    <row r="4360" spans="2:5" x14ac:dyDescent="0.3">
      <c r="B4360" s="18" t="s">
        <v>8465</v>
      </c>
      <c r="C4360" s="13">
        <v>42</v>
      </c>
      <c r="D4360" s="21" t="s">
        <v>7567</v>
      </c>
      <c r="E4360" s="24">
        <v>7</v>
      </c>
    </row>
    <row r="4361" spans="2:5" x14ac:dyDescent="0.3">
      <c r="B4361" s="18" t="s">
        <v>8466</v>
      </c>
      <c r="C4361" s="13">
        <v>41</v>
      </c>
      <c r="D4361" s="21" t="s">
        <v>7565</v>
      </c>
      <c r="E4361" s="24">
        <v>6</v>
      </c>
    </row>
    <row r="4362" spans="2:5" x14ac:dyDescent="0.3">
      <c r="B4362" s="18" t="s">
        <v>8467</v>
      </c>
      <c r="C4362" s="13">
        <v>40</v>
      </c>
      <c r="D4362" s="21" t="s">
        <v>7563</v>
      </c>
      <c r="E4362" s="24">
        <v>5</v>
      </c>
    </row>
    <row r="4363" spans="2:5" x14ac:dyDescent="0.3">
      <c r="B4363" s="18" t="s">
        <v>8468</v>
      </c>
      <c r="C4363" s="13">
        <v>39</v>
      </c>
      <c r="D4363" s="21" t="s">
        <v>7561</v>
      </c>
      <c r="E4363" s="24">
        <v>4</v>
      </c>
    </row>
    <row r="4364" spans="2:5" x14ac:dyDescent="0.3">
      <c r="B4364" s="18" t="s">
        <v>8469</v>
      </c>
      <c r="C4364" s="13">
        <v>38</v>
      </c>
      <c r="D4364" s="21" t="s">
        <v>7559</v>
      </c>
      <c r="E4364" s="24">
        <v>3</v>
      </c>
    </row>
    <row r="4365" spans="2:5" x14ac:dyDescent="0.3">
      <c r="B4365" s="18" t="s">
        <v>8470</v>
      </c>
      <c r="C4365" s="13">
        <v>37</v>
      </c>
      <c r="D4365" s="21" t="s">
        <v>7557</v>
      </c>
      <c r="E4365" s="24">
        <v>2</v>
      </c>
    </row>
    <row r="4366" spans="2:5" x14ac:dyDescent="0.3">
      <c r="B4366" s="18" t="s">
        <v>7556</v>
      </c>
      <c r="C4366" s="13">
        <v>1</v>
      </c>
      <c r="D4366" s="21" t="s">
        <v>7555</v>
      </c>
      <c r="E4366" s="24">
        <v>1</v>
      </c>
    </row>
    <row r="4367" spans="2:5" x14ac:dyDescent="0.3">
      <c r="B4367" s="18" t="s">
        <v>7554</v>
      </c>
      <c r="C4367" s="13">
        <v>2</v>
      </c>
      <c r="D4367" s="21" t="s">
        <v>8471</v>
      </c>
      <c r="E4367" s="24">
        <v>19</v>
      </c>
    </row>
    <row r="4368" spans="2:5" x14ac:dyDescent="0.3">
      <c r="B4368" s="18" t="s">
        <v>7552</v>
      </c>
      <c r="C4368" s="13">
        <v>3</v>
      </c>
      <c r="D4368" s="21" t="s">
        <v>8472</v>
      </c>
      <c r="E4368" s="24">
        <v>20</v>
      </c>
    </row>
    <row r="4369" spans="2:5" x14ac:dyDescent="0.3">
      <c r="B4369" s="18" t="s">
        <v>7550</v>
      </c>
      <c r="C4369" s="13">
        <v>4</v>
      </c>
      <c r="D4369" s="21" t="s">
        <v>7543</v>
      </c>
      <c r="E4369" s="24">
        <v>21</v>
      </c>
    </row>
    <row r="4370" spans="2:5" x14ac:dyDescent="0.3">
      <c r="B4370" s="18" t="s">
        <v>7540</v>
      </c>
      <c r="C4370" s="13">
        <v>5</v>
      </c>
      <c r="D4370" s="21" t="s">
        <v>7541</v>
      </c>
      <c r="E4370" s="24">
        <v>22</v>
      </c>
    </row>
    <row r="4371" spans="2:5" x14ac:dyDescent="0.3">
      <c r="B4371" s="18" t="s">
        <v>7538</v>
      </c>
      <c r="C4371" s="13">
        <v>6</v>
      </c>
      <c r="D4371" s="21" t="s">
        <v>7539</v>
      </c>
      <c r="E4371" s="24">
        <v>23</v>
      </c>
    </row>
    <row r="4372" spans="2:5" x14ac:dyDescent="0.3">
      <c r="B4372" s="18" t="s">
        <v>7536</v>
      </c>
      <c r="C4372" s="13">
        <v>7</v>
      </c>
      <c r="D4372" s="21" t="s">
        <v>7537</v>
      </c>
      <c r="E4372" s="24">
        <v>24</v>
      </c>
    </row>
    <row r="4373" spans="2:5" x14ac:dyDescent="0.3">
      <c r="B4373" s="18" t="s">
        <v>7534</v>
      </c>
      <c r="C4373" s="13">
        <v>8</v>
      </c>
      <c r="D4373" s="21" t="s">
        <v>7535</v>
      </c>
      <c r="E4373" s="24">
        <v>25</v>
      </c>
    </row>
    <row r="4374" spans="2:5" x14ac:dyDescent="0.3">
      <c r="B4374" s="18" t="s">
        <v>7532</v>
      </c>
      <c r="C4374" s="13">
        <v>9</v>
      </c>
      <c r="D4374" s="21" t="s">
        <v>7533</v>
      </c>
      <c r="E4374" s="24">
        <v>26</v>
      </c>
    </row>
    <row r="4375" spans="2:5" x14ac:dyDescent="0.3">
      <c r="B4375" s="18" t="s">
        <v>7530</v>
      </c>
      <c r="C4375" s="13">
        <v>10</v>
      </c>
      <c r="D4375" s="21" t="s">
        <v>8473</v>
      </c>
      <c r="E4375" s="24">
        <v>18</v>
      </c>
    </row>
    <row r="4376" spans="2:5" x14ac:dyDescent="0.3">
      <c r="B4376" s="18" t="s">
        <v>7528</v>
      </c>
      <c r="C4376" s="13">
        <v>11</v>
      </c>
      <c r="D4376" s="21" t="s">
        <v>8474</v>
      </c>
      <c r="E4376" s="24">
        <v>17</v>
      </c>
    </row>
    <row r="4377" spans="2:5" x14ac:dyDescent="0.3">
      <c r="B4377" s="18" t="s">
        <v>7526</v>
      </c>
      <c r="C4377" s="13">
        <v>12</v>
      </c>
      <c r="D4377" s="21" t="s">
        <v>7529</v>
      </c>
      <c r="E4377" s="24">
        <v>16</v>
      </c>
    </row>
    <row r="4378" spans="2:5" x14ac:dyDescent="0.3">
      <c r="B4378" s="18" t="s">
        <v>7524</v>
      </c>
      <c r="C4378" s="13">
        <v>24</v>
      </c>
      <c r="D4378" s="21" t="s">
        <v>7527</v>
      </c>
      <c r="E4378" s="24">
        <v>15</v>
      </c>
    </row>
    <row r="4379" spans="2:5" x14ac:dyDescent="0.3">
      <c r="B4379" s="18" t="s">
        <v>7522</v>
      </c>
      <c r="C4379" s="13">
        <v>23</v>
      </c>
      <c r="D4379" s="21" t="s">
        <v>7525</v>
      </c>
      <c r="E4379" s="24">
        <v>14</v>
      </c>
    </row>
    <row r="4380" spans="2:5" x14ac:dyDescent="0.3">
      <c r="B4380" s="18" t="s">
        <v>7520</v>
      </c>
      <c r="C4380" s="13">
        <v>22</v>
      </c>
      <c r="D4380" s="21" t="s">
        <v>7523</v>
      </c>
      <c r="E4380" s="24">
        <v>13</v>
      </c>
    </row>
    <row r="4381" spans="2:5" x14ac:dyDescent="0.3">
      <c r="B4381" s="18" t="s">
        <v>7518</v>
      </c>
      <c r="C4381" s="13">
        <v>21</v>
      </c>
      <c r="D4381" s="21" t="s">
        <v>7521</v>
      </c>
      <c r="E4381" s="24">
        <v>12</v>
      </c>
    </row>
    <row r="4382" spans="2:5" x14ac:dyDescent="0.3">
      <c r="B4382" s="18" t="s">
        <v>7508</v>
      </c>
      <c r="C4382" s="13">
        <v>20</v>
      </c>
      <c r="D4382" s="21" t="s">
        <v>7519</v>
      </c>
      <c r="E4382" s="24">
        <v>11</v>
      </c>
    </row>
    <row r="4383" spans="2:5" x14ac:dyDescent="0.3">
      <c r="B4383" s="18" t="s">
        <v>7506</v>
      </c>
      <c r="C4383" s="13">
        <v>19</v>
      </c>
      <c r="D4383" s="21" t="s">
        <v>7517</v>
      </c>
      <c r="E4383" s="24">
        <v>10</v>
      </c>
    </row>
    <row r="4384" spans="2:5" x14ac:dyDescent="0.3">
      <c r="B4384" s="18" t="s">
        <v>7504</v>
      </c>
      <c r="C4384" s="13">
        <v>18</v>
      </c>
      <c r="D4384" s="21" t="s">
        <v>8475</v>
      </c>
      <c r="E4384" s="24">
        <v>9</v>
      </c>
    </row>
    <row r="4385" spans="2:5" x14ac:dyDescent="0.3">
      <c r="B4385" s="18" t="s">
        <v>7502</v>
      </c>
      <c r="C4385" s="13">
        <v>17</v>
      </c>
      <c r="D4385" s="21" t="s">
        <v>8476</v>
      </c>
      <c r="E4385" s="24">
        <v>8</v>
      </c>
    </row>
    <row r="4386" spans="2:5" x14ac:dyDescent="0.3">
      <c r="B4386" s="18" t="s">
        <v>7500</v>
      </c>
      <c r="C4386" s="13">
        <v>16</v>
      </c>
      <c r="D4386" s="21" t="s">
        <v>7515</v>
      </c>
      <c r="E4386" s="24">
        <v>7</v>
      </c>
    </row>
    <row r="4387" spans="2:5" x14ac:dyDescent="0.3">
      <c r="B4387" s="18" t="s">
        <v>7498</v>
      </c>
      <c r="C4387" s="13">
        <v>15</v>
      </c>
      <c r="D4387" s="21" t="s">
        <v>7513</v>
      </c>
      <c r="E4387" s="24">
        <v>6</v>
      </c>
    </row>
    <row r="4388" spans="2:5" x14ac:dyDescent="0.3">
      <c r="B4388" s="18" t="s">
        <v>7496</v>
      </c>
      <c r="C4388" s="13">
        <v>14</v>
      </c>
      <c r="D4388" s="21" t="s">
        <v>7511</v>
      </c>
      <c r="E4388" s="24">
        <v>5</v>
      </c>
    </row>
    <row r="4389" spans="2:5" x14ac:dyDescent="0.3">
      <c r="B4389" s="18" t="s">
        <v>7494</v>
      </c>
      <c r="C4389" s="13">
        <v>13</v>
      </c>
      <c r="D4389" s="21" t="s">
        <v>7509</v>
      </c>
      <c r="E4389" s="24">
        <v>4</v>
      </c>
    </row>
    <row r="4390" spans="2:5" x14ac:dyDescent="0.3">
      <c r="B4390" s="18" t="s">
        <v>8477</v>
      </c>
      <c r="C4390" s="13">
        <v>25</v>
      </c>
      <c r="D4390" s="21" t="s">
        <v>7507</v>
      </c>
      <c r="E4390" s="24">
        <v>3</v>
      </c>
    </row>
    <row r="4391" spans="2:5" x14ac:dyDescent="0.3">
      <c r="B4391" s="18" t="s">
        <v>7492</v>
      </c>
      <c r="C4391" s="13">
        <v>26</v>
      </c>
      <c r="D4391" s="21" t="s">
        <v>7505</v>
      </c>
      <c r="E4391" s="24">
        <v>2</v>
      </c>
    </row>
    <row r="4392" spans="2:5" x14ac:dyDescent="0.3">
      <c r="B4392" s="18" t="s">
        <v>7490</v>
      </c>
      <c r="C4392" s="13">
        <v>27</v>
      </c>
      <c r="D4392" s="21" t="s">
        <v>7503</v>
      </c>
      <c r="E4392" s="24">
        <v>1</v>
      </c>
    </row>
    <row r="4393" spans="2:5" x14ac:dyDescent="0.3">
      <c r="B4393" s="18" t="s">
        <v>7488</v>
      </c>
      <c r="C4393" s="13">
        <v>28</v>
      </c>
      <c r="D4393" s="21" t="s">
        <v>8478</v>
      </c>
      <c r="E4393" s="24">
        <v>19</v>
      </c>
    </row>
    <row r="4394" spans="2:5" x14ac:dyDescent="0.3">
      <c r="B4394" s="18" t="s">
        <v>7478</v>
      </c>
      <c r="C4394" s="13">
        <v>29</v>
      </c>
      <c r="D4394" s="21" t="s">
        <v>8479</v>
      </c>
      <c r="E4394" s="24">
        <v>20</v>
      </c>
    </row>
    <row r="4395" spans="2:5" x14ac:dyDescent="0.3">
      <c r="B4395" s="18" t="s">
        <v>7476</v>
      </c>
      <c r="C4395" s="13">
        <v>30</v>
      </c>
      <c r="D4395" s="21" t="s">
        <v>7493</v>
      </c>
      <c r="E4395" s="24">
        <v>21</v>
      </c>
    </row>
    <row r="4396" spans="2:5" x14ac:dyDescent="0.3">
      <c r="B4396" s="18" t="s">
        <v>7474</v>
      </c>
      <c r="C4396" s="13">
        <v>31</v>
      </c>
      <c r="D4396" s="21" t="s">
        <v>7491</v>
      </c>
      <c r="E4396" s="24">
        <v>22</v>
      </c>
    </row>
    <row r="4397" spans="2:5" x14ac:dyDescent="0.3">
      <c r="B4397" s="18" t="s">
        <v>7472</v>
      </c>
      <c r="C4397" s="13">
        <v>32</v>
      </c>
      <c r="D4397" s="21" t="s">
        <v>7489</v>
      </c>
      <c r="E4397" s="24">
        <v>23</v>
      </c>
    </row>
    <row r="4398" spans="2:5" x14ac:dyDescent="0.3">
      <c r="B4398" s="18" t="s">
        <v>7470</v>
      </c>
      <c r="C4398" s="13">
        <v>33</v>
      </c>
      <c r="D4398" s="21" t="s">
        <v>7487</v>
      </c>
      <c r="E4398" s="24">
        <v>24</v>
      </c>
    </row>
    <row r="4399" spans="2:5" x14ac:dyDescent="0.3">
      <c r="B4399" s="18" t="s">
        <v>7468</v>
      </c>
      <c r="C4399" s="13">
        <v>34</v>
      </c>
      <c r="D4399" s="21" t="s">
        <v>7485</v>
      </c>
      <c r="E4399" s="24">
        <v>25</v>
      </c>
    </row>
    <row r="4400" spans="2:5" x14ac:dyDescent="0.3">
      <c r="B4400" s="18" t="s">
        <v>7466</v>
      </c>
      <c r="C4400" s="13">
        <v>35</v>
      </c>
      <c r="D4400" s="21" t="s">
        <v>8480</v>
      </c>
      <c r="E4400" s="24">
        <v>18</v>
      </c>
    </row>
    <row r="4401" spans="2:5" x14ac:dyDescent="0.3">
      <c r="B4401" s="18" t="s">
        <v>7464</v>
      </c>
      <c r="C4401" s="13">
        <v>36</v>
      </c>
      <c r="D4401" s="21" t="s">
        <v>8481</v>
      </c>
      <c r="E4401" s="24">
        <v>17</v>
      </c>
    </row>
    <row r="4402" spans="2:5" x14ac:dyDescent="0.3">
      <c r="B4402" s="18" t="s">
        <v>8482</v>
      </c>
      <c r="C4402" s="13">
        <v>47</v>
      </c>
      <c r="D4402" s="21" t="s">
        <v>7479</v>
      </c>
      <c r="E4402" s="24">
        <v>16</v>
      </c>
    </row>
    <row r="4403" spans="2:5" x14ac:dyDescent="0.3">
      <c r="B4403" s="18" t="s">
        <v>8483</v>
      </c>
      <c r="C4403" s="13">
        <v>46</v>
      </c>
      <c r="D4403" s="21" t="s">
        <v>7477</v>
      </c>
      <c r="E4403" s="24">
        <v>15</v>
      </c>
    </row>
    <row r="4404" spans="2:5" x14ac:dyDescent="0.3">
      <c r="B4404" s="18" t="s">
        <v>8484</v>
      </c>
      <c r="C4404" s="13">
        <v>45</v>
      </c>
      <c r="D4404" s="21" t="s">
        <v>7475</v>
      </c>
      <c r="E4404" s="24">
        <v>14</v>
      </c>
    </row>
    <row r="4405" spans="2:5" x14ac:dyDescent="0.3">
      <c r="B4405" s="18" t="s">
        <v>8485</v>
      </c>
      <c r="C4405" s="13">
        <v>44</v>
      </c>
      <c r="D4405" s="21" t="s">
        <v>7473</v>
      </c>
      <c r="E4405" s="24">
        <v>13</v>
      </c>
    </row>
    <row r="4406" spans="2:5" x14ac:dyDescent="0.3">
      <c r="B4406" s="18" t="s">
        <v>8486</v>
      </c>
      <c r="C4406" s="13">
        <v>43</v>
      </c>
      <c r="D4406" s="21" t="s">
        <v>7471</v>
      </c>
      <c r="E4406" s="24">
        <v>12</v>
      </c>
    </row>
    <row r="4407" spans="2:5" x14ac:dyDescent="0.3">
      <c r="B4407" s="18" t="s">
        <v>8487</v>
      </c>
      <c r="C4407" s="13">
        <v>42</v>
      </c>
      <c r="D4407" s="21" t="s">
        <v>7469</v>
      </c>
      <c r="E4407" s="24">
        <v>11</v>
      </c>
    </row>
    <row r="4408" spans="2:5" x14ac:dyDescent="0.3">
      <c r="B4408" s="18" t="s">
        <v>8488</v>
      </c>
      <c r="C4408" s="13">
        <v>41</v>
      </c>
      <c r="D4408" s="21" t="s">
        <v>7467</v>
      </c>
      <c r="E4408" s="24">
        <v>10</v>
      </c>
    </row>
    <row r="4409" spans="2:5" x14ac:dyDescent="0.3">
      <c r="B4409" s="18" t="s">
        <v>8489</v>
      </c>
      <c r="C4409" s="13">
        <v>40</v>
      </c>
      <c r="D4409" s="21" t="s">
        <v>8490</v>
      </c>
      <c r="E4409" s="24">
        <v>9</v>
      </c>
    </row>
    <row r="4410" spans="2:5" x14ac:dyDescent="0.3">
      <c r="B4410" s="18" t="s">
        <v>8491</v>
      </c>
      <c r="C4410" s="13">
        <v>39</v>
      </c>
      <c r="D4410" s="21" t="s">
        <v>8492</v>
      </c>
      <c r="E4410" s="24">
        <v>8</v>
      </c>
    </row>
    <row r="4411" spans="2:5" x14ac:dyDescent="0.3">
      <c r="B4411" s="18" t="s">
        <v>8493</v>
      </c>
      <c r="C4411" s="13">
        <v>38</v>
      </c>
      <c r="D4411" s="21" t="s">
        <v>7465</v>
      </c>
      <c r="E4411" s="24">
        <v>7</v>
      </c>
    </row>
    <row r="4412" spans="2:5" x14ac:dyDescent="0.3">
      <c r="B4412" s="18" t="s">
        <v>8494</v>
      </c>
      <c r="C4412" s="13">
        <v>37</v>
      </c>
      <c r="D4412" s="21" t="s">
        <v>7463</v>
      </c>
      <c r="E4412" s="24">
        <v>6</v>
      </c>
    </row>
    <row r="4413" spans="2:5" x14ac:dyDescent="0.3">
      <c r="B4413" s="18" t="s">
        <v>7462</v>
      </c>
      <c r="C4413" s="13">
        <v>1</v>
      </c>
      <c r="D4413" s="21" t="s">
        <v>7461</v>
      </c>
      <c r="E4413" s="24">
        <v>5</v>
      </c>
    </row>
    <row r="4414" spans="2:5" x14ac:dyDescent="0.3">
      <c r="B4414" s="18" t="s">
        <v>7460</v>
      </c>
      <c r="C4414" s="13">
        <v>2</v>
      </c>
      <c r="D4414" s="21" t="s">
        <v>7459</v>
      </c>
      <c r="E4414" s="24">
        <v>4</v>
      </c>
    </row>
    <row r="4415" spans="2:5" x14ac:dyDescent="0.3">
      <c r="B4415" s="18" t="s">
        <v>7458</v>
      </c>
      <c r="C4415" s="13">
        <v>3</v>
      </c>
      <c r="D4415" s="21" t="s">
        <v>7457</v>
      </c>
      <c r="E4415" s="24">
        <v>3</v>
      </c>
    </row>
    <row r="4416" spans="2:5" x14ac:dyDescent="0.3">
      <c r="B4416" s="18" t="s">
        <v>7456</v>
      </c>
      <c r="C4416" s="13">
        <v>4</v>
      </c>
      <c r="D4416" s="21" t="s">
        <v>7455</v>
      </c>
      <c r="E4416" s="24">
        <v>2</v>
      </c>
    </row>
    <row r="4417" spans="2:5" x14ac:dyDescent="0.3">
      <c r="B4417" s="18" t="s">
        <v>7446</v>
      </c>
      <c r="C4417" s="13">
        <v>5</v>
      </c>
      <c r="D4417" s="21" t="s">
        <v>7453</v>
      </c>
      <c r="E4417" s="24">
        <v>1</v>
      </c>
    </row>
    <row r="4418" spans="2:5" x14ac:dyDescent="0.3">
      <c r="B4418" s="18" t="s">
        <v>7444</v>
      </c>
      <c r="C4418" s="13">
        <v>6</v>
      </c>
      <c r="D4418" s="21" t="s">
        <v>8495</v>
      </c>
      <c r="E4418" s="24">
        <v>17</v>
      </c>
    </row>
    <row r="4419" spans="2:5" x14ac:dyDescent="0.3">
      <c r="B4419" s="18" t="s">
        <v>7442</v>
      </c>
      <c r="C4419" s="13">
        <v>7</v>
      </c>
      <c r="D4419" s="21" t="s">
        <v>8496</v>
      </c>
      <c r="E4419" s="24">
        <v>18</v>
      </c>
    </row>
    <row r="4420" spans="2:5" x14ac:dyDescent="0.3">
      <c r="B4420" s="18" t="s">
        <v>7440</v>
      </c>
      <c r="C4420" s="13">
        <v>8</v>
      </c>
      <c r="D4420" s="21" t="s">
        <v>7439</v>
      </c>
      <c r="E4420" s="24">
        <v>19</v>
      </c>
    </row>
    <row r="4421" spans="2:5" x14ac:dyDescent="0.3">
      <c r="B4421" s="18" t="s">
        <v>7438</v>
      </c>
      <c r="C4421" s="13">
        <v>9</v>
      </c>
      <c r="D4421" s="21" t="s">
        <v>7437</v>
      </c>
      <c r="E4421" s="24">
        <v>20</v>
      </c>
    </row>
    <row r="4422" spans="2:5" x14ac:dyDescent="0.3">
      <c r="B4422" s="18" t="s">
        <v>7436</v>
      </c>
      <c r="C4422" s="13">
        <v>10</v>
      </c>
      <c r="D4422" s="21" t="s">
        <v>7435</v>
      </c>
      <c r="E4422" s="24">
        <v>21</v>
      </c>
    </row>
    <row r="4423" spans="2:5" x14ac:dyDescent="0.3">
      <c r="B4423" s="18" t="s">
        <v>7434</v>
      </c>
      <c r="C4423" s="13">
        <v>11</v>
      </c>
      <c r="D4423" s="21" t="s">
        <v>7433</v>
      </c>
      <c r="E4423" s="24">
        <v>22</v>
      </c>
    </row>
    <row r="4424" spans="2:5" x14ac:dyDescent="0.3">
      <c r="B4424" s="18" t="s">
        <v>7432</v>
      </c>
      <c r="C4424" s="13">
        <v>12</v>
      </c>
      <c r="D4424" s="21" t="s">
        <v>7431</v>
      </c>
      <c r="E4424" s="24">
        <v>23</v>
      </c>
    </row>
    <row r="4425" spans="2:5" x14ac:dyDescent="0.3">
      <c r="B4425" s="18" t="s">
        <v>7430</v>
      </c>
      <c r="C4425" s="13">
        <v>24</v>
      </c>
      <c r="D4425" s="21" t="s">
        <v>7429</v>
      </c>
      <c r="E4425" s="24">
        <v>24</v>
      </c>
    </row>
    <row r="4426" spans="2:5" x14ac:dyDescent="0.3">
      <c r="B4426" s="18" t="s">
        <v>7428</v>
      </c>
      <c r="C4426" s="13">
        <v>23</v>
      </c>
      <c r="D4426" s="21" t="s">
        <v>8497</v>
      </c>
      <c r="E4426" s="24">
        <v>16</v>
      </c>
    </row>
    <row r="4427" spans="2:5" x14ac:dyDescent="0.3">
      <c r="B4427" s="18" t="s">
        <v>7426</v>
      </c>
      <c r="C4427" s="13">
        <v>22</v>
      </c>
      <c r="D4427" s="21" t="s">
        <v>8498</v>
      </c>
      <c r="E4427" s="24">
        <v>15</v>
      </c>
    </row>
    <row r="4428" spans="2:5" x14ac:dyDescent="0.3">
      <c r="B4428" s="18" t="s">
        <v>7424</v>
      </c>
      <c r="C4428" s="13">
        <v>21</v>
      </c>
      <c r="D4428" s="21" t="s">
        <v>7427</v>
      </c>
      <c r="E4428" s="24">
        <v>14</v>
      </c>
    </row>
    <row r="4429" spans="2:5" x14ac:dyDescent="0.3">
      <c r="B4429" s="18" t="s">
        <v>7414</v>
      </c>
      <c r="C4429" s="13">
        <v>20</v>
      </c>
      <c r="D4429" s="21" t="s">
        <v>7425</v>
      </c>
      <c r="E4429" s="24">
        <v>13</v>
      </c>
    </row>
    <row r="4430" spans="2:5" x14ac:dyDescent="0.3">
      <c r="B4430" s="18" t="s">
        <v>7412</v>
      </c>
      <c r="C4430" s="13">
        <v>19</v>
      </c>
      <c r="D4430" s="21" t="s">
        <v>7423</v>
      </c>
      <c r="E4430" s="24">
        <v>12</v>
      </c>
    </row>
    <row r="4431" spans="2:5" x14ac:dyDescent="0.3">
      <c r="B4431" s="18" t="s">
        <v>7410</v>
      </c>
      <c r="C4431" s="13">
        <v>18</v>
      </c>
      <c r="D4431" s="21" t="s">
        <v>7421</v>
      </c>
      <c r="E4431" s="24">
        <v>11</v>
      </c>
    </row>
    <row r="4432" spans="2:5" x14ac:dyDescent="0.3">
      <c r="B4432" s="18" t="s">
        <v>7408</v>
      </c>
      <c r="C4432" s="13">
        <v>17</v>
      </c>
      <c r="D4432" s="21" t="s">
        <v>7419</v>
      </c>
      <c r="E4432" s="24">
        <v>10</v>
      </c>
    </row>
    <row r="4433" spans="2:5" x14ac:dyDescent="0.3">
      <c r="B4433" s="18" t="s">
        <v>7406</v>
      </c>
      <c r="C4433" s="13">
        <v>16</v>
      </c>
      <c r="D4433" s="21" t="s">
        <v>7417</v>
      </c>
      <c r="E4433" s="24">
        <v>9</v>
      </c>
    </row>
    <row r="4434" spans="2:5" x14ac:dyDescent="0.3">
      <c r="B4434" s="18" t="s">
        <v>7404</v>
      </c>
      <c r="C4434" s="13">
        <v>15</v>
      </c>
      <c r="D4434" s="21" t="s">
        <v>8499</v>
      </c>
      <c r="E4434" s="24">
        <v>8</v>
      </c>
    </row>
    <row r="4435" spans="2:5" x14ac:dyDescent="0.3">
      <c r="B4435" s="18" t="s">
        <v>7402</v>
      </c>
      <c r="C4435" s="13">
        <v>14</v>
      </c>
      <c r="D4435" s="21" t="s">
        <v>8500</v>
      </c>
      <c r="E4435" s="24">
        <v>7</v>
      </c>
    </row>
    <row r="4436" spans="2:5" x14ac:dyDescent="0.3">
      <c r="B4436" s="18" t="s">
        <v>7400</v>
      </c>
      <c r="C4436" s="13">
        <v>13</v>
      </c>
      <c r="D4436" s="21" t="s">
        <v>7415</v>
      </c>
      <c r="E4436" s="24">
        <v>6</v>
      </c>
    </row>
    <row r="4437" spans="2:5" x14ac:dyDescent="0.3">
      <c r="B4437" s="18" t="s">
        <v>7398</v>
      </c>
      <c r="C4437" s="13">
        <v>25</v>
      </c>
      <c r="D4437" s="21" t="s">
        <v>7413</v>
      </c>
      <c r="E4437" s="24">
        <v>5</v>
      </c>
    </row>
    <row r="4438" spans="2:5" x14ac:dyDescent="0.3">
      <c r="B4438" s="18" t="s">
        <v>7396</v>
      </c>
      <c r="C4438" s="13">
        <v>26</v>
      </c>
      <c r="D4438" s="21" t="s">
        <v>7411</v>
      </c>
      <c r="E4438" s="24">
        <v>4</v>
      </c>
    </row>
    <row r="4439" spans="2:5" x14ac:dyDescent="0.3">
      <c r="B4439" s="18" t="s">
        <v>7394</v>
      </c>
      <c r="C4439" s="13">
        <v>27</v>
      </c>
      <c r="D4439" s="21" t="s">
        <v>7409</v>
      </c>
      <c r="E4439" s="24">
        <v>3</v>
      </c>
    </row>
    <row r="4440" spans="2:5" x14ac:dyDescent="0.3">
      <c r="B4440" s="18" t="s">
        <v>7392</v>
      </c>
      <c r="C4440" s="13">
        <v>28</v>
      </c>
      <c r="D4440" s="21" t="s">
        <v>7407</v>
      </c>
      <c r="E4440" s="24">
        <v>2</v>
      </c>
    </row>
    <row r="4441" spans="2:5" x14ac:dyDescent="0.3">
      <c r="B4441" s="18" t="s">
        <v>7382</v>
      </c>
      <c r="C4441" s="13">
        <v>29</v>
      </c>
      <c r="D4441" s="21" t="s">
        <v>7405</v>
      </c>
      <c r="E4441" s="24">
        <v>1</v>
      </c>
    </row>
    <row r="4442" spans="2:5" x14ac:dyDescent="0.3">
      <c r="B4442" s="18" t="s">
        <v>7380</v>
      </c>
      <c r="C4442" s="13">
        <v>30</v>
      </c>
      <c r="D4442" s="21" t="s">
        <v>8501</v>
      </c>
      <c r="E4442" s="24">
        <v>17</v>
      </c>
    </row>
    <row r="4443" spans="2:5" x14ac:dyDescent="0.3">
      <c r="B4443" s="18" t="s">
        <v>7378</v>
      </c>
      <c r="C4443" s="13">
        <v>31</v>
      </c>
      <c r="D4443" s="21" t="s">
        <v>8502</v>
      </c>
      <c r="E4443" s="24">
        <v>18</v>
      </c>
    </row>
    <row r="4444" spans="2:5" x14ac:dyDescent="0.3">
      <c r="B4444" s="18" t="s">
        <v>7376</v>
      </c>
      <c r="C4444" s="13">
        <v>32</v>
      </c>
      <c r="D4444" s="21" t="s">
        <v>7393</v>
      </c>
      <c r="E4444" s="24">
        <v>19</v>
      </c>
    </row>
    <row r="4445" spans="2:5" x14ac:dyDescent="0.3">
      <c r="B4445" s="18" t="s">
        <v>7374</v>
      </c>
      <c r="C4445" s="13">
        <v>33</v>
      </c>
      <c r="D4445" s="21" t="s">
        <v>7391</v>
      </c>
      <c r="E4445" s="24">
        <v>20</v>
      </c>
    </row>
    <row r="4446" spans="2:5" x14ac:dyDescent="0.3">
      <c r="B4446" s="18" t="s">
        <v>7372</v>
      </c>
      <c r="C4446" s="13">
        <v>34</v>
      </c>
      <c r="D4446" s="21" t="s">
        <v>7389</v>
      </c>
      <c r="E4446" s="24">
        <v>21</v>
      </c>
    </row>
    <row r="4447" spans="2:5" x14ac:dyDescent="0.3">
      <c r="B4447" s="18" t="s">
        <v>7370</v>
      </c>
      <c r="C4447" s="13">
        <v>35</v>
      </c>
      <c r="D4447" s="21" t="s">
        <v>7387</v>
      </c>
      <c r="E4447" s="24">
        <v>22</v>
      </c>
    </row>
    <row r="4448" spans="2:5" x14ac:dyDescent="0.3">
      <c r="B4448" s="18" t="s">
        <v>7368</v>
      </c>
      <c r="C4448" s="13">
        <v>36</v>
      </c>
      <c r="D4448" s="21" t="s">
        <v>7385</v>
      </c>
      <c r="E4448" s="24">
        <v>23</v>
      </c>
    </row>
    <row r="4449" spans="2:5" x14ac:dyDescent="0.3">
      <c r="B4449" s="18" t="s">
        <v>8503</v>
      </c>
      <c r="C4449" s="13">
        <v>48</v>
      </c>
      <c r="D4449" s="21" t="s">
        <v>8504</v>
      </c>
      <c r="E4449" s="24">
        <v>16</v>
      </c>
    </row>
    <row r="4450" spans="2:5" x14ac:dyDescent="0.3">
      <c r="B4450" s="18" t="s">
        <v>8505</v>
      </c>
      <c r="C4450" s="13">
        <v>47</v>
      </c>
      <c r="D4450" s="21" t="s">
        <v>8506</v>
      </c>
      <c r="E4450" s="24">
        <v>15</v>
      </c>
    </row>
    <row r="4451" spans="2:5" x14ac:dyDescent="0.3">
      <c r="B4451" s="18" t="s">
        <v>8507</v>
      </c>
      <c r="C4451" s="13">
        <v>46</v>
      </c>
      <c r="D4451" s="21" t="s">
        <v>7381</v>
      </c>
      <c r="E4451" s="24">
        <v>14</v>
      </c>
    </row>
    <row r="4452" spans="2:5" x14ac:dyDescent="0.3">
      <c r="B4452" s="18" t="s">
        <v>8508</v>
      </c>
      <c r="C4452" s="13">
        <v>45</v>
      </c>
      <c r="D4452" s="21" t="s">
        <v>7379</v>
      </c>
      <c r="E4452" s="24">
        <v>13</v>
      </c>
    </row>
    <row r="4453" spans="2:5" x14ac:dyDescent="0.3">
      <c r="B4453" s="18" t="s">
        <v>8509</v>
      </c>
      <c r="C4453" s="13">
        <v>44</v>
      </c>
      <c r="D4453" s="21" t="s">
        <v>7377</v>
      </c>
      <c r="E4453" s="24">
        <v>12</v>
      </c>
    </row>
    <row r="4454" spans="2:5" x14ac:dyDescent="0.3">
      <c r="B4454" s="18" t="s">
        <v>8510</v>
      </c>
      <c r="C4454" s="13">
        <v>43</v>
      </c>
      <c r="D4454" s="21" t="s">
        <v>7375</v>
      </c>
      <c r="E4454" s="24">
        <v>11</v>
      </c>
    </row>
    <row r="4455" spans="2:5" x14ac:dyDescent="0.3">
      <c r="B4455" s="18" t="s">
        <v>8511</v>
      </c>
      <c r="C4455" s="13">
        <v>42</v>
      </c>
      <c r="D4455" s="21" t="s">
        <v>7373</v>
      </c>
      <c r="E4455" s="24">
        <v>10</v>
      </c>
    </row>
    <row r="4456" spans="2:5" x14ac:dyDescent="0.3">
      <c r="B4456" s="18" t="s">
        <v>8512</v>
      </c>
      <c r="C4456" s="13">
        <v>41</v>
      </c>
      <c r="D4456" s="21" t="s">
        <v>7371</v>
      </c>
      <c r="E4456" s="24">
        <v>9</v>
      </c>
    </row>
    <row r="4457" spans="2:5" x14ac:dyDescent="0.3">
      <c r="B4457" s="18" t="s">
        <v>8513</v>
      </c>
      <c r="C4457" s="13">
        <v>40</v>
      </c>
      <c r="D4457" s="21" t="s">
        <v>8514</v>
      </c>
      <c r="E4457" s="24">
        <v>8</v>
      </c>
    </row>
    <row r="4458" spans="2:5" x14ac:dyDescent="0.3">
      <c r="B4458" s="18" t="s">
        <v>8515</v>
      </c>
      <c r="C4458" s="13">
        <v>39</v>
      </c>
      <c r="D4458" s="21" t="s">
        <v>8516</v>
      </c>
      <c r="E4458" s="24">
        <v>7</v>
      </c>
    </row>
    <row r="4459" spans="2:5" x14ac:dyDescent="0.3">
      <c r="B4459" s="18" t="s">
        <v>8517</v>
      </c>
      <c r="C4459" s="13">
        <v>38</v>
      </c>
      <c r="D4459" s="21" t="s">
        <v>7369</v>
      </c>
      <c r="E4459" s="24">
        <v>6</v>
      </c>
    </row>
    <row r="4460" spans="2:5" x14ac:dyDescent="0.3">
      <c r="B4460" s="18" t="s">
        <v>8518</v>
      </c>
      <c r="C4460" s="13">
        <v>37</v>
      </c>
      <c r="D4460" s="21" t="s">
        <v>7367</v>
      </c>
      <c r="E4460" s="24">
        <v>5</v>
      </c>
    </row>
    <row r="4461" spans="2:5" x14ac:dyDescent="0.3">
      <c r="B4461" s="18" t="s">
        <v>7366</v>
      </c>
      <c r="C4461" s="13">
        <v>1</v>
      </c>
      <c r="D4461" s="21" t="s">
        <v>7365</v>
      </c>
      <c r="E4461" s="24">
        <v>4</v>
      </c>
    </row>
    <row r="4462" spans="2:5" x14ac:dyDescent="0.3">
      <c r="B4462" s="18" t="s">
        <v>7364</v>
      </c>
      <c r="C4462" s="13">
        <v>2</v>
      </c>
      <c r="D4462" s="21" t="s">
        <v>7363</v>
      </c>
      <c r="E4462" s="24">
        <v>3</v>
      </c>
    </row>
    <row r="4463" spans="2:5" x14ac:dyDescent="0.3">
      <c r="B4463" s="18" t="s">
        <v>7362</v>
      </c>
      <c r="C4463" s="13">
        <v>3</v>
      </c>
      <c r="D4463" s="21" t="s">
        <v>7361</v>
      </c>
      <c r="E4463" s="24">
        <v>2</v>
      </c>
    </row>
    <row r="4464" spans="2:5" x14ac:dyDescent="0.3">
      <c r="B4464" s="18" t="s">
        <v>7360</v>
      </c>
      <c r="C4464" s="13">
        <v>4</v>
      </c>
      <c r="D4464" s="21" t="s">
        <v>7359</v>
      </c>
      <c r="E4464" s="24">
        <v>1</v>
      </c>
    </row>
    <row r="4465" spans="2:5" x14ac:dyDescent="0.3">
      <c r="B4465" s="18" t="s">
        <v>7358</v>
      </c>
      <c r="C4465" s="13">
        <v>5</v>
      </c>
      <c r="D4465" s="21" t="s">
        <v>8519</v>
      </c>
      <c r="E4465" s="24">
        <v>17</v>
      </c>
    </row>
    <row r="4466" spans="2:5" x14ac:dyDescent="0.3">
      <c r="B4466" s="18" t="s">
        <v>7348</v>
      </c>
      <c r="C4466" s="13">
        <v>6</v>
      </c>
      <c r="D4466" s="21" t="s">
        <v>8520</v>
      </c>
      <c r="E4466" s="24">
        <v>18</v>
      </c>
    </row>
    <row r="4467" spans="2:5" x14ac:dyDescent="0.3">
      <c r="B4467" s="18" t="s">
        <v>7346</v>
      </c>
      <c r="C4467" s="13">
        <v>7</v>
      </c>
      <c r="D4467" s="21" t="s">
        <v>7349</v>
      </c>
      <c r="E4467" s="24">
        <v>19</v>
      </c>
    </row>
    <row r="4468" spans="2:5" x14ac:dyDescent="0.3">
      <c r="B4468" s="18" t="s">
        <v>7344</v>
      </c>
      <c r="C4468" s="13">
        <v>8</v>
      </c>
      <c r="D4468" s="21" t="s">
        <v>7347</v>
      </c>
      <c r="E4468" s="24">
        <v>20</v>
      </c>
    </row>
    <row r="4469" spans="2:5" x14ac:dyDescent="0.3">
      <c r="B4469" s="18" t="s">
        <v>7342</v>
      </c>
      <c r="C4469" s="13">
        <v>9</v>
      </c>
      <c r="D4469" s="21" t="s">
        <v>7345</v>
      </c>
      <c r="E4469" s="24">
        <v>21</v>
      </c>
    </row>
    <row r="4470" spans="2:5" x14ac:dyDescent="0.3">
      <c r="B4470" s="18" t="s">
        <v>7340</v>
      </c>
      <c r="C4470" s="13">
        <v>10</v>
      </c>
      <c r="D4470" s="21" t="s">
        <v>7343</v>
      </c>
      <c r="E4470" s="24">
        <v>22</v>
      </c>
    </row>
    <row r="4471" spans="2:5" x14ac:dyDescent="0.3">
      <c r="B4471" s="18" t="s">
        <v>7338</v>
      </c>
      <c r="C4471" s="13">
        <v>11</v>
      </c>
      <c r="D4471" s="21" t="s">
        <v>8521</v>
      </c>
      <c r="E4471" s="24">
        <v>16</v>
      </c>
    </row>
    <row r="4472" spans="2:5" x14ac:dyDescent="0.3">
      <c r="B4472" s="18" t="s">
        <v>7336</v>
      </c>
      <c r="C4472" s="13">
        <v>12</v>
      </c>
      <c r="D4472" s="21" t="s">
        <v>8522</v>
      </c>
      <c r="E4472" s="24">
        <v>15</v>
      </c>
    </row>
    <row r="4473" spans="2:5" x14ac:dyDescent="0.3">
      <c r="B4473" s="18" t="s">
        <v>7334</v>
      </c>
      <c r="C4473" s="13">
        <v>13</v>
      </c>
      <c r="D4473" s="21" t="s">
        <v>7337</v>
      </c>
      <c r="E4473" s="24">
        <v>14</v>
      </c>
    </row>
    <row r="4474" spans="2:5" x14ac:dyDescent="0.3">
      <c r="B4474" s="18" t="s">
        <v>7332</v>
      </c>
      <c r="C4474" s="13">
        <v>26</v>
      </c>
      <c r="D4474" s="21" t="s">
        <v>7335</v>
      </c>
      <c r="E4474" s="24">
        <v>13</v>
      </c>
    </row>
    <row r="4475" spans="2:5" x14ac:dyDescent="0.3">
      <c r="B4475" s="18" t="s">
        <v>7330</v>
      </c>
      <c r="C4475" s="13">
        <v>25</v>
      </c>
      <c r="D4475" s="21" t="s">
        <v>7333</v>
      </c>
      <c r="E4475" s="24">
        <v>12</v>
      </c>
    </row>
    <row r="4476" spans="2:5" x14ac:dyDescent="0.3">
      <c r="B4476" s="18" t="s">
        <v>7328</v>
      </c>
      <c r="C4476" s="13">
        <v>24</v>
      </c>
      <c r="D4476" s="21" t="s">
        <v>7331</v>
      </c>
      <c r="E4476" s="24">
        <v>11</v>
      </c>
    </row>
    <row r="4477" spans="2:5" x14ac:dyDescent="0.3">
      <c r="B4477" s="18" t="s">
        <v>7326</v>
      </c>
      <c r="C4477" s="13">
        <v>23</v>
      </c>
      <c r="D4477" s="21" t="s">
        <v>7329</v>
      </c>
      <c r="E4477" s="24">
        <v>10</v>
      </c>
    </row>
    <row r="4478" spans="2:5" x14ac:dyDescent="0.3">
      <c r="B4478" s="18" t="s">
        <v>7324</v>
      </c>
      <c r="C4478" s="13">
        <v>22</v>
      </c>
      <c r="D4478" s="21" t="s">
        <v>7327</v>
      </c>
      <c r="E4478" s="24">
        <v>9</v>
      </c>
    </row>
    <row r="4479" spans="2:5" x14ac:dyDescent="0.3">
      <c r="B4479" s="18" t="s">
        <v>7314</v>
      </c>
      <c r="C4479" s="13">
        <v>21</v>
      </c>
      <c r="D4479" s="21" t="s">
        <v>8523</v>
      </c>
      <c r="E4479" s="24">
        <v>8</v>
      </c>
    </row>
    <row r="4480" spans="2:5" x14ac:dyDescent="0.3">
      <c r="B4480" s="18" t="s">
        <v>7312</v>
      </c>
      <c r="C4480" s="13">
        <v>20</v>
      </c>
      <c r="D4480" s="21" t="s">
        <v>8524</v>
      </c>
      <c r="E4480" s="24">
        <v>7</v>
      </c>
    </row>
    <row r="4481" spans="2:5" x14ac:dyDescent="0.3">
      <c r="B4481" s="18" t="s">
        <v>7310</v>
      </c>
      <c r="C4481" s="13">
        <v>19</v>
      </c>
      <c r="D4481" s="21" t="s">
        <v>7325</v>
      </c>
      <c r="E4481" s="24">
        <v>6</v>
      </c>
    </row>
    <row r="4482" spans="2:5" x14ac:dyDescent="0.3">
      <c r="B4482" s="18" t="s">
        <v>7308</v>
      </c>
      <c r="C4482" s="13">
        <v>18</v>
      </c>
      <c r="D4482" s="21" t="s">
        <v>7323</v>
      </c>
      <c r="E4482" s="24">
        <v>5</v>
      </c>
    </row>
    <row r="4483" spans="2:5" x14ac:dyDescent="0.3">
      <c r="B4483" s="18" t="s">
        <v>7306</v>
      </c>
      <c r="C4483" s="13">
        <v>17</v>
      </c>
      <c r="D4483" s="21" t="s">
        <v>7321</v>
      </c>
      <c r="E4483" s="24">
        <v>4</v>
      </c>
    </row>
    <row r="4484" spans="2:5" x14ac:dyDescent="0.3">
      <c r="B4484" s="18" t="s">
        <v>7304</v>
      </c>
      <c r="C4484" s="13">
        <v>16</v>
      </c>
      <c r="D4484" s="21" t="s">
        <v>7319</v>
      </c>
      <c r="E4484" s="24">
        <v>3</v>
      </c>
    </row>
    <row r="4485" spans="2:5" x14ac:dyDescent="0.3">
      <c r="B4485" s="18" t="s">
        <v>7302</v>
      </c>
      <c r="C4485" s="13">
        <v>15</v>
      </c>
      <c r="D4485" s="21" t="s">
        <v>7317</v>
      </c>
      <c r="E4485" s="24">
        <v>2</v>
      </c>
    </row>
    <row r="4486" spans="2:5" x14ac:dyDescent="0.3">
      <c r="B4486" s="18" t="s">
        <v>7300</v>
      </c>
      <c r="C4486" s="13">
        <v>14</v>
      </c>
      <c r="D4486" s="21" t="s">
        <v>7315</v>
      </c>
      <c r="E4486" s="24">
        <v>1</v>
      </c>
    </row>
    <row r="4487" spans="2:5" x14ac:dyDescent="0.3">
      <c r="B4487" s="18" t="s">
        <v>8525</v>
      </c>
      <c r="C4487" s="13">
        <v>27</v>
      </c>
      <c r="D4487" s="21" t="s">
        <v>8526</v>
      </c>
      <c r="E4487" s="24">
        <v>15</v>
      </c>
    </row>
    <row r="4488" spans="2:5" x14ac:dyDescent="0.3">
      <c r="B4488" s="18" t="s">
        <v>7298</v>
      </c>
      <c r="C4488" s="13">
        <v>28</v>
      </c>
      <c r="D4488" s="21" t="s">
        <v>7307</v>
      </c>
      <c r="E4488" s="24">
        <v>16</v>
      </c>
    </row>
    <row r="4489" spans="2:5" x14ac:dyDescent="0.3">
      <c r="B4489" s="18" t="s">
        <v>7296</v>
      </c>
      <c r="C4489" s="13">
        <v>29</v>
      </c>
      <c r="D4489" s="21" t="s">
        <v>7305</v>
      </c>
      <c r="E4489" s="24">
        <v>17</v>
      </c>
    </row>
    <row r="4490" spans="2:5" x14ac:dyDescent="0.3">
      <c r="B4490" s="18" t="s">
        <v>7294</v>
      </c>
      <c r="C4490" s="13">
        <v>30</v>
      </c>
      <c r="D4490" s="21" t="s">
        <v>7303</v>
      </c>
      <c r="E4490" s="24">
        <v>18</v>
      </c>
    </row>
    <row r="4491" spans="2:5" x14ac:dyDescent="0.3">
      <c r="B4491" s="18" t="s">
        <v>7292</v>
      </c>
      <c r="C4491" s="13">
        <v>31</v>
      </c>
      <c r="D4491" s="21" t="s">
        <v>7301</v>
      </c>
      <c r="E4491" s="24">
        <v>19</v>
      </c>
    </row>
    <row r="4492" spans="2:5" x14ac:dyDescent="0.3">
      <c r="B4492" s="18" t="s">
        <v>8527</v>
      </c>
      <c r="C4492" s="13">
        <v>32</v>
      </c>
      <c r="D4492" s="21" t="s">
        <v>7299</v>
      </c>
      <c r="E4492" s="24">
        <v>20</v>
      </c>
    </row>
    <row r="4493" spans="2:5" x14ac:dyDescent="0.3">
      <c r="B4493" s="18" t="s">
        <v>7282</v>
      </c>
      <c r="C4493" s="13">
        <v>33</v>
      </c>
      <c r="D4493" s="21" t="s">
        <v>7297</v>
      </c>
      <c r="E4493" s="24">
        <v>21</v>
      </c>
    </row>
    <row r="4494" spans="2:5" x14ac:dyDescent="0.3">
      <c r="B4494" s="18" t="s">
        <v>7280</v>
      </c>
      <c r="C4494" s="13">
        <v>34</v>
      </c>
      <c r="D4494" s="21" t="s">
        <v>8528</v>
      </c>
      <c r="E4494" s="24">
        <v>14</v>
      </c>
    </row>
    <row r="4495" spans="2:5" x14ac:dyDescent="0.3">
      <c r="B4495" s="18" t="s">
        <v>7278</v>
      </c>
      <c r="C4495" s="13">
        <v>35</v>
      </c>
      <c r="D4495" s="21" t="s">
        <v>7295</v>
      </c>
      <c r="E4495" s="24">
        <v>13</v>
      </c>
    </row>
    <row r="4496" spans="2:5" x14ac:dyDescent="0.3">
      <c r="B4496" s="18" t="s">
        <v>7276</v>
      </c>
      <c r="C4496" s="13">
        <v>36</v>
      </c>
      <c r="D4496" s="21" t="s">
        <v>7293</v>
      </c>
      <c r="E4496" s="24">
        <v>12</v>
      </c>
    </row>
    <row r="4497" spans="2:5" x14ac:dyDescent="0.3">
      <c r="B4497" s="18" t="s">
        <v>7274</v>
      </c>
      <c r="C4497" s="13">
        <v>37</v>
      </c>
      <c r="D4497" s="21" t="s">
        <v>7291</v>
      </c>
      <c r="E4497" s="24">
        <v>11</v>
      </c>
    </row>
    <row r="4498" spans="2:5" x14ac:dyDescent="0.3">
      <c r="B4498" s="18" t="s">
        <v>7272</v>
      </c>
      <c r="C4498" s="13">
        <v>38</v>
      </c>
      <c r="D4498" s="21" t="s">
        <v>7289</v>
      </c>
      <c r="E4498" s="24">
        <v>10</v>
      </c>
    </row>
    <row r="4499" spans="2:5" x14ac:dyDescent="0.3">
      <c r="B4499" s="18" t="s">
        <v>7270</v>
      </c>
      <c r="C4499" s="13">
        <v>39</v>
      </c>
      <c r="D4499" s="21" t="s">
        <v>7287</v>
      </c>
      <c r="E4499" s="24">
        <v>9</v>
      </c>
    </row>
    <row r="4500" spans="2:5" x14ac:dyDescent="0.3">
      <c r="B4500" s="18" t="s">
        <v>8529</v>
      </c>
      <c r="C4500" s="13">
        <v>49</v>
      </c>
      <c r="D4500" s="21" t="s">
        <v>7285</v>
      </c>
      <c r="E4500" s="24">
        <v>8</v>
      </c>
    </row>
    <row r="4501" spans="2:5" x14ac:dyDescent="0.3">
      <c r="B4501" s="18" t="s">
        <v>8530</v>
      </c>
      <c r="C4501" s="13">
        <v>48</v>
      </c>
      <c r="D4501" s="21" t="s">
        <v>8531</v>
      </c>
      <c r="E4501" s="24">
        <v>7</v>
      </c>
    </row>
    <row r="4502" spans="2:5" x14ac:dyDescent="0.3">
      <c r="B4502" s="18" t="s">
        <v>8532</v>
      </c>
      <c r="C4502" s="13">
        <v>47</v>
      </c>
      <c r="D4502" s="21" t="s">
        <v>7283</v>
      </c>
      <c r="E4502" s="24">
        <v>6</v>
      </c>
    </row>
    <row r="4503" spans="2:5" x14ac:dyDescent="0.3">
      <c r="B4503" s="18" t="s">
        <v>8533</v>
      </c>
      <c r="C4503" s="13">
        <v>46</v>
      </c>
      <c r="D4503" s="21" t="s">
        <v>7281</v>
      </c>
      <c r="E4503" s="24">
        <v>5</v>
      </c>
    </row>
    <row r="4504" spans="2:5" x14ac:dyDescent="0.3">
      <c r="B4504" s="18" t="s">
        <v>8534</v>
      </c>
      <c r="C4504" s="13">
        <v>45</v>
      </c>
      <c r="D4504" s="21" t="s">
        <v>7279</v>
      </c>
      <c r="E4504" s="24">
        <v>4</v>
      </c>
    </row>
    <row r="4505" spans="2:5" x14ac:dyDescent="0.3">
      <c r="B4505" s="18" t="s">
        <v>8535</v>
      </c>
      <c r="C4505" s="13">
        <v>44</v>
      </c>
      <c r="D4505" s="21" t="s">
        <v>7277</v>
      </c>
      <c r="E4505" s="24">
        <v>3</v>
      </c>
    </row>
    <row r="4506" spans="2:5" x14ac:dyDescent="0.3">
      <c r="B4506" s="18" t="s">
        <v>8536</v>
      </c>
      <c r="C4506" s="13">
        <v>43</v>
      </c>
      <c r="D4506" s="21" t="s">
        <v>7275</v>
      </c>
      <c r="E4506" s="24">
        <v>2</v>
      </c>
    </row>
    <row r="4507" spans="2:5" x14ac:dyDescent="0.3">
      <c r="B4507" s="18" t="s">
        <v>8537</v>
      </c>
      <c r="C4507" s="13">
        <v>42</v>
      </c>
      <c r="D4507" s="21" t="s">
        <v>7273</v>
      </c>
      <c r="E4507" s="24">
        <v>1</v>
      </c>
    </row>
    <row r="4508" spans="2:5" x14ac:dyDescent="0.3">
      <c r="B4508" s="18" t="s">
        <v>8538</v>
      </c>
      <c r="C4508" s="13">
        <v>41</v>
      </c>
      <c r="D4508" s="21" t="s">
        <v>8539</v>
      </c>
      <c r="E4508" s="24">
        <v>15</v>
      </c>
    </row>
    <row r="4509" spans="2:5" x14ac:dyDescent="0.3">
      <c r="B4509" s="18" t="s">
        <v>8540</v>
      </c>
      <c r="C4509" s="13">
        <v>40</v>
      </c>
      <c r="D4509" s="21" t="s">
        <v>8541</v>
      </c>
      <c r="E4509" s="24">
        <v>16</v>
      </c>
    </row>
    <row r="4510" spans="2:5" x14ac:dyDescent="0.3">
      <c r="B4510" s="18" t="s">
        <v>7268</v>
      </c>
      <c r="C4510" s="13">
        <v>1</v>
      </c>
      <c r="D4510" s="21" t="s">
        <v>7261</v>
      </c>
      <c r="E4510" s="24">
        <v>17</v>
      </c>
    </row>
    <row r="4511" spans="2:5" x14ac:dyDescent="0.3">
      <c r="B4511" s="18" t="s">
        <v>7264</v>
      </c>
      <c r="C4511" s="13">
        <v>2</v>
      </c>
      <c r="D4511" s="21" t="s">
        <v>7259</v>
      </c>
      <c r="E4511" s="24">
        <v>18</v>
      </c>
    </row>
    <row r="4512" spans="2:5" x14ac:dyDescent="0.3">
      <c r="B4512" s="18" t="s">
        <v>8542</v>
      </c>
      <c r="C4512" s="13">
        <v>3</v>
      </c>
      <c r="D4512" s="21" t="s">
        <v>7257</v>
      </c>
      <c r="E4512" s="24">
        <v>19</v>
      </c>
    </row>
    <row r="4513" spans="2:5" x14ac:dyDescent="0.3">
      <c r="B4513" s="18" t="s">
        <v>8543</v>
      </c>
      <c r="C4513" s="13">
        <v>4</v>
      </c>
      <c r="D4513" s="21" t="s">
        <v>7255</v>
      </c>
      <c r="E4513" s="24">
        <v>20</v>
      </c>
    </row>
    <row r="4514" spans="2:5" x14ac:dyDescent="0.3">
      <c r="B4514" s="18" t="s">
        <v>7260</v>
      </c>
      <c r="C4514" s="13">
        <v>1</v>
      </c>
      <c r="D4514" s="21" t="s">
        <v>8544</v>
      </c>
      <c r="E4514" s="24">
        <v>14</v>
      </c>
    </row>
    <row r="4515" spans="2:5" x14ac:dyDescent="0.3">
      <c r="B4515" s="18" t="s">
        <v>7258</v>
      </c>
      <c r="C4515" s="13">
        <v>2</v>
      </c>
      <c r="D4515" s="21" t="s">
        <v>8545</v>
      </c>
      <c r="E4515" s="24">
        <v>13</v>
      </c>
    </row>
    <row r="4516" spans="2:5" x14ac:dyDescent="0.3">
      <c r="B4516" s="18" t="s">
        <v>7256</v>
      </c>
      <c r="C4516" s="13">
        <v>3</v>
      </c>
      <c r="D4516" s="21" t="s">
        <v>7251</v>
      </c>
      <c r="E4516" s="24">
        <v>12</v>
      </c>
    </row>
    <row r="4517" spans="2:5" x14ac:dyDescent="0.3">
      <c r="B4517" s="18" t="s">
        <v>7254</v>
      </c>
      <c r="C4517" s="13">
        <v>4</v>
      </c>
      <c r="D4517" s="21" t="s">
        <v>7249</v>
      </c>
      <c r="E4517" s="24">
        <v>11</v>
      </c>
    </row>
    <row r="4518" spans="2:5" x14ac:dyDescent="0.3">
      <c r="B4518" s="18" t="s">
        <v>7252</v>
      </c>
      <c r="C4518" s="13">
        <v>5</v>
      </c>
      <c r="D4518" s="21" t="s">
        <v>7247</v>
      </c>
      <c r="E4518" s="24">
        <v>10</v>
      </c>
    </row>
    <row r="4519" spans="2:5" x14ac:dyDescent="0.3">
      <c r="B4519" s="18" t="s">
        <v>7242</v>
      </c>
      <c r="C4519" s="13">
        <v>6</v>
      </c>
      <c r="D4519" s="21" t="s">
        <v>7245</v>
      </c>
      <c r="E4519" s="24">
        <v>9</v>
      </c>
    </row>
    <row r="4520" spans="2:5" x14ac:dyDescent="0.3">
      <c r="B4520" s="18" t="s">
        <v>7240</v>
      </c>
      <c r="C4520" s="13">
        <v>7</v>
      </c>
      <c r="D4520" s="21" t="s">
        <v>7243</v>
      </c>
      <c r="E4520" s="24">
        <v>8</v>
      </c>
    </row>
    <row r="4521" spans="2:5" x14ac:dyDescent="0.3">
      <c r="B4521" s="18" t="s">
        <v>7238</v>
      </c>
      <c r="C4521" s="13">
        <v>8</v>
      </c>
      <c r="D4521" s="21" t="s">
        <v>8546</v>
      </c>
      <c r="E4521" s="24">
        <v>7</v>
      </c>
    </row>
    <row r="4522" spans="2:5" x14ac:dyDescent="0.3">
      <c r="B4522" s="18" t="s">
        <v>7236</v>
      </c>
      <c r="C4522" s="13">
        <v>9</v>
      </c>
      <c r="D4522" s="21" t="s">
        <v>8547</v>
      </c>
      <c r="E4522" s="24">
        <v>6</v>
      </c>
    </row>
    <row r="4523" spans="2:5" x14ac:dyDescent="0.3">
      <c r="B4523" s="18" t="s">
        <v>7234</v>
      </c>
      <c r="C4523" s="13">
        <v>10</v>
      </c>
      <c r="D4523" s="21" t="s">
        <v>7241</v>
      </c>
      <c r="E4523" s="24">
        <v>5</v>
      </c>
    </row>
    <row r="4524" spans="2:5" x14ac:dyDescent="0.3">
      <c r="B4524" s="18" t="s">
        <v>7232</v>
      </c>
      <c r="C4524" s="13">
        <v>11</v>
      </c>
      <c r="D4524" s="21" t="s">
        <v>7239</v>
      </c>
      <c r="E4524" s="24">
        <v>4</v>
      </c>
    </row>
    <row r="4525" spans="2:5" x14ac:dyDescent="0.3">
      <c r="B4525" s="18" t="s">
        <v>7230</v>
      </c>
      <c r="C4525" s="13">
        <v>12</v>
      </c>
      <c r="D4525" s="21" t="s">
        <v>7237</v>
      </c>
      <c r="E4525" s="24">
        <v>3</v>
      </c>
    </row>
    <row r="4526" spans="2:5" x14ac:dyDescent="0.3">
      <c r="B4526" s="18" t="s">
        <v>7228</v>
      </c>
      <c r="C4526" s="13">
        <v>13</v>
      </c>
      <c r="D4526" s="21" t="s">
        <v>7235</v>
      </c>
      <c r="E4526" s="24">
        <v>2</v>
      </c>
    </row>
    <row r="4527" spans="2:5" x14ac:dyDescent="0.3">
      <c r="B4527" s="18" t="s">
        <v>7226</v>
      </c>
      <c r="C4527" s="13">
        <v>26</v>
      </c>
      <c r="D4527" s="21" t="s">
        <v>7233</v>
      </c>
      <c r="E4527" s="24">
        <v>1</v>
      </c>
    </row>
    <row r="4528" spans="2:5" x14ac:dyDescent="0.3">
      <c r="B4528" s="18" t="s">
        <v>7224</v>
      </c>
      <c r="C4528" s="13">
        <v>25</v>
      </c>
      <c r="D4528" s="21" t="s">
        <v>8548</v>
      </c>
      <c r="E4528" s="24">
        <v>15</v>
      </c>
    </row>
    <row r="4529" spans="2:5" x14ac:dyDescent="0.3">
      <c r="B4529" s="18" t="s">
        <v>7222</v>
      </c>
      <c r="C4529" s="13">
        <v>24</v>
      </c>
      <c r="D4529" s="21" t="s">
        <v>8549</v>
      </c>
      <c r="E4529" s="24">
        <v>16</v>
      </c>
    </row>
    <row r="4530" spans="2:5" x14ac:dyDescent="0.3">
      <c r="B4530" s="18" t="s">
        <v>7220</v>
      </c>
      <c r="C4530" s="13">
        <v>23</v>
      </c>
      <c r="D4530" s="21" t="s">
        <v>7221</v>
      </c>
      <c r="E4530" s="24">
        <v>17</v>
      </c>
    </row>
    <row r="4531" spans="2:5" x14ac:dyDescent="0.3">
      <c r="B4531" s="18" t="s">
        <v>7218</v>
      </c>
      <c r="C4531" s="13">
        <v>22</v>
      </c>
      <c r="D4531" s="21" t="s">
        <v>7219</v>
      </c>
      <c r="E4531" s="24">
        <v>18</v>
      </c>
    </row>
    <row r="4532" spans="2:5" x14ac:dyDescent="0.3">
      <c r="B4532" s="18" t="s">
        <v>7208</v>
      </c>
      <c r="C4532" s="13">
        <v>21</v>
      </c>
      <c r="D4532" s="21" t="s">
        <v>7217</v>
      </c>
      <c r="E4532" s="24">
        <v>19</v>
      </c>
    </row>
    <row r="4533" spans="2:5" x14ac:dyDescent="0.3">
      <c r="B4533" s="18" t="s">
        <v>7206</v>
      </c>
      <c r="C4533" s="13">
        <v>20</v>
      </c>
      <c r="D4533" s="21" t="s">
        <v>8550</v>
      </c>
      <c r="E4533" s="24">
        <v>14</v>
      </c>
    </row>
    <row r="4534" spans="2:5" x14ac:dyDescent="0.3">
      <c r="B4534" s="18" t="s">
        <v>7204</v>
      </c>
      <c r="C4534" s="13">
        <v>19</v>
      </c>
      <c r="D4534" s="21" t="s">
        <v>8551</v>
      </c>
      <c r="E4534" s="24">
        <v>13</v>
      </c>
    </row>
    <row r="4535" spans="2:5" x14ac:dyDescent="0.3">
      <c r="B4535" s="18" t="s">
        <v>7202</v>
      </c>
      <c r="C4535" s="13">
        <v>18</v>
      </c>
      <c r="D4535" s="21" t="s">
        <v>7211</v>
      </c>
      <c r="E4535" s="24">
        <v>12</v>
      </c>
    </row>
    <row r="4536" spans="2:5" x14ac:dyDescent="0.3">
      <c r="B4536" s="18" t="s">
        <v>7200</v>
      </c>
      <c r="C4536" s="13">
        <v>17</v>
      </c>
      <c r="D4536" s="21" t="s">
        <v>7209</v>
      </c>
      <c r="E4536" s="24">
        <v>11</v>
      </c>
    </row>
    <row r="4537" spans="2:5" x14ac:dyDescent="0.3">
      <c r="B4537" s="18" t="s">
        <v>7198</v>
      </c>
      <c r="C4537" s="13">
        <v>16</v>
      </c>
      <c r="D4537" s="21" t="s">
        <v>7207</v>
      </c>
      <c r="E4537" s="24">
        <v>10</v>
      </c>
    </row>
    <row r="4538" spans="2:5" x14ac:dyDescent="0.3">
      <c r="B4538" s="18" t="s">
        <v>7196</v>
      </c>
      <c r="C4538" s="13">
        <v>15</v>
      </c>
      <c r="D4538" s="21" t="s">
        <v>7205</v>
      </c>
      <c r="E4538" s="24">
        <v>9</v>
      </c>
    </row>
    <row r="4539" spans="2:5" x14ac:dyDescent="0.3">
      <c r="B4539" s="18" t="s">
        <v>7194</v>
      </c>
      <c r="C4539" s="13">
        <v>14</v>
      </c>
      <c r="D4539" s="21" t="s">
        <v>7203</v>
      </c>
      <c r="E4539" s="24">
        <v>8</v>
      </c>
    </row>
    <row r="4540" spans="2:5" x14ac:dyDescent="0.3">
      <c r="B4540" s="18" t="s">
        <v>8552</v>
      </c>
      <c r="C4540" s="13">
        <v>27</v>
      </c>
      <c r="D4540" s="21" t="s">
        <v>8553</v>
      </c>
      <c r="E4540" s="24">
        <v>7</v>
      </c>
    </row>
    <row r="4541" spans="2:5" x14ac:dyDescent="0.3">
      <c r="B4541" s="18" t="s">
        <v>7192</v>
      </c>
      <c r="C4541" s="13">
        <v>28</v>
      </c>
      <c r="D4541" s="21" t="s">
        <v>8554</v>
      </c>
      <c r="E4541" s="24">
        <v>6</v>
      </c>
    </row>
    <row r="4542" spans="2:5" x14ac:dyDescent="0.3">
      <c r="B4542" s="18" t="s">
        <v>7190</v>
      </c>
      <c r="C4542" s="13">
        <v>29</v>
      </c>
      <c r="D4542" s="21" t="s">
        <v>7201</v>
      </c>
      <c r="E4542" s="24">
        <v>5</v>
      </c>
    </row>
    <row r="4543" spans="2:5" x14ac:dyDescent="0.3">
      <c r="B4543" s="18" t="s">
        <v>7188</v>
      </c>
      <c r="C4543" s="13">
        <v>30</v>
      </c>
      <c r="D4543" s="21" t="s">
        <v>7199</v>
      </c>
      <c r="E4543" s="24">
        <v>4</v>
      </c>
    </row>
    <row r="4544" spans="2:5" x14ac:dyDescent="0.3">
      <c r="B4544" s="18" t="s">
        <v>7186</v>
      </c>
      <c r="C4544" s="13">
        <v>31</v>
      </c>
      <c r="D4544" s="21" t="s">
        <v>7197</v>
      </c>
      <c r="E4544" s="24">
        <v>3</v>
      </c>
    </row>
    <row r="4545" spans="2:5" x14ac:dyDescent="0.3">
      <c r="B4545" s="18" t="s">
        <v>7176</v>
      </c>
      <c r="C4545" s="13">
        <v>32</v>
      </c>
      <c r="D4545" s="21" t="s">
        <v>7195</v>
      </c>
      <c r="E4545" s="24">
        <v>2</v>
      </c>
    </row>
    <row r="4546" spans="2:5" x14ac:dyDescent="0.3">
      <c r="B4546" s="18" t="s">
        <v>7174</v>
      </c>
      <c r="C4546" s="13">
        <v>33</v>
      </c>
      <c r="D4546" s="21" t="s">
        <v>7193</v>
      </c>
      <c r="E4546" s="24">
        <v>1</v>
      </c>
    </row>
    <row r="4547" spans="2:5" x14ac:dyDescent="0.3">
      <c r="B4547" s="18" t="s">
        <v>7172</v>
      </c>
      <c r="C4547" s="13">
        <v>34</v>
      </c>
      <c r="D4547" s="21" t="s">
        <v>8555</v>
      </c>
      <c r="E4547" s="24">
        <v>13</v>
      </c>
    </row>
    <row r="4548" spans="2:5" x14ac:dyDescent="0.3">
      <c r="B4548" s="18" t="s">
        <v>7170</v>
      </c>
      <c r="C4548" s="13">
        <v>35</v>
      </c>
      <c r="D4548" s="21" t="s">
        <v>7185</v>
      </c>
      <c r="E4548" s="24">
        <v>14</v>
      </c>
    </row>
    <row r="4549" spans="2:5" x14ac:dyDescent="0.3">
      <c r="B4549" s="18" t="s">
        <v>7168</v>
      </c>
      <c r="C4549" s="13">
        <v>36</v>
      </c>
      <c r="D4549" s="21" t="s">
        <v>7183</v>
      </c>
      <c r="E4549" s="24">
        <v>15</v>
      </c>
    </row>
    <row r="4550" spans="2:5" x14ac:dyDescent="0.3">
      <c r="B4550" s="18" t="s">
        <v>7166</v>
      </c>
      <c r="C4550" s="13">
        <v>37</v>
      </c>
      <c r="D4550" s="21" t="s">
        <v>7181</v>
      </c>
      <c r="E4550" s="24">
        <v>16</v>
      </c>
    </row>
    <row r="4551" spans="2:5" x14ac:dyDescent="0.3">
      <c r="B4551" s="18" t="s">
        <v>7164</v>
      </c>
      <c r="C4551" s="13">
        <v>38</v>
      </c>
      <c r="D4551" s="21" t="s">
        <v>7179</v>
      </c>
      <c r="E4551" s="24">
        <v>17</v>
      </c>
    </row>
    <row r="4552" spans="2:5" x14ac:dyDescent="0.3">
      <c r="B4552" s="18" t="s">
        <v>7162</v>
      </c>
      <c r="C4552" s="13">
        <v>39</v>
      </c>
      <c r="D4552" s="21" t="s">
        <v>7177</v>
      </c>
      <c r="E4552" s="24">
        <v>18</v>
      </c>
    </row>
    <row r="4553" spans="2:5" x14ac:dyDescent="0.3">
      <c r="B4553" s="18" t="s">
        <v>8556</v>
      </c>
      <c r="C4553" s="13">
        <v>50</v>
      </c>
      <c r="D4553" s="21" t="s">
        <v>8557</v>
      </c>
      <c r="E4553" s="24">
        <v>12</v>
      </c>
    </row>
    <row r="4554" spans="2:5" x14ac:dyDescent="0.3">
      <c r="B4554" s="18" t="s">
        <v>8558</v>
      </c>
      <c r="C4554" s="13">
        <v>49</v>
      </c>
      <c r="D4554" s="21" t="s">
        <v>7175</v>
      </c>
      <c r="E4554" s="24">
        <v>11</v>
      </c>
    </row>
    <row r="4555" spans="2:5" x14ac:dyDescent="0.3">
      <c r="B4555" s="18" t="s">
        <v>8559</v>
      </c>
      <c r="C4555" s="13">
        <v>48</v>
      </c>
      <c r="D4555" s="21" t="s">
        <v>7173</v>
      </c>
      <c r="E4555" s="24">
        <v>10</v>
      </c>
    </row>
    <row r="4556" spans="2:5" x14ac:dyDescent="0.3">
      <c r="B4556" s="18" t="s">
        <v>8560</v>
      </c>
      <c r="C4556" s="13">
        <v>47</v>
      </c>
      <c r="D4556" s="21" t="s">
        <v>7171</v>
      </c>
      <c r="E4556" s="24">
        <v>9</v>
      </c>
    </row>
    <row r="4557" spans="2:5" x14ac:dyDescent="0.3">
      <c r="B4557" s="18" t="s">
        <v>8561</v>
      </c>
      <c r="C4557" s="13">
        <v>46</v>
      </c>
      <c r="D4557" s="21" t="s">
        <v>7169</v>
      </c>
      <c r="E4557" s="24">
        <v>8</v>
      </c>
    </row>
    <row r="4558" spans="2:5" x14ac:dyDescent="0.3">
      <c r="B4558" s="18" t="s">
        <v>8562</v>
      </c>
      <c r="C4558" s="13">
        <v>45</v>
      </c>
      <c r="D4558" s="21" t="s">
        <v>7167</v>
      </c>
      <c r="E4558" s="24">
        <v>7</v>
      </c>
    </row>
    <row r="4559" spans="2:5" x14ac:dyDescent="0.3">
      <c r="B4559" s="18" t="s">
        <v>8563</v>
      </c>
      <c r="C4559" s="13">
        <v>44</v>
      </c>
      <c r="D4559" s="21" t="s">
        <v>8564</v>
      </c>
      <c r="E4559" s="24">
        <v>6</v>
      </c>
    </row>
    <row r="4560" spans="2:5" x14ac:dyDescent="0.3">
      <c r="B4560" s="18" t="s">
        <v>8565</v>
      </c>
      <c r="C4560" s="13">
        <v>43</v>
      </c>
      <c r="D4560" s="21" t="s">
        <v>7165</v>
      </c>
      <c r="E4560" s="24">
        <v>5</v>
      </c>
    </row>
    <row r="4561" spans="2:5" x14ac:dyDescent="0.3">
      <c r="B4561" s="18" t="s">
        <v>8566</v>
      </c>
      <c r="C4561" s="13">
        <v>42</v>
      </c>
      <c r="D4561" s="21" t="s">
        <v>7163</v>
      </c>
      <c r="E4561" s="24">
        <v>4</v>
      </c>
    </row>
    <row r="4562" spans="2:5" x14ac:dyDescent="0.3">
      <c r="B4562" s="18" t="s">
        <v>8567</v>
      </c>
      <c r="C4562" s="13">
        <v>41</v>
      </c>
      <c r="D4562" s="21" t="s">
        <v>7161</v>
      </c>
      <c r="E4562" s="24">
        <v>3</v>
      </c>
    </row>
    <row r="4563" spans="2:5" x14ac:dyDescent="0.3">
      <c r="B4563" s="18" t="s">
        <v>8568</v>
      </c>
      <c r="C4563" s="13">
        <v>40</v>
      </c>
      <c r="D4563" s="21" t="s">
        <v>7159</v>
      </c>
      <c r="E4563" s="24">
        <v>2</v>
      </c>
    </row>
    <row r="4564" spans="2:5" x14ac:dyDescent="0.3">
      <c r="B4564" s="18" t="s">
        <v>7160</v>
      </c>
      <c r="C4564" s="13">
        <v>1</v>
      </c>
      <c r="D4564" s="21" t="s">
        <v>7157</v>
      </c>
      <c r="E4564" s="24">
        <v>1</v>
      </c>
    </row>
    <row r="4565" spans="2:5" x14ac:dyDescent="0.3">
      <c r="B4565" s="18" t="s">
        <v>7158</v>
      </c>
      <c r="C4565" s="13">
        <v>2</v>
      </c>
      <c r="D4565" s="21" t="s">
        <v>8569</v>
      </c>
      <c r="E4565" s="24">
        <v>13</v>
      </c>
    </row>
    <row r="4566" spans="2:5" x14ac:dyDescent="0.3">
      <c r="B4566" s="18" t="s">
        <v>7156</v>
      </c>
      <c r="C4566" s="13">
        <v>3</v>
      </c>
      <c r="D4566" s="21" t="s">
        <v>7151</v>
      </c>
      <c r="E4566" s="24">
        <v>14</v>
      </c>
    </row>
    <row r="4567" spans="2:5" x14ac:dyDescent="0.3">
      <c r="B4567" s="18" t="s">
        <v>7154</v>
      </c>
      <c r="C4567" s="13">
        <v>4</v>
      </c>
      <c r="D4567" s="21" t="s">
        <v>7149</v>
      </c>
      <c r="E4567" s="24">
        <v>15</v>
      </c>
    </row>
    <row r="4568" spans="2:5" x14ac:dyDescent="0.3">
      <c r="B4568" s="18" t="s">
        <v>7152</v>
      </c>
      <c r="C4568" s="13">
        <v>5</v>
      </c>
      <c r="D4568" s="21" t="s">
        <v>7147</v>
      </c>
      <c r="E4568" s="24">
        <v>16</v>
      </c>
    </row>
    <row r="4569" spans="2:5" x14ac:dyDescent="0.3">
      <c r="B4569" s="18" t="s">
        <v>7142</v>
      </c>
      <c r="C4569" s="13">
        <v>6</v>
      </c>
      <c r="D4569" s="21" t="s">
        <v>7145</v>
      </c>
      <c r="E4569" s="24">
        <v>17</v>
      </c>
    </row>
    <row r="4570" spans="2:5" x14ac:dyDescent="0.3">
      <c r="B4570" s="18" t="s">
        <v>7140</v>
      </c>
      <c r="C4570" s="13">
        <v>7</v>
      </c>
      <c r="D4570" s="21" t="s">
        <v>8570</v>
      </c>
      <c r="E4570" s="24">
        <v>12</v>
      </c>
    </row>
    <row r="4571" spans="2:5" x14ac:dyDescent="0.3">
      <c r="B4571" s="18" t="s">
        <v>7138</v>
      </c>
      <c r="C4571" s="13">
        <v>8</v>
      </c>
      <c r="D4571" s="21" t="s">
        <v>7141</v>
      </c>
      <c r="E4571" s="24">
        <v>11</v>
      </c>
    </row>
    <row r="4572" spans="2:5" x14ac:dyDescent="0.3">
      <c r="B4572" s="18" t="s">
        <v>7136</v>
      </c>
      <c r="C4572" s="13">
        <v>9</v>
      </c>
      <c r="D4572" s="21" t="s">
        <v>7139</v>
      </c>
      <c r="E4572" s="24">
        <v>10</v>
      </c>
    </row>
    <row r="4573" spans="2:5" x14ac:dyDescent="0.3">
      <c r="B4573" s="18" t="s">
        <v>7134</v>
      </c>
      <c r="C4573" s="13">
        <v>10</v>
      </c>
      <c r="D4573" s="21" t="s">
        <v>7137</v>
      </c>
      <c r="E4573" s="24">
        <v>9</v>
      </c>
    </row>
    <row r="4574" spans="2:5" x14ac:dyDescent="0.3">
      <c r="B4574" s="18" t="s">
        <v>7132</v>
      </c>
      <c r="C4574" s="13">
        <v>11</v>
      </c>
      <c r="D4574" s="21" t="s">
        <v>7135</v>
      </c>
      <c r="E4574" s="24">
        <v>8</v>
      </c>
    </row>
    <row r="4575" spans="2:5" x14ac:dyDescent="0.3">
      <c r="B4575" s="18" t="s">
        <v>7130</v>
      </c>
      <c r="C4575" s="13">
        <v>12</v>
      </c>
      <c r="D4575" s="21" t="s">
        <v>7133</v>
      </c>
      <c r="E4575" s="24">
        <v>7</v>
      </c>
    </row>
    <row r="4576" spans="2:5" x14ac:dyDescent="0.3">
      <c r="B4576" s="18" t="s">
        <v>7128</v>
      </c>
      <c r="C4576" s="13">
        <v>13</v>
      </c>
      <c r="D4576" s="21" t="s">
        <v>8571</v>
      </c>
      <c r="E4576" s="24">
        <v>6</v>
      </c>
    </row>
    <row r="4577" spans="2:5" x14ac:dyDescent="0.3">
      <c r="B4577" s="18" t="s">
        <v>7126</v>
      </c>
      <c r="C4577" s="13">
        <v>26</v>
      </c>
      <c r="D4577" s="21" t="s">
        <v>7131</v>
      </c>
      <c r="E4577" s="24">
        <v>5</v>
      </c>
    </row>
    <row r="4578" spans="2:5" x14ac:dyDescent="0.3">
      <c r="B4578" s="18" t="s">
        <v>7124</v>
      </c>
      <c r="C4578" s="13">
        <v>25</v>
      </c>
      <c r="D4578" s="21" t="s">
        <v>7129</v>
      </c>
      <c r="E4578" s="24">
        <v>4</v>
      </c>
    </row>
    <row r="4579" spans="2:5" x14ac:dyDescent="0.3">
      <c r="B4579" s="18" t="s">
        <v>7122</v>
      </c>
      <c r="C4579" s="13">
        <v>24</v>
      </c>
      <c r="D4579" s="21" t="s">
        <v>7127</v>
      </c>
      <c r="E4579" s="24">
        <v>3</v>
      </c>
    </row>
    <row r="4580" spans="2:5" x14ac:dyDescent="0.3">
      <c r="B4580" s="18" t="s">
        <v>7120</v>
      </c>
      <c r="C4580" s="13">
        <v>23</v>
      </c>
      <c r="D4580" s="21" t="s">
        <v>7125</v>
      </c>
      <c r="E4580" s="24">
        <v>2</v>
      </c>
    </row>
    <row r="4581" spans="2:5" x14ac:dyDescent="0.3">
      <c r="B4581" s="18" t="s">
        <v>7118</v>
      </c>
      <c r="C4581" s="13">
        <v>22</v>
      </c>
      <c r="D4581" s="21" t="s">
        <v>7123</v>
      </c>
      <c r="E4581" s="24">
        <v>1</v>
      </c>
    </row>
    <row r="4582" spans="2:5" x14ac:dyDescent="0.3">
      <c r="B4582" s="18" t="s">
        <v>7108</v>
      </c>
      <c r="C4582" s="13">
        <v>21</v>
      </c>
      <c r="D4582" s="21" t="s">
        <v>8572</v>
      </c>
      <c r="E4582" s="24">
        <v>13</v>
      </c>
    </row>
    <row r="4583" spans="2:5" x14ac:dyDescent="0.3">
      <c r="B4583" s="18" t="s">
        <v>7106</v>
      </c>
      <c r="C4583" s="13">
        <v>20</v>
      </c>
      <c r="D4583" s="21" t="s">
        <v>8573</v>
      </c>
      <c r="E4583" s="24">
        <v>14</v>
      </c>
    </row>
    <row r="4584" spans="2:5" x14ac:dyDescent="0.3">
      <c r="B4584" s="18" t="s">
        <v>7104</v>
      </c>
      <c r="C4584" s="13">
        <v>19</v>
      </c>
      <c r="D4584" s="21" t="s">
        <v>7113</v>
      </c>
      <c r="E4584" s="24">
        <v>15</v>
      </c>
    </row>
    <row r="4585" spans="2:5" x14ac:dyDescent="0.3">
      <c r="B4585" s="18" t="s">
        <v>7102</v>
      </c>
      <c r="C4585" s="13">
        <v>18</v>
      </c>
      <c r="D4585" s="21" t="s">
        <v>7111</v>
      </c>
      <c r="E4585" s="24">
        <v>16</v>
      </c>
    </row>
    <row r="4586" spans="2:5" x14ac:dyDescent="0.3">
      <c r="B4586" s="18" t="s">
        <v>7100</v>
      </c>
      <c r="C4586" s="13">
        <v>17</v>
      </c>
      <c r="D4586" s="21" t="s">
        <v>8574</v>
      </c>
      <c r="E4586" s="24">
        <v>12</v>
      </c>
    </row>
    <row r="4587" spans="2:5" x14ac:dyDescent="0.3">
      <c r="B4587" s="18" t="s">
        <v>7098</v>
      </c>
      <c r="C4587" s="13">
        <v>16</v>
      </c>
      <c r="D4587" s="21" t="s">
        <v>8575</v>
      </c>
      <c r="E4587" s="24">
        <v>11</v>
      </c>
    </row>
    <row r="4588" spans="2:5" x14ac:dyDescent="0.3">
      <c r="B4588" s="18" t="s">
        <v>7096</v>
      </c>
      <c r="C4588" s="13">
        <v>15</v>
      </c>
      <c r="D4588" s="21" t="s">
        <v>7105</v>
      </c>
      <c r="E4588" s="24">
        <v>10</v>
      </c>
    </row>
    <row r="4589" spans="2:5" x14ac:dyDescent="0.3">
      <c r="B4589" s="18" t="s">
        <v>7094</v>
      </c>
      <c r="C4589" s="13">
        <v>14</v>
      </c>
      <c r="D4589" s="21" t="s">
        <v>7103</v>
      </c>
      <c r="E4589" s="24">
        <v>9</v>
      </c>
    </row>
    <row r="4590" spans="2:5" x14ac:dyDescent="0.3">
      <c r="B4590" s="18" t="s">
        <v>7092</v>
      </c>
      <c r="C4590" s="13">
        <v>27</v>
      </c>
      <c r="D4590" s="21" t="s">
        <v>7101</v>
      </c>
      <c r="E4590" s="24">
        <v>8</v>
      </c>
    </row>
    <row r="4591" spans="2:5" x14ac:dyDescent="0.3">
      <c r="B4591" s="18" t="s">
        <v>7090</v>
      </c>
      <c r="C4591" s="13">
        <v>28</v>
      </c>
      <c r="D4591" s="21" t="s">
        <v>7099</v>
      </c>
      <c r="E4591" s="24">
        <v>7</v>
      </c>
    </row>
    <row r="4592" spans="2:5" x14ac:dyDescent="0.3">
      <c r="B4592" s="18" t="s">
        <v>7088</v>
      </c>
      <c r="C4592" s="13">
        <v>29</v>
      </c>
      <c r="D4592" s="21" t="s">
        <v>8576</v>
      </c>
      <c r="E4592" s="24">
        <v>6</v>
      </c>
    </row>
    <row r="4593" spans="2:5" x14ac:dyDescent="0.3">
      <c r="B4593" s="18" t="s">
        <v>7086</v>
      </c>
      <c r="C4593" s="13">
        <v>30</v>
      </c>
      <c r="D4593" s="21" t="s">
        <v>8577</v>
      </c>
      <c r="E4593" s="24">
        <v>5</v>
      </c>
    </row>
    <row r="4594" spans="2:5" x14ac:dyDescent="0.3">
      <c r="B4594" s="18" t="s">
        <v>7084</v>
      </c>
      <c r="C4594" s="13">
        <v>31</v>
      </c>
      <c r="D4594" s="21" t="s">
        <v>7097</v>
      </c>
      <c r="E4594" s="24">
        <v>4</v>
      </c>
    </row>
    <row r="4595" spans="2:5" x14ac:dyDescent="0.3">
      <c r="B4595" s="18" t="s">
        <v>7074</v>
      </c>
      <c r="C4595" s="13">
        <v>32</v>
      </c>
      <c r="D4595" s="21" t="s">
        <v>7095</v>
      </c>
      <c r="E4595" s="24">
        <v>3</v>
      </c>
    </row>
    <row r="4596" spans="2:5" x14ac:dyDescent="0.3">
      <c r="B4596" s="18" t="s">
        <v>7072</v>
      </c>
      <c r="C4596" s="13">
        <v>33</v>
      </c>
      <c r="D4596" s="21" t="s">
        <v>7093</v>
      </c>
      <c r="E4596" s="24">
        <v>2</v>
      </c>
    </row>
    <row r="4597" spans="2:5" x14ac:dyDescent="0.3">
      <c r="B4597" s="18" t="s">
        <v>7070</v>
      </c>
      <c r="C4597" s="13">
        <v>34</v>
      </c>
      <c r="D4597" s="21" t="s">
        <v>7091</v>
      </c>
      <c r="E4597" s="24">
        <v>1</v>
      </c>
    </row>
    <row r="4598" spans="2:5" x14ac:dyDescent="0.3">
      <c r="B4598" s="18" t="s">
        <v>7068</v>
      </c>
      <c r="C4598" s="13">
        <v>35</v>
      </c>
      <c r="D4598" s="21" t="s">
        <v>8578</v>
      </c>
      <c r="E4598" s="24">
        <v>11</v>
      </c>
    </row>
    <row r="4599" spans="2:5" x14ac:dyDescent="0.3">
      <c r="B4599" s="18" t="s">
        <v>7066</v>
      </c>
      <c r="C4599" s="13">
        <v>36</v>
      </c>
      <c r="D4599" s="21" t="s">
        <v>7083</v>
      </c>
      <c r="E4599" s="24">
        <v>12</v>
      </c>
    </row>
    <row r="4600" spans="2:5" x14ac:dyDescent="0.3">
      <c r="B4600" s="18" t="s">
        <v>7064</v>
      </c>
      <c r="C4600" s="13">
        <v>37</v>
      </c>
      <c r="D4600" s="21" t="s">
        <v>7081</v>
      </c>
      <c r="E4600" s="24">
        <v>13</v>
      </c>
    </row>
    <row r="4601" spans="2:5" x14ac:dyDescent="0.3">
      <c r="B4601" s="18" t="s">
        <v>7062</v>
      </c>
      <c r="C4601" s="13">
        <v>38</v>
      </c>
      <c r="D4601" s="21" t="s">
        <v>7079</v>
      </c>
      <c r="E4601" s="24">
        <v>14</v>
      </c>
    </row>
    <row r="4602" spans="2:5" x14ac:dyDescent="0.3">
      <c r="B4602" s="18" t="s">
        <v>7060</v>
      </c>
      <c r="C4602" s="13">
        <v>39</v>
      </c>
      <c r="D4602" s="21" t="s">
        <v>7077</v>
      </c>
      <c r="E4602" s="24">
        <v>15</v>
      </c>
    </row>
    <row r="4603" spans="2:5" x14ac:dyDescent="0.3">
      <c r="B4603" s="18" t="s">
        <v>8579</v>
      </c>
      <c r="C4603" s="13">
        <v>51</v>
      </c>
      <c r="D4603" s="21" t="s">
        <v>8580</v>
      </c>
      <c r="E4603" s="24">
        <v>10</v>
      </c>
    </row>
    <row r="4604" spans="2:5" x14ac:dyDescent="0.3">
      <c r="B4604" s="18" t="s">
        <v>8581</v>
      </c>
      <c r="C4604" s="13">
        <v>50</v>
      </c>
      <c r="D4604" s="21" t="s">
        <v>7075</v>
      </c>
      <c r="E4604" s="24">
        <v>9</v>
      </c>
    </row>
    <row r="4605" spans="2:5" x14ac:dyDescent="0.3">
      <c r="B4605" s="18" t="s">
        <v>8582</v>
      </c>
      <c r="C4605" s="13">
        <v>49</v>
      </c>
      <c r="D4605" s="21" t="s">
        <v>7073</v>
      </c>
      <c r="E4605" s="24">
        <v>8</v>
      </c>
    </row>
    <row r="4606" spans="2:5" x14ac:dyDescent="0.3">
      <c r="B4606" s="18" t="s">
        <v>8583</v>
      </c>
      <c r="C4606" s="13">
        <v>48</v>
      </c>
      <c r="D4606" s="21" t="s">
        <v>7071</v>
      </c>
      <c r="E4606" s="24">
        <v>7</v>
      </c>
    </row>
    <row r="4607" spans="2:5" x14ac:dyDescent="0.3">
      <c r="B4607" s="18" t="s">
        <v>8584</v>
      </c>
      <c r="C4607" s="13">
        <v>47</v>
      </c>
      <c r="D4607" s="21" t="s">
        <v>7069</v>
      </c>
      <c r="E4607" s="24">
        <v>6</v>
      </c>
    </row>
    <row r="4608" spans="2:5" x14ac:dyDescent="0.3">
      <c r="B4608" s="18" t="s">
        <v>8585</v>
      </c>
      <c r="C4608" s="13">
        <v>46</v>
      </c>
      <c r="D4608" s="21" t="s">
        <v>8586</v>
      </c>
      <c r="E4608" s="24">
        <v>5</v>
      </c>
    </row>
    <row r="4609" spans="2:5" x14ac:dyDescent="0.3">
      <c r="B4609" s="18" t="s">
        <v>8587</v>
      </c>
      <c r="C4609" s="13">
        <v>45</v>
      </c>
      <c r="D4609" s="21" t="s">
        <v>7067</v>
      </c>
      <c r="E4609" s="24">
        <v>4</v>
      </c>
    </row>
    <row r="4610" spans="2:5" x14ac:dyDescent="0.3">
      <c r="B4610" s="18" t="s">
        <v>8588</v>
      </c>
      <c r="C4610" s="13">
        <v>44</v>
      </c>
      <c r="D4610" s="21" t="s">
        <v>7065</v>
      </c>
      <c r="E4610" s="24">
        <v>3</v>
      </c>
    </row>
    <row r="4611" spans="2:5" x14ac:dyDescent="0.3">
      <c r="B4611" s="18" t="s">
        <v>8589</v>
      </c>
      <c r="C4611" s="13">
        <v>43</v>
      </c>
      <c r="D4611" s="21" t="s">
        <v>7063</v>
      </c>
      <c r="E4611" s="24">
        <v>2</v>
      </c>
    </row>
    <row r="4612" spans="2:5" x14ac:dyDescent="0.3">
      <c r="B4612" s="18" t="s">
        <v>8590</v>
      </c>
      <c r="C4612" s="13">
        <v>42</v>
      </c>
      <c r="D4612" s="21" t="s">
        <v>7061</v>
      </c>
      <c r="E4612" s="24">
        <v>1</v>
      </c>
    </row>
    <row r="4613" spans="2:5" x14ac:dyDescent="0.3">
      <c r="B4613" s="18" t="s">
        <v>8591</v>
      </c>
      <c r="C4613" s="13">
        <v>41</v>
      </c>
      <c r="D4613" s="21" t="s">
        <v>8592</v>
      </c>
      <c r="E4613" s="24">
        <v>11</v>
      </c>
    </row>
    <row r="4614" spans="2:5" x14ac:dyDescent="0.3">
      <c r="B4614" s="18" t="s">
        <v>8593</v>
      </c>
      <c r="C4614" s="13">
        <v>40</v>
      </c>
      <c r="D4614" s="21" t="s">
        <v>7055</v>
      </c>
      <c r="E4614" s="24">
        <v>12</v>
      </c>
    </row>
    <row r="4615" spans="2:5" x14ac:dyDescent="0.3">
      <c r="B4615" s="18" t="s">
        <v>7058</v>
      </c>
      <c r="C4615" s="13">
        <v>1</v>
      </c>
      <c r="D4615" s="21" t="s">
        <v>7053</v>
      </c>
      <c r="E4615" s="24">
        <v>13</v>
      </c>
    </row>
    <row r="4616" spans="2:5" x14ac:dyDescent="0.3">
      <c r="B4616" s="18" t="s">
        <v>7056</v>
      </c>
      <c r="C4616" s="13">
        <v>2</v>
      </c>
      <c r="D4616" s="21" t="s">
        <v>7051</v>
      </c>
      <c r="E4616" s="24">
        <v>14</v>
      </c>
    </row>
    <row r="4617" spans="2:5" x14ac:dyDescent="0.3">
      <c r="B4617" s="18" t="s">
        <v>7054</v>
      </c>
      <c r="C4617" s="13">
        <v>3</v>
      </c>
      <c r="D4617" s="21" t="s">
        <v>8594</v>
      </c>
      <c r="E4617" s="24">
        <v>10</v>
      </c>
    </row>
    <row r="4618" spans="2:5" x14ac:dyDescent="0.3">
      <c r="B4618" s="18" t="s">
        <v>7052</v>
      </c>
      <c r="C4618" s="13">
        <v>4</v>
      </c>
      <c r="D4618" s="21" t="s">
        <v>7047</v>
      </c>
      <c r="E4618" s="24">
        <v>9</v>
      </c>
    </row>
    <row r="4619" spans="2:5" x14ac:dyDescent="0.3">
      <c r="B4619" s="18" t="s">
        <v>7050</v>
      </c>
      <c r="C4619" s="13">
        <v>5</v>
      </c>
      <c r="D4619" s="21" t="s">
        <v>7045</v>
      </c>
      <c r="E4619" s="24">
        <v>8</v>
      </c>
    </row>
    <row r="4620" spans="2:5" x14ac:dyDescent="0.3">
      <c r="B4620" s="18" t="s">
        <v>7038</v>
      </c>
      <c r="C4620" s="13">
        <v>6</v>
      </c>
      <c r="D4620" s="21" t="s">
        <v>7043</v>
      </c>
      <c r="E4620" s="24">
        <v>7</v>
      </c>
    </row>
    <row r="4621" spans="2:5" x14ac:dyDescent="0.3">
      <c r="B4621" s="18" t="s">
        <v>7036</v>
      </c>
      <c r="C4621" s="13">
        <v>7</v>
      </c>
      <c r="D4621" s="21" t="s">
        <v>7041</v>
      </c>
      <c r="E4621" s="24">
        <v>6</v>
      </c>
    </row>
    <row r="4622" spans="2:5" x14ac:dyDescent="0.3">
      <c r="B4622" s="18" t="s">
        <v>7034</v>
      </c>
      <c r="C4622" s="13">
        <v>8</v>
      </c>
      <c r="D4622" s="21" t="s">
        <v>8595</v>
      </c>
      <c r="E4622" s="24">
        <v>5</v>
      </c>
    </row>
    <row r="4623" spans="2:5" x14ac:dyDescent="0.3">
      <c r="B4623" s="18" t="s">
        <v>7032</v>
      </c>
      <c r="C4623" s="13">
        <v>9</v>
      </c>
      <c r="D4623" s="21" t="s">
        <v>7039</v>
      </c>
      <c r="E4623" s="24">
        <v>4</v>
      </c>
    </row>
    <row r="4624" spans="2:5" x14ac:dyDescent="0.3">
      <c r="B4624" s="18" t="s">
        <v>7030</v>
      </c>
      <c r="C4624" s="13">
        <v>10</v>
      </c>
      <c r="D4624" s="21" t="s">
        <v>7037</v>
      </c>
      <c r="E4624" s="24">
        <v>3</v>
      </c>
    </row>
    <row r="4625" spans="2:5" x14ac:dyDescent="0.3">
      <c r="B4625" s="18" t="s">
        <v>7028</v>
      </c>
      <c r="C4625" s="13">
        <v>11</v>
      </c>
      <c r="D4625" s="21" t="s">
        <v>7035</v>
      </c>
      <c r="E4625" s="24">
        <v>2</v>
      </c>
    </row>
    <row r="4626" spans="2:5" x14ac:dyDescent="0.3">
      <c r="B4626" s="18" t="s">
        <v>7026</v>
      </c>
      <c r="C4626" s="13">
        <v>12</v>
      </c>
      <c r="D4626" s="21" t="s">
        <v>7033</v>
      </c>
      <c r="E4626" s="24">
        <v>1</v>
      </c>
    </row>
    <row r="4627" spans="2:5" x14ac:dyDescent="0.3">
      <c r="B4627" s="18" t="s">
        <v>7024</v>
      </c>
      <c r="C4627" s="13">
        <v>13</v>
      </c>
      <c r="D4627" s="21" t="s">
        <v>8596</v>
      </c>
      <c r="E4627" s="24">
        <v>11</v>
      </c>
    </row>
    <row r="4628" spans="2:5" x14ac:dyDescent="0.3">
      <c r="B4628" s="18" t="s">
        <v>7022</v>
      </c>
      <c r="C4628" s="13">
        <v>26</v>
      </c>
      <c r="D4628" s="21" t="s">
        <v>7029</v>
      </c>
      <c r="E4628" s="24">
        <v>12</v>
      </c>
    </row>
    <row r="4629" spans="2:5" x14ac:dyDescent="0.3">
      <c r="B4629" s="18" t="s">
        <v>7020</v>
      </c>
      <c r="C4629" s="13">
        <v>25</v>
      </c>
      <c r="D4629" s="21" t="s">
        <v>7027</v>
      </c>
      <c r="E4629" s="24">
        <v>13</v>
      </c>
    </row>
    <row r="4630" spans="2:5" x14ac:dyDescent="0.3">
      <c r="B4630" s="18" t="s">
        <v>7018</v>
      </c>
      <c r="C4630" s="13">
        <v>24</v>
      </c>
      <c r="D4630" s="21" t="s">
        <v>8597</v>
      </c>
      <c r="E4630" s="24">
        <v>10</v>
      </c>
    </row>
    <row r="4631" spans="2:5" x14ac:dyDescent="0.3">
      <c r="B4631" s="18" t="s">
        <v>7016</v>
      </c>
      <c r="C4631" s="13">
        <v>23</v>
      </c>
      <c r="D4631" s="21" t="s">
        <v>7021</v>
      </c>
      <c r="E4631" s="24">
        <v>9</v>
      </c>
    </row>
    <row r="4632" spans="2:5" x14ac:dyDescent="0.3">
      <c r="B4632" s="18" t="s">
        <v>7014</v>
      </c>
      <c r="C4632" s="13">
        <v>22</v>
      </c>
      <c r="D4632" s="21" t="s">
        <v>7019</v>
      </c>
      <c r="E4632" s="24">
        <v>8</v>
      </c>
    </row>
    <row r="4633" spans="2:5" x14ac:dyDescent="0.3">
      <c r="B4633" s="18" t="s">
        <v>7002</v>
      </c>
      <c r="C4633" s="13">
        <v>21</v>
      </c>
      <c r="D4633" s="21" t="s">
        <v>7017</v>
      </c>
      <c r="E4633" s="24">
        <v>7</v>
      </c>
    </row>
    <row r="4634" spans="2:5" x14ac:dyDescent="0.3">
      <c r="B4634" s="18" t="s">
        <v>7000</v>
      </c>
      <c r="C4634" s="13">
        <v>20</v>
      </c>
      <c r="D4634" s="21" t="s">
        <v>7015</v>
      </c>
      <c r="E4634" s="24">
        <v>6</v>
      </c>
    </row>
    <row r="4635" spans="2:5" x14ac:dyDescent="0.3">
      <c r="B4635" s="18" t="s">
        <v>6998</v>
      </c>
      <c r="C4635" s="13">
        <v>19</v>
      </c>
      <c r="D4635" s="21" t="s">
        <v>8598</v>
      </c>
      <c r="E4635" s="24">
        <v>5</v>
      </c>
    </row>
    <row r="4636" spans="2:5" x14ac:dyDescent="0.3">
      <c r="B4636" s="18" t="s">
        <v>6996</v>
      </c>
      <c r="C4636" s="13">
        <v>18</v>
      </c>
      <c r="D4636" s="21" t="s">
        <v>7013</v>
      </c>
      <c r="E4636" s="24">
        <v>4</v>
      </c>
    </row>
    <row r="4637" spans="2:5" x14ac:dyDescent="0.3">
      <c r="B4637" s="18" t="s">
        <v>6994</v>
      </c>
      <c r="C4637" s="13">
        <v>17</v>
      </c>
      <c r="D4637" s="21" t="s">
        <v>7011</v>
      </c>
      <c r="E4637" s="24">
        <v>3</v>
      </c>
    </row>
    <row r="4638" spans="2:5" x14ac:dyDescent="0.3">
      <c r="B4638" s="18" t="s">
        <v>6992</v>
      </c>
      <c r="C4638" s="13">
        <v>16</v>
      </c>
      <c r="D4638" s="21" t="s">
        <v>7009</v>
      </c>
      <c r="E4638" s="24">
        <v>2</v>
      </c>
    </row>
    <row r="4639" spans="2:5" x14ac:dyDescent="0.3">
      <c r="B4639" s="18" t="s">
        <v>6990</v>
      </c>
      <c r="C4639" s="13">
        <v>15</v>
      </c>
      <c r="D4639" s="21" t="s">
        <v>7007</v>
      </c>
      <c r="E4639" s="24">
        <v>1</v>
      </c>
    </row>
    <row r="4640" spans="2:5" x14ac:dyDescent="0.3">
      <c r="B4640" s="18" t="s">
        <v>6988</v>
      </c>
      <c r="C4640" s="13">
        <v>14</v>
      </c>
      <c r="D4640" s="21" t="s">
        <v>8599</v>
      </c>
      <c r="E4640" s="24">
        <v>9</v>
      </c>
    </row>
    <row r="4641" spans="2:5" x14ac:dyDescent="0.3">
      <c r="B4641" s="18" t="s">
        <v>8600</v>
      </c>
      <c r="C4641" s="13">
        <v>27</v>
      </c>
      <c r="D4641" s="21" t="s">
        <v>6999</v>
      </c>
      <c r="E4641" s="24">
        <v>10</v>
      </c>
    </row>
    <row r="4642" spans="2:5" x14ac:dyDescent="0.3">
      <c r="B4642" s="18" t="s">
        <v>6986</v>
      </c>
      <c r="C4642" s="13">
        <v>28</v>
      </c>
      <c r="D4642" s="21" t="s">
        <v>6997</v>
      </c>
      <c r="E4642" s="24">
        <v>11</v>
      </c>
    </row>
    <row r="4643" spans="2:5" x14ac:dyDescent="0.3">
      <c r="B4643" s="18" t="s">
        <v>6984</v>
      </c>
      <c r="C4643" s="13">
        <v>29</v>
      </c>
      <c r="D4643" s="21" t="s">
        <v>6995</v>
      </c>
      <c r="E4643" s="24">
        <v>12</v>
      </c>
    </row>
    <row r="4644" spans="2:5" x14ac:dyDescent="0.3">
      <c r="B4644" s="18" t="s">
        <v>6982</v>
      </c>
      <c r="C4644" s="13">
        <v>30</v>
      </c>
      <c r="D4644" s="21" t="s">
        <v>8601</v>
      </c>
      <c r="E4644" s="24">
        <v>8</v>
      </c>
    </row>
    <row r="4645" spans="2:5" x14ac:dyDescent="0.3">
      <c r="B4645" s="18" t="s">
        <v>6980</v>
      </c>
      <c r="C4645" s="13">
        <v>31</v>
      </c>
      <c r="D4645" s="21" t="s">
        <v>6993</v>
      </c>
      <c r="E4645" s="24">
        <v>7</v>
      </c>
    </row>
    <row r="4646" spans="2:5" x14ac:dyDescent="0.3">
      <c r="B4646" s="18" t="s">
        <v>8602</v>
      </c>
      <c r="C4646" s="13">
        <v>32</v>
      </c>
      <c r="D4646" s="21" t="s">
        <v>6991</v>
      </c>
      <c r="E4646" s="24">
        <v>6</v>
      </c>
    </row>
    <row r="4647" spans="2:5" x14ac:dyDescent="0.3">
      <c r="B4647" s="18" t="s">
        <v>6968</v>
      </c>
      <c r="C4647" s="13">
        <v>33</v>
      </c>
      <c r="D4647" s="21" t="s">
        <v>6989</v>
      </c>
      <c r="E4647" s="24">
        <v>5</v>
      </c>
    </row>
    <row r="4648" spans="2:5" x14ac:dyDescent="0.3">
      <c r="B4648" s="18" t="s">
        <v>6966</v>
      </c>
      <c r="C4648" s="13">
        <v>34</v>
      </c>
      <c r="D4648" s="21" t="s">
        <v>8603</v>
      </c>
      <c r="E4648" s="24">
        <v>4</v>
      </c>
    </row>
    <row r="4649" spans="2:5" x14ac:dyDescent="0.3">
      <c r="B4649" s="18" t="s">
        <v>6964</v>
      </c>
      <c r="C4649" s="13">
        <v>35</v>
      </c>
      <c r="D4649" s="21" t="s">
        <v>6987</v>
      </c>
      <c r="E4649" s="24">
        <v>3</v>
      </c>
    </row>
    <row r="4650" spans="2:5" x14ac:dyDescent="0.3">
      <c r="B4650" s="18" t="s">
        <v>6962</v>
      </c>
      <c r="C4650" s="13">
        <v>36</v>
      </c>
      <c r="D4650" s="21" t="s">
        <v>6985</v>
      </c>
      <c r="E4650" s="24">
        <v>2</v>
      </c>
    </row>
    <row r="4651" spans="2:5" x14ac:dyDescent="0.3">
      <c r="B4651" s="18" t="s">
        <v>6960</v>
      </c>
      <c r="C4651" s="13">
        <v>37</v>
      </c>
      <c r="D4651" s="21" t="s">
        <v>6983</v>
      </c>
      <c r="E4651" s="24">
        <v>1</v>
      </c>
    </row>
    <row r="4652" spans="2:5" x14ac:dyDescent="0.3">
      <c r="B4652" s="18" t="s">
        <v>6958</v>
      </c>
      <c r="C4652" s="13">
        <v>38</v>
      </c>
      <c r="D4652" s="21" t="s">
        <v>8604</v>
      </c>
      <c r="E4652" s="24">
        <v>9</v>
      </c>
    </row>
    <row r="4653" spans="2:5" x14ac:dyDescent="0.3">
      <c r="B4653" s="18" t="s">
        <v>6956</v>
      </c>
      <c r="C4653" s="13">
        <v>39</v>
      </c>
      <c r="D4653" s="21" t="s">
        <v>4746</v>
      </c>
      <c r="E4653" s="24">
        <v>10</v>
      </c>
    </row>
    <row r="4654" spans="2:5" x14ac:dyDescent="0.3">
      <c r="B4654" s="18" t="s">
        <v>8605</v>
      </c>
      <c r="C4654" s="13">
        <v>52</v>
      </c>
      <c r="D4654" s="21" t="s">
        <v>4744</v>
      </c>
      <c r="E4654" s="24">
        <v>11</v>
      </c>
    </row>
    <row r="4655" spans="2:5" x14ac:dyDescent="0.3">
      <c r="B4655" s="18" t="s">
        <v>8606</v>
      </c>
      <c r="C4655" s="13">
        <v>51</v>
      </c>
      <c r="D4655" s="21" t="s">
        <v>8607</v>
      </c>
      <c r="E4655" s="24">
        <v>8</v>
      </c>
    </row>
    <row r="4656" spans="2:5" x14ac:dyDescent="0.3">
      <c r="B4656" s="18" t="s">
        <v>8608</v>
      </c>
      <c r="C4656" s="13">
        <v>50</v>
      </c>
      <c r="D4656" s="21" t="s">
        <v>4740</v>
      </c>
      <c r="E4656" s="24">
        <v>7</v>
      </c>
    </row>
    <row r="4657" spans="2:5" x14ac:dyDescent="0.3">
      <c r="B4657" s="18" t="s">
        <v>8609</v>
      </c>
      <c r="C4657" s="13">
        <v>49</v>
      </c>
      <c r="D4657" s="21" t="s">
        <v>4738</v>
      </c>
      <c r="E4657" s="24">
        <v>6</v>
      </c>
    </row>
    <row r="4658" spans="2:5" x14ac:dyDescent="0.3">
      <c r="B4658" s="18" t="s">
        <v>8610</v>
      </c>
      <c r="C4658" s="13">
        <v>48</v>
      </c>
      <c r="D4658" s="21" t="s">
        <v>4736</v>
      </c>
      <c r="E4658" s="24">
        <v>5</v>
      </c>
    </row>
    <row r="4659" spans="2:5" x14ac:dyDescent="0.3">
      <c r="B4659" s="18" t="s">
        <v>8611</v>
      </c>
      <c r="C4659" s="13">
        <v>47</v>
      </c>
      <c r="D4659" s="21" t="s">
        <v>8612</v>
      </c>
      <c r="E4659" s="24">
        <v>4</v>
      </c>
    </row>
    <row r="4660" spans="2:5" x14ac:dyDescent="0.3">
      <c r="B4660" s="18" t="s">
        <v>8613</v>
      </c>
      <c r="C4660" s="13">
        <v>46</v>
      </c>
      <c r="D4660" s="21" t="s">
        <v>4734</v>
      </c>
      <c r="E4660" s="24">
        <v>3</v>
      </c>
    </row>
    <row r="4661" spans="2:5" x14ac:dyDescent="0.3">
      <c r="B4661" s="18" t="s">
        <v>8614</v>
      </c>
      <c r="C4661" s="13">
        <v>45</v>
      </c>
      <c r="D4661" s="21" t="s">
        <v>4732</v>
      </c>
      <c r="E4661" s="24">
        <v>2</v>
      </c>
    </row>
    <row r="4662" spans="2:5" x14ac:dyDescent="0.3">
      <c r="B4662" s="18" t="s">
        <v>8615</v>
      </c>
      <c r="C4662" s="13">
        <v>44</v>
      </c>
      <c r="D4662" s="21" t="s">
        <v>4730</v>
      </c>
      <c r="E4662" s="24">
        <v>1</v>
      </c>
    </row>
    <row r="4663" spans="2:5" x14ac:dyDescent="0.3">
      <c r="B4663" s="18" t="s">
        <v>8616</v>
      </c>
      <c r="C4663" s="13">
        <v>43</v>
      </c>
      <c r="D4663" s="21" t="s">
        <v>8617</v>
      </c>
      <c r="E4663" s="24">
        <v>9</v>
      </c>
    </row>
    <row r="4664" spans="2:5" x14ac:dyDescent="0.3">
      <c r="B4664" s="18" t="s">
        <v>8618</v>
      </c>
      <c r="C4664" s="13">
        <v>42</v>
      </c>
      <c r="D4664" s="21" t="s">
        <v>2436</v>
      </c>
      <c r="E4664" s="24">
        <v>10</v>
      </c>
    </row>
    <row r="4665" spans="2:5" x14ac:dyDescent="0.3">
      <c r="B4665" s="18" t="s">
        <v>8619</v>
      </c>
      <c r="C4665" s="13">
        <v>41</v>
      </c>
      <c r="D4665" s="21" t="s">
        <v>8620</v>
      </c>
      <c r="E4665" s="24">
        <v>8</v>
      </c>
    </row>
    <row r="4666" spans="2:5" x14ac:dyDescent="0.3">
      <c r="B4666" s="18" t="s">
        <v>8621</v>
      </c>
      <c r="C4666" s="13">
        <v>40</v>
      </c>
      <c r="D4666" s="21" t="s">
        <v>2430</v>
      </c>
      <c r="E4666" s="24">
        <v>7</v>
      </c>
    </row>
    <row r="4667" spans="2:5" x14ac:dyDescent="0.3">
      <c r="B4667" s="18" t="s">
        <v>6954</v>
      </c>
      <c r="C4667" s="13">
        <v>1</v>
      </c>
      <c r="D4667" s="21" t="s">
        <v>2428</v>
      </c>
      <c r="E4667" s="24">
        <v>6</v>
      </c>
    </row>
    <row r="4668" spans="2:5" x14ac:dyDescent="0.3">
      <c r="B4668" s="18" t="s">
        <v>6952</v>
      </c>
      <c r="C4668" s="13">
        <v>2</v>
      </c>
      <c r="D4668" s="21" t="s">
        <v>2426</v>
      </c>
      <c r="E4668" s="24">
        <v>5</v>
      </c>
    </row>
    <row r="4669" spans="2:5" x14ac:dyDescent="0.3">
      <c r="B4669" s="18" t="s">
        <v>6950</v>
      </c>
      <c r="C4669" s="13">
        <v>3</v>
      </c>
      <c r="D4669" s="21" t="s">
        <v>8622</v>
      </c>
      <c r="E4669" s="24">
        <v>4</v>
      </c>
    </row>
    <row r="4670" spans="2:5" x14ac:dyDescent="0.3">
      <c r="B4670" s="18" t="s">
        <v>6948</v>
      </c>
      <c r="C4670" s="13">
        <v>4</v>
      </c>
      <c r="D4670" s="21" t="s">
        <v>2424</v>
      </c>
      <c r="E4670" s="24">
        <v>3</v>
      </c>
    </row>
    <row r="4671" spans="2:5" x14ac:dyDescent="0.3">
      <c r="B4671" s="18" t="s">
        <v>6946</v>
      </c>
      <c r="C4671" s="13">
        <v>5</v>
      </c>
      <c r="D4671" s="21" t="s">
        <v>2422</v>
      </c>
      <c r="E4671" s="24">
        <v>2</v>
      </c>
    </row>
    <row r="4672" spans="2:5" ht="15" thickBot="1" x14ac:dyDescent="0.35">
      <c r="B4672" s="18" t="s">
        <v>6944</v>
      </c>
      <c r="C4672" s="13">
        <v>6</v>
      </c>
      <c r="D4672" s="22" t="s">
        <v>2420</v>
      </c>
      <c r="E4672" s="25">
        <v>1</v>
      </c>
    </row>
    <row r="4673" spans="2:3" ht="15" thickTop="1" x14ac:dyDescent="0.3">
      <c r="B4673" s="18" t="s">
        <v>6934</v>
      </c>
      <c r="C4673" s="13">
        <v>7</v>
      </c>
    </row>
    <row r="4674" spans="2:3" x14ac:dyDescent="0.3">
      <c r="B4674" s="18" t="s">
        <v>6932</v>
      </c>
      <c r="C4674" s="13">
        <v>8</v>
      </c>
    </row>
    <row r="4675" spans="2:3" x14ac:dyDescent="0.3">
      <c r="B4675" s="18" t="s">
        <v>6930</v>
      </c>
      <c r="C4675" s="13">
        <v>9</v>
      </c>
    </row>
    <row r="4676" spans="2:3" x14ac:dyDescent="0.3">
      <c r="B4676" s="18" t="s">
        <v>6928</v>
      </c>
      <c r="C4676" s="13">
        <v>10</v>
      </c>
    </row>
    <row r="4677" spans="2:3" x14ac:dyDescent="0.3">
      <c r="B4677" s="18" t="s">
        <v>6926</v>
      </c>
      <c r="C4677" s="13">
        <v>11</v>
      </c>
    </row>
    <row r="4678" spans="2:3" x14ac:dyDescent="0.3">
      <c r="B4678" s="18" t="s">
        <v>6924</v>
      </c>
      <c r="C4678" s="13">
        <v>12</v>
      </c>
    </row>
    <row r="4679" spans="2:3" x14ac:dyDescent="0.3">
      <c r="B4679" s="18" t="s">
        <v>6922</v>
      </c>
      <c r="C4679" s="13">
        <v>13</v>
      </c>
    </row>
    <row r="4680" spans="2:3" x14ac:dyDescent="0.3">
      <c r="B4680" s="18" t="s">
        <v>6920</v>
      </c>
      <c r="C4680" s="13">
        <v>14</v>
      </c>
    </row>
    <row r="4681" spans="2:3" x14ac:dyDescent="0.3">
      <c r="B4681" s="18" t="s">
        <v>6918</v>
      </c>
      <c r="C4681" s="13">
        <v>28</v>
      </c>
    </row>
    <row r="4682" spans="2:3" x14ac:dyDescent="0.3">
      <c r="B4682" s="18" t="s">
        <v>6916</v>
      </c>
      <c r="C4682" s="13">
        <v>27</v>
      </c>
    </row>
    <row r="4683" spans="2:3" x14ac:dyDescent="0.3">
      <c r="B4683" s="18" t="s">
        <v>6914</v>
      </c>
      <c r="C4683" s="13">
        <v>26</v>
      </c>
    </row>
    <row r="4684" spans="2:3" x14ac:dyDescent="0.3">
      <c r="B4684" s="18" t="s">
        <v>6912</v>
      </c>
      <c r="C4684" s="13">
        <v>25</v>
      </c>
    </row>
    <row r="4685" spans="2:3" x14ac:dyDescent="0.3">
      <c r="B4685" s="18" t="s">
        <v>6910</v>
      </c>
      <c r="C4685" s="13">
        <v>24</v>
      </c>
    </row>
    <row r="4686" spans="2:3" x14ac:dyDescent="0.3">
      <c r="B4686" s="18" t="s">
        <v>6908</v>
      </c>
      <c r="C4686" s="13">
        <v>23</v>
      </c>
    </row>
    <row r="4687" spans="2:3" x14ac:dyDescent="0.3">
      <c r="B4687" s="18" t="s">
        <v>6898</v>
      </c>
      <c r="C4687" s="13">
        <v>22</v>
      </c>
    </row>
    <row r="4688" spans="2:3" x14ac:dyDescent="0.3">
      <c r="B4688" s="18" t="s">
        <v>6896</v>
      </c>
      <c r="C4688" s="13">
        <v>21</v>
      </c>
    </row>
    <row r="4689" spans="2:3" x14ac:dyDescent="0.3">
      <c r="B4689" s="18" t="s">
        <v>6894</v>
      </c>
      <c r="C4689" s="13">
        <v>20</v>
      </c>
    </row>
    <row r="4690" spans="2:3" x14ac:dyDescent="0.3">
      <c r="B4690" s="18" t="s">
        <v>6892</v>
      </c>
      <c r="C4690" s="13">
        <v>19</v>
      </c>
    </row>
    <row r="4691" spans="2:3" x14ac:dyDescent="0.3">
      <c r="B4691" s="18" t="s">
        <v>6890</v>
      </c>
      <c r="C4691" s="13">
        <v>18</v>
      </c>
    </row>
    <row r="4692" spans="2:3" x14ac:dyDescent="0.3">
      <c r="B4692" s="18" t="s">
        <v>6888</v>
      </c>
      <c r="C4692" s="13">
        <v>17</v>
      </c>
    </row>
    <row r="4693" spans="2:3" x14ac:dyDescent="0.3">
      <c r="B4693" s="18" t="s">
        <v>6886</v>
      </c>
      <c r="C4693" s="13">
        <v>16</v>
      </c>
    </row>
    <row r="4694" spans="2:3" x14ac:dyDescent="0.3">
      <c r="B4694" s="18" t="s">
        <v>6884</v>
      </c>
      <c r="C4694" s="13">
        <v>15</v>
      </c>
    </row>
    <row r="4695" spans="2:3" x14ac:dyDescent="0.3">
      <c r="B4695" s="18" t="s">
        <v>8623</v>
      </c>
      <c r="C4695" s="13">
        <v>29</v>
      </c>
    </row>
    <row r="4696" spans="2:3" x14ac:dyDescent="0.3">
      <c r="B4696" s="18" t="s">
        <v>6882</v>
      </c>
      <c r="C4696" s="13">
        <v>30</v>
      </c>
    </row>
    <row r="4697" spans="2:3" x14ac:dyDescent="0.3">
      <c r="B4697" s="18" t="s">
        <v>6880</v>
      </c>
      <c r="C4697" s="13">
        <v>31</v>
      </c>
    </row>
    <row r="4698" spans="2:3" x14ac:dyDescent="0.3">
      <c r="B4698" s="18" t="s">
        <v>6878</v>
      </c>
      <c r="C4698" s="13">
        <v>32</v>
      </c>
    </row>
    <row r="4699" spans="2:3" x14ac:dyDescent="0.3">
      <c r="B4699" s="18" t="s">
        <v>6876</v>
      </c>
      <c r="C4699" s="13">
        <v>33</v>
      </c>
    </row>
    <row r="4700" spans="2:3" x14ac:dyDescent="0.3">
      <c r="B4700" s="18" t="s">
        <v>6874</v>
      </c>
      <c r="C4700" s="13">
        <v>34</v>
      </c>
    </row>
    <row r="4701" spans="2:3" x14ac:dyDescent="0.3">
      <c r="B4701" s="18" t="s">
        <v>6864</v>
      </c>
      <c r="C4701" s="13">
        <v>35</v>
      </c>
    </row>
    <row r="4702" spans="2:3" x14ac:dyDescent="0.3">
      <c r="B4702" s="18" t="s">
        <v>6862</v>
      </c>
      <c r="C4702" s="13">
        <v>36</v>
      </c>
    </row>
    <row r="4703" spans="2:3" x14ac:dyDescent="0.3">
      <c r="B4703" s="18" t="s">
        <v>6860</v>
      </c>
      <c r="C4703" s="13">
        <v>37</v>
      </c>
    </row>
    <row r="4704" spans="2:3" x14ac:dyDescent="0.3">
      <c r="B4704" s="18" t="s">
        <v>6858</v>
      </c>
      <c r="C4704" s="13">
        <v>38</v>
      </c>
    </row>
    <row r="4705" spans="2:3" x14ac:dyDescent="0.3">
      <c r="B4705" s="18" t="s">
        <v>6856</v>
      </c>
      <c r="C4705" s="13">
        <v>39</v>
      </c>
    </row>
    <row r="4706" spans="2:3" x14ac:dyDescent="0.3">
      <c r="B4706" s="18" t="s">
        <v>6854</v>
      </c>
      <c r="C4706" s="13">
        <v>40</v>
      </c>
    </row>
    <row r="4707" spans="2:3" x14ac:dyDescent="0.3">
      <c r="B4707" s="18" t="s">
        <v>6852</v>
      </c>
      <c r="C4707" s="13">
        <v>41</v>
      </c>
    </row>
    <row r="4708" spans="2:3" x14ac:dyDescent="0.3">
      <c r="B4708" s="18" t="s">
        <v>6850</v>
      </c>
      <c r="C4708" s="13">
        <v>42</v>
      </c>
    </row>
    <row r="4709" spans="2:3" x14ac:dyDescent="0.3">
      <c r="B4709" s="18" t="s">
        <v>8624</v>
      </c>
      <c r="C4709" s="13">
        <v>53</v>
      </c>
    </row>
    <row r="4710" spans="2:3" x14ac:dyDescent="0.3">
      <c r="B4710" s="18" t="s">
        <v>8625</v>
      </c>
      <c r="C4710" s="13">
        <v>52</v>
      </c>
    </row>
    <row r="4711" spans="2:3" x14ac:dyDescent="0.3">
      <c r="B4711" s="18" t="s">
        <v>8626</v>
      </c>
      <c r="C4711" s="13">
        <v>51</v>
      </c>
    </row>
    <row r="4712" spans="2:3" x14ac:dyDescent="0.3">
      <c r="B4712" s="18" t="s">
        <v>8627</v>
      </c>
      <c r="C4712" s="13">
        <v>50</v>
      </c>
    </row>
    <row r="4713" spans="2:3" x14ac:dyDescent="0.3">
      <c r="B4713" s="18" t="s">
        <v>8628</v>
      </c>
      <c r="C4713" s="13">
        <v>49</v>
      </c>
    </row>
    <row r="4714" spans="2:3" x14ac:dyDescent="0.3">
      <c r="B4714" s="18" t="s">
        <v>8629</v>
      </c>
      <c r="C4714" s="13">
        <v>48</v>
      </c>
    </row>
    <row r="4715" spans="2:3" x14ac:dyDescent="0.3">
      <c r="B4715" s="18" t="s">
        <v>8630</v>
      </c>
      <c r="C4715" s="13">
        <v>47</v>
      </c>
    </row>
    <row r="4716" spans="2:3" x14ac:dyDescent="0.3">
      <c r="B4716" s="18" t="s">
        <v>8631</v>
      </c>
      <c r="C4716" s="13">
        <v>46</v>
      </c>
    </row>
    <row r="4717" spans="2:3" x14ac:dyDescent="0.3">
      <c r="B4717" s="18" t="s">
        <v>8632</v>
      </c>
      <c r="C4717" s="13">
        <v>45</v>
      </c>
    </row>
    <row r="4718" spans="2:3" x14ac:dyDescent="0.3">
      <c r="B4718" s="18" t="s">
        <v>8633</v>
      </c>
      <c r="C4718" s="13">
        <v>44</v>
      </c>
    </row>
    <row r="4719" spans="2:3" x14ac:dyDescent="0.3">
      <c r="B4719" s="18" t="s">
        <v>8634</v>
      </c>
      <c r="C4719" s="13">
        <v>43</v>
      </c>
    </row>
    <row r="4720" spans="2:3" x14ac:dyDescent="0.3">
      <c r="B4720" s="18" t="s">
        <v>6848</v>
      </c>
      <c r="C4720" s="13">
        <v>1</v>
      </c>
    </row>
    <row r="4721" spans="2:3" x14ac:dyDescent="0.3">
      <c r="B4721" s="18" t="s">
        <v>6846</v>
      </c>
      <c r="C4721" s="13">
        <v>2</v>
      </c>
    </row>
    <row r="4722" spans="2:3" x14ac:dyDescent="0.3">
      <c r="B4722" s="18" t="s">
        <v>6844</v>
      </c>
      <c r="C4722" s="13">
        <v>3</v>
      </c>
    </row>
    <row r="4723" spans="2:3" x14ac:dyDescent="0.3">
      <c r="B4723" s="18" t="s">
        <v>6842</v>
      </c>
      <c r="C4723" s="13">
        <v>4</v>
      </c>
    </row>
    <row r="4724" spans="2:3" x14ac:dyDescent="0.3">
      <c r="B4724" s="18" t="s">
        <v>6840</v>
      </c>
      <c r="C4724" s="13">
        <v>5</v>
      </c>
    </row>
    <row r="4725" spans="2:3" x14ac:dyDescent="0.3">
      <c r="B4725" s="18" t="s">
        <v>6838</v>
      </c>
      <c r="C4725" s="13">
        <v>6</v>
      </c>
    </row>
    <row r="4726" spans="2:3" x14ac:dyDescent="0.3">
      <c r="B4726" s="18" t="s">
        <v>6828</v>
      </c>
      <c r="C4726" s="13">
        <v>7</v>
      </c>
    </row>
    <row r="4727" spans="2:3" x14ac:dyDescent="0.3">
      <c r="B4727" s="18" t="s">
        <v>6826</v>
      </c>
      <c r="C4727" s="13">
        <v>8</v>
      </c>
    </row>
    <row r="4728" spans="2:3" x14ac:dyDescent="0.3">
      <c r="B4728" s="18" t="s">
        <v>6824</v>
      </c>
      <c r="C4728" s="13">
        <v>9</v>
      </c>
    </row>
    <row r="4729" spans="2:3" x14ac:dyDescent="0.3">
      <c r="B4729" s="18" t="s">
        <v>6822</v>
      </c>
      <c r="C4729" s="13">
        <v>10</v>
      </c>
    </row>
    <row r="4730" spans="2:3" x14ac:dyDescent="0.3">
      <c r="B4730" s="18" t="s">
        <v>6820</v>
      </c>
      <c r="C4730" s="13">
        <v>11</v>
      </c>
    </row>
    <row r="4731" spans="2:3" x14ac:dyDescent="0.3">
      <c r="B4731" s="18" t="s">
        <v>6818</v>
      </c>
      <c r="C4731" s="13">
        <v>12</v>
      </c>
    </row>
    <row r="4732" spans="2:3" x14ac:dyDescent="0.3">
      <c r="B4732" s="18" t="s">
        <v>6816</v>
      </c>
      <c r="C4732" s="13">
        <v>13</v>
      </c>
    </row>
    <row r="4733" spans="2:3" x14ac:dyDescent="0.3">
      <c r="B4733" s="18" t="s">
        <v>6814</v>
      </c>
      <c r="C4733" s="13">
        <v>14</v>
      </c>
    </row>
    <row r="4734" spans="2:3" x14ac:dyDescent="0.3">
      <c r="B4734" s="18" t="s">
        <v>6812</v>
      </c>
      <c r="C4734" s="13">
        <v>28</v>
      </c>
    </row>
    <row r="4735" spans="2:3" x14ac:dyDescent="0.3">
      <c r="B4735" s="18" t="s">
        <v>6810</v>
      </c>
      <c r="C4735" s="13">
        <v>27</v>
      </c>
    </row>
    <row r="4736" spans="2:3" x14ac:dyDescent="0.3">
      <c r="B4736" s="18" t="s">
        <v>6808</v>
      </c>
      <c r="C4736" s="13">
        <v>26</v>
      </c>
    </row>
    <row r="4737" spans="2:3" x14ac:dyDescent="0.3">
      <c r="B4737" s="18" t="s">
        <v>6806</v>
      </c>
      <c r="C4737" s="13">
        <v>25</v>
      </c>
    </row>
    <row r="4738" spans="2:3" x14ac:dyDescent="0.3">
      <c r="B4738" s="18" t="s">
        <v>6804</v>
      </c>
      <c r="C4738" s="13">
        <v>24</v>
      </c>
    </row>
    <row r="4739" spans="2:3" x14ac:dyDescent="0.3">
      <c r="B4739" s="18" t="s">
        <v>6802</v>
      </c>
      <c r="C4739" s="13">
        <v>23</v>
      </c>
    </row>
    <row r="4740" spans="2:3" x14ac:dyDescent="0.3">
      <c r="B4740" s="18" t="s">
        <v>6792</v>
      </c>
      <c r="C4740" s="13">
        <v>22</v>
      </c>
    </row>
    <row r="4741" spans="2:3" x14ac:dyDescent="0.3">
      <c r="B4741" s="18" t="s">
        <v>6790</v>
      </c>
      <c r="C4741" s="13">
        <v>21</v>
      </c>
    </row>
    <row r="4742" spans="2:3" x14ac:dyDescent="0.3">
      <c r="B4742" s="18" t="s">
        <v>6788</v>
      </c>
      <c r="C4742" s="13">
        <v>20</v>
      </c>
    </row>
    <row r="4743" spans="2:3" x14ac:dyDescent="0.3">
      <c r="B4743" s="18" t="s">
        <v>6786</v>
      </c>
      <c r="C4743" s="13">
        <v>19</v>
      </c>
    </row>
    <row r="4744" spans="2:3" x14ac:dyDescent="0.3">
      <c r="B4744" s="18" t="s">
        <v>6784</v>
      </c>
      <c r="C4744" s="13">
        <v>18</v>
      </c>
    </row>
    <row r="4745" spans="2:3" x14ac:dyDescent="0.3">
      <c r="B4745" s="18" t="s">
        <v>6782</v>
      </c>
      <c r="C4745" s="13">
        <v>17</v>
      </c>
    </row>
    <row r="4746" spans="2:3" x14ac:dyDescent="0.3">
      <c r="B4746" s="18" t="s">
        <v>6780</v>
      </c>
      <c r="C4746" s="13">
        <v>16</v>
      </c>
    </row>
    <row r="4747" spans="2:3" x14ac:dyDescent="0.3">
      <c r="B4747" s="18" t="s">
        <v>6778</v>
      </c>
      <c r="C4747" s="13">
        <v>15</v>
      </c>
    </row>
    <row r="4748" spans="2:3" x14ac:dyDescent="0.3">
      <c r="B4748" s="18" t="s">
        <v>6776</v>
      </c>
      <c r="C4748" s="13">
        <v>29</v>
      </c>
    </row>
    <row r="4749" spans="2:3" x14ac:dyDescent="0.3">
      <c r="B4749" s="18" t="s">
        <v>6774</v>
      </c>
      <c r="C4749" s="13">
        <v>30</v>
      </c>
    </row>
    <row r="4750" spans="2:3" x14ac:dyDescent="0.3">
      <c r="B4750" s="18" t="s">
        <v>6772</v>
      </c>
      <c r="C4750" s="13">
        <v>31</v>
      </c>
    </row>
    <row r="4751" spans="2:3" x14ac:dyDescent="0.3">
      <c r="B4751" s="18" t="s">
        <v>6770</v>
      </c>
      <c r="C4751" s="13">
        <v>32</v>
      </c>
    </row>
    <row r="4752" spans="2:3" x14ac:dyDescent="0.3">
      <c r="B4752" s="18" t="s">
        <v>6768</v>
      </c>
      <c r="C4752" s="13">
        <v>33</v>
      </c>
    </row>
    <row r="4753" spans="2:3" x14ac:dyDescent="0.3">
      <c r="B4753" s="18" t="s">
        <v>6766</v>
      </c>
      <c r="C4753" s="13">
        <v>34</v>
      </c>
    </row>
    <row r="4754" spans="2:3" x14ac:dyDescent="0.3">
      <c r="B4754" s="18" t="s">
        <v>6756</v>
      </c>
      <c r="C4754" s="13">
        <v>35</v>
      </c>
    </row>
    <row r="4755" spans="2:3" x14ac:dyDescent="0.3">
      <c r="B4755" s="18" t="s">
        <v>6754</v>
      </c>
      <c r="C4755" s="13">
        <v>36</v>
      </c>
    </row>
    <row r="4756" spans="2:3" x14ac:dyDescent="0.3">
      <c r="B4756" s="18" t="s">
        <v>6752</v>
      </c>
      <c r="C4756" s="13">
        <v>37</v>
      </c>
    </row>
    <row r="4757" spans="2:3" x14ac:dyDescent="0.3">
      <c r="B4757" s="18" t="s">
        <v>6750</v>
      </c>
      <c r="C4757" s="13">
        <v>38</v>
      </c>
    </row>
    <row r="4758" spans="2:3" x14ac:dyDescent="0.3">
      <c r="B4758" s="18" t="s">
        <v>6748</v>
      </c>
      <c r="C4758" s="13">
        <v>39</v>
      </c>
    </row>
    <row r="4759" spans="2:3" x14ac:dyDescent="0.3">
      <c r="B4759" s="18" t="s">
        <v>6746</v>
      </c>
      <c r="C4759" s="13">
        <v>40</v>
      </c>
    </row>
    <row r="4760" spans="2:3" x14ac:dyDescent="0.3">
      <c r="B4760" s="18" t="s">
        <v>6744</v>
      </c>
      <c r="C4760" s="13">
        <v>41</v>
      </c>
    </row>
    <row r="4761" spans="2:3" x14ac:dyDescent="0.3">
      <c r="B4761" s="18" t="s">
        <v>6742</v>
      </c>
      <c r="C4761" s="13">
        <v>42</v>
      </c>
    </row>
    <row r="4762" spans="2:3" x14ac:dyDescent="0.3">
      <c r="B4762" s="18" t="s">
        <v>8635</v>
      </c>
      <c r="C4762" s="13">
        <v>54</v>
      </c>
    </row>
    <row r="4763" spans="2:3" x14ac:dyDescent="0.3">
      <c r="B4763" s="18" t="s">
        <v>8636</v>
      </c>
      <c r="C4763" s="13">
        <v>53</v>
      </c>
    </row>
    <row r="4764" spans="2:3" x14ac:dyDescent="0.3">
      <c r="B4764" s="18" t="s">
        <v>8637</v>
      </c>
      <c r="C4764" s="13">
        <v>52</v>
      </c>
    </row>
    <row r="4765" spans="2:3" x14ac:dyDescent="0.3">
      <c r="B4765" s="18" t="s">
        <v>8638</v>
      </c>
      <c r="C4765" s="13">
        <v>51</v>
      </c>
    </row>
    <row r="4766" spans="2:3" x14ac:dyDescent="0.3">
      <c r="B4766" s="18" t="s">
        <v>8639</v>
      </c>
      <c r="C4766" s="13">
        <v>50</v>
      </c>
    </row>
    <row r="4767" spans="2:3" x14ac:dyDescent="0.3">
      <c r="B4767" s="18" t="s">
        <v>8640</v>
      </c>
      <c r="C4767" s="13">
        <v>49</v>
      </c>
    </row>
    <row r="4768" spans="2:3" x14ac:dyDescent="0.3">
      <c r="B4768" s="18" t="s">
        <v>8641</v>
      </c>
      <c r="C4768" s="13">
        <v>48</v>
      </c>
    </row>
    <row r="4769" spans="2:3" x14ac:dyDescent="0.3">
      <c r="B4769" s="18" t="s">
        <v>8642</v>
      </c>
      <c r="C4769" s="13">
        <v>47</v>
      </c>
    </row>
    <row r="4770" spans="2:3" x14ac:dyDescent="0.3">
      <c r="B4770" s="18" t="s">
        <v>8643</v>
      </c>
      <c r="C4770" s="13">
        <v>46</v>
      </c>
    </row>
    <row r="4771" spans="2:3" x14ac:dyDescent="0.3">
      <c r="B4771" s="18" t="s">
        <v>8644</v>
      </c>
      <c r="C4771" s="13">
        <v>45</v>
      </c>
    </row>
    <row r="4772" spans="2:3" x14ac:dyDescent="0.3">
      <c r="B4772" s="18" t="s">
        <v>8645</v>
      </c>
      <c r="C4772" s="13">
        <v>44</v>
      </c>
    </row>
    <row r="4773" spans="2:3" x14ac:dyDescent="0.3">
      <c r="B4773" s="18" t="s">
        <v>8646</v>
      </c>
      <c r="C4773" s="13">
        <v>43</v>
      </c>
    </row>
    <row r="4774" spans="2:3" x14ac:dyDescent="0.3">
      <c r="B4774" s="18" t="s">
        <v>6740</v>
      </c>
      <c r="C4774" s="13">
        <v>1</v>
      </c>
    </row>
    <row r="4775" spans="2:3" x14ac:dyDescent="0.3">
      <c r="B4775" s="18" t="s">
        <v>6738</v>
      </c>
      <c r="C4775" s="13">
        <v>2</v>
      </c>
    </row>
    <row r="4776" spans="2:3" x14ac:dyDescent="0.3">
      <c r="B4776" s="18" t="s">
        <v>6736</v>
      </c>
      <c r="C4776" s="13">
        <v>3</v>
      </c>
    </row>
    <row r="4777" spans="2:3" x14ac:dyDescent="0.3">
      <c r="B4777" s="18" t="s">
        <v>6734</v>
      </c>
      <c r="C4777" s="13">
        <v>4</v>
      </c>
    </row>
    <row r="4778" spans="2:3" x14ac:dyDescent="0.3">
      <c r="B4778" s="18" t="s">
        <v>6732</v>
      </c>
      <c r="C4778" s="13">
        <v>5</v>
      </c>
    </row>
    <row r="4779" spans="2:3" x14ac:dyDescent="0.3">
      <c r="B4779" s="18" t="s">
        <v>6730</v>
      </c>
      <c r="C4779" s="13">
        <v>6</v>
      </c>
    </row>
    <row r="4780" spans="2:3" x14ac:dyDescent="0.3">
      <c r="B4780" s="18" t="s">
        <v>6718</v>
      </c>
      <c r="C4780" s="13">
        <v>7</v>
      </c>
    </row>
    <row r="4781" spans="2:3" x14ac:dyDescent="0.3">
      <c r="B4781" s="18" t="s">
        <v>6716</v>
      </c>
      <c r="C4781" s="13">
        <v>8</v>
      </c>
    </row>
    <row r="4782" spans="2:3" x14ac:dyDescent="0.3">
      <c r="B4782" s="18" t="s">
        <v>6714</v>
      </c>
      <c r="C4782" s="13">
        <v>9</v>
      </c>
    </row>
    <row r="4783" spans="2:3" x14ac:dyDescent="0.3">
      <c r="B4783" s="18" t="s">
        <v>6712</v>
      </c>
      <c r="C4783" s="13">
        <v>10</v>
      </c>
    </row>
    <row r="4784" spans="2:3" x14ac:dyDescent="0.3">
      <c r="B4784" s="18" t="s">
        <v>6709</v>
      </c>
      <c r="C4784" s="13">
        <v>11</v>
      </c>
    </row>
    <row r="4785" spans="2:3" x14ac:dyDescent="0.3">
      <c r="B4785" s="18" t="s">
        <v>6707</v>
      </c>
      <c r="C4785" s="13">
        <v>12</v>
      </c>
    </row>
    <row r="4786" spans="2:3" x14ac:dyDescent="0.3">
      <c r="B4786" s="18" t="s">
        <v>6705</v>
      </c>
      <c r="C4786" s="13">
        <v>13</v>
      </c>
    </row>
    <row r="4787" spans="2:3" x14ac:dyDescent="0.3">
      <c r="B4787" s="18" t="s">
        <v>6703</v>
      </c>
      <c r="C4787" s="13">
        <v>14</v>
      </c>
    </row>
    <row r="4788" spans="2:3" x14ac:dyDescent="0.3">
      <c r="B4788" s="18" t="s">
        <v>6701</v>
      </c>
      <c r="C4788" s="13">
        <v>28</v>
      </c>
    </row>
    <row r="4789" spans="2:3" x14ac:dyDescent="0.3">
      <c r="B4789" s="18" t="s">
        <v>6699</v>
      </c>
      <c r="C4789" s="13">
        <v>27</v>
      </c>
    </row>
    <row r="4790" spans="2:3" x14ac:dyDescent="0.3">
      <c r="B4790" s="18" t="s">
        <v>6697</v>
      </c>
      <c r="C4790" s="13">
        <v>26</v>
      </c>
    </row>
    <row r="4791" spans="2:3" x14ac:dyDescent="0.3">
      <c r="B4791" s="18" t="s">
        <v>6695</v>
      </c>
      <c r="C4791" s="13">
        <v>25</v>
      </c>
    </row>
    <row r="4792" spans="2:3" x14ac:dyDescent="0.3">
      <c r="B4792" s="18" t="s">
        <v>6693</v>
      </c>
      <c r="C4792" s="13">
        <v>24</v>
      </c>
    </row>
    <row r="4793" spans="2:3" x14ac:dyDescent="0.3">
      <c r="B4793" s="18" t="s">
        <v>6691</v>
      </c>
      <c r="C4793" s="13">
        <v>23</v>
      </c>
    </row>
    <row r="4794" spans="2:3" x14ac:dyDescent="0.3">
      <c r="B4794" s="18" t="s">
        <v>6679</v>
      </c>
      <c r="C4794" s="13">
        <v>22</v>
      </c>
    </row>
    <row r="4795" spans="2:3" x14ac:dyDescent="0.3">
      <c r="B4795" s="18" t="s">
        <v>6677</v>
      </c>
      <c r="C4795" s="13">
        <v>21</v>
      </c>
    </row>
    <row r="4796" spans="2:3" x14ac:dyDescent="0.3">
      <c r="B4796" s="18" t="s">
        <v>6675</v>
      </c>
      <c r="C4796" s="13">
        <v>20</v>
      </c>
    </row>
    <row r="4797" spans="2:3" x14ac:dyDescent="0.3">
      <c r="B4797" s="18" t="s">
        <v>6673</v>
      </c>
      <c r="C4797" s="13">
        <v>19</v>
      </c>
    </row>
    <row r="4798" spans="2:3" x14ac:dyDescent="0.3">
      <c r="B4798" s="18" t="s">
        <v>6671</v>
      </c>
      <c r="C4798" s="13">
        <v>18</v>
      </c>
    </row>
    <row r="4799" spans="2:3" x14ac:dyDescent="0.3">
      <c r="B4799" s="18" t="s">
        <v>6669</v>
      </c>
      <c r="C4799" s="13">
        <v>17</v>
      </c>
    </row>
    <row r="4800" spans="2:3" x14ac:dyDescent="0.3">
      <c r="B4800" s="18" t="s">
        <v>6667</v>
      </c>
      <c r="C4800" s="13">
        <v>16</v>
      </c>
    </row>
    <row r="4801" spans="2:3" x14ac:dyDescent="0.3">
      <c r="B4801" s="18" t="s">
        <v>6665</v>
      </c>
      <c r="C4801" s="13">
        <v>15</v>
      </c>
    </row>
    <row r="4802" spans="2:3" x14ac:dyDescent="0.3">
      <c r="B4802" s="18" t="s">
        <v>8647</v>
      </c>
      <c r="C4802" s="13">
        <v>29</v>
      </c>
    </row>
    <row r="4803" spans="2:3" x14ac:dyDescent="0.3">
      <c r="B4803" s="18" t="s">
        <v>6663</v>
      </c>
      <c r="C4803" s="13">
        <v>30</v>
      </c>
    </row>
    <row r="4804" spans="2:3" x14ac:dyDescent="0.3">
      <c r="B4804" s="18" t="s">
        <v>6661</v>
      </c>
      <c r="C4804" s="13">
        <v>31</v>
      </c>
    </row>
    <row r="4805" spans="2:3" x14ac:dyDescent="0.3">
      <c r="B4805" s="18" t="s">
        <v>6659</v>
      </c>
      <c r="C4805" s="13">
        <v>32</v>
      </c>
    </row>
    <row r="4806" spans="2:3" x14ac:dyDescent="0.3">
      <c r="B4806" s="18" t="s">
        <v>6657</v>
      </c>
      <c r="C4806" s="13">
        <v>33</v>
      </c>
    </row>
    <row r="4807" spans="2:3" x14ac:dyDescent="0.3">
      <c r="B4807" s="18" t="s">
        <v>6655</v>
      </c>
      <c r="C4807" s="13">
        <v>34</v>
      </c>
    </row>
    <row r="4808" spans="2:3" x14ac:dyDescent="0.3">
      <c r="B4808" s="18" t="s">
        <v>8648</v>
      </c>
      <c r="C4808" s="13">
        <v>35</v>
      </c>
    </row>
    <row r="4809" spans="2:3" x14ac:dyDescent="0.3">
      <c r="B4809" s="18" t="s">
        <v>6645</v>
      </c>
      <c r="C4809" s="13">
        <v>36</v>
      </c>
    </row>
    <row r="4810" spans="2:3" x14ac:dyDescent="0.3">
      <c r="B4810" s="18" t="s">
        <v>6643</v>
      </c>
      <c r="C4810" s="13">
        <v>37</v>
      </c>
    </row>
    <row r="4811" spans="2:3" x14ac:dyDescent="0.3">
      <c r="B4811" s="18" t="s">
        <v>6641</v>
      </c>
      <c r="C4811" s="13">
        <v>38</v>
      </c>
    </row>
    <row r="4812" spans="2:3" x14ac:dyDescent="0.3">
      <c r="B4812" s="18" t="s">
        <v>6639</v>
      </c>
      <c r="C4812" s="13">
        <v>39</v>
      </c>
    </row>
    <row r="4813" spans="2:3" x14ac:dyDescent="0.3">
      <c r="B4813" s="18" t="s">
        <v>6637</v>
      </c>
      <c r="C4813" s="13">
        <v>40</v>
      </c>
    </row>
    <row r="4814" spans="2:3" x14ac:dyDescent="0.3">
      <c r="B4814" s="18" t="s">
        <v>6635</v>
      </c>
      <c r="C4814" s="13">
        <v>41</v>
      </c>
    </row>
    <row r="4815" spans="2:3" x14ac:dyDescent="0.3">
      <c r="B4815" s="18" t="s">
        <v>6633</v>
      </c>
      <c r="C4815" s="13">
        <v>42</v>
      </c>
    </row>
    <row r="4816" spans="2:3" x14ac:dyDescent="0.3">
      <c r="B4816" s="18" t="s">
        <v>8649</v>
      </c>
      <c r="C4816" s="13">
        <v>55</v>
      </c>
    </row>
    <row r="4817" spans="2:3" x14ac:dyDescent="0.3">
      <c r="B4817" s="18" t="s">
        <v>8650</v>
      </c>
      <c r="C4817" s="13">
        <v>54</v>
      </c>
    </row>
    <row r="4818" spans="2:3" x14ac:dyDescent="0.3">
      <c r="B4818" s="18" t="s">
        <v>8651</v>
      </c>
      <c r="C4818" s="13">
        <v>53</v>
      </c>
    </row>
    <row r="4819" spans="2:3" x14ac:dyDescent="0.3">
      <c r="B4819" s="18" t="s">
        <v>8652</v>
      </c>
      <c r="C4819" s="13">
        <v>52</v>
      </c>
    </row>
    <row r="4820" spans="2:3" x14ac:dyDescent="0.3">
      <c r="B4820" s="18" t="s">
        <v>8653</v>
      </c>
      <c r="C4820" s="13">
        <v>51</v>
      </c>
    </row>
    <row r="4821" spans="2:3" x14ac:dyDescent="0.3">
      <c r="B4821" s="18" t="s">
        <v>8654</v>
      </c>
      <c r="C4821" s="13">
        <v>50</v>
      </c>
    </row>
    <row r="4822" spans="2:3" x14ac:dyDescent="0.3">
      <c r="B4822" s="18" t="s">
        <v>8655</v>
      </c>
      <c r="C4822" s="13">
        <v>49</v>
      </c>
    </row>
    <row r="4823" spans="2:3" x14ac:dyDescent="0.3">
      <c r="B4823" s="18" t="s">
        <v>8656</v>
      </c>
      <c r="C4823" s="13">
        <v>48</v>
      </c>
    </row>
    <row r="4824" spans="2:3" x14ac:dyDescent="0.3">
      <c r="B4824" s="18" t="s">
        <v>8657</v>
      </c>
      <c r="C4824" s="13">
        <v>47</v>
      </c>
    </row>
    <row r="4825" spans="2:3" x14ac:dyDescent="0.3">
      <c r="B4825" s="18" t="s">
        <v>8658</v>
      </c>
      <c r="C4825" s="13">
        <v>46</v>
      </c>
    </row>
    <row r="4826" spans="2:3" x14ac:dyDescent="0.3">
      <c r="B4826" s="18" t="s">
        <v>8659</v>
      </c>
      <c r="C4826" s="13">
        <v>45</v>
      </c>
    </row>
    <row r="4827" spans="2:3" x14ac:dyDescent="0.3">
      <c r="B4827" s="18" t="s">
        <v>8660</v>
      </c>
      <c r="C4827" s="13">
        <v>44</v>
      </c>
    </row>
    <row r="4828" spans="2:3" x14ac:dyDescent="0.3">
      <c r="B4828" s="18" t="s">
        <v>8661</v>
      </c>
      <c r="C4828" s="13">
        <v>43</v>
      </c>
    </row>
    <row r="4829" spans="2:3" x14ac:dyDescent="0.3">
      <c r="B4829" s="18" t="s">
        <v>6631</v>
      </c>
      <c r="C4829" s="13">
        <v>1</v>
      </c>
    </row>
    <row r="4830" spans="2:3" x14ac:dyDescent="0.3">
      <c r="B4830" s="18" t="s">
        <v>6629</v>
      </c>
      <c r="C4830" s="13">
        <v>2</v>
      </c>
    </row>
    <row r="4831" spans="2:3" x14ac:dyDescent="0.3">
      <c r="B4831" s="18" t="s">
        <v>6627</v>
      </c>
      <c r="C4831" s="13">
        <v>3</v>
      </c>
    </row>
    <row r="4832" spans="2:3" x14ac:dyDescent="0.3">
      <c r="B4832" s="18" t="s">
        <v>6625</v>
      </c>
      <c r="C4832" s="13">
        <v>4</v>
      </c>
    </row>
    <row r="4833" spans="2:3" x14ac:dyDescent="0.3">
      <c r="B4833" s="18" t="s">
        <v>6623</v>
      </c>
      <c r="C4833" s="13">
        <v>5</v>
      </c>
    </row>
    <row r="4834" spans="2:3" x14ac:dyDescent="0.3">
      <c r="B4834" s="18" t="s">
        <v>6621</v>
      </c>
      <c r="C4834" s="13">
        <v>6</v>
      </c>
    </row>
    <row r="4835" spans="2:3" x14ac:dyDescent="0.3">
      <c r="B4835" s="18" t="s">
        <v>6609</v>
      </c>
      <c r="C4835" s="13">
        <v>7</v>
      </c>
    </row>
    <row r="4836" spans="2:3" x14ac:dyDescent="0.3">
      <c r="B4836" s="18" t="s">
        <v>6607</v>
      </c>
      <c r="C4836" s="13">
        <v>8</v>
      </c>
    </row>
    <row r="4837" spans="2:3" x14ac:dyDescent="0.3">
      <c r="B4837" s="18" t="s">
        <v>6605</v>
      </c>
      <c r="C4837" s="13">
        <v>9</v>
      </c>
    </row>
    <row r="4838" spans="2:3" x14ac:dyDescent="0.3">
      <c r="B4838" s="18" t="s">
        <v>6603</v>
      </c>
      <c r="C4838" s="13">
        <v>10</v>
      </c>
    </row>
    <row r="4839" spans="2:3" x14ac:dyDescent="0.3">
      <c r="B4839" s="18" t="s">
        <v>6601</v>
      </c>
      <c r="C4839" s="13">
        <v>11</v>
      </c>
    </row>
    <row r="4840" spans="2:3" x14ac:dyDescent="0.3">
      <c r="B4840" s="18" t="s">
        <v>6599</v>
      </c>
      <c r="C4840" s="13">
        <v>12</v>
      </c>
    </row>
    <row r="4841" spans="2:3" x14ac:dyDescent="0.3">
      <c r="B4841" s="18" t="s">
        <v>6597</v>
      </c>
      <c r="C4841" s="13">
        <v>13</v>
      </c>
    </row>
    <row r="4842" spans="2:3" x14ac:dyDescent="0.3">
      <c r="B4842" s="18" t="s">
        <v>6595</v>
      </c>
      <c r="C4842" s="13">
        <v>14</v>
      </c>
    </row>
    <row r="4843" spans="2:3" x14ac:dyDescent="0.3">
      <c r="B4843" s="18" t="s">
        <v>6593</v>
      </c>
      <c r="C4843" s="13">
        <v>28</v>
      </c>
    </row>
    <row r="4844" spans="2:3" x14ac:dyDescent="0.3">
      <c r="B4844" s="18" t="s">
        <v>6591</v>
      </c>
      <c r="C4844" s="13">
        <v>27</v>
      </c>
    </row>
    <row r="4845" spans="2:3" x14ac:dyDescent="0.3">
      <c r="B4845" s="18" t="s">
        <v>6589</v>
      </c>
      <c r="C4845" s="13">
        <v>26</v>
      </c>
    </row>
    <row r="4846" spans="2:3" x14ac:dyDescent="0.3">
      <c r="B4846" s="18" t="s">
        <v>6587</v>
      </c>
      <c r="C4846" s="13">
        <v>25</v>
      </c>
    </row>
    <row r="4847" spans="2:3" x14ac:dyDescent="0.3">
      <c r="B4847" s="18" t="s">
        <v>6585</v>
      </c>
      <c r="C4847" s="13">
        <v>24</v>
      </c>
    </row>
    <row r="4848" spans="2:3" x14ac:dyDescent="0.3">
      <c r="B4848" s="18" t="s">
        <v>6583</v>
      </c>
      <c r="C4848" s="13">
        <v>23</v>
      </c>
    </row>
    <row r="4849" spans="2:3" x14ac:dyDescent="0.3">
      <c r="B4849" s="18" t="s">
        <v>6571</v>
      </c>
      <c r="C4849" s="13">
        <v>22</v>
      </c>
    </row>
    <row r="4850" spans="2:3" x14ac:dyDescent="0.3">
      <c r="B4850" s="18" t="s">
        <v>6569</v>
      </c>
      <c r="C4850" s="13">
        <v>21</v>
      </c>
    </row>
    <row r="4851" spans="2:3" x14ac:dyDescent="0.3">
      <c r="B4851" s="18" t="s">
        <v>6567</v>
      </c>
      <c r="C4851" s="13">
        <v>20</v>
      </c>
    </row>
    <row r="4852" spans="2:3" x14ac:dyDescent="0.3">
      <c r="B4852" s="18" t="s">
        <v>6565</v>
      </c>
      <c r="C4852" s="13">
        <v>19</v>
      </c>
    </row>
    <row r="4853" spans="2:3" x14ac:dyDescent="0.3">
      <c r="B4853" s="18" t="s">
        <v>6563</v>
      </c>
      <c r="C4853" s="13">
        <v>18</v>
      </c>
    </row>
    <row r="4854" spans="2:3" x14ac:dyDescent="0.3">
      <c r="B4854" s="18" t="s">
        <v>6561</v>
      </c>
      <c r="C4854" s="13">
        <v>17</v>
      </c>
    </row>
    <row r="4855" spans="2:3" x14ac:dyDescent="0.3">
      <c r="B4855" s="18" t="s">
        <v>6559</v>
      </c>
      <c r="C4855" s="13">
        <v>16</v>
      </c>
    </row>
    <row r="4856" spans="2:3" x14ac:dyDescent="0.3">
      <c r="B4856" s="18" t="s">
        <v>6557</v>
      </c>
      <c r="C4856" s="13">
        <v>15</v>
      </c>
    </row>
    <row r="4857" spans="2:3" x14ac:dyDescent="0.3">
      <c r="B4857" s="18" t="s">
        <v>8662</v>
      </c>
      <c r="C4857" s="13">
        <v>29</v>
      </c>
    </row>
    <row r="4858" spans="2:3" x14ac:dyDescent="0.3">
      <c r="B4858" s="18" t="s">
        <v>6555</v>
      </c>
      <c r="C4858" s="13">
        <v>30</v>
      </c>
    </row>
    <row r="4859" spans="2:3" x14ac:dyDescent="0.3">
      <c r="B4859" s="18" t="s">
        <v>6553</v>
      </c>
      <c r="C4859" s="13">
        <v>31</v>
      </c>
    </row>
    <row r="4860" spans="2:3" x14ac:dyDescent="0.3">
      <c r="B4860" s="18" t="s">
        <v>6551</v>
      </c>
      <c r="C4860" s="13">
        <v>32</v>
      </c>
    </row>
    <row r="4861" spans="2:3" x14ac:dyDescent="0.3">
      <c r="B4861" s="18" t="s">
        <v>6549</v>
      </c>
      <c r="C4861" s="13">
        <v>33</v>
      </c>
    </row>
    <row r="4862" spans="2:3" x14ac:dyDescent="0.3">
      <c r="B4862" s="18" t="s">
        <v>6547</v>
      </c>
      <c r="C4862" s="13">
        <v>34</v>
      </c>
    </row>
    <row r="4863" spans="2:3" x14ac:dyDescent="0.3">
      <c r="B4863" s="18" t="s">
        <v>6535</v>
      </c>
      <c r="C4863" s="13">
        <v>35</v>
      </c>
    </row>
    <row r="4864" spans="2:3" x14ac:dyDescent="0.3">
      <c r="B4864" s="18" t="s">
        <v>6533</v>
      </c>
      <c r="C4864" s="13">
        <v>36</v>
      </c>
    </row>
    <row r="4865" spans="2:3" x14ac:dyDescent="0.3">
      <c r="B4865" s="18" t="s">
        <v>6531</v>
      </c>
      <c r="C4865" s="13">
        <v>37</v>
      </c>
    </row>
    <row r="4866" spans="2:3" x14ac:dyDescent="0.3">
      <c r="B4866" s="18" t="s">
        <v>6529</v>
      </c>
      <c r="C4866" s="13">
        <v>38</v>
      </c>
    </row>
    <row r="4867" spans="2:3" x14ac:dyDescent="0.3">
      <c r="B4867" s="18" t="s">
        <v>6527</v>
      </c>
      <c r="C4867" s="13">
        <v>39</v>
      </c>
    </row>
    <row r="4868" spans="2:3" x14ac:dyDescent="0.3">
      <c r="B4868" s="18" t="s">
        <v>6525</v>
      </c>
      <c r="C4868" s="13">
        <v>40</v>
      </c>
    </row>
    <row r="4869" spans="2:3" x14ac:dyDescent="0.3">
      <c r="B4869" s="18" t="s">
        <v>6523</v>
      </c>
      <c r="C4869" s="13">
        <v>41</v>
      </c>
    </row>
    <row r="4870" spans="2:3" x14ac:dyDescent="0.3">
      <c r="B4870" s="18" t="s">
        <v>6521</v>
      </c>
      <c r="C4870" s="13">
        <v>42</v>
      </c>
    </row>
    <row r="4871" spans="2:3" x14ac:dyDescent="0.3">
      <c r="B4871" s="18" t="s">
        <v>8663</v>
      </c>
      <c r="C4871" s="13">
        <v>56</v>
      </c>
    </row>
    <row r="4872" spans="2:3" x14ac:dyDescent="0.3">
      <c r="B4872" s="18" t="s">
        <v>8664</v>
      </c>
      <c r="C4872" s="13">
        <v>55</v>
      </c>
    </row>
    <row r="4873" spans="2:3" x14ac:dyDescent="0.3">
      <c r="B4873" s="18" t="s">
        <v>8665</v>
      </c>
      <c r="C4873" s="13">
        <v>54</v>
      </c>
    </row>
    <row r="4874" spans="2:3" x14ac:dyDescent="0.3">
      <c r="B4874" s="18" t="s">
        <v>8666</v>
      </c>
      <c r="C4874" s="13">
        <v>53</v>
      </c>
    </row>
    <row r="4875" spans="2:3" x14ac:dyDescent="0.3">
      <c r="B4875" s="18" t="s">
        <v>8667</v>
      </c>
      <c r="C4875" s="13">
        <v>52</v>
      </c>
    </row>
    <row r="4876" spans="2:3" x14ac:dyDescent="0.3">
      <c r="B4876" s="18" t="s">
        <v>8668</v>
      </c>
      <c r="C4876" s="13">
        <v>51</v>
      </c>
    </row>
    <row r="4877" spans="2:3" x14ac:dyDescent="0.3">
      <c r="B4877" s="18" t="s">
        <v>8669</v>
      </c>
      <c r="C4877" s="13">
        <v>50</v>
      </c>
    </row>
    <row r="4878" spans="2:3" x14ac:dyDescent="0.3">
      <c r="B4878" s="18" t="s">
        <v>8670</v>
      </c>
      <c r="C4878" s="13">
        <v>49</v>
      </c>
    </row>
    <row r="4879" spans="2:3" x14ac:dyDescent="0.3">
      <c r="B4879" s="18" t="s">
        <v>8671</v>
      </c>
      <c r="C4879" s="13">
        <v>48</v>
      </c>
    </row>
    <row r="4880" spans="2:3" x14ac:dyDescent="0.3">
      <c r="B4880" s="18" t="s">
        <v>8672</v>
      </c>
      <c r="C4880" s="13">
        <v>47</v>
      </c>
    </row>
    <row r="4881" spans="2:3" x14ac:dyDescent="0.3">
      <c r="B4881" s="18" t="s">
        <v>8673</v>
      </c>
      <c r="C4881" s="13">
        <v>46</v>
      </c>
    </row>
    <row r="4882" spans="2:3" x14ac:dyDescent="0.3">
      <c r="B4882" s="18" t="s">
        <v>8674</v>
      </c>
      <c r="C4882" s="13">
        <v>45</v>
      </c>
    </row>
    <row r="4883" spans="2:3" x14ac:dyDescent="0.3">
      <c r="B4883" s="18" t="s">
        <v>8675</v>
      </c>
      <c r="C4883" s="13">
        <v>44</v>
      </c>
    </row>
    <row r="4884" spans="2:3" x14ac:dyDescent="0.3">
      <c r="B4884" s="18" t="s">
        <v>8676</v>
      </c>
      <c r="C4884" s="13">
        <v>43</v>
      </c>
    </row>
    <row r="4885" spans="2:3" x14ac:dyDescent="0.3">
      <c r="B4885" s="18" t="s">
        <v>6519</v>
      </c>
      <c r="C4885" s="13">
        <v>1</v>
      </c>
    </row>
    <row r="4886" spans="2:3" x14ac:dyDescent="0.3">
      <c r="B4886" s="18" t="s">
        <v>6517</v>
      </c>
      <c r="C4886" s="13">
        <v>2</v>
      </c>
    </row>
    <row r="4887" spans="2:3" x14ac:dyDescent="0.3">
      <c r="B4887" s="18" t="s">
        <v>6515</v>
      </c>
      <c r="C4887" s="13">
        <v>3</v>
      </c>
    </row>
    <row r="4888" spans="2:3" x14ac:dyDescent="0.3">
      <c r="B4888" s="18" t="s">
        <v>6513</v>
      </c>
      <c r="C4888" s="13">
        <v>4</v>
      </c>
    </row>
    <row r="4889" spans="2:3" x14ac:dyDescent="0.3">
      <c r="B4889" s="18" t="s">
        <v>6511</v>
      </c>
      <c r="C4889" s="13">
        <v>5</v>
      </c>
    </row>
    <row r="4890" spans="2:3" x14ac:dyDescent="0.3">
      <c r="B4890" s="18" t="s">
        <v>6509</v>
      </c>
      <c r="C4890" s="13">
        <v>6</v>
      </c>
    </row>
    <row r="4891" spans="2:3" x14ac:dyDescent="0.3">
      <c r="B4891" s="18" t="s">
        <v>6507</v>
      </c>
      <c r="C4891" s="13">
        <v>7</v>
      </c>
    </row>
    <row r="4892" spans="2:3" x14ac:dyDescent="0.3">
      <c r="B4892" s="18" t="s">
        <v>6497</v>
      </c>
      <c r="C4892" s="13">
        <v>8</v>
      </c>
    </row>
    <row r="4893" spans="2:3" x14ac:dyDescent="0.3">
      <c r="B4893" s="18" t="s">
        <v>6495</v>
      </c>
      <c r="C4893" s="13">
        <v>9</v>
      </c>
    </row>
    <row r="4894" spans="2:3" x14ac:dyDescent="0.3">
      <c r="B4894" s="18" t="s">
        <v>6493</v>
      </c>
      <c r="C4894" s="13">
        <v>10</v>
      </c>
    </row>
    <row r="4895" spans="2:3" x14ac:dyDescent="0.3">
      <c r="B4895" s="18" t="s">
        <v>6491</v>
      </c>
      <c r="C4895" s="13">
        <v>11</v>
      </c>
    </row>
    <row r="4896" spans="2:3" x14ac:dyDescent="0.3">
      <c r="B4896" s="18" t="s">
        <v>6489</v>
      </c>
      <c r="C4896" s="13">
        <v>12</v>
      </c>
    </row>
    <row r="4897" spans="2:3" x14ac:dyDescent="0.3">
      <c r="B4897" s="18" t="s">
        <v>6487</v>
      </c>
      <c r="C4897" s="13">
        <v>13</v>
      </c>
    </row>
    <row r="4898" spans="2:3" x14ac:dyDescent="0.3">
      <c r="B4898" s="18" t="s">
        <v>6485</v>
      </c>
      <c r="C4898" s="13">
        <v>14</v>
      </c>
    </row>
    <row r="4899" spans="2:3" x14ac:dyDescent="0.3">
      <c r="B4899" s="18" t="s">
        <v>6483</v>
      </c>
      <c r="C4899" s="13">
        <v>15</v>
      </c>
    </row>
    <row r="4900" spans="2:3" x14ac:dyDescent="0.3">
      <c r="B4900" s="18" t="s">
        <v>6481</v>
      </c>
      <c r="C4900" s="13">
        <v>30</v>
      </c>
    </row>
    <row r="4901" spans="2:3" x14ac:dyDescent="0.3">
      <c r="B4901" s="18" t="s">
        <v>6479</v>
      </c>
      <c r="C4901" s="13">
        <v>29</v>
      </c>
    </row>
    <row r="4902" spans="2:3" x14ac:dyDescent="0.3">
      <c r="B4902" s="18" t="s">
        <v>6477</v>
      </c>
      <c r="C4902" s="13">
        <v>28</v>
      </c>
    </row>
    <row r="4903" spans="2:3" x14ac:dyDescent="0.3">
      <c r="B4903" s="18" t="s">
        <v>6475</v>
      </c>
      <c r="C4903" s="13">
        <v>27</v>
      </c>
    </row>
    <row r="4904" spans="2:3" x14ac:dyDescent="0.3">
      <c r="B4904" s="18" t="s">
        <v>6473</v>
      </c>
      <c r="C4904" s="13">
        <v>26</v>
      </c>
    </row>
    <row r="4905" spans="2:3" x14ac:dyDescent="0.3">
      <c r="B4905" s="18" t="s">
        <v>6471</v>
      </c>
      <c r="C4905" s="13">
        <v>25</v>
      </c>
    </row>
    <row r="4906" spans="2:3" x14ac:dyDescent="0.3">
      <c r="B4906" s="18" t="s">
        <v>6469</v>
      </c>
      <c r="C4906" s="13">
        <v>24</v>
      </c>
    </row>
    <row r="4907" spans="2:3" x14ac:dyDescent="0.3">
      <c r="B4907" s="18" t="s">
        <v>6459</v>
      </c>
      <c r="C4907" s="13">
        <v>23</v>
      </c>
    </row>
    <row r="4908" spans="2:3" x14ac:dyDescent="0.3">
      <c r="B4908" s="18" t="s">
        <v>6457</v>
      </c>
      <c r="C4908" s="13">
        <v>22</v>
      </c>
    </row>
    <row r="4909" spans="2:3" x14ac:dyDescent="0.3">
      <c r="B4909" s="18" t="s">
        <v>6455</v>
      </c>
      <c r="C4909" s="13">
        <v>21</v>
      </c>
    </row>
    <row r="4910" spans="2:3" x14ac:dyDescent="0.3">
      <c r="B4910" s="18" t="s">
        <v>6453</v>
      </c>
      <c r="C4910" s="13">
        <v>20</v>
      </c>
    </row>
    <row r="4911" spans="2:3" x14ac:dyDescent="0.3">
      <c r="B4911" s="18" t="s">
        <v>6451</v>
      </c>
      <c r="C4911" s="13">
        <v>19</v>
      </c>
    </row>
    <row r="4912" spans="2:3" x14ac:dyDescent="0.3">
      <c r="B4912" s="18" t="s">
        <v>6449</v>
      </c>
      <c r="C4912" s="13">
        <v>18</v>
      </c>
    </row>
    <row r="4913" spans="2:3" x14ac:dyDescent="0.3">
      <c r="B4913" s="18" t="s">
        <v>6447</v>
      </c>
      <c r="C4913" s="13">
        <v>17</v>
      </c>
    </row>
    <row r="4914" spans="2:3" x14ac:dyDescent="0.3">
      <c r="B4914" s="18" t="s">
        <v>6445</v>
      </c>
      <c r="C4914" s="13">
        <v>16</v>
      </c>
    </row>
    <row r="4915" spans="2:3" x14ac:dyDescent="0.3">
      <c r="B4915" s="18" t="s">
        <v>6443</v>
      </c>
      <c r="C4915" s="13">
        <v>31</v>
      </c>
    </row>
    <row r="4916" spans="2:3" x14ac:dyDescent="0.3">
      <c r="B4916" s="18" t="s">
        <v>6441</v>
      </c>
      <c r="C4916" s="13">
        <v>32</v>
      </c>
    </row>
    <row r="4917" spans="2:3" x14ac:dyDescent="0.3">
      <c r="B4917" s="18" t="s">
        <v>6439</v>
      </c>
      <c r="C4917" s="13">
        <v>33</v>
      </c>
    </row>
    <row r="4918" spans="2:3" x14ac:dyDescent="0.3">
      <c r="B4918" s="18" t="s">
        <v>6437</v>
      </c>
      <c r="C4918" s="13">
        <v>34</v>
      </c>
    </row>
    <row r="4919" spans="2:3" x14ac:dyDescent="0.3">
      <c r="B4919" s="18" t="s">
        <v>6435</v>
      </c>
      <c r="C4919" s="13">
        <v>35</v>
      </c>
    </row>
    <row r="4920" spans="2:3" x14ac:dyDescent="0.3">
      <c r="B4920" s="18" t="s">
        <v>6433</v>
      </c>
      <c r="C4920" s="13">
        <v>36</v>
      </c>
    </row>
    <row r="4921" spans="2:3" x14ac:dyDescent="0.3">
      <c r="B4921" s="18" t="s">
        <v>6431</v>
      </c>
      <c r="C4921" s="13">
        <v>37</v>
      </c>
    </row>
    <row r="4922" spans="2:3" x14ac:dyDescent="0.3">
      <c r="B4922" s="18" t="s">
        <v>6421</v>
      </c>
      <c r="C4922" s="13">
        <v>38</v>
      </c>
    </row>
    <row r="4923" spans="2:3" x14ac:dyDescent="0.3">
      <c r="B4923" s="18" t="s">
        <v>6419</v>
      </c>
      <c r="C4923" s="13">
        <v>39</v>
      </c>
    </row>
    <row r="4924" spans="2:3" x14ac:dyDescent="0.3">
      <c r="B4924" s="18" t="s">
        <v>6417</v>
      </c>
      <c r="C4924" s="13">
        <v>40</v>
      </c>
    </row>
    <row r="4925" spans="2:3" x14ac:dyDescent="0.3">
      <c r="B4925" s="18" t="s">
        <v>6415</v>
      </c>
      <c r="C4925" s="13">
        <v>41</v>
      </c>
    </row>
    <row r="4926" spans="2:3" x14ac:dyDescent="0.3">
      <c r="B4926" s="18" t="s">
        <v>6413</v>
      </c>
      <c r="C4926" s="13">
        <v>42</v>
      </c>
    </row>
    <row r="4927" spans="2:3" x14ac:dyDescent="0.3">
      <c r="B4927" s="18" t="s">
        <v>6411</v>
      </c>
      <c r="C4927" s="13">
        <v>43</v>
      </c>
    </row>
    <row r="4928" spans="2:3" x14ac:dyDescent="0.3">
      <c r="B4928" s="18" t="s">
        <v>6409</v>
      </c>
      <c r="C4928" s="13">
        <v>44</v>
      </c>
    </row>
    <row r="4929" spans="2:3" x14ac:dyDescent="0.3">
      <c r="B4929" s="18" t="s">
        <v>6407</v>
      </c>
      <c r="C4929" s="13">
        <v>45</v>
      </c>
    </row>
    <row r="4930" spans="2:3" x14ac:dyDescent="0.3">
      <c r="B4930" s="18" t="s">
        <v>8677</v>
      </c>
      <c r="C4930" s="13">
        <v>57</v>
      </c>
    </row>
    <row r="4931" spans="2:3" x14ac:dyDescent="0.3">
      <c r="B4931" s="18" t="s">
        <v>8678</v>
      </c>
      <c r="C4931" s="13">
        <v>56</v>
      </c>
    </row>
    <row r="4932" spans="2:3" x14ac:dyDescent="0.3">
      <c r="B4932" s="18" t="s">
        <v>8679</v>
      </c>
      <c r="C4932" s="13">
        <v>55</v>
      </c>
    </row>
    <row r="4933" spans="2:3" x14ac:dyDescent="0.3">
      <c r="B4933" s="18" t="s">
        <v>8680</v>
      </c>
      <c r="C4933" s="13">
        <v>54</v>
      </c>
    </row>
    <row r="4934" spans="2:3" x14ac:dyDescent="0.3">
      <c r="B4934" s="18" t="s">
        <v>8681</v>
      </c>
      <c r="C4934" s="13">
        <v>53</v>
      </c>
    </row>
    <row r="4935" spans="2:3" x14ac:dyDescent="0.3">
      <c r="B4935" s="18" t="s">
        <v>8682</v>
      </c>
      <c r="C4935" s="13">
        <v>52</v>
      </c>
    </row>
    <row r="4936" spans="2:3" x14ac:dyDescent="0.3">
      <c r="B4936" s="18" t="s">
        <v>8683</v>
      </c>
      <c r="C4936" s="13">
        <v>51</v>
      </c>
    </row>
    <row r="4937" spans="2:3" x14ac:dyDescent="0.3">
      <c r="B4937" s="18" t="s">
        <v>8684</v>
      </c>
      <c r="C4937" s="13">
        <v>50</v>
      </c>
    </row>
    <row r="4938" spans="2:3" x14ac:dyDescent="0.3">
      <c r="B4938" s="18" t="s">
        <v>8685</v>
      </c>
      <c r="C4938" s="13">
        <v>49</v>
      </c>
    </row>
    <row r="4939" spans="2:3" x14ac:dyDescent="0.3">
      <c r="B4939" s="18" t="s">
        <v>8686</v>
      </c>
      <c r="C4939" s="13">
        <v>48</v>
      </c>
    </row>
    <row r="4940" spans="2:3" x14ac:dyDescent="0.3">
      <c r="B4940" s="18" t="s">
        <v>8687</v>
      </c>
      <c r="C4940" s="13">
        <v>47</v>
      </c>
    </row>
    <row r="4941" spans="2:3" x14ac:dyDescent="0.3">
      <c r="B4941" s="18" t="s">
        <v>8688</v>
      </c>
      <c r="C4941" s="13">
        <v>46</v>
      </c>
    </row>
    <row r="4942" spans="2:3" x14ac:dyDescent="0.3">
      <c r="B4942" s="18" t="s">
        <v>6405</v>
      </c>
      <c r="C4942" s="13">
        <v>1</v>
      </c>
    </row>
    <row r="4943" spans="2:3" x14ac:dyDescent="0.3">
      <c r="B4943" s="18" t="s">
        <v>6403</v>
      </c>
      <c r="C4943" s="13">
        <v>2</v>
      </c>
    </row>
    <row r="4944" spans="2:3" x14ac:dyDescent="0.3">
      <c r="B4944" s="18" t="s">
        <v>6401</v>
      </c>
      <c r="C4944" s="13">
        <v>3</v>
      </c>
    </row>
    <row r="4945" spans="2:3" x14ac:dyDescent="0.3">
      <c r="B4945" s="18" t="s">
        <v>6399</v>
      </c>
      <c r="C4945" s="13">
        <v>4</v>
      </c>
    </row>
    <row r="4946" spans="2:3" x14ac:dyDescent="0.3">
      <c r="B4946" s="18" t="s">
        <v>6397</v>
      </c>
      <c r="C4946" s="13">
        <v>5</v>
      </c>
    </row>
    <row r="4947" spans="2:3" x14ac:dyDescent="0.3">
      <c r="B4947" s="18" t="s">
        <v>6395</v>
      </c>
      <c r="C4947" s="13">
        <v>6</v>
      </c>
    </row>
    <row r="4948" spans="2:3" x14ac:dyDescent="0.3">
      <c r="B4948" s="18" t="s">
        <v>6393</v>
      </c>
      <c r="C4948" s="13">
        <v>7</v>
      </c>
    </row>
    <row r="4949" spans="2:3" x14ac:dyDescent="0.3">
      <c r="B4949" s="18" t="s">
        <v>6383</v>
      </c>
      <c r="C4949" s="13">
        <v>8</v>
      </c>
    </row>
    <row r="4950" spans="2:3" x14ac:dyDescent="0.3">
      <c r="B4950" s="18" t="s">
        <v>6379</v>
      </c>
      <c r="C4950" s="13">
        <v>9</v>
      </c>
    </row>
    <row r="4951" spans="2:3" x14ac:dyDescent="0.3">
      <c r="B4951" s="18" t="s">
        <v>6377</v>
      </c>
      <c r="C4951" s="13">
        <v>10</v>
      </c>
    </row>
    <row r="4952" spans="2:3" x14ac:dyDescent="0.3">
      <c r="B4952" s="18" t="s">
        <v>6375</v>
      </c>
      <c r="C4952" s="13">
        <v>11</v>
      </c>
    </row>
    <row r="4953" spans="2:3" x14ac:dyDescent="0.3">
      <c r="B4953" s="18" t="s">
        <v>6373</v>
      </c>
      <c r="C4953" s="13">
        <v>12</v>
      </c>
    </row>
    <row r="4954" spans="2:3" x14ac:dyDescent="0.3">
      <c r="B4954" s="18" t="s">
        <v>6371</v>
      </c>
      <c r="C4954" s="13">
        <v>13</v>
      </c>
    </row>
    <row r="4955" spans="2:3" x14ac:dyDescent="0.3">
      <c r="B4955" s="18" t="s">
        <v>6369</v>
      </c>
      <c r="C4955" s="13">
        <v>14</v>
      </c>
    </row>
    <row r="4956" spans="2:3" x14ac:dyDescent="0.3">
      <c r="B4956" s="18" t="s">
        <v>6367</v>
      </c>
      <c r="C4956" s="13">
        <v>15</v>
      </c>
    </row>
    <row r="4957" spans="2:3" x14ac:dyDescent="0.3">
      <c r="B4957" s="18" t="s">
        <v>6365</v>
      </c>
      <c r="C4957" s="13">
        <v>30</v>
      </c>
    </row>
    <row r="4958" spans="2:3" x14ac:dyDescent="0.3">
      <c r="B4958" s="18" t="s">
        <v>6363</v>
      </c>
      <c r="C4958" s="13">
        <v>29</v>
      </c>
    </row>
    <row r="4959" spans="2:3" x14ac:dyDescent="0.3">
      <c r="B4959" s="18" t="s">
        <v>6361</v>
      </c>
      <c r="C4959" s="13">
        <v>28</v>
      </c>
    </row>
    <row r="4960" spans="2:3" x14ac:dyDescent="0.3">
      <c r="B4960" s="18" t="s">
        <v>6359</v>
      </c>
      <c r="C4960" s="13">
        <v>27</v>
      </c>
    </row>
    <row r="4961" spans="2:3" x14ac:dyDescent="0.3">
      <c r="B4961" s="18" t="s">
        <v>6357</v>
      </c>
      <c r="C4961" s="13">
        <v>26</v>
      </c>
    </row>
    <row r="4962" spans="2:3" x14ac:dyDescent="0.3">
      <c r="B4962" s="18" t="s">
        <v>6355</v>
      </c>
      <c r="C4962" s="13">
        <v>25</v>
      </c>
    </row>
    <row r="4963" spans="2:3" x14ac:dyDescent="0.3">
      <c r="B4963" s="18" t="s">
        <v>6353</v>
      </c>
      <c r="C4963" s="13">
        <v>24</v>
      </c>
    </row>
    <row r="4964" spans="2:3" x14ac:dyDescent="0.3">
      <c r="B4964" s="18" t="s">
        <v>6343</v>
      </c>
      <c r="C4964" s="13">
        <v>23</v>
      </c>
    </row>
    <row r="4965" spans="2:3" x14ac:dyDescent="0.3">
      <c r="B4965" s="18" t="s">
        <v>6339</v>
      </c>
      <c r="C4965" s="13">
        <v>22</v>
      </c>
    </row>
    <row r="4966" spans="2:3" x14ac:dyDescent="0.3">
      <c r="B4966" s="18" t="s">
        <v>6337</v>
      </c>
      <c r="C4966" s="13">
        <v>21</v>
      </c>
    </row>
    <row r="4967" spans="2:3" x14ac:dyDescent="0.3">
      <c r="B4967" s="18" t="s">
        <v>6335</v>
      </c>
      <c r="C4967" s="13">
        <v>20</v>
      </c>
    </row>
    <row r="4968" spans="2:3" x14ac:dyDescent="0.3">
      <c r="B4968" s="18" t="s">
        <v>6333</v>
      </c>
      <c r="C4968" s="13">
        <v>19</v>
      </c>
    </row>
    <row r="4969" spans="2:3" x14ac:dyDescent="0.3">
      <c r="B4969" s="18" t="s">
        <v>6331</v>
      </c>
      <c r="C4969" s="13">
        <v>18</v>
      </c>
    </row>
    <row r="4970" spans="2:3" x14ac:dyDescent="0.3">
      <c r="B4970" s="18" t="s">
        <v>6329</v>
      </c>
      <c r="C4970" s="13">
        <v>17</v>
      </c>
    </row>
    <row r="4971" spans="2:3" x14ac:dyDescent="0.3">
      <c r="B4971" s="18" t="s">
        <v>6327</v>
      </c>
      <c r="C4971" s="13">
        <v>16</v>
      </c>
    </row>
    <row r="4972" spans="2:3" x14ac:dyDescent="0.3">
      <c r="B4972" s="18" t="s">
        <v>8689</v>
      </c>
      <c r="C4972" s="13">
        <v>31</v>
      </c>
    </row>
    <row r="4973" spans="2:3" x14ac:dyDescent="0.3">
      <c r="B4973" s="18" t="s">
        <v>6325</v>
      </c>
      <c r="C4973" s="13">
        <v>32</v>
      </c>
    </row>
    <row r="4974" spans="2:3" x14ac:dyDescent="0.3">
      <c r="B4974" s="18" t="s">
        <v>6323</v>
      </c>
      <c r="C4974" s="13">
        <v>33</v>
      </c>
    </row>
    <row r="4975" spans="2:3" x14ac:dyDescent="0.3">
      <c r="B4975" s="18" t="s">
        <v>6321</v>
      </c>
      <c r="C4975" s="13">
        <v>34</v>
      </c>
    </row>
    <row r="4976" spans="2:3" x14ac:dyDescent="0.3">
      <c r="B4976" s="18" t="s">
        <v>6319</v>
      </c>
      <c r="C4976" s="13">
        <v>35</v>
      </c>
    </row>
    <row r="4977" spans="2:3" x14ac:dyDescent="0.3">
      <c r="B4977" s="18" t="s">
        <v>6317</v>
      </c>
      <c r="C4977" s="13">
        <v>36</v>
      </c>
    </row>
    <row r="4978" spans="2:3" x14ac:dyDescent="0.3">
      <c r="B4978" s="18" t="s">
        <v>6315</v>
      </c>
      <c r="C4978" s="13">
        <v>37</v>
      </c>
    </row>
    <row r="4979" spans="2:3" x14ac:dyDescent="0.3">
      <c r="B4979" s="18" t="s">
        <v>8690</v>
      </c>
      <c r="C4979" s="13">
        <v>38</v>
      </c>
    </row>
    <row r="4980" spans="2:3" x14ac:dyDescent="0.3">
      <c r="B4980" s="18" t="s">
        <v>6303</v>
      </c>
      <c r="C4980" s="13">
        <v>39</v>
      </c>
    </row>
    <row r="4981" spans="2:3" x14ac:dyDescent="0.3">
      <c r="B4981" s="18" t="s">
        <v>6301</v>
      </c>
      <c r="C4981" s="13">
        <v>40</v>
      </c>
    </row>
    <row r="4982" spans="2:3" x14ac:dyDescent="0.3">
      <c r="B4982" s="18" t="s">
        <v>6299</v>
      </c>
      <c r="C4982" s="13">
        <v>41</v>
      </c>
    </row>
    <row r="4983" spans="2:3" x14ac:dyDescent="0.3">
      <c r="B4983" s="18" t="s">
        <v>6297</v>
      </c>
      <c r="C4983" s="13">
        <v>42</v>
      </c>
    </row>
    <row r="4984" spans="2:3" x14ac:dyDescent="0.3">
      <c r="B4984" s="18" t="s">
        <v>6295</v>
      </c>
      <c r="C4984" s="13">
        <v>43</v>
      </c>
    </row>
    <row r="4985" spans="2:3" x14ac:dyDescent="0.3">
      <c r="B4985" s="18" t="s">
        <v>6293</v>
      </c>
      <c r="C4985" s="13">
        <v>44</v>
      </c>
    </row>
    <row r="4986" spans="2:3" x14ac:dyDescent="0.3">
      <c r="B4986" s="18" t="s">
        <v>6291</v>
      </c>
      <c r="C4986" s="13">
        <v>45</v>
      </c>
    </row>
    <row r="4987" spans="2:3" x14ac:dyDescent="0.3">
      <c r="B4987" s="18" t="s">
        <v>8691</v>
      </c>
      <c r="C4987" s="13">
        <v>58</v>
      </c>
    </row>
    <row r="4988" spans="2:3" x14ac:dyDescent="0.3">
      <c r="B4988" s="18" t="s">
        <v>8692</v>
      </c>
      <c r="C4988" s="13">
        <v>57</v>
      </c>
    </row>
    <row r="4989" spans="2:3" x14ac:dyDescent="0.3">
      <c r="B4989" s="18" t="s">
        <v>8693</v>
      </c>
      <c r="C4989" s="13">
        <v>56</v>
      </c>
    </row>
    <row r="4990" spans="2:3" x14ac:dyDescent="0.3">
      <c r="B4990" s="18" t="s">
        <v>8694</v>
      </c>
      <c r="C4990" s="13">
        <v>55</v>
      </c>
    </row>
    <row r="4991" spans="2:3" x14ac:dyDescent="0.3">
      <c r="B4991" s="18" t="s">
        <v>8695</v>
      </c>
      <c r="C4991" s="13">
        <v>54</v>
      </c>
    </row>
    <row r="4992" spans="2:3" x14ac:dyDescent="0.3">
      <c r="B4992" s="18" t="s">
        <v>8696</v>
      </c>
      <c r="C4992" s="13">
        <v>53</v>
      </c>
    </row>
    <row r="4993" spans="2:3" x14ac:dyDescent="0.3">
      <c r="B4993" s="18" t="s">
        <v>8697</v>
      </c>
      <c r="C4993" s="13">
        <v>52</v>
      </c>
    </row>
    <row r="4994" spans="2:3" x14ac:dyDescent="0.3">
      <c r="B4994" s="18" t="s">
        <v>8698</v>
      </c>
      <c r="C4994" s="13">
        <v>51</v>
      </c>
    </row>
    <row r="4995" spans="2:3" x14ac:dyDescent="0.3">
      <c r="B4995" s="18" t="s">
        <v>8699</v>
      </c>
      <c r="C4995" s="13">
        <v>50</v>
      </c>
    </row>
    <row r="4996" spans="2:3" x14ac:dyDescent="0.3">
      <c r="B4996" s="18" t="s">
        <v>8700</v>
      </c>
      <c r="C4996" s="13">
        <v>49</v>
      </c>
    </row>
    <row r="4997" spans="2:3" x14ac:dyDescent="0.3">
      <c r="B4997" s="18" t="s">
        <v>8701</v>
      </c>
      <c r="C4997" s="13">
        <v>48</v>
      </c>
    </row>
    <row r="4998" spans="2:3" x14ac:dyDescent="0.3">
      <c r="B4998" s="18" t="s">
        <v>8702</v>
      </c>
      <c r="C4998" s="13">
        <v>47</v>
      </c>
    </row>
    <row r="4999" spans="2:3" x14ac:dyDescent="0.3">
      <c r="B4999" s="18" t="s">
        <v>8703</v>
      </c>
      <c r="C4999" s="13">
        <v>46</v>
      </c>
    </row>
    <row r="5000" spans="2:3" x14ac:dyDescent="0.3">
      <c r="B5000" s="18" t="s">
        <v>6289</v>
      </c>
      <c r="C5000" s="13">
        <v>1</v>
      </c>
    </row>
    <row r="5001" spans="2:3" x14ac:dyDescent="0.3">
      <c r="B5001" s="18" t="s">
        <v>6287</v>
      </c>
      <c r="C5001" s="13">
        <v>2</v>
      </c>
    </row>
    <row r="5002" spans="2:3" x14ac:dyDescent="0.3">
      <c r="B5002" s="18" t="s">
        <v>6285</v>
      </c>
      <c r="C5002" s="13">
        <v>3</v>
      </c>
    </row>
    <row r="5003" spans="2:3" x14ac:dyDescent="0.3">
      <c r="B5003" s="18" t="s">
        <v>6283</v>
      </c>
      <c r="C5003" s="13">
        <v>4</v>
      </c>
    </row>
    <row r="5004" spans="2:3" x14ac:dyDescent="0.3">
      <c r="B5004" s="18" t="s">
        <v>6281</v>
      </c>
      <c r="C5004" s="13">
        <v>5</v>
      </c>
    </row>
    <row r="5005" spans="2:3" x14ac:dyDescent="0.3">
      <c r="B5005" s="18" t="s">
        <v>6279</v>
      </c>
      <c r="C5005" s="13">
        <v>6</v>
      </c>
    </row>
    <row r="5006" spans="2:3" x14ac:dyDescent="0.3">
      <c r="B5006" s="18" t="s">
        <v>6277</v>
      </c>
      <c r="C5006" s="13">
        <v>7</v>
      </c>
    </row>
    <row r="5007" spans="2:3" x14ac:dyDescent="0.3">
      <c r="B5007" s="18" t="s">
        <v>6267</v>
      </c>
      <c r="C5007" s="13">
        <v>8</v>
      </c>
    </row>
    <row r="5008" spans="2:3" x14ac:dyDescent="0.3">
      <c r="B5008" s="18" t="s">
        <v>6263</v>
      </c>
      <c r="C5008" s="13">
        <v>9</v>
      </c>
    </row>
    <row r="5009" spans="2:3" x14ac:dyDescent="0.3">
      <c r="B5009" s="18" t="s">
        <v>6261</v>
      </c>
      <c r="C5009" s="13">
        <v>10</v>
      </c>
    </row>
    <row r="5010" spans="2:3" x14ac:dyDescent="0.3">
      <c r="B5010" s="18" t="s">
        <v>6259</v>
      </c>
      <c r="C5010" s="13">
        <v>11</v>
      </c>
    </row>
    <row r="5011" spans="2:3" x14ac:dyDescent="0.3">
      <c r="B5011" s="18" t="s">
        <v>6257</v>
      </c>
      <c r="C5011" s="13">
        <v>12</v>
      </c>
    </row>
    <row r="5012" spans="2:3" x14ac:dyDescent="0.3">
      <c r="B5012" s="18" t="s">
        <v>6255</v>
      </c>
      <c r="C5012" s="13">
        <v>13</v>
      </c>
    </row>
    <row r="5013" spans="2:3" x14ac:dyDescent="0.3">
      <c r="B5013" s="18" t="s">
        <v>6253</v>
      </c>
      <c r="C5013" s="13">
        <v>14</v>
      </c>
    </row>
    <row r="5014" spans="2:3" x14ac:dyDescent="0.3">
      <c r="B5014" s="18" t="s">
        <v>6251</v>
      </c>
      <c r="C5014" s="13">
        <v>15</v>
      </c>
    </row>
    <row r="5015" spans="2:3" x14ac:dyDescent="0.3">
      <c r="B5015" s="18" t="s">
        <v>6249</v>
      </c>
      <c r="C5015" s="13">
        <v>30</v>
      </c>
    </row>
    <row r="5016" spans="2:3" x14ac:dyDescent="0.3">
      <c r="B5016" s="18" t="s">
        <v>6247</v>
      </c>
      <c r="C5016" s="13">
        <v>29</v>
      </c>
    </row>
    <row r="5017" spans="2:3" x14ac:dyDescent="0.3">
      <c r="B5017" s="18" t="s">
        <v>6245</v>
      </c>
      <c r="C5017" s="13">
        <v>28</v>
      </c>
    </row>
    <row r="5018" spans="2:3" x14ac:dyDescent="0.3">
      <c r="B5018" s="18" t="s">
        <v>6243</v>
      </c>
      <c r="C5018" s="13">
        <v>27</v>
      </c>
    </row>
    <row r="5019" spans="2:3" x14ac:dyDescent="0.3">
      <c r="B5019" s="18" t="s">
        <v>6241</v>
      </c>
      <c r="C5019" s="13">
        <v>26</v>
      </c>
    </row>
    <row r="5020" spans="2:3" x14ac:dyDescent="0.3">
      <c r="B5020" s="18" t="s">
        <v>6239</v>
      </c>
      <c r="C5020" s="13">
        <v>25</v>
      </c>
    </row>
    <row r="5021" spans="2:3" x14ac:dyDescent="0.3">
      <c r="B5021" s="18" t="s">
        <v>6237</v>
      </c>
      <c r="C5021" s="13">
        <v>24</v>
      </c>
    </row>
    <row r="5022" spans="2:3" x14ac:dyDescent="0.3">
      <c r="B5022" s="18" t="s">
        <v>6227</v>
      </c>
      <c r="C5022" s="13">
        <v>23</v>
      </c>
    </row>
    <row r="5023" spans="2:3" x14ac:dyDescent="0.3">
      <c r="B5023" s="18" t="s">
        <v>6223</v>
      </c>
      <c r="C5023" s="13">
        <v>22</v>
      </c>
    </row>
    <row r="5024" spans="2:3" x14ac:dyDescent="0.3">
      <c r="B5024" s="18" t="s">
        <v>6221</v>
      </c>
      <c r="C5024" s="13">
        <v>21</v>
      </c>
    </row>
    <row r="5025" spans="2:3" x14ac:dyDescent="0.3">
      <c r="B5025" s="18" t="s">
        <v>6219</v>
      </c>
      <c r="C5025" s="13">
        <v>20</v>
      </c>
    </row>
    <row r="5026" spans="2:3" x14ac:dyDescent="0.3">
      <c r="B5026" s="18" t="s">
        <v>6217</v>
      </c>
      <c r="C5026" s="13">
        <v>19</v>
      </c>
    </row>
    <row r="5027" spans="2:3" x14ac:dyDescent="0.3">
      <c r="B5027" s="18" t="s">
        <v>6215</v>
      </c>
      <c r="C5027" s="13">
        <v>18</v>
      </c>
    </row>
    <row r="5028" spans="2:3" x14ac:dyDescent="0.3">
      <c r="B5028" s="18" t="s">
        <v>6213</v>
      </c>
      <c r="C5028" s="13">
        <v>17</v>
      </c>
    </row>
    <row r="5029" spans="2:3" x14ac:dyDescent="0.3">
      <c r="B5029" s="18" t="s">
        <v>6211</v>
      </c>
      <c r="C5029" s="13">
        <v>16</v>
      </c>
    </row>
    <row r="5030" spans="2:3" x14ac:dyDescent="0.3">
      <c r="B5030" s="18" t="s">
        <v>8704</v>
      </c>
      <c r="C5030" s="13">
        <v>31</v>
      </c>
    </row>
    <row r="5031" spans="2:3" x14ac:dyDescent="0.3">
      <c r="B5031" s="18" t="s">
        <v>6209</v>
      </c>
      <c r="C5031" s="13">
        <v>32</v>
      </c>
    </row>
    <row r="5032" spans="2:3" x14ac:dyDescent="0.3">
      <c r="B5032" s="18" t="s">
        <v>6207</v>
      </c>
      <c r="C5032" s="13">
        <v>33</v>
      </c>
    </row>
    <row r="5033" spans="2:3" x14ac:dyDescent="0.3">
      <c r="B5033" s="18" t="s">
        <v>6205</v>
      </c>
      <c r="C5033" s="13">
        <v>34</v>
      </c>
    </row>
    <row r="5034" spans="2:3" x14ac:dyDescent="0.3">
      <c r="B5034" s="18" t="s">
        <v>6203</v>
      </c>
      <c r="C5034" s="13">
        <v>35</v>
      </c>
    </row>
    <row r="5035" spans="2:3" x14ac:dyDescent="0.3">
      <c r="B5035" s="18" t="s">
        <v>6201</v>
      </c>
      <c r="C5035" s="13">
        <v>36</v>
      </c>
    </row>
    <row r="5036" spans="2:3" x14ac:dyDescent="0.3">
      <c r="B5036" s="18" t="s">
        <v>6199</v>
      </c>
      <c r="C5036" s="13">
        <v>37</v>
      </c>
    </row>
    <row r="5037" spans="2:3" x14ac:dyDescent="0.3">
      <c r="B5037" s="18" t="s">
        <v>6189</v>
      </c>
      <c r="C5037" s="13">
        <v>38</v>
      </c>
    </row>
    <row r="5038" spans="2:3" x14ac:dyDescent="0.3">
      <c r="B5038" s="18" t="s">
        <v>6185</v>
      </c>
      <c r="C5038" s="13">
        <v>39</v>
      </c>
    </row>
    <row r="5039" spans="2:3" x14ac:dyDescent="0.3">
      <c r="B5039" s="18" t="s">
        <v>6183</v>
      </c>
      <c r="C5039" s="13">
        <v>40</v>
      </c>
    </row>
    <row r="5040" spans="2:3" x14ac:dyDescent="0.3">
      <c r="B5040" s="18" t="s">
        <v>6181</v>
      </c>
      <c r="C5040" s="13">
        <v>41</v>
      </c>
    </row>
    <row r="5041" spans="2:3" x14ac:dyDescent="0.3">
      <c r="B5041" s="18" t="s">
        <v>6179</v>
      </c>
      <c r="C5041" s="13">
        <v>42</v>
      </c>
    </row>
    <row r="5042" spans="2:3" x14ac:dyDescent="0.3">
      <c r="B5042" s="18" t="s">
        <v>6177</v>
      </c>
      <c r="C5042" s="13">
        <v>43</v>
      </c>
    </row>
    <row r="5043" spans="2:3" x14ac:dyDescent="0.3">
      <c r="B5043" s="18" t="s">
        <v>6175</v>
      </c>
      <c r="C5043" s="13">
        <v>44</v>
      </c>
    </row>
    <row r="5044" spans="2:3" x14ac:dyDescent="0.3">
      <c r="B5044" s="18" t="s">
        <v>6173</v>
      </c>
      <c r="C5044" s="13">
        <v>45</v>
      </c>
    </row>
    <row r="5045" spans="2:3" x14ac:dyDescent="0.3">
      <c r="B5045" s="18" t="s">
        <v>8705</v>
      </c>
      <c r="C5045" s="13">
        <v>59</v>
      </c>
    </row>
    <row r="5046" spans="2:3" x14ac:dyDescent="0.3">
      <c r="B5046" s="18" t="s">
        <v>8706</v>
      </c>
      <c r="C5046" s="13">
        <v>58</v>
      </c>
    </row>
    <row r="5047" spans="2:3" x14ac:dyDescent="0.3">
      <c r="B5047" s="18" t="s">
        <v>8707</v>
      </c>
      <c r="C5047" s="13">
        <v>57</v>
      </c>
    </row>
    <row r="5048" spans="2:3" x14ac:dyDescent="0.3">
      <c r="B5048" s="18" t="s">
        <v>8708</v>
      </c>
      <c r="C5048" s="13">
        <v>56</v>
      </c>
    </row>
    <row r="5049" spans="2:3" x14ac:dyDescent="0.3">
      <c r="B5049" s="18" t="s">
        <v>8709</v>
      </c>
      <c r="C5049" s="13">
        <v>55</v>
      </c>
    </row>
    <row r="5050" spans="2:3" x14ac:dyDescent="0.3">
      <c r="B5050" s="18" t="s">
        <v>8710</v>
      </c>
      <c r="C5050" s="13">
        <v>54</v>
      </c>
    </row>
    <row r="5051" spans="2:3" x14ac:dyDescent="0.3">
      <c r="B5051" s="18" t="s">
        <v>8711</v>
      </c>
      <c r="C5051" s="13">
        <v>53</v>
      </c>
    </row>
    <row r="5052" spans="2:3" x14ac:dyDescent="0.3">
      <c r="B5052" s="18" t="s">
        <v>8712</v>
      </c>
      <c r="C5052" s="13">
        <v>52</v>
      </c>
    </row>
    <row r="5053" spans="2:3" x14ac:dyDescent="0.3">
      <c r="B5053" s="18" t="s">
        <v>8713</v>
      </c>
      <c r="C5053" s="13">
        <v>51</v>
      </c>
    </row>
    <row r="5054" spans="2:3" x14ac:dyDescent="0.3">
      <c r="B5054" s="18" t="s">
        <v>8714</v>
      </c>
      <c r="C5054" s="13">
        <v>50</v>
      </c>
    </row>
    <row r="5055" spans="2:3" x14ac:dyDescent="0.3">
      <c r="B5055" s="18" t="s">
        <v>8715</v>
      </c>
      <c r="C5055" s="13">
        <v>49</v>
      </c>
    </row>
    <row r="5056" spans="2:3" x14ac:dyDescent="0.3">
      <c r="B5056" s="18" t="s">
        <v>8716</v>
      </c>
      <c r="C5056" s="13">
        <v>48</v>
      </c>
    </row>
    <row r="5057" spans="2:3" x14ac:dyDescent="0.3">
      <c r="B5057" s="18" t="s">
        <v>8717</v>
      </c>
      <c r="C5057" s="13">
        <v>47</v>
      </c>
    </row>
    <row r="5058" spans="2:3" x14ac:dyDescent="0.3">
      <c r="B5058" s="18" t="s">
        <v>8718</v>
      </c>
      <c r="C5058" s="13">
        <v>46</v>
      </c>
    </row>
    <row r="5059" spans="2:3" x14ac:dyDescent="0.3">
      <c r="B5059" s="18" t="s">
        <v>6171</v>
      </c>
      <c r="C5059" s="13">
        <v>1</v>
      </c>
    </row>
    <row r="5060" spans="2:3" x14ac:dyDescent="0.3">
      <c r="B5060" s="18" t="s">
        <v>6169</v>
      </c>
      <c r="C5060" s="13">
        <v>2</v>
      </c>
    </row>
    <row r="5061" spans="2:3" x14ac:dyDescent="0.3">
      <c r="B5061" s="18" t="s">
        <v>6167</v>
      </c>
      <c r="C5061" s="13">
        <v>4</v>
      </c>
    </row>
    <row r="5062" spans="2:3" x14ac:dyDescent="0.3">
      <c r="B5062" s="18" t="s">
        <v>6165</v>
      </c>
      <c r="C5062" s="13">
        <v>3</v>
      </c>
    </row>
    <row r="5063" spans="2:3" x14ac:dyDescent="0.3">
      <c r="B5063" s="18" t="s">
        <v>6163</v>
      </c>
      <c r="C5063" s="13">
        <v>5</v>
      </c>
    </row>
    <row r="5064" spans="2:3" x14ac:dyDescent="0.3">
      <c r="B5064" s="18" t="s">
        <v>6161</v>
      </c>
      <c r="C5064" s="13">
        <v>1</v>
      </c>
    </row>
    <row r="5065" spans="2:3" x14ac:dyDescent="0.3">
      <c r="B5065" s="18" t="s">
        <v>6159</v>
      </c>
      <c r="C5065" s="13">
        <v>2</v>
      </c>
    </row>
    <row r="5066" spans="2:3" x14ac:dyDescent="0.3">
      <c r="B5066" s="18" t="s">
        <v>6157</v>
      </c>
      <c r="C5066" s="13">
        <v>3</v>
      </c>
    </row>
    <row r="5067" spans="2:3" x14ac:dyDescent="0.3">
      <c r="B5067" s="18" t="s">
        <v>6155</v>
      </c>
      <c r="C5067" s="13">
        <v>4</v>
      </c>
    </row>
    <row r="5068" spans="2:3" x14ac:dyDescent="0.3">
      <c r="B5068" s="18" t="s">
        <v>6153</v>
      </c>
      <c r="C5068" s="13">
        <v>5</v>
      </c>
    </row>
    <row r="5069" spans="2:3" x14ac:dyDescent="0.3">
      <c r="B5069" s="18" t="s">
        <v>6151</v>
      </c>
      <c r="C5069" s="13">
        <v>6</v>
      </c>
    </row>
    <row r="5070" spans="2:3" x14ac:dyDescent="0.3">
      <c r="B5070" s="18" t="s">
        <v>6149</v>
      </c>
      <c r="C5070" s="13">
        <v>7</v>
      </c>
    </row>
    <row r="5071" spans="2:3" x14ac:dyDescent="0.3">
      <c r="B5071" s="18" t="s">
        <v>6139</v>
      </c>
      <c r="C5071" s="13">
        <v>8</v>
      </c>
    </row>
    <row r="5072" spans="2:3" x14ac:dyDescent="0.3">
      <c r="B5072" s="18" t="s">
        <v>6135</v>
      </c>
      <c r="C5072" s="13">
        <v>9</v>
      </c>
    </row>
    <row r="5073" spans="2:3" x14ac:dyDescent="0.3">
      <c r="B5073" s="18" t="s">
        <v>6133</v>
      </c>
      <c r="C5073" s="13">
        <v>10</v>
      </c>
    </row>
    <row r="5074" spans="2:3" x14ac:dyDescent="0.3">
      <c r="B5074" s="18" t="s">
        <v>6131</v>
      </c>
      <c r="C5074" s="13">
        <v>11</v>
      </c>
    </row>
    <row r="5075" spans="2:3" x14ac:dyDescent="0.3">
      <c r="B5075" s="18" t="s">
        <v>6129</v>
      </c>
      <c r="C5075" s="13">
        <v>12</v>
      </c>
    </row>
    <row r="5076" spans="2:3" x14ac:dyDescent="0.3">
      <c r="B5076" s="18" t="s">
        <v>6127</v>
      </c>
      <c r="C5076" s="13">
        <v>13</v>
      </c>
    </row>
    <row r="5077" spans="2:3" x14ac:dyDescent="0.3">
      <c r="B5077" s="18" t="s">
        <v>6125</v>
      </c>
      <c r="C5077" s="13">
        <v>14</v>
      </c>
    </row>
    <row r="5078" spans="2:3" x14ac:dyDescent="0.3">
      <c r="B5078" s="18" t="s">
        <v>6123</v>
      </c>
      <c r="C5078" s="13">
        <v>15</v>
      </c>
    </row>
    <row r="5079" spans="2:3" x14ac:dyDescent="0.3">
      <c r="B5079" s="18" t="s">
        <v>6121</v>
      </c>
      <c r="C5079" s="13">
        <v>30</v>
      </c>
    </row>
    <row r="5080" spans="2:3" x14ac:dyDescent="0.3">
      <c r="B5080" s="18" t="s">
        <v>6119</v>
      </c>
      <c r="C5080" s="13">
        <v>29</v>
      </c>
    </row>
    <row r="5081" spans="2:3" x14ac:dyDescent="0.3">
      <c r="B5081" s="18" t="s">
        <v>6117</v>
      </c>
      <c r="C5081" s="13">
        <v>28</v>
      </c>
    </row>
    <row r="5082" spans="2:3" x14ac:dyDescent="0.3">
      <c r="B5082" s="18" t="s">
        <v>6115</v>
      </c>
      <c r="C5082" s="13">
        <v>27</v>
      </c>
    </row>
    <row r="5083" spans="2:3" x14ac:dyDescent="0.3">
      <c r="B5083" s="18" t="s">
        <v>6113</v>
      </c>
      <c r="C5083" s="13">
        <v>26</v>
      </c>
    </row>
    <row r="5084" spans="2:3" x14ac:dyDescent="0.3">
      <c r="B5084" s="18" t="s">
        <v>6111</v>
      </c>
      <c r="C5084" s="13">
        <v>25</v>
      </c>
    </row>
    <row r="5085" spans="2:3" x14ac:dyDescent="0.3">
      <c r="B5085" s="18" t="s">
        <v>6109</v>
      </c>
      <c r="C5085" s="13">
        <v>24</v>
      </c>
    </row>
    <row r="5086" spans="2:3" x14ac:dyDescent="0.3">
      <c r="B5086" s="18" t="s">
        <v>6099</v>
      </c>
      <c r="C5086" s="13">
        <v>23</v>
      </c>
    </row>
    <row r="5087" spans="2:3" x14ac:dyDescent="0.3">
      <c r="B5087" s="18" t="s">
        <v>6095</v>
      </c>
      <c r="C5087" s="13">
        <v>22</v>
      </c>
    </row>
    <row r="5088" spans="2:3" x14ac:dyDescent="0.3">
      <c r="B5088" s="18" t="s">
        <v>6093</v>
      </c>
      <c r="C5088" s="13">
        <v>21</v>
      </c>
    </row>
    <row r="5089" spans="2:3" x14ac:dyDescent="0.3">
      <c r="B5089" s="18" t="s">
        <v>6091</v>
      </c>
      <c r="C5089" s="13">
        <v>20</v>
      </c>
    </row>
    <row r="5090" spans="2:3" x14ac:dyDescent="0.3">
      <c r="B5090" s="18" t="s">
        <v>6089</v>
      </c>
      <c r="C5090" s="13">
        <v>19</v>
      </c>
    </row>
    <row r="5091" spans="2:3" x14ac:dyDescent="0.3">
      <c r="B5091" s="18" t="s">
        <v>6087</v>
      </c>
      <c r="C5091" s="13">
        <v>18</v>
      </c>
    </row>
    <row r="5092" spans="2:3" x14ac:dyDescent="0.3">
      <c r="B5092" s="18" t="s">
        <v>6085</v>
      </c>
      <c r="C5092" s="13">
        <v>17</v>
      </c>
    </row>
    <row r="5093" spans="2:3" x14ac:dyDescent="0.3">
      <c r="B5093" s="18" t="s">
        <v>6083</v>
      </c>
      <c r="C5093" s="13">
        <v>16</v>
      </c>
    </row>
    <row r="5094" spans="2:3" x14ac:dyDescent="0.3">
      <c r="B5094" s="18" t="s">
        <v>6081</v>
      </c>
      <c r="C5094" s="13">
        <v>31</v>
      </c>
    </row>
    <row r="5095" spans="2:3" x14ac:dyDescent="0.3">
      <c r="B5095" s="18" t="s">
        <v>6079</v>
      </c>
      <c r="C5095" s="13">
        <v>32</v>
      </c>
    </row>
    <row r="5096" spans="2:3" x14ac:dyDescent="0.3">
      <c r="B5096" s="18" t="s">
        <v>6077</v>
      </c>
      <c r="C5096" s="13">
        <v>33</v>
      </c>
    </row>
    <row r="5097" spans="2:3" x14ac:dyDescent="0.3">
      <c r="B5097" s="18" t="s">
        <v>6075</v>
      </c>
      <c r="C5097" s="13">
        <v>34</v>
      </c>
    </row>
    <row r="5098" spans="2:3" x14ac:dyDescent="0.3">
      <c r="B5098" s="18" t="s">
        <v>6073</v>
      </c>
      <c r="C5098" s="13">
        <v>35</v>
      </c>
    </row>
    <row r="5099" spans="2:3" x14ac:dyDescent="0.3">
      <c r="B5099" s="18" t="s">
        <v>6071</v>
      </c>
      <c r="C5099" s="13">
        <v>36</v>
      </c>
    </row>
    <row r="5100" spans="2:3" x14ac:dyDescent="0.3">
      <c r="B5100" s="18" t="s">
        <v>6069</v>
      </c>
      <c r="C5100" s="13">
        <v>37</v>
      </c>
    </row>
    <row r="5101" spans="2:3" x14ac:dyDescent="0.3">
      <c r="B5101" s="18" t="s">
        <v>6059</v>
      </c>
      <c r="C5101" s="13">
        <v>38</v>
      </c>
    </row>
    <row r="5102" spans="2:3" x14ac:dyDescent="0.3">
      <c r="B5102" s="18" t="s">
        <v>6055</v>
      </c>
      <c r="C5102" s="13">
        <v>39</v>
      </c>
    </row>
    <row r="5103" spans="2:3" x14ac:dyDescent="0.3">
      <c r="B5103" s="18" t="s">
        <v>6053</v>
      </c>
      <c r="C5103" s="13">
        <v>40</v>
      </c>
    </row>
    <row r="5104" spans="2:3" x14ac:dyDescent="0.3">
      <c r="B5104" s="18" t="s">
        <v>6051</v>
      </c>
      <c r="C5104" s="13">
        <v>41</v>
      </c>
    </row>
    <row r="5105" spans="2:3" x14ac:dyDescent="0.3">
      <c r="B5105" s="18" t="s">
        <v>6049</v>
      </c>
      <c r="C5105" s="13">
        <v>42</v>
      </c>
    </row>
    <row r="5106" spans="2:3" x14ac:dyDescent="0.3">
      <c r="B5106" s="18" t="s">
        <v>6047</v>
      </c>
      <c r="C5106" s="13">
        <v>43</v>
      </c>
    </row>
    <row r="5107" spans="2:3" x14ac:dyDescent="0.3">
      <c r="B5107" s="18" t="s">
        <v>6045</v>
      </c>
      <c r="C5107" s="13">
        <v>44</v>
      </c>
    </row>
    <row r="5108" spans="2:3" x14ac:dyDescent="0.3">
      <c r="B5108" s="18" t="s">
        <v>6043</v>
      </c>
      <c r="C5108" s="13">
        <v>45</v>
      </c>
    </row>
    <row r="5109" spans="2:3" x14ac:dyDescent="0.3">
      <c r="B5109" s="18" t="s">
        <v>8719</v>
      </c>
      <c r="C5109" s="13">
        <v>60</v>
      </c>
    </row>
    <row r="5110" spans="2:3" x14ac:dyDescent="0.3">
      <c r="B5110" s="18" t="s">
        <v>8720</v>
      </c>
      <c r="C5110" s="13">
        <v>59</v>
      </c>
    </row>
    <row r="5111" spans="2:3" x14ac:dyDescent="0.3">
      <c r="B5111" s="18" t="s">
        <v>8721</v>
      </c>
      <c r="C5111" s="13">
        <v>58</v>
      </c>
    </row>
    <row r="5112" spans="2:3" x14ac:dyDescent="0.3">
      <c r="B5112" s="18" t="s">
        <v>8722</v>
      </c>
      <c r="C5112" s="13">
        <v>57</v>
      </c>
    </row>
    <row r="5113" spans="2:3" x14ac:dyDescent="0.3">
      <c r="B5113" s="18" t="s">
        <v>8723</v>
      </c>
      <c r="C5113" s="13">
        <v>56</v>
      </c>
    </row>
    <row r="5114" spans="2:3" x14ac:dyDescent="0.3">
      <c r="B5114" s="18" t="s">
        <v>8724</v>
      </c>
      <c r="C5114" s="13">
        <v>55</v>
      </c>
    </row>
    <row r="5115" spans="2:3" x14ac:dyDescent="0.3">
      <c r="B5115" s="18" t="s">
        <v>8725</v>
      </c>
      <c r="C5115" s="13">
        <v>54</v>
      </c>
    </row>
    <row r="5116" spans="2:3" x14ac:dyDescent="0.3">
      <c r="B5116" s="18" t="s">
        <v>8726</v>
      </c>
      <c r="C5116" s="13">
        <v>53</v>
      </c>
    </row>
    <row r="5117" spans="2:3" x14ac:dyDescent="0.3">
      <c r="B5117" s="18" t="s">
        <v>8727</v>
      </c>
      <c r="C5117" s="13">
        <v>52</v>
      </c>
    </row>
    <row r="5118" spans="2:3" x14ac:dyDescent="0.3">
      <c r="B5118" s="18" t="s">
        <v>8728</v>
      </c>
      <c r="C5118" s="13">
        <v>51</v>
      </c>
    </row>
    <row r="5119" spans="2:3" x14ac:dyDescent="0.3">
      <c r="B5119" s="18" t="s">
        <v>8729</v>
      </c>
      <c r="C5119" s="13">
        <v>50</v>
      </c>
    </row>
    <row r="5120" spans="2:3" x14ac:dyDescent="0.3">
      <c r="B5120" s="18" t="s">
        <v>8730</v>
      </c>
      <c r="C5120" s="13">
        <v>49</v>
      </c>
    </row>
    <row r="5121" spans="2:3" x14ac:dyDescent="0.3">
      <c r="B5121" s="18" t="s">
        <v>8731</v>
      </c>
      <c r="C5121" s="13">
        <v>48</v>
      </c>
    </row>
    <row r="5122" spans="2:3" x14ac:dyDescent="0.3">
      <c r="B5122" s="18" t="s">
        <v>8732</v>
      </c>
      <c r="C5122" s="13">
        <v>47</v>
      </c>
    </row>
    <row r="5123" spans="2:3" x14ac:dyDescent="0.3">
      <c r="B5123" s="18" t="s">
        <v>8733</v>
      </c>
      <c r="C5123" s="13">
        <v>46</v>
      </c>
    </row>
    <row r="5124" spans="2:3" x14ac:dyDescent="0.3">
      <c r="B5124" s="18" t="s">
        <v>6041</v>
      </c>
      <c r="C5124" s="13">
        <v>1</v>
      </c>
    </row>
    <row r="5125" spans="2:3" x14ac:dyDescent="0.3">
      <c r="B5125" s="18" t="s">
        <v>6039</v>
      </c>
      <c r="C5125" s="13">
        <v>2</v>
      </c>
    </row>
    <row r="5126" spans="2:3" x14ac:dyDescent="0.3">
      <c r="B5126" s="18" t="s">
        <v>6037</v>
      </c>
      <c r="C5126" s="13">
        <v>3</v>
      </c>
    </row>
    <row r="5127" spans="2:3" x14ac:dyDescent="0.3">
      <c r="B5127" s="18" t="s">
        <v>6035</v>
      </c>
      <c r="C5127" s="13">
        <v>4</v>
      </c>
    </row>
    <row r="5128" spans="2:3" x14ac:dyDescent="0.3">
      <c r="B5128" s="18" t="s">
        <v>6033</v>
      </c>
      <c r="C5128" s="13">
        <v>5</v>
      </c>
    </row>
    <row r="5129" spans="2:3" x14ac:dyDescent="0.3">
      <c r="B5129" s="18" t="s">
        <v>6031</v>
      </c>
      <c r="C5129" s="13">
        <v>6</v>
      </c>
    </row>
    <row r="5130" spans="2:3" x14ac:dyDescent="0.3">
      <c r="B5130" s="18" t="s">
        <v>6029</v>
      </c>
      <c r="C5130" s="13">
        <v>7</v>
      </c>
    </row>
    <row r="5131" spans="2:3" x14ac:dyDescent="0.3">
      <c r="B5131" s="18" t="s">
        <v>6027</v>
      </c>
      <c r="C5131" s="13">
        <v>8</v>
      </c>
    </row>
    <row r="5132" spans="2:3" x14ac:dyDescent="0.3">
      <c r="B5132" s="18" t="s">
        <v>6019</v>
      </c>
      <c r="C5132" s="13">
        <v>9</v>
      </c>
    </row>
    <row r="5133" spans="2:3" x14ac:dyDescent="0.3">
      <c r="B5133" s="18" t="s">
        <v>6013</v>
      </c>
      <c r="C5133" s="13">
        <v>10</v>
      </c>
    </row>
    <row r="5134" spans="2:3" x14ac:dyDescent="0.3">
      <c r="B5134" s="18" t="s">
        <v>6011</v>
      </c>
      <c r="C5134" s="13">
        <v>11</v>
      </c>
    </row>
    <row r="5135" spans="2:3" x14ac:dyDescent="0.3">
      <c r="B5135" s="18" t="s">
        <v>6009</v>
      </c>
      <c r="C5135" s="13">
        <v>12</v>
      </c>
    </row>
    <row r="5136" spans="2:3" x14ac:dyDescent="0.3">
      <c r="B5136" s="18" t="s">
        <v>6007</v>
      </c>
      <c r="C5136" s="13">
        <v>13</v>
      </c>
    </row>
    <row r="5137" spans="2:3" x14ac:dyDescent="0.3">
      <c r="B5137" s="18" t="s">
        <v>6005</v>
      </c>
      <c r="C5137" s="13">
        <v>14</v>
      </c>
    </row>
    <row r="5138" spans="2:3" x14ac:dyDescent="0.3">
      <c r="B5138" s="18" t="s">
        <v>6003</v>
      </c>
      <c r="C5138" s="13">
        <v>15</v>
      </c>
    </row>
    <row r="5139" spans="2:3" x14ac:dyDescent="0.3">
      <c r="B5139" s="18" t="s">
        <v>6001</v>
      </c>
      <c r="C5139" s="13">
        <v>16</v>
      </c>
    </row>
    <row r="5140" spans="2:3" x14ac:dyDescent="0.3">
      <c r="B5140" s="18" t="s">
        <v>5999</v>
      </c>
      <c r="C5140" s="13">
        <v>32</v>
      </c>
    </row>
    <row r="5141" spans="2:3" x14ac:dyDescent="0.3">
      <c r="B5141" s="18" t="s">
        <v>5997</v>
      </c>
      <c r="C5141" s="13">
        <v>31</v>
      </c>
    </row>
    <row r="5142" spans="2:3" x14ac:dyDescent="0.3">
      <c r="B5142" s="18" t="s">
        <v>5995</v>
      </c>
      <c r="C5142" s="13">
        <v>30</v>
      </c>
    </row>
    <row r="5143" spans="2:3" x14ac:dyDescent="0.3">
      <c r="B5143" s="18" t="s">
        <v>5993</v>
      </c>
      <c r="C5143" s="13">
        <v>29</v>
      </c>
    </row>
    <row r="5144" spans="2:3" x14ac:dyDescent="0.3">
      <c r="B5144" s="18" t="s">
        <v>5991</v>
      </c>
      <c r="C5144" s="13">
        <v>28</v>
      </c>
    </row>
    <row r="5145" spans="2:3" x14ac:dyDescent="0.3">
      <c r="B5145" s="18" t="s">
        <v>5989</v>
      </c>
      <c r="C5145" s="13">
        <v>27</v>
      </c>
    </row>
    <row r="5146" spans="2:3" x14ac:dyDescent="0.3">
      <c r="B5146" s="18" t="s">
        <v>5987</v>
      </c>
      <c r="C5146" s="13">
        <v>26</v>
      </c>
    </row>
    <row r="5147" spans="2:3" x14ac:dyDescent="0.3">
      <c r="B5147" s="18" t="s">
        <v>5985</v>
      </c>
      <c r="C5147" s="13">
        <v>25</v>
      </c>
    </row>
    <row r="5148" spans="2:3" x14ac:dyDescent="0.3">
      <c r="B5148" s="18" t="s">
        <v>5977</v>
      </c>
      <c r="C5148" s="13">
        <v>24</v>
      </c>
    </row>
    <row r="5149" spans="2:3" x14ac:dyDescent="0.3">
      <c r="B5149" s="18" t="s">
        <v>5971</v>
      </c>
      <c r="C5149" s="13">
        <v>23</v>
      </c>
    </row>
    <row r="5150" spans="2:3" x14ac:dyDescent="0.3">
      <c r="B5150" s="18" t="s">
        <v>5969</v>
      </c>
      <c r="C5150" s="13">
        <v>22</v>
      </c>
    </row>
    <row r="5151" spans="2:3" x14ac:dyDescent="0.3">
      <c r="B5151" s="18" t="s">
        <v>5967</v>
      </c>
      <c r="C5151" s="13">
        <v>21</v>
      </c>
    </row>
    <row r="5152" spans="2:3" x14ac:dyDescent="0.3">
      <c r="B5152" s="18" t="s">
        <v>5965</v>
      </c>
      <c r="C5152" s="13">
        <v>20</v>
      </c>
    </row>
    <row r="5153" spans="2:3" x14ac:dyDescent="0.3">
      <c r="B5153" s="18" t="s">
        <v>5963</v>
      </c>
      <c r="C5153" s="13">
        <v>19</v>
      </c>
    </row>
    <row r="5154" spans="2:3" x14ac:dyDescent="0.3">
      <c r="B5154" s="18" t="s">
        <v>5961</v>
      </c>
      <c r="C5154" s="13">
        <v>18</v>
      </c>
    </row>
    <row r="5155" spans="2:3" x14ac:dyDescent="0.3">
      <c r="B5155" s="18" t="s">
        <v>5959</v>
      </c>
      <c r="C5155" s="13">
        <v>17</v>
      </c>
    </row>
    <row r="5156" spans="2:3" x14ac:dyDescent="0.3">
      <c r="B5156" s="18" t="s">
        <v>8734</v>
      </c>
      <c r="C5156" s="13">
        <v>33</v>
      </c>
    </row>
    <row r="5157" spans="2:3" x14ac:dyDescent="0.3">
      <c r="B5157" s="18" t="s">
        <v>5957</v>
      </c>
      <c r="C5157" s="13">
        <v>34</v>
      </c>
    </row>
    <row r="5158" spans="2:3" x14ac:dyDescent="0.3">
      <c r="B5158" s="18" t="s">
        <v>5955</v>
      </c>
      <c r="C5158" s="13">
        <v>35</v>
      </c>
    </row>
    <row r="5159" spans="2:3" x14ac:dyDescent="0.3">
      <c r="B5159" s="18" t="s">
        <v>5953</v>
      </c>
      <c r="C5159" s="13">
        <v>36</v>
      </c>
    </row>
    <row r="5160" spans="2:3" x14ac:dyDescent="0.3">
      <c r="B5160" s="18" t="s">
        <v>5951</v>
      </c>
      <c r="C5160" s="13">
        <v>37</v>
      </c>
    </row>
    <row r="5161" spans="2:3" x14ac:dyDescent="0.3">
      <c r="B5161" s="18" t="s">
        <v>5949</v>
      </c>
      <c r="C5161" s="13">
        <v>38</v>
      </c>
    </row>
    <row r="5162" spans="2:3" x14ac:dyDescent="0.3">
      <c r="B5162" s="18" t="s">
        <v>5947</v>
      </c>
      <c r="C5162" s="13">
        <v>39</v>
      </c>
    </row>
    <row r="5163" spans="2:3" x14ac:dyDescent="0.3">
      <c r="B5163" s="18" t="s">
        <v>5945</v>
      </c>
      <c r="C5163" s="13">
        <v>40</v>
      </c>
    </row>
    <row r="5164" spans="2:3" x14ac:dyDescent="0.3">
      <c r="B5164" s="18" t="s">
        <v>8735</v>
      </c>
      <c r="C5164" s="13">
        <v>41</v>
      </c>
    </row>
    <row r="5165" spans="2:3" x14ac:dyDescent="0.3">
      <c r="B5165" s="18" t="s">
        <v>5933</v>
      </c>
      <c r="C5165" s="13">
        <v>42</v>
      </c>
    </row>
    <row r="5166" spans="2:3" x14ac:dyDescent="0.3">
      <c r="B5166" s="18" t="s">
        <v>5931</v>
      </c>
      <c r="C5166" s="13">
        <v>43</v>
      </c>
    </row>
    <row r="5167" spans="2:3" x14ac:dyDescent="0.3">
      <c r="B5167" s="18" t="s">
        <v>5929</v>
      </c>
      <c r="C5167" s="13">
        <v>44</v>
      </c>
    </row>
    <row r="5168" spans="2:3" x14ac:dyDescent="0.3">
      <c r="B5168" s="18" t="s">
        <v>5927</v>
      </c>
      <c r="C5168" s="13">
        <v>45</v>
      </c>
    </row>
    <row r="5169" spans="2:3" x14ac:dyDescent="0.3">
      <c r="B5169" s="18" t="s">
        <v>5925</v>
      </c>
      <c r="C5169" s="13">
        <v>46</v>
      </c>
    </row>
    <row r="5170" spans="2:3" x14ac:dyDescent="0.3">
      <c r="B5170" s="18" t="s">
        <v>5923</v>
      </c>
      <c r="C5170" s="13">
        <v>47</v>
      </c>
    </row>
    <row r="5171" spans="2:3" x14ac:dyDescent="0.3">
      <c r="B5171" s="18" t="s">
        <v>5921</v>
      </c>
      <c r="C5171" s="13">
        <v>48</v>
      </c>
    </row>
    <row r="5172" spans="2:3" x14ac:dyDescent="0.3">
      <c r="B5172" s="18" t="s">
        <v>8736</v>
      </c>
      <c r="C5172" s="13">
        <v>61</v>
      </c>
    </row>
    <row r="5173" spans="2:3" x14ac:dyDescent="0.3">
      <c r="B5173" s="18" t="s">
        <v>8737</v>
      </c>
      <c r="C5173" s="13">
        <v>60</v>
      </c>
    </row>
    <row r="5174" spans="2:3" x14ac:dyDescent="0.3">
      <c r="B5174" s="18" t="s">
        <v>8738</v>
      </c>
      <c r="C5174" s="13">
        <v>59</v>
      </c>
    </row>
    <row r="5175" spans="2:3" x14ac:dyDescent="0.3">
      <c r="B5175" s="18" t="s">
        <v>8739</v>
      </c>
      <c r="C5175" s="13">
        <v>58</v>
      </c>
    </row>
    <row r="5176" spans="2:3" x14ac:dyDescent="0.3">
      <c r="B5176" s="18" t="s">
        <v>8740</v>
      </c>
      <c r="C5176" s="13">
        <v>57</v>
      </c>
    </row>
    <row r="5177" spans="2:3" x14ac:dyDescent="0.3">
      <c r="B5177" s="18" t="s">
        <v>8741</v>
      </c>
      <c r="C5177" s="13">
        <v>56</v>
      </c>
    </row>
    <row r="5178" spans="2:3" x14ac:dyDescent="0.3">
      <c r="B5178" s="18" t="s">
        <v>8742</v>
      </c>
      <c r="C5178" s="13">
        <v>55</v>
      </c>
    </row>
    <row r="5179" spans="2:3" x14ac:dyDescent="0.3">
      <c r="B5179" s="18" t="s">
        <v>8743</v>
      </c>
      <c r="C5179" s="13">
        <v>54</v>
      </c>
    </row>
    <row r="5180" spans="2:3" x14ac:dyDescent="0.3">
      <c r="B5180" s="18" t="s">
        <v>8744</v>
      </c>
      <c r="C5180" s="13">
        <v>53</v>
      </c>
    </row>
    <row r="5181" spans="2:3" x14ac:dyDescent="0.3">
      <c r="B5181" s="18" t="s">
        <v>8745</v>
      </c>
      <c r="C5181" s="13">
        <v>52</v>
      </c>
    </row>
    <row r="5182" spans="2:3" x14ac:dyDescent="0.3">
      <c r="B5182" s="18" t="s">
        <v>8746</v>
      </c>
      <c r="C5182" s="13">
        <v>51</v>
      </c>
    </row>
    <row r="5183" spans="2:3" x14ac:dyDescent="0.3">
      <c r="B5183" s="18" t="s">
        <v>8747</v>
      </c>
      <c r="C5183" s="13">
        <v>50</v>
      </c>
    </row>
    <row r="5184" spans="2:3" x14ac:dyDescent="0.3">
      <c r="B5184" s="18" t="s">
        <v>8748</v>
      </c>
      <c r="C5184" s="13">
        <v>49</v>
      </c>
    </row>
    <row r="5185" spans="2:3" x14ac:dyDescent="0.3">
      <c r="B5185" s="18" t="s">
        <v>5919</v>
      </c>
      <c r="C5185" s="13">
        <v>1</v>
      </c>
    </row>
    <row r="5186" spans="2:3" x14ac:dyDescent="0.3">
      <c r="B5186" s="18" t="s">
        <v>5917</v>
      </c>
      <c r="C5186" s="13">
        <v>2</v>
      </c>
    </row>
    <row r="5187" spans="2:3" x14ac:dyDescent="0.3">
      <c r="B5187" s="18" t="s">
        <v>5915</v>
      </c>
      <c r="C5187" s="13">
        <v>3</v>
      </c>
    </row>
    <row r="5188" spans="2:3" x14ac:dyDescent="0.3">
      <c r="B5188" s="18" t="s">
        <v>5913</v>
      </c>
      <c r="C5188" s="13">
        <v>4</v>
      </c>
    </row>
    <row r="5189" spans="2:3" x14ac:dyDescent="0.3">
      <c r="B5189" s="18" t="s">
        <v>5911</v>
      </c>
      <c r="C5189" s="13">
        <v>5</v>
      </c>
    </row>
    <row r="5190" spans="2:3" x14ac:dyDescent="0.3">
      <c r="B5190" s="18" t="s">
        <v>5909</v>
      </c>
      <c r="C5190" s="13">
        <v>6</v>
      </c>
    </row>
    <row r="5191" spans="2:3" x14ac:dyDescent="0.3">
      <c r="B5191" s="18" t="s">
        <v>5907</v>
      </c>
      <c r="C5191" s="13">
        <v>7</v>
      </c>
    </row>
    <row r="5192" spans="2:3" x14ac:dyDescent="0.3">
      <c r="B5192" s="18" t="s">
        <v>5905</v>
      </c>
      <c r="C5192" s="13">
        <v>8</v>
      </c>
    </row>
    <row r="5193" spans="2:3" x14ac:dyDescent="0.3">
      <c r="B5193" s="18" t="s">
        <v>5897</v>
      </c>
      <c r="C5193" s="13">
        <v>9</v>
      </c>
    </row>
    <row r="5194" spans="2:3" x14ac:dyDescent="0.3">
      <c r="B5194" s="18" t="s">
        <v>5891</v>
      </c>
      <c r="C5194" s="13">
        <v>10</v>
      </c>
    </row>
    <row r="5195" spans="2:3" x14ac:dyDescent="0.3">
      <c r="B5195" s="18" t="s">
        <v>5889</v>
      </c>
      <c r="C5195" s="13">
        <v>11</v>
      </c>
    </row>
    <row r="5196" spans="2:3" x14ac:dyDescent="0.3">
      <c r="B5196" s="18" t="s">
        <v>5887</v>
      </c>
      <c r="C5196" s="13">
        <v>12</v>
      </c>
    </row>
    <row r="5197" spans="2:3" x14ac:dyDescent="0.3">
      <c r="B5197" s="18" t="s">
        <v>5885</v>
      </c>
      <c r="C5197" s="13">
        <v>13</v>
      </c>
    </row>
    <row r="5198" spans="2:3" x14ac:dyDescent="0.3">
      <c r="B5198" s="18" t="s">
        <v>5883</v>
      </c>
      <c r="C5198" s="13">
        <v>14</v>
      </c>
    </row>
    <row r="5199" spans="2:3" x14ac:dyDescent="0.3">
      <c r="B5199" s="18" t="s">
        <v>5881</v>
      </c>
      <c r="C5199" s="13">
        <v>15</v>
      </c>
    </row>
    <row r="5200" spans="2:3" x14ac:dyDescent="0.3">
      <c r="B5200" s="18" t="s">
        <v>5879</v>
      </c>
      <c r="C5200" s="13">
        <v>16</v>
      </c>
    </row>
    <row r="5201" spans="2:3" x14ac:dyDescent="0.3">
      <c r="B5201" s="18" t="s">
        <v>5877</v>
      </c>
      <c r="C5201" s="13">
        <v>32</v>
      </c>
    </row>
    <row r="5202" spans="2:3" x14ac:dyDescent="0.3">
      <c r="B5202" s="18" t="s">
        <v>5875</v>
      </c>
      <c r="C5202" s="13">
        <v>31</v>
      </c>
    </row>
    <row r="5203" spans="2:3" x14ac:dyDescent="0.3">
      <c r="B5203" s="18" t="s">
        <v>5873</v>
      </c>
      <c r="C5203" s="13">
        <v>30</v>
      </c>
    </row>
    <row r="5204" spans="2:3" x14ac:dyDescent="0.3">
      <c r="B5204" s="18" t="s">
        <v>5871</v>
      </c>
      <c r="C5204" s="13">
        <v>29</v>
      </c>
    </row>
    <row r="5205" spans="2:3" x14ac:dyDescent="0.3">
      <c r="B5205" s="18" t="s">
        <v>5869</v>
      </c>
      <c r="C5205" s="13">
        <v>28</v>
      </c>
    </row>
    <row r="5206" spans="2:3" x14ac:dyDescent="0.3">
      <c r="B5206" s="18" t="s">
        <v>5867</v>
      </c>
      <c r="C5206" s="13">
        <v>27</v>
      </c>
    </row>
    <row r="5207" spans="2:3" x14ac:dyDescent="0.3">
      <c r="B5207" s="18" t="s">
        <v>5865</v>
      </c>
      <c r="C5207" s="13">
        <v>26</v>
      </c>
    </row>
    <row r="5208" spans="2:3" x14ac:dyDescent="0.3">
      <c r="B5208" s="18" t="s">
        <v>5863</v>
      </c>
      <c r="C5208" s="13">
        <v>25</v>
      </c>
    </row>
    <row r="5209" spans="2:3" x14ac:dyDescent="0.3">
      <c r="B5209" s="18" t="s">
        <v>5855</v>
      </c>
      <c r="C5209" s="13">
        <v>24</v>
      </c>
    </row>
    <row r="5210" spans="2:3" x14ac:dyDescent="0.3">
      <c r="B5210" s="18" t="s">
        <v>5849</v>
      </c>
      <c r="C5210" s="13">
        <v>23</v>
      </c>
    </row>
    <row r="5211" spans="2:3" x14ac:dyDescent="0.3">
      <c r="B5211" s="18" t="s">
        <v>5847</v>
      </c>
      <c r="C5211" s="13">
        <v>22</v>
      </c>
    </row>
    <row r="5212" spans="2:3" x14ac:dyDescent="0.3">
      <c r="B5212" s="18" t="s">
        <v>5845</v>
      </c>
      <c r="C5212" s="13">
        <v>21</v>
      </c>
    </row>
    <row r="5213" spans="2:3" x14ac:dyDescent="0.3">
      <c r="B5213" s="18" t="s">
        <v>5843</v>
      </c>
      <c r="C5213" s="13">
        <v>20</v>
      </c>
    </row>
    <row r="5214" spans="2:3" x14ac:dyDescent="0.3">
      <c r="B5214" s="18" t="s">
        <v>5841</v>
      </c>
      <c r="C5214" s="13">
        <v>19</v>
      </c>
    </row>
    <row r="5215" spans="2:3" x14ac:dyDescent="0.3">
      <c r="B5215" s="18" t="s">
        <v>5839</v>
      </c>
      <c r="C5215" s="13">
        <v>18</v>
      </c>
    </row>
    <row r="5216" spans="2:3" x14ac:dyDescent="0.3">
      <c r="B5216" s="18" t="s">
        <v>5837</v>
      </c>
      <c r="C5216" s="13">
        <v>17</v>
      </c>
    </row>
    <row r="5217" spans="2:3" x14ac:dyDescent="0.3">
      <c r="B5217" s="18" t="s">
        <v>8749</v>
      </c>
      <c r="C5217" s="13">
        <v>33</v>
      </c>
    </row>
    <row r="5218" spans="2:3" x14ac:dyDescent="0.3">
      <c r="B5218" s="18" t="s">
        <v>5835</v>
      </c>
      <c r="C5218" s="13">
        <v>34</v>
      </c>
    </row>
    <row r="5219" spans="2:3" x14ac:dyDescent="0.3">
      <c r="B5219" s="18" t="s">
        <v>5833</v>
      </c>
      <c r="C5219" s="13">
        <v>35</v>
      </c>
    </row>
    <row r="5220" spans="2:3" x14ac:dyDescent="0.3">
      <c r="B5220" s="18" t="s">
        <v>5831</v>
      </c>
      <c r="C5220" s="13">
        <v>36</v>
      </c>
    </row>
    <row r="5221" spans="2:3" x14ac:dyDescent="0.3">
      <c r="B5221" s="18" t="s">
        <v>5829</v>
      </c>
      <c r="C5221" s="13">
        <v>37</v>
      </c>
    </row>
    <row r="5222" spans="2:3" x14ac:dyDescent="0.3">
      <c r="B5222" s="18" t="s">
        <v>5827</v>
      </c>
      <c r="C5222" s="13">
        <v>38</v>
      </c>
    </row>
    <row r="5223" spans="2:3" x14ac:dyDescent="0.3">
      <c r="B5223" s="18" t="s">
        <v>5825</v>
      </c>
      <c r="C5223" s="13">
        <v>39</v>
      </c>
    </row>
    <row r="5224" spans="2:3" x14ac:dyDescent="0.3">
      <c r="B5224" s="18" t="s">
        <v>5823</v>
      </c>
      <c r="C5224" s="13">
        <v>40</v>
      </c>
    </row>
    <row r="5225" spans="2:3" x14ac:dyDescent="0.3">
      <c r="B5225" s="18" t="s">
        <v>5815</v>
      </c>
      <c r="C5225" s="13">
        <v>41</v>
      </c>
    </row>
    <row r="5226" spans="2:3" x14ac:dyDescent="0.3">
      <c r="B5226" s="18" t="s">
        <v>5809</v>
      </c>
      <c r="C5226" s="13">
        <v>42</v>
      </c>
    </row>
    <row r="5227" spans="2:3" x14ac:dyDescent="0.3">
      <c r="B5227" s="18" t="s">
        <v>5807</v>
      </c>
      <c r="C5227" s="13">
        <v>43</v>
      </c>
    </row>
    <row r="5228" spans="2:3" x14ac:dyDescent="0.3">
      <c r="B5228" s="18" t="s">
        <v>5805</v>
      </c>
      <c r="C5228" s="13">
        <v>44</v>
      </c>
    </row>
    <row r="5229" spans="2:3" x14ac:dyDescent="0.3">
      <c r="B5229" s="18" t="s">
        <v>5803</v>
      </c>
      <c r="C5229" s="13">
        <v>45</v>
      </c>
    </row>
    <row r="5230" spans="2:3" x14ac:dyDescent="0.3">
      <c r="B5230" s="18" t="s">
        <v>5801</v>
      </c>
      <c r="C5230" s="13">
        <v>46</v>
      </c>
    </row>
    <row r="5231" spans="2:3" x14ac:dyDescent="0.3">
      <c r="B5231" s="18" t="s">
        <v>5799</v>
      </c>
      <c r="C5231" s="13">
        <v>47</v>
      </c>
    </row>
    <row r="5232" spans="2:3" x14ac:dyDescent="0.3">
      <c r="B5232" s="18" t="s">
        <v>5797</v>
      </c>
      <c r="C5232" s="13">
        <v>48</v>
      </c>
    </row>
    <row r="5233" spans="2:3" x14ac:dyDescent="0.3">
      <c r="B5233" s="18" t="s">
        <v>8750</v>
      </c>
      <c r="C5233" s="13">
        <v>62</v>
      </c>
    </row>
    <row r="5234" spans="2:3" x14ac:dyDescent="0.3">
      <c r="B5234" s="18" t="s">
        <v>8751</v>
      </c>
      <c r="C5234" s="13">
        <v>61</v>
      </c>
    </row>
    <row r="5235" spans="2:3" x14ac:dyDescent="0.3">
      <c r="B5235" s="18" t="s">
        <v>8752</v>
      </c>
      <c r="C5235" s="13">
        <v>60</v>
      </c>
    </row>
    <row r="5236" spans="2:3" x14ac:dyDescent="0.3">
      <c r="B5236" s="18" t="s">
        <v>8753</v>
      </c>
      <c r="C5236" s="13">
        <v>59</v>
      </c>
    </row>
    <row r="5237" spans="2:3" x14ac:dyDescent="0.3">
      <c r="B5237" s="18" t="s">
        <v>8754</v>
      </c>
      <c r="C5237" s="13">
        <v>58</v>
      </c>
    </row>
    <row r="5238" spans="2:3" x14ac:dyDescent="0.3">
      <c r="B5238" s="18" t="s">
        <v>8755</v>
      </c>
      <c r="C5238" s="13">
        <v>57</v>
      </c>
    </row>
    <row r="5239" spans="2:3" x14ac:dyDescent="0.3">
      <c r="B5239" s="18" t="s">
        <v>8756</v>
      </c>
      <c r="C5239" s="13">
        <v>56</v>
      </c>
    </row>
    <row r="5240" spans="2:3" x14ac:dyDescent="0.3">
      <c r="B5240" s="18" t="s">
        <v>8757</v>
      </c>
      <c r="C5240" s="13">
        <v>55</v>
      </c>
    </row>
    <row r="5241" spans="2:3" x14ac:dyDescent="0.3">
      <c r="B5241" s="18" t="s">
        <v>8758</v>
      </c>
      <c r="C5241" s="13">
        <v>54</v>
      </c>
    </row>
    <row r="5242" spans="2:3" x14ac:dyDescent="0.3">
      <c r="B5242" s="18" t="s">
        <v>8759</v>
      </c>
      <c r="C5242" s="13">
        <v>53</v>
      </c>
    </row>
    <row r="5243" spans="2:3" x14ac:dyDescent="0.3">
      <c r="B5243" s="18" t="s">
        <v>8760</v>
      </c>
      <c r="C5243" s="13">
        <v>52</v>
      </c>
    </row>
    <row r="5244" spans="2:3" x14ac:dyDescent="0.3">
      <c r="B5244" s="18" t="s">
        <v>8761</v>
      </c>
      <c r="C5244" s="13">
        <v>51</v>
      </c>
    </row>
    <row r="5245" spans="2:3" x14ac:dyDescent="0.3">
      <c r="B5245" s="18" t="s">
        <v>8762</v>
      </c>
      <c r="C5245" s="13">
        <v>50</v>
      </c>
    </row>
    <row r="5246" spans="2:3" x14ac:dyDescent="0.3">
      <c r="B5246" s="18" t="s">
        <v>8763</v>
      </c>
      <c r="C5246" s="13">
        <v>49</v>
      </c>
    </row>
    <row r="5247" spans="2:3" x14ac:dyDescent="0.3">
      <c r="B5247" s="18" t="s">
        <v>5795</v>
      </c>
      <c r="C5247" s="13">
        <v>1</v>
      </c>
    </row>
    <row r="5248" spans="2:3" x14ac:dyDescent="0.3">
      <c r="B5248" s="18" t="s">
        <v>5793</v>
      </c>
      <c r="C5248" s="13">
        <v>2</v>
      </c>
    </row>
    <row r="5249" spans="2:3" x14ac:dyDescent="0.3">
      <c r="B5249" s="18" t="s">
        <v>5791</v>
      </c>
      <c r="C5249" s="13">
        <v>3</v>
      </c>
    </row>
    <row r="5250" spans="2:3" x14ac:dyDescent="0.3">
      <c r="B5250" s="18" t="s">
        <v>5789</v>
      </c>
      <c r="C5250" s="13">
        <v>4</v>
      </c>
    </row>
    <row r="5251" spans="2:3" x14ac:dyDescent="0.3">
      <c r="B5251" s="18" t="s">
        <v>5787</v>
      </c>
      <c r="C5251" s="13">
        <v>5</v>
      </c>
    </row>
    <row r="5252" spans="2:3" x14ac:dyDescent="0.3">
      <c r="B5252" s="18" t="s">
        <v>5785</v>
      </c>
      <c r="C5252" s="13">
        <v>6</v>
      </c>
    </row>
    <row r="5253" spans="2:3" x14ac:dyDescent="0.3">
      <c r="B5253" s="18" t="s">
        <v>5783</v>
      </c>
      <c r="C5253" s="13">
        <v>7</v>
      </c>
    </row>
    <row r="5254" spans="2:3" x14ac:dyDescent="0.3">
      <c r="B5254" s="18" t="s">
        <v>5781</v>
      </c>
      <c r="C5254" s="13">
        <v>8</v>
      </c>
    </row>
    <row r="5255" spans="2:3" x14ac:dyDescent="0.3">
      <c r="B5255" s="18" t="s">
        <v>5773</v>
      </c>
      <c r="C5255" s="13">
        <v>9</v>
      </c>
    </row>
    <row r="5256" spans="2:3" x14ac:dyDescent="0.3">
      <c r="B5256" s="18" t="s">
        <v>5767</v>
      </c>
      <c r="C5256" s="13">
        <v>10</v>
      </c>
    </row>
    <row r="5257" spans="2:3" x14ac:dyDescent="0.3">
      <c r="B5257" s="18" t="s">
        <v>5765</v>
      </c>
      <c r="C5257" s="13">
        <v>11</v>
      </c>
    </row>
    <row r="5258" spans="2:3" x14ac:dyDescent="0.3">
      <c r="B5258" s="18" t="s">
        <v>5763</v>
      </c>
      <c r="C5258" s="13">
        <v>12</v>
      </c>
    </row>
    <row r="5259" spans="2:3" x14ac:dyDescent="0.3">
      <c r="B5259" s="18" t="s">
        <v>5761</v>
      </c>
      <c r="C5259" s="13">
        <v>13</v>
      </c>
    </row>
    <row r="5260" spans="2:3" x14ac:dyDescent="0.3">
      <c r="B5260" s="18" t="s">
        <v>5759</v>
      </c>
      <c r="C5260" s="13">
        <v>14</v>
      </c>
    </row>
    <row r="5261" spans="2:3" x14ac:dyDescent="0.3">
      <c r="B5261" s="18" t="s">
        <v>5757</v>
      </c>
      <c r="C5261" s="13">
        <v>15</v>
      </c>
    </row>
    <row r="5262" spans="2:3" x14ac:dyDescent="0.3">
      <c r="B5262" s="18" t="s">
        <v>5755</v>
      </c>
      <c r="C5262" s="13">
        <v>16</v>
      </c>
    </row>
    <row r="5263" spans="2:3" x14ac:dyDescent="0.3">
      <c r="B5263" s="18" t="s">
        <v>5753</v>
      </c>
      <c r="C5263" s="13">
        <v>32</v>
      </c>
    </row>
    <row r="5264" spans="2:3" x14ac:dyDescent="0.3">
      <c r="B5264" s="18" t="s">
        <v>5751</v>
      </c>
      <c r="C5264" s="13">
        <v>31</v>
      </c>
    </row>
    <row r="5265" spans="2:3" x14ac:dyDescent="0.3">
      <c r="B5265" s="18" t="s">
        <v>5749</v>
      </c>
      <c r="C5265" s="13">
        <v>30</v>
      </c>
    </row>
    <row r="5266" spans="2:3" x14ac:dyDescent="0.3">
      <c r="B5266" s="18" t="s">
        <v>5747</v>
      </c>
      <c r="C5266" s="13">
        <v>29</v>
      </c>
    </row>
    <row r="5267" spans="2:3" x14ac:dyDescent="0.3">
      <c r="B5267" s="18" t="s">
        <v>5745</v>
      </c>
      <c r="C5267" s="13">
        <v>28</v>
      </c>
    </row>
    <row r="5268" spans="2:3" x14ac:dyDescent="0.3">
      <c r="B5268" s="18" t="s">
        <v>5743</v>
      </c>
      <c r="C5268" s="13">
        <v>27</v>
      </c>
    </row>
    <row r="5269" spans="2:3" x14ac:dyDescent="0.3">
      <c r="B5269" s="18" t="s">
        <v>5741</v>
      </c>
      <c r="C5269" s="13">
        <v>26</v>
      </c>
    </row>
    <row r="5270" spans="2:3" x14ac:dyDescent="0.3">
      <c r="B5270" s="18" t="s">
        <v>5739</v>
      </c>
      <c r="C5270" s="13">
        <v>25</v>
      </c>
    </row>
    <row r="5271" spans="2:3" x14ac:dyDescent="0.3">
      <c r="B5271" s="18" t="s">
        <v>5731</v>
      </c>
      <c r="C5271" s="13">
        <v>24</v>
      </c>
    </row>
    <row r="5272" spans="2:3" x14ac:dyDescent="0.3">
      <c r="B5272" s="18" t="s">
        <v>5725</v>
      </c>
      <c r="C5272" s="13">
        <v>23</v>
      </c>
    </row>
    <row r="5273" spans="2:3" x14ac:dyDescent="0.3">
      <c r="B5273" s="18" t="s">
        <v>5723</v>
      </c>
      <c r="C5273" s="13">
        <v>22</v>
      </c>
    </row>
    <row r="5274" spans="2:3" x14ac:dyDescent="0.3">
      <c r="B5274" s="18" t="s">
        <v>5721</v>
      </c>
      <c r="C5274" s="13">
        <v>21</v>
      </c>
    </row>
    <row r="5275" spans="2:3" x14ac:dyDescent="0.3">
      <c r="B5275" s="18" t="s">
        <v>5719</v>
      </c>
      <c r="C5275" s="13">
        <v>20</v>
      </c>
    </row>
    <row r="5276" spans="2:3" x14ac:dyDescent="0.3">
      <c r="B5276" s="18" t="s">
        <v>5717</v>
      </c>
      <c r="C5276" s="13">
        <v>19</v>
      </c>
    </row>
    <row r="5277" spans="2:3" x14ac:dyDescent="0.3">
      <c r="B5277" s="18" t="s">
        <v>5715</v>
      </c>
      <c r="C5277" s="13">
        <v>18</v>
      </c>
    </row>
    <row r="5278" spans="2:3" x14ac:dyDescent="0.3">
      <c r="B5278" s="18" t="s">
        <v>5713</v>
      </c>
      <c r="C5278" s="13">
        <v>17</v>
      </c>
    </row>
    <row r="5279" spans="2:3" x14ac:dyDescent="0.3">
      <c r="B5279" s="18" t="s">
        <v>5711</v>
      </c>
      <c r="C5279" s="13">
        <v>33</v>
      </c>
    </row>
    <row r="5280" spans="2:3" x14ac:dyDescent="0.3">
      <c r="B5280" s="18" t="s">
        <v>5709</v>
      </c>
      <c r="C5280" s="13">
        <v>34</v>
      </c>
    </row>
    <row r="5281" spans="2:3" x14ac:dyDescent="0.3">
      <c r="B5281" s="18" t="s">
        <v>5707</v>
      </c>
      <c r="C5281" s="13">
        <v>35</v>
      </c>
    </row>
    <row r="5282" spans="2:3" x14ac:dyDescent="0.3">
      <c r="B5282" s="18" t="s">
        <v>5705</v>
      </c>
      <c r="C5282" s="13">
        <v>36</v>
      </c>
    </row>
    <row r="5283" spans="2:3" x14ac:dyDescent="0.3">
      <c r="B5283" s="18" t="s">
        <v>5703</v>
      </c>
      <c r="C5283" s="13">
        <v>37</v>
      </c>
    </row>
    <row r="5284" spans="2:3" x14ac:dyDescent="0.3">
      <c r="B5284" s="18" t="s">
        <v>5701</v>
      </c>
      <c r="C5284" s="13">
        <v>38</v>
      </c>
    </row>
    <row r="5285" spans="2:3" x14ac:dyDescent="0.3">
      <c r="B5285" s="18" t="s">
        <v>5699</v>
      </c>
      <c r="C5285" s="13">
        <v>39</v>
      </c>
    </row>
    <row r="5286" spans="2:3" x14ac:dyDescent="0.3">
      <c r="B5286" s="18" t="s">
        <v>5697</v>
      </c>
      <c r="C5286" s="13">
        <v>40</v>
      </c>
    </row>
    <row r="5287" spans="2:3" x14ac:dyDescent="0.3">
      <c r="B5287" s="18" t="s">
        <v>5689</v>
      </c>
      <c r="C5287" s="13">
        <v>41</v>
      </c>
    </row>
    <row r="5288" spans="2:3" x14ac:dyDescent="0.3">
      <c r="B5288" s="18" t="s">
        <v>5683</v>
      </c>
      <c r="C5288" s="13">
        <v>42</v>
      </c>
    </row>
    <row r="5289" spans="2:3" x14ac:dyDescent="0.3">
      <c r="B5289" s="18" t="s">
        <v>5681</v>
      </c>
      <c r="C5289" s="13">
        <v>43</v>
      </c>
    </row>
    <row r="5290" spans="2:3" x14ac:dyDescent="0.3">
      <c r="B5290" s="18" t="s">
        <v>5679</v>
      </c>
      <c r="C5290" s="13">
        <v>44</v>
      </c>
    </row>
    <row r="5291" spans="2:3" x14ac:dyDescent="0.3">
      <c r="B5291" s="18" t="s">
        <v>5677</v>
      </c>
      <c r="C5291" s="13">
        <v>45</v>
      </c>
    </row>
    <row r="5292" spans="2:3" x14ac:dyDescent="0.3">
      <c r="B5292" s="18" t="s">
        <v>5675</v>
      </c>
      <c r="C5292" s="13">
        <v>46</v>
      </c>
    </row>
    <row r="5293" spans="2:3" x14ac:dyDescent="0.3">
      <c r="B5293" s="18" t="s">
        <v>5673</v>
      </c>
      <c r="C5293" s="13">
        <v>47</v>
      </c>
    </row>
    <row r="5294" spans="2:3" x14ac:dyDescent="0.3">
      <c r="B5294" s="18" t="s">
        <v>5671</v>
      </c>
      <c r="C5294" s="13">
        <v>48</v>
      </c>
    </row>
    <row r="5295" spans="2:3" x14ac:dyDescent="0.3">
      <c r="B5295" s="18" t="s">
        <v>8764</v>
      </c>
      <c r="C5295" s="13">
        <v>63</v>
      </c>
    </row>
    <row r="5296" spans="2:3" x14ac:dyDescent="0.3">
      <c r="B5296" s="18" t="s">
        <v>8765</v>
      </c>
      <c r="C5296" s="13">
        <v>62</v>
      </c>
    </row>
    <row r="5297" spans="2:3" x14ac:dyDescent="0.3">
      <c r="B5297" s="18" t="s">
        <v>8766</v>
      </c>
      <c r="C5297" s="13">
        <v>61</v>
      </c>
    </row>
    <row r="5298" spans="2:3" x14ac:dyDescent="0.3">
      <c r="B5298" s="18" t="s">
        <v>8767</v>
      </c>
      <c r="C5298" s="13">
        <v>60</v>
      </c>
    </row>
    <row r="5299" spans="2:3" x14ac:dyDescent="0.3">
      <c r="B5299" s="18" t="s">
        <v>8768</v>
      </c>
      <c r="C5299" s="13">
        <v>59</v>
      </c>
    </row>
    <row r="5300" spans="2:3" x14ac:dyDescent="0.3">
      <c r="B5300" s="18" t="s">
        <v>8769</v>
      </c>
      <c r="C5300" s="13">
        <v>58</v>
      </c>
    </row>
    <row r="5301" spans="2:3" x14ac:dyDescent="0.3">
      <c r="B5301" s="18" t="s">
        <v>8770</v>
      </c>
      <c r="C5301" s="13">
        <v>57</v>
      </c>
    </row>
    <row r="5302" spans="2:3" x14ac:dyDescent="0.3">
      <c r="B5302" s="18" t="s">
        <v>8771</v>
      </c>
      <c r="C5302" s="13">
        <v>56</v>
      </c>
    </row>
    <row r="5303" spans="2:3" x14ac:dyDescent="0.3">
      <c r="B5303" s="18" t="s">
        <v>8772</v>
      </c>
      <c r="C5303" s="13">
        <v>55</v>
      </c>
    </row>
    <row r="5304" spans="2:3" x14ac:dyDescent="0.3">
      <c r="B5304" s="18" t="s">
        <v>8773</v>
      </c>
      <c r="C5304" s="13">
        <v>54</v>
      </c>
    </row>
    <row r="5305" spans="2:3" x14ac:dyDescent="0.3">
      <c r="B5305" s="18" t="s">
        <v>8774</v>
      </c>
      <c r="C5305" s="13">
        <v>53</v>
      </c>
    </row>
    <row r="5306" spans="2:3" x14ac:dyDescent="0.3">
      <c r="B5306" s="18" t="s">
        <v>8775</v>
      </c>
      <c r="C5306" s="13">
        <v>52</v>
      </c>
    </row>
    <row r="5307" spans="2:3" x14ac:dyDescent="0.3">
      <c r="B5307" s="18" t="s">
        <v>8776</v>
      </c>
      <c r="C5307" s="13">
        <v>51</v>
      </c>
    </row>
    <row r="5308" spans="2:3" x14ac:dyDescent="0.3">
      <c r="B5308" s="18" t="s">
        <v>8777</v>
      </c>
      <c r="C5308" s="13">
        <v>50</v>
      </c>
    </row>
    <row r="5309" spans="2:3" x14ac:dyDescent="0.3">
      <c r="B5309" s="18" t="s">
        <v>8778</v>
      </c>
      <c r="C5309" s="13">
        <v>49</v>
      </c>
    </row>
    <row r="5310" spans="2:3" x14ac:dyDescent="0.3">
      <c r="B5310" s="18" t="s">
        <v>5669</v>
      </c>
      <c r="C5310" s="13">
        <v>1</v>
      </c>
    </row>
    <row r="5311" spans="2:3" x14ac:dyDescent="0.3">
      <c r="B5311" s="18" t="s">
        <v>5667</v>
      </c>
      <c r="C5311" s="13">
        <v>2</v>
      </c>
    </row>
    <row r="5312" spans="2:3" x14ac:dyDescent="0.3">
      <c r="B5312" s="18" t="s">
        <v>5665</v>
      </c>
      <c r="C5312" s="13">
        <v>3</v>
      </c>
    </row>
    <row r="5313" spans="2:3" x14ac:dyDescent="0.3">
      <c r="B5313" s="18" t="s">
        <v>5663</v>
      </c>
      <c r="C5313" s="13">
        <v>4</v>
      </c>
    </row>
    <row r="5314" spans="2:3" x14ac:dyDescent="0.3">
      <c r="B5314" s="18" t="s">
        <v>5661</v>
      </c>
      <c r="C5314" s="13">
        <v>5</v>
      </c>
    </row>
    <row r="5315" spans="2:3" x14ac:dyDescent="0.3">
      <c r="B5315" s="18" t="s">
        <v>5659</v>
      </c>
      <c r="C5315" s="13">
        <v>6</v>
      </c>
    </row>
    <row r="5316" spans="2:3" x14ac:dyDescent="0.3">
      <c r="B5316" s="18" t="s">
        <v>5657</v>
      </c>
      <c r="C5316" s="13">
        <v>7</v>
      </c>
    </row>
    <row r="5317" spans="2:3" x14ac:dyDescent="0.3">
      <c r="B5317" s="18" t="s">
        <v>5655</v>
      </c>
      <c r="C5317" s="13">
        <v>8</v>
      </c>
    </row>
    <row r="5318" spans="2:3" x14ac:dyDescent="0.3">
      <c r="B5318" s="18" t="s">
        <v>5647</v>
      </c>
      <c r="C5318" s="13">
        <v>9</v>
      </c>
    </row>
    <row r="5319" spans="2:3" x14ac:dyDescent="0.3">
      <c r="B5319" s="18" t="s">
        <v>5639</v>
      </c>
      <c r="C5319" s="13">
        <v>10</v>
      </c>
    </row>
    <row r="5320" spans="2:3" x14ac:dyDescent="0.3">
      <c r="B5320" s="18" t="s">
        <v>5637</v>
      </c>
      <c r="C5320" s="13">
        <v>11</v>
      </c>
    </row>
    <row r="5321" spans="2:3" x14ac:dyDescent="0.3">
      <c r="B5321" s="18" t="s">
        <v>5635</v>
      </c>
      <c r="C5321" s="13">
        <v>12</v>
      </c>
    </row>
    <row r="5322" spans="2:3" x14ac:dyDescent="0.3">
      <c r="B5322" s="18" t="s">
        <v>5633</v>
      </c>
      <c r="C5322" s="13">
        <v>13</v>
      </c>
    </row>
    <row r="5323" spans="2:3" x14ac:dyDescent="0.3">
      <c r="B5323" s="18" t="s">
        <v>5631</v>
      </c>
      <c r="C5323" s="13">
        <v>14</v>
      </c>
    </row>
    <row r="5324" spans="2:3" x14ac:dyDescent="0.3">
      <c r="B5324" s="18" t="s">
        <v>5629</v>
      </c>
      <c r="C5324" s="13">
        <v>15</v>
      </c>
    </row>
    <row r="5325" spans="2:3" x14ac:dyDescent="0.3">
      <c r="B5325" s="18" t="s">
        <v>5627</v>
      </c>
      <c r="C5325" s="13">
        <v>16</v>
      </c>
    </row>
    <row r="5326" spans="2:3" x14ac:dyDescent="0.3">
      <c r="B5326" s="18" t="s">
        <v>5625</v>
      </c>
      <c r="C5326" s="13">
        <v>32</v>
      </c>
    </row>
    <row r="5327" spans="2:3" x14ac:dyDescent="0.3">
      <c r="B5327" s="18" t="s">
        <v>5623</v>
      </c>
      <c r="C5327" s="13">
        <v>31</v>
      </c>
    </row>
    <row r="5328" spans="2:3" x14ac:dyDescent="0.3">
      <c r="B5328" s="18" t="s">
        <v>5621</v>
      </c>
      <c r="C5328" s="13">
        <v>30</v>
      </c>
    </row>
    <row r="5329" spans="2:3" x14ac:dyDescent="0.3">
      <c r="B5329" s="18" t="s">
        <v>5619</v>
      </c>
      <c r="C5329" s="13">
        <v>29</v>
      </c>
    </row>
    <row r="5330" spans="2:3" x14ac:dyDescent="0.3">
      <c r="B5330" s="18" t="s">
        <v>5617</v>
      </c>
      <c r="C5330" s="13">
        <v>28</v>
      </c>
    </row>
    <row r="5331" spans="2:3" x14ac:dyDescent="0.3">
      <c r="B5331" s="18" t="s">
        <v>5615</v>
      </c>
      <c r="C5331" s="13">
        <v>27</v>
      </c>
    </row>
    <row r="5332" spans="2:3" x14ac:dyDescent="0.3">
      <c r="B5332" s="18" t="s">
        <v>5613</v>
      </c>
      <c r="C5332" s="13">
        <v>26</v>
      </c>
    </row>
    <row r="5333" spans="2:3" x14ac:dyDescent="0.3">
      <c r="B5333" s="18" t="s">
        <v>5611</v>
      </c>
      <c r="C5333" s="13">
        <v>25</v>
      </c>
    </row>
    <row r="5334" spans="2:3" x14ac:dyDescent="0.3">
      <c r="B5334" s="18" t="s">
        <v>5603</v>
      </c>
      <c r="C5334" s="13">
        <v>24</v>
      </c>
    </row>
    <row r="5335" spans="2:3" x14ac:dyDescent="0.3">
      <c r="B5335" s="18" t="s">
        <v>5595</v>
      </c>
      <c r="C5335" s="13">
        <v>23</v>
      </c>
    </row>
    <row r="5336" spans="2:3" x14ac:dyDescent="0.3">
      <c r="B5336" s="18" t="s">
        <v>5593</v>
      </c>
      <c r="C5336" s="13">
        <v>22</v>
      </c>
    </row>
    <row r="5337" spans="2:3" x14ac:dyDescent="0.3">
      <c r="B5337" s="18" t="s">
        <v>5591</v>
      </c>
      <c r="C5337" s="13">
        <v>21</v>
      </c>
    </row>
    <row r="5338" spans="2:3" x14ac:dyDescent="0.3">
      <c r="B5338" s="18" t="s">
        <v>5589</v>
      </c>
      <c r="C5338" s="13">
        <v>20</v>
      </c>
    </row>
    <row r="5339" spans="2:3" x14ac:dyDescent="0.3">
      <c r="B5339" s="18" t="s">
        <v>5587</v>
      </c>
      <c r="C5339" s="13">
        <v>19</v>
      </c>
    </row>
    <row r="5340" spans="2:3" x14ac:dyDescent="0.3">
      <c r="B5340" s="18" t="s">
        <v>5585</v>
      </c>
      <c r="C5340" s="13">
        <v>18</v>
      </c>
    </row>
    <row r="5341" spans="2:3" x14ac:dyDescent="0.3">
      <c r="B5341" s="18" t="s">
        <v>5583</v>
      </c>
      <c r="C5341" s="13">
        <v>17</v>
      </c>
    </row>
    <row r="5342" spans="2:3" x14ac:dyDescent="0.3">
      <c r="B5342" s="18" t="s">
        <v>8779</v>
      </c>
      <c r="C5342" s="13">
        <v>33</v>
      </c>
    </row>
    <row r="5343" spans="2:3" x14ac:dyDescent="0.3">
      <c r="B5343" s="18" t="s">
        <v>5581</v>
      </c>
      <c r="C5343" s="13">
        <v>34</v>
      </c>
    </row>
    <row r="5344" spans="2:3" x14ac:dyDescent="0.3">
      <c r="B5344" s="18" t="s">
        <v>5579</v>
      </c>
      <c r="C5344" s="13">
        <v>35</v>
      </c>
    </row>
    <row r="5345" spans="2:3" x14ac:dyDescent="0.3">
      <c r="B5345" s="18" t="s">
        <v>5577</v>
      </c>
      <c r="C5345" s="13">
        <v>36</v>
      </c>
    </row>
    <row r="5346" spans="2:3" x14ac:dyDescent="0.3">
      <c r="B5346" s="18" t="s">
        <v>5575</v>
      </c>
      <c r="C5346" s="13">
        <v>37</v>
      </c>
    </row>
    <row r="5347" spans="2:3" x14ac:dyDescent="0.3">
      <c r="B5347" s="18" t="s">
        <v>5573</v>
      </c>
      <c r="C5347" s="13">
        <v>38</v>
      </c>
    </row>
    <row r="5348" spans="2:3" x14ac:dyDescent="0.3">
      <c r="B5348" s="18" t="s">
        <v>5571</v>
      </c>
      <c r="C5348" s="13">
        <v>39</v>
      </c>
    </row>
    <row r="5349" spans="2:3" x14ac:dyDescent="0.3">
      <c r="B5349" s="18" t="s">
        <v>5569</v>
      </c>
      <c r="C5349" s="13">
        <v>40</v>
      </c>
    </row>
    <row r="5350" spans="2:3" x14ac:dyDescent="0.3">
      <c r="B5350" s="18" t="s">
        <v>8780</v>
      </c>
      <c r="C5350" s="13">
        <v>41</v>
      </c>
    </row>
    <row r="5351" spans="2:3" x14ac:dyDescent="0.3">
      <c r="B5351" s="18" t="s">
        <v>5555</v>
      </c>
      <c r="C5351" s="13">
        <v>42</v>
      </c>
    </row>
    <row r="5352" spans="2:3" x14ac:dyDescent="0.3">
      <c r="B5352" s="18" t="s">
        <v>5553</v>
      </c>
      <c r="C5352" s="13">
        <v>43</v>
      </c>
    </row>
    <row r="5353" spans="2:3" x14ac:dyDescent="0.3">
      <c r="B5353" s="18" t="s">
        <v>5551</v>
      </c>
      <c r="C5353" s="13">
        <v>44</v>
      </c>
    </row>
    <row r="5354" spans="2:3" x14ac:dyDescent="0.3">
      <c r="B5354" s="18" t="s">
        <v>5549</v>
      </c>
      <c r="C5354" s="13">
        <v>45</v>
      </c>
    </row>
    <row r="5355" spans="2:3" x14ac:dyDescent="0.3">
      <c r="B5355" s="18" t="s">
        <v>5547</v>
      </c>
      <c r="C5355" s="13">
        <v>46</v>
      </c>
    </row>
    <row r="5356" spans="2:3" x14ac:dyDescent="0.3">
      <c r="B5356" s="18" t="s">
        <v>5545</v>
      </c>
      <c r="C5356" s="13">
        <v>47</v>
      </c>
    </row>
    <row r="5357" spans="2:3" x14ac:dyDescent="0.3">
      <c r="B5357" s="18" t="s">
        <v>5543</v>
      </c>
      <c r="C5357" s="13">
        <v>48</v>
      </c>
    </row>
    <row r="5358" spans="2:3" x14ac:dyDescent="0.3">
      <c r="B5358" s="18" t="s">
        <v>8781</v>
      </c>
      <c r="C5358" s="13">
        <v>64</v>
      </c>
    </row>
    <row r="5359" spans="2:3" x14ac:dyDescent="0.3">
      <c r="B5359" s="18" t="s">
        <v>8782</v>
      </c>
      <c r="C5359" s="13">
        <v>63</v>
      </c>
    </row>
    <row r="5360" spans="2:3" x14ac:dyDescent="0.3">
      <c r="B5360" s="18" t="s">
        <v>8783</v>
      </c>
      <c r="C5360" s="13">
        <v>62</v>
      </c>
    </row>
    <row r="5361" spans="2:3" x14ac:dyDescent="0.3">
      <c r="B5361" s="18" t="s">
        <v>8784</v>
      </c>
      <c r="C5361" s="13">
        <v>61</v>
      </c>
    </row>
    <row r="5362" spans="2:3" x14ac:dyDescent="0.3">
      <c r="B5362" s="18" t="s">
        <v>8785</v>
      </c>
      <c r="C5362" s="13">
        <v>60</v>
      </c>
    </row>
    <row r="5363" spans="2:3" x14ac:dyDescent="0.3">
      <c r="B5363" s="18" t="s">
        <v>8786</v>
      </c>
      <c r="C5363" s="13">
        <v>59</v>
      </c>
    </row>
    <row r="5364" spans="2:3" x14ac:dyDescent="0.3">
      <c r="B5364" s="18" t="s">
        <v>8787</v>
      </c>
      <c r="C5364" s="13">
        <v>58</v>
      </c>
    </row>
    <row r="5365" spans="2:3" x14ac:dyDescent="0.3">
      <c r="B5365" s="18" t="s">
        <v>8788</v>
      </c>
      <c r="C5365" s="13">
        <v>57</v>
      </c>
    </row>
    <row r="5366" spans="2:3" x14ac:dyDescent="0.3">
      <c r="B5366" s="18" t="s">
        <v>8789</v>
      </c>
      <c r="C5366" s="13">
        <v>56</v>
      </c>
    </row>
    <row r="5367" spans="2:3" x14ac:dyDescent="0.3">
      <c r="B5367" s="18" t="s">
        <v>8790</v>
      </c>
      <c r="C5367" s="13">
        <v>55</v>
      </c>
    </row>
    <row r="5368" spans="2:3" x14ac:dyDescent="0.3">
      <c r="B5368" s="18" t="s">
        <v>8791</v>
      </c>
      <c r="C5368" s="13">
        <v>54</v>
      </c>
    </row>
    <row r="5369" spans="2:3" x14ac:dyDescent="0.3">
      <c r="B5369" s="18" t="s">
        <v>8792</v>
      </c>
      <c r="C5369" s="13">
        <v>53</v>
      </c>
    </row>
    <row r="5370" spans="2:3" x14ac:dyDescent="0.3">
      <c r="B5370" s="18" t="s">
        <v>8793</v>
      </c>
      <c r="C5370" s="13">
        <v>52</v>
      </c>
    </row>
    <row r="5371" spans="2:3" x14ac:dyDescent="0.3">
      <c r="B5371" s="18" t="s">
        <v>8794</v>
      </c>
      <c r="C5371" s="13">
        <v>51</v>
      </c>
    </row>
    <row r="5372" spans="2:3" x14ac:dyDescent="0.3">
      <c r="B5372" s="18" t="s">
        <v>8795</v>
      </c>
      <c r="C5372" s="13">
        <v>50</v>
      </c>
    </row>
    <row r="5373" spans="2:3" x14ac:dyDescent="0.3">
      <c r="B5373" s="18" t="s">
        <v>8796</v>
      </c>
      <c r="C5373" s="13">
        <v>49</v>
      </c>
    </row>
    <row r="5374" spans="2:3" x14ac:dyDescent="0.3">
      <c r="B5374" s="18" t="s">
        <v>5541</v>
      </c>
      <c r="C5374" s="13">
        <v>1</v>
      </c>
    </row>
    <row r="5375" spans="2:3" x14ac:dyDescent="0.3">
      <c r="B5375" s="18" t="s">
        <v>5539</v>
      </c>
      <c r="C5375" s="13">
        <v>10</v>
      </c>
    </row>
    <row r="5376" spans="2:3" x14ac:dyDescent="0.3">
      <c r="B5376" s="18" t="s">
        <v>5537</v>
      </c>
      <c r="C5376" s="13">
        <v>11</v>
      </c>
    </row>
    <row r="5377" spans="2:3" x14ac:dyDescent="0.3">
      <c r="B5377" s="18" t="s">
        <v>5535</v>
      </c>
      <c r="C5377" s="13">
        <v>12</v>
      </c>
    </row>
    <row r="5378" spans="2:3" x14ac:dyDescent="0.3">
      <c r="B5378" s="18" t="s">
        <v>5533</v>
      </c>
      <c r="C5378" s="13">
        <v>13</v>
      </c>
    </row>
    <row r="5379" spans="2:3" x14ac:dyDescent="0.3">
      <c r="B5379" s="18" t="s">
        <v>5531</v>
      </c>
      <c r="C5379" s="13">
        <v>14</v>
      </c>
    </row>
    <row r="5380" spans="2:3" x14ac:dyDescent="0.3">
      <c r="B5380" s="18" t="s">
        <v>5529</v>
      </c>
      <c r="C5380" s="13">
        <v>15</v>
      </c>
    </row>
    <row r="5381" spans="2:3" x14ac:dyDescent="0.3">
      <c r="B5381" s="18" t="s">
        <v>5527</v>
      </c>
      <c r="C5381" s="13">
        <v>16</v>
      </c>
    </row>
    <row r="5382" spans="2:3" x14ac:dyDescent="0.3">
      <c r="B5382" s="18" t="s">
        <v>5525</v>
      </c>
      <c r="C5382" s="13">
        <v>17</v>
      </c>
    </row>
    <row r="5383" spans="2:3" x14ac:dyDescent="0.3">
      <c r="B5383" s="18" t="s">
        <v>5519</v>
      </c>
      <c r="C5383" s="13">
        <v>2</v>
      </c>
    </row>
    <row r="5384" spans="2:3" x14ac:dyDescent="0.3">
      <c r="B5384" s="18" t="s">
        <v>5511</v>
      </c>
      <c r="C5384" s="13">
        <v>3</v>
      </c>
    </row>
    <row r="5385" spans="2:3" x14ac:dyDescent="0.3">
      <c r="B5385" s="18" t="s">
        <v>5509</v>
      </c>
      <c r="C5385" s="13">
        <v>4</v>
      </c>
    </row>
    <row r="5386" spans="2:3" x14ac:dyDescent="0.3">
      <c r="B5386" s="18" t="s">
        <v>5507</v>
      </c>
      <c r="C5386" s="13">
        <v>5</v>
      </c>
    </row>
    <row r="5387" spans="2:3" x14ac:dyDescent="0.3">
      <c r="B5387" s="18" t="s">
        <v>5505</v>
      </c>
      <c r="C5387" s="13">
        <v>6</v>
      </c>
    </row>
    <row r="5388" spans="2:3" x14ac:dyDescent="0.3">
      <c r="B5388" s="18" t="s">
        <v>5503</v>
      </c>
      <c r="C5388" s="13">
        <v>7</v>
      </c>
    </row>
    <row r="5389" spans="2:3" x14ac:dyDescent="0.3">
      <c r="B5389" s="18" t="s">
        <v>5501</v>
      </c>
      <c r="C5389" s="13">
        <v>8</v>
      </c>
    </row>
    <row r="5390" spans="2:3" x14ac:dyDescent="0.3">
      <c r="B5390" s="18" t="s">
        <v>5499</v>
      </c>
      <c r="C5390" s="13">
        <v>9</v>
      </c>
    </row>
    <row r="5391" spans="2:3" x14ac:dyDescent="0.3">
      <c r="B5391" s="18" t="s">
        <v>5497</v>
      </c>
      <c r="C5391" s="13">
        <v>34</v>
      </c>
    </row>
    <row r="5392" spans="2:3" x14ac:dyDescent="0.3">
      <c r="B5392" s="18" t="s">
        <v>5495</v>
      </c>
      <c r="C5392" s="13">
        <v>25</v>
      </c>
    </row>
    <row r="5393" spans="2:3" x14ac:dyDescent="0.3">
      <c r="B5393" s="18" t="s">
        <v>5493</v>
      </c>
      <c r="C5393" s="13">
        <v>24</v>
      </c>
    </row>
    <row r="5394" spans="2:3" x14ac:dyDescent="0.3">
      <c r="B5394" s="18" t="s">
        <v>5491</v>
      </c>
      <c r="C5394" s="13">
        <v>23</v>
      </c>
    </row>
    <row r="5395" spans="2:3" x14ac:dyDescent="0.3">
      <c r="B5395" s="18" t="s">
        <v>5489</v>
      </c>
      <c r="C5395" s="13">
        <v>22</v>
      </c>
    </row>
    <row r="5396" spans="2:3" x14ac:dyDescent="0.3">
      <c r="B5396" s="18" t="s">
        <v>5487</v>
      </c>
      <c r="C5396" s="13">
        <v>21</v>
      </c>
    </row>
    <row r="5397" spans="2:3" x14ac:dyDescent="0.3">
      <c r="B5397" s="18" t="s">
        <v>5485</v>
      </c>
      <c r="C5397" s="13">
        <v>20</v>
      </c>
    </row>
    <row r="5398" spans="2:3" x14ac:dyDescent="0.3">
      <c r="B5398" s="18" t="s">
        <v>5483</v>
      </c>
      <c r="C5398" s="13">
        <v>19</v>
      </c>
    </row>
    <row r="5399" spans="2:3" x14ac:dyDescent="0.3">
      <c r="B5399" s="18" t="s">
        <v>5481</v>
      </c>
      <c r="C5399" s="13">
        <v>18</v>
      </c>
    </row>
    <row r="5400" spans="2:3" x14ac:dyDescent="0.3">
      <c r="B5400" s="18" t="s">
        <v>5475</v>
      </c>
      <c r="C5400" s="13">
        <v>33</v>
      </c>
    </row>
    <row r="5401" spans="2:3" x14ac:dyDescent="0.3">
      <c r="B5401" s="18" t="s">
        <v>5467</v>
      </c>
      <c r="C5401" s="13">
        <v>32</v>
      </c>
    </row>
    <row r="5402" spans="2:3" x14ac:dyDescent="0.3">
      <c r="B5402" s="18" t="s">
        <v>5465</v>
      </c>
      <c r="C5402" s="13">
        <v>31</v>
      </c>
    </row>
    <row r="5403" spans="2:3" x14ac:dyDescent="0.3">
      <c r="B5403" s="18" t="s">
        <v>5463</v>
      </c>
      <c r="C5403" s="13">
        <v>30</v>
      </c>
    </row>
    <row r="5404" spans="2:3" x14ac:dyDescent="0.3">
      <c r="B5404" s="18" t="s">
        <v>5461</v>
      </c>
      <c r="C5404" s="13">
        <v>29</v>
      </c>
    </row>
    <row r="5405" spans="2:3" x14ac:dyDescent="0.3">
      <c r="B5405" s="18" t="s">
        <v>5459</v>
      </c>
      <c r="C5405" s="13">
        <v>28</v>
      </c>
    </row>
    <row r="5406" spans="2:3" x14ac:dyDescent="0.3">
      <c r="B5406" s="18" t="s">
        <v>5457</v>
      </c>
      <c r="C5406" s="13">
        <v>27</v>
      </c>
    </row>
    <row r="5407" spans="2:3" x14ac:dyDescent="0.3">
      <c r="B5407" s="18" t="s">
        <v>5455</v>
      </c>
      <c r="C5407" s="13">
        <v>26</v>
      </c>
    </row>
    <row r="5408" spans="2:3" x14ac:dyDescent="0.3">
      <c r="B5408" s="18" t="s">
        <v>8797</v>
      </c>
      <c r="C5408" s="13">
        <v>35</v>
      </c>
    </row>
    <row r="5409" spans="2:3" x14ac:dyDescent="0.3">
      <c r="B5409" s="18" t="s">
        <v>5453</v>
      </c>
      <c r="C5409" s="13">
        <v>44</v>
      </c>
    </row>
    <row r="5410" spans="2:3" x14ac:dyDescent="0.3">
      <c r="B5410" s="18" t="s">
        <v>5451</v>
      </c>
      <c r="C5410" s="13">
        <v>45</v>
      </c>
    </row>
    <row r="5411" spans="2:3" x14ac:dyDescent="0.3">
      <c r="B5411" s="18" t="s">
        <v>5449</v>
      </c>
      <c r="C5411" s="13">
        <v>46</v>
      </c>
    </row>
    <row r="5412" spans="2:3" x14ac:dyDescent="0.3">
      <c r="B5412" s="18" t="s">
        <v>5447</v>
      </c>
      <c r="C5412" s="13">
        <v>47</v>
      </c>
    </row>
    <row r="5413" spans="2:3" x14ac:dyDescent="0.3">
      <c r="B5413" s="18" t="s">
        <v>5445</v>
      </c>
      <c r="C5413" s="13">
        <v>48</v>
      </c>
    </row>
    <row r="5414" spans="2:3" x14ac:dyDescent="0.3">
      <c r="B5414" s="18" t="s">
        <v>5443</v>
      </c>
      <c r="C5414" s="13">
        <v>49</v>
      </c>
    </row>
    <row r="5415" spans="2:3" x14ac:dyDescent="0.3">
      <c r="B5415" s="18" t="s">
        <v>5441</v>
      </c>
      <c r="C5415" s="13">
        <v>50</v>
      </c>
    </row>
    <row r="5416" spans="2:3" x14ac:dyDescent="0.3">
      <c r="B5416" s="18" t="s">
        <v>5439</v>
      </c>
      <c r="C5416" s="13">
        <v>51</v>
      </c>
    </row>
    <row r="5417" spans="2:3" x14ac:dyDescent="0.3">
      <c r="B5417" s="18" t="s">
        <v>5433</v>
      </c>
      <c r="C5417" s="13">
        <v>36</v>
      </c>
    </row>
    <row r="5418" spans="2:3" x14ac:dyDescent="0.3">
      <c r="B5418" s="18" t="s">
        <v>5425</v>
      </c>
      <c r="C5418" s="13">
        <v>37</v>
      </c>
    </row>
    <row r="5419" spans="2:3" x14ac:dyDescent="0.3">
      <c r="B5419" s="18" t="s">
        <v>5423</v>
      </c>
      <c r="C5419" s="13">
        <v>38</v>
      </c>
    </row>
    <row r="5420" spans="2:3" x14ac:dyDescent="0.3">
      <c r="B5420" s="18" t="s">
        <v>5421</v>
      </c>
      <c r="C5420" s="13">
        <v>39</v>
      </c>
    </row>
    <row r="5421" spans="2:3" x14ac:dyDescent="0.3">
      <c r="B5421" s="18" t="s">
        <v>5419</v>
      </c>
      <c r="C5421" s="13">
        <v>40</v>
      </c>
    </row>
    <row r="5422" spans="2:3" x14ac:dyDescent="0.3">
      <c r="B5422" s="18" t="s">
        <v>5417</v>
      </c>
      <c r="C5422" s="13">
        <v>41</v>
      </c>
    </row>
    <row r="5423" spans="2:3" x14ac:dyDescent="0.3">
      <c r="B5423" s="18" t="s">
        <v>5415</v>
      </c>
      <c r="C5423" s="13">
        <v>42</v>
      </c>
    </row>
    <row r="5424" spans="2:3" x14ac:dyDescent="0.3">
      <c r="B5424" s="18" t="s">
        <v>5413</v>
      </c>
      <c r="C5424" s="13">
        <v>43</v>
      </c>
    </row>
    <row r="5425" spans="2:3" x14ac:dyDescent="0.3">
      <c r="B5425" s="18" t="s">
        <v>8798</v>
      </c>
      <c r="C5425" s="13">
        <v>59</v>
      </c>
    </row>
    <row r="5426" spans="2:3" x14ac:dyDescent="0.3">
      <c r="B5426" s="18" t="s">
        <v>8799</v>
      </c>
      <c r="C5426" s="13">
        <v>58</v>
      </c>
    </row>
    <row r="5427" spans="2:3" x14ac:dyDescent="0.3">
      <c r="B5427" s="18" t="s">
        <v>8800</v>
      </c>
      <c r="C5427" s="13">
        <v>57</v>
      </c>
    </row>
    <row r="5428" spans="2:3" x14ac:dyDescent="0.3">
      <c r="B5428" s="18" t="s">
        <v>8801</v>
      </c>
      <c r="C5428" s="13">
        <v>56</v>
      </c>
    </row>
    <row r="5429" spans="2:3" x14ac:dyDescent="0.3">
      <c r="B5429" s="18" t="s">
        <v>8802</v>
      </c>
      <c r="C5429" s="13">
        <v>55</v>
      </c>
    </row>
    <row r="5430" spans="2:3" x14ac:dyDescent="0.3">
      <c r="B5430" s="18" t="s">
        <v>8803</v>
      </c>
      <c r="C5430" s="13">
        <v>54</v>
      </c>
    </row>
    <row r="5431" spans="2:3" x14ac:dyDescent="0.3">
      <c r="B5431" s="18" t="s">
        <v>8804</v>
      </c>
      <c r="C5431" s="13">
        <v>53</v>
      </c>
    </row>
    <row r="5432" spans="2:3" x14ac:dyDescent="0.3">
      <c r="B5432" s="18" t="s">
        <v>8805</v>
      </c>
      <c r="C5432" s="13">
        <v>52</v>
      </c>
    </row>
    <row r="5433" spans="2:3" x14ac:dyDescent="0.3">
      <c r="B5433" s="18" t="s">
        <v>8806</v>
      </c>
      <c r="C5433" s="13">
        <v>65</v>
      </c>
    </row>
    <row r="5434" spans="2:3" x14ac:dyDescent="0.3">
      <c r="B5434" s="18" t="s">
        <v>8807</v>
      </c>
      <c r="C5434" s="13">
        <v>64</v>
      </c>
    </row>
    <row r="5435" spans="2:3" x14ac:dyDescent="0.3">
      <c r="B5435" s="18" t="s">
        <v>8808</v>
      </c>
      <c r="C5435" s="13">
        <v>63</v>
      </c>
    </row>
    <row r="5436" spans="2:3" x14ac:dyDescent="0.3">
      <c r="B5436" s="18" t="s">
        <v>8809</v>
      </c>
      <c r="C5436" s="13">
        <v>62</v>
      </c>
    </row>
    <row r="5437" spans="2:3" x14ac:dyDescent="0.3">
      <c r="B5437" s="18" t="s">
        <v>8810</v>
      </c>
      <c r="C5437" s="13">
        <v>61</v>
      </c>
    </row>
    <row r="5438" spans="2:3" x14ac:dyDescent="0.3">
      <c r="B5438" s="18" t="s">
        <v>8811</v>
      </c>
      <c r="C5438" s="13">
        <v>60</v>
      </c>
    </row>
    <row r="5439" spans="2:3" x14ac:dyDescent="0.3">
      <c r="B5439" s="18" t="s">
        <v>5411</v>
      </c>
      <c r="C5439" s="13">
        <v>1</v>
      </c>
    </row>
    <row r="5440" spans="2:3" x14ac:dyDescent="0.3">
      <c r="B5440" s="18" t="s">
        <v>5409</v>
      </c>
      <c r="C5440" s="13">
        <v>10</v>
      </c>
    </row>
    <row r="5441" spans="2:3" x14ac:dyDescent="0.3">
      <c r="B5441" s="18" t="s">
        <v>5407</v>
      </c>
      <c r="C5441" s="13">
        <v>11</v>
      </c>
    </row>
    <row r="5442" spans="2:3" x14ac:dyDescent="0.3">
      <c r="B5442" s="18" t="s">
        <v>5405</v>
      </c>
      <c r="C5442" s="13">
        <v>12</v>
      </c>
    </row>
    <row r="5443" spans="2:3" x14ac:dyDescent="0.3">
      <c r="B5443" s="18" t="s">
        <v>5403</v>
      </c>
      <c r="C5443" s="13">
        <v>13</v>
      </c>
    </row>
    <row r="5444" spans="2:3" x14ac:dyDescent="0.3">
      <c r="B5444" s="18" t="s">
        <v>5401</v>
      </c>
      <c r="C5444" s="13">
        <v>14</v>
      </c>
    </row>
    <row r="5445" spans="2:3" x14ac:dyDescent="0.3">
      <c r="B5445" s="18" t="s">
        <v>5399</v>
      </c>
      <c r="C5445" s="13">
        <v>15</v>
      </c>
    </row>
    <row r="5446" spans="2:3" x14ac:dyDescent="0.3">
      <c r="B5446" s="18" t="s">
        <v>5397</v>
      </c>
      <c r="C5446" s="13">
        <v>16</v>
      </c>
    </row>
    <row r="5447" spans="2:3" x14ac:dyDescent="0.3">
      <c r="B5447" s="18" t="s">
        <v>5395</v>
      </c>
      <c r="C5447" s="13">
        <v>17</v>
      </c>
    </row>
    <row r="5448" spans="2:3" x14ac:dyDescent="0.3">
      <c r="B5448" s="18" t="s">
        <v>5389</v>
      </c>
      <c r="C5448" s="13">
        <v>2</v>
      </c>
    </row>
    <row r="5449" spans="2:3" x14ac:dyDescent="0.3">
      <c r="B5449" s="18" t="s">
        <v>5381</v>
      </c>
      <c r="C5449" s="13">
        <v>3</v>
      </c>
    </row>
    <row r="5450" spans="2:3" x14ac:dyDescent="0.3">
      <c r="B5450" s="18" t="s">
        <v>5379</v>
      </c>
      <c r="C5450" s="13">
        <v>4</v>
      </c>
    </row>
    <row r="5451" spans="2:3" x14ac:dyDescent="0.3">
      <c r="B5451" s="18" t="s">
        <v>5377</v>
      </c>
      <c r="C5451" s="13">
        <v>5</v>
      </c>
    </row>
    <row r="5452" spans="2:3" x14ac:dyDescent="0.3">
      <c r="B5452" s="18" t="s">
        <v>5375</v>
      </c>
      <c r="C5452" s="13">
        <v>6</v>
      </c>
    </row>
    <row r="5453" spans="2:3" x14ac:dyDescent="0.3">
      <c r="B5453" s="18" t="s">
        <v>5373</v>
      </c>
      <c r="C5453" s="13">
        <v>7</v>
      </c>
    </row>
    <row r="5454" spans="2:3" x14ac:dyDescent="0.3">
      <c r="B5454" s="18" t="s">
        <v>5371</v>
      </c>
      <c r="C5454" s="13">
        <v>8</v>
      </c>
    </row>
    <row r="5455" spans="2:3" x14ac:dyDescent="0.3">
      <c r="B5455" s="18" t="s">
        <v>5369</v>
      </c>
      <c r="C5455" s="13">
        <v>9</v>
      </c>
    </row>
    <row r="5456" spans="2:3" x14ac:dyDescent="0.3">
      <c r="B5456" s="18" t="s">
        <v>5367</v>
      </c>
      <c r="C5456" s="13">
        <v>34</v>
      </c>
    </row>
    <row r="5457" spans="2:3" x14ac:dyDescent="0.3">
      <c r="B5457" s="18" t="s">
        <v>5365</v>
      </c>
      <c r="C5457" s="13">
        <v>25</v>
      </c>
    </row>
    <row r="5458" spans="2:3" x14ac:dyDescent="0.3">
      <c r="B5458" s="18" t="s">
        <v>5363</v>
      </c>
      <c r="C5458" s="13">
        <v>24</v>
      </c>
    </row>
    <row r="5459" spans="2:3" x14ac:dyDescent="0.3">
      <c r="B5459" s="18" t="s">
        <v>5361</v>
      </c>
      <c r="C5459" s="13">
        <v>23</v>
      </c>
    </row>
    <row r="5460" spans="2:3" x14ac:dyDescent="0.3">
      <c r="B5460" s="18" t="s">
        <v>5359</v>
      </c>
      <c r="C5460" s="13">
        <v>22</v>
      </c>
    </row>
    <row r="5461" spans="2:3" x14ac:dyDescent="0.3">
      <c r="B5461" s="18" t="s">
        <v>5357</v>
      </c>
      <c r="C5461" s="13">
        <v>21</v>
      </c>
    </row>
    <row r="5462" spans="2:3" x14ac:dyDescent="0.3">
      <c r="B5462" s="18" t="s">
        <v>5355</v>
      </c>
      <c r="C5462" s="13">
        <v>20</v>
      </c>
    </row>
    <row r="5463" spans="2:3" x14ac:dyDescent="0.3">
      <c r="B5463" s="18" t="s">
        <v>5353</v>
      </c>
      <c r="C5463" s="13">
        <v>19</v>
      </c>
    </row>
    <row r="5464" spans="2:3" x14ac:dyDescent="0.3">
      <c r="B5464" s="18" t="s">
        <v>5351</v>
      </c>
      <c r="C5464" s="13">
        <v>18</v>
      </c>
    </row>
    <row r="5465" spans="2:3" x14ac:dyDescent="0.3">
      <c r="B5465" s="18" t="s">
        <v>5345</v>
      </c>
      <c r="C5465" s="13">
        <v>33</v>
      </c>
    </row>
    <row r="5466" spans="2:3" x14ac:dyDescent="0.3">
      <c r="B5466" s="18" t="s">
        <v>5337</v>
      </c>
      <c r="C5466" s="13">
        <v>32</v>
      </c>
    </row>
    <row r="5467" spans="2:3" x14ac:dyDescent="0.3">
      <c r="B5467" s="18" t="s">
        <v>5335</v>
      </c>
      <c r="C5467" s="13">
        <v>31</v>
      </c>
    </row>
    <row r="5468" spans="2:3" x14ac:dyDescent="0.3">
      <c r="B5468" s="18" t="s">
        <v>5333</v>
      </c>
      <c r="C5468" s="13">
        <v>30</v>
      </c>
    </row>
    <row r="5469" spans="2:3" x14ac:dyDescent="0.3">
      <c r="B5469" s="18" t="s">
        <v>5331</v>
      </c>
      <c r="C5469" s="13">
        <v>29</v>
      </c>
    </row>
    <row r="5470" spans="2:3" x14ac:dyDescent="0.3">
      <c r="B5470" s="18" t="s">
        <v>5329</v>
      </c>
      <c r="C5470" s="13">
        <v>28</v>
      </c>
    </row>
    <row r="5471" spans="2:3" x14ac:dyDescent="0.3">
      <c r="B5471" s="18" t="s">
        <v>5327</v>
      </c>
      <c r="C5471" s="13">
        <v>27</v>
      </c>
    </row>
    <row r="5472" spans="2:3" x14ac:dyDescent="0.3">
      <c r="B5472" s="18" t="s">
        <v>5325</v>
      </c>
      <c r="C5472" s="13">
        <v>26</v>
      </c>
    </row>
    <row r="5473" spans="2:3" x14ac:dyDescent="0.3">
      <c r="B5473" s="18" t="s">
        <v>5323</v>
      </c>
      <c r="C5473" s="13">
        <v>35</v>
      </c>
    </row>
    <row r="5474" spans="2:3" x14ac:dyDescent="0.3">
      <c r="B5474" s="18" t="s">
        <v>5321</v>
      </c>
      <c r="C5474" s="13">
        <v>44</v>
      </c>
    </row>
    <row r="5475" spans="2:3" x14ac:dyDescent="0.3">
      <c r="B5475" s="18" t="s">
        <v>5319</v>
      </c>
      <c r="C5475" s="13">
        <v>45</v>
      </c>
    </row>
    <row r="5476" spans="2:3" x14ac:dyDescent="0.3">
      <c r="B5476" s="18" t="s">
        <v>5317</v>
      </c>
      <c r="C5476" s="13">
        <v>46</v>
      </c>
    </row>
    <row r="5477" spans="2:3" x14ac:dyDescent="0.3">
      <c r="B5477" s="18" t="s">
        <v>5315</v>
      </c>
      <c r="C5477" s="13">
        <v>47</v>
      </c>
    </row>
    <row r="5478" spans="2:3" x14ac:dyDescent="0.3">
      <c r="B5478" s="18" t="s">
        <v>5313</v>
      </c>
      <c r="C5478" s="13">
        <v>48</v>
      </c>
    </row>
    <row r="5479" spans="2:3" x14ac:dyDescent="0.3">
      <c r="B5479" s="18" t="s">
        <v>5311</v>
      </c>
      <c r="C5479" s="13">
        <v>49</v>
      </c>
    </row>
    <row r="5480" spans="2:3" x14ac:dyDescent="0.3">
      <c r="B5480" s="18" t="s">
        <v>5309</v>
      </c>
      <c r="C5480" s="13">
        <v>50</v>
      </c>
    </row>
    <row r="5481" spans="2:3" x14ac:dyDescent="0.3">
      <c r="B5481" s="18" t="s">
        <v>5307</v>
      </c>
      <c r="C5481" s="13">
        <v>51</v>
      </c>
    </row>
    <row r="5482" spans="2:3" x14ac:dyDescent="0.3">
      <c r="B5482" s="18" t="s">
        <v>5301</v>
      </c>
      <c r="C5482" s="13">
        <v>36</v>
      </c>
    </row>
    <row r="5483" spans="2:3" x14ac:dyDescent="0.3">
      <c r="B5483" s="18" t="s">
        <v>5293</v>
      </c>
      <c r="C5483" s="13">
        <v>37</v>
      </c>
    </row>
    <row r="5484" spans="2:3" x14ac:dyDescent="0.3">
      <c r="B5484" s="18" t="s">
        <v>5291</v>
      </c>
      <c r="C5484" s="13">
        <v>38</v>
      </c>
    </row>
    <row r="5485" spans="2:3" x14ac:dyDescent="0.3">
      <c r="B5485" s="18" t="s">
        <v>5289</v>
      </c>
      <c r="C5485" s="13">
        <v>39</v>
      </c>
    </row>
    <row r="5486" spans="2:3" x14ac:dyDescent="0.3">
      <c r="B5486" s="18" t="s">
        <v>5287</v>
      </c>
      <c r="C5486" s="13">
        <v>40</v>
      </c>
    </row>
    <row r="5487" spans="2:3" x14ac:dyDescent="0.3">
      <c r="B5487" s="18" t="s">
        <v>5285</v>
      </c>
      <c r="C5487" s="13">
        <v>41</v>
      </c>
    </row>
    <row r="5488" spans="2:3" x14ac:dyDescent="0.3">
      <c r="B5488" s="18" t="s">
        <v>5283</v>
      </c>
      <c r="C5488" s="13">
        <v>42</v>
      </c>
    </row>
    <row r="5489" spans="2:3" x14ac:dyDescent="0.3">
      <c r="B5489" s="18" t="s">
        <v>5281</v>
      </c>
      <c r="C5489" s="13">
        <v>43</v>
      </c>
    </row>
    <row r="5490" spans="2:3" x14ac:dyDescent="0.3">
      <c r="B5490" s="18" t="s">
        <v>8812</v>
      </c>
      <c r="C5490" s="13">
        <v>59</v>
      </c>
    </row>
    <row r="5491" spans="2:3" x14ac:dyDescent="0.3">
      <c r="B5491" s="18" t="s">
        <v>8813</v>
      </c>
      <c r="C5491" s="13">
        <v>58</v>
      </c>
    </row>
    <row r="5492" spans="2:3" x14ac:dyDescent="0.3">
      <c r="B5492" s="18" t="s">
        <v>8814</v>
      </c>
      <c r="C5492" s="13">
        <v>57</v>
      </c>
    </row>
    <row r="5493" spans="2:3" x14ac:dyDescent="0.3">
      <c r="B5493" s="18" t="s">
        <v>8815</v>
      </c>
      <c r="C5493" s="13">
        <v>56</v>
      </c>
    </row>
    <row r="5494" spans="2:3" x14ac:dyDescent="0.3">
      <c r="B5494" s="18" t="s">
        <v>8816</v>
      </c>
      <c r="C5494" s="13">
        <v>55</v>
      </c>
    </row>
    <row r="5495" spans="2:3" x14ac:dyDescent="0.3">
      <c r="B5495" s="18" t="s">
        <v>8817</v>
      </c>
      <c r="C5495" s="13">
        <v>54</v>
      </c>
    </row>
    <row r="5496" spans="2:3" x14ac:dyDescent="0.3">
      <c r="B5496" s="18" t="s">
        <v>8818</v>
      </c>
      <c r="C5496" s="13">
        <v>53</v>
      </c>
    </row>
    <row r="5497" spans="2:3" x14ac:dyDescent="0.3">
      <c r="B5497" s="18" t="s">
        <v>8819</v>
      </c>
      <c r="C5497" s="13">
        <v>52</v>
      </c>
    </row>
    <row r="5498" spans="2:3" x14ac:dyDescent="0.3">
      <c r="B5498" s="18" t="s">
        <v>8820</v>
      </c>
      <c r="C5498" s="13">
        <v>66</v>
      </c>
    </row>
    <row r="5499" spans="2:3" x14ac:dyDescent="0.3">
      <c r="B5499" s="18" t="s">
        <v>8821</v>
      </c>
      <c r="C5499" s="13">
        <v>65</v>
      </c>
    </row>
    <row r="5500" spans="2:3" x14ac:dyDescent="0.3">
      <c r="B5500" s="18" t="s">
        <v>8822</v>
      </c>
      <c r="C5500" s="13">
        <v>64</v>
      </c>
    </row>
    <row r="5501" spans="2:3" x14ac:dyDescent="0.3">
      <c r="B5501" s="18" t="s">
        <v>8823</v>
      </c>
      <c r="C5501" s="13">
        <v>63</v>
      </c>
    </row>
    <row r="5502" spans="2:3" x14ac:dyDescent="0.3">
      <c r="B5502" s="18" t="s">
        <v>8824</v>
      </c>
      <c r="C5502" s="13">
        <v>62</v>
      </c>
    </row>
    <row r="5503" spans="2:3" x14ac:dyDescent="0.3">
      <c r="B5503" s="18" t="s">
        <v>8825</v>
      </c>
      <c r="C5503" s="13">
        <v>61</v>
      </c>
    </row>
    <row r="5504" spans="2:3" x14ac:dyDescent="0.3">
      <c r="B5504" s="18" t="s">
        <v>8826</v>
      </c>
      <c r="C5504" s="13">
        <v>60</v>
      </c>
    </row>
    <row r="5505" spans="2:3" x14ac:dyDescent="0.3">
      <c r="B5505" s="18" t="s">
        <v>5279</v>
      </c>
      <c r="C5505" s="13">
        <v>1</v>
      </c>
    </row>
    <row r="5506" spans="2:3" x14ac:dyDescent="0.3">
      <c r="B5506" s="18" t="s">
        <v>5277</v>
      </c>
      <c r="C5506" s="13">
        <v>10</v>
      </c>
    </row>
    <row r="5507" spans="2:3" x14ac:dyDescent="0.3">
      <c r="B5507" s="18" t="s">
        <v>5275</v>
      </c>
      <c r="C5507" s="13">
        <v>11</v>
      </c>
    </row>
    <row r="5508" spans="2:3" x14ac:dyDescent="0.3">
      <c r="B5508" s="18" t="s">
        <v>5273</v>
      </c>
      <c r="C5508" s="13">
        <v>12</v>
      </c>
    </row>
    <row r="5509" spans="2:3" x14ac:dyDescent="0.3">
      <c r="B5509" s="18" t="s">
        <v>5271</v>
      </c>
      <c r="C5509" s="13">
        <v>13</v>
      </c>
    </row>
    <row r="5510" spans="2:3" x14ac:dyDescent="0.3">
      <c r="B5510" s="18" t="s">
        <v>5269</v>
      </c>
      <c r="C5510" s="13">
        <v>14</v>
      </c>
    </row>
    <row r="5511" spans="2:3" x14ac:dyDescent="0.3">
      <c r="B5511" s="18" t="s">
        <v>5267</v>
      </c>
      <c r="C5511" s="13">
        <v>15</v>
      </c>
    </row>
    <row r="5512" spans="2:3" x14ac:dyDescent="0.3">
      <c r="B5512" s="18" t="s">
        <v>5265</v>
      </c>
      <c r="C5512" s="13">
        <v>16</v>
      </c>
    </row>
    <row r="5513" spans="2:3" x14ac:dyDescent="0.3">
      <c r="B5513" s="18" t="s">
        <v>5263</v>
      </c>
      <c r="C5513" s="13">
        <v>17</v>
      </c>
    </row>
    <row r="5514" spans="2:3" x14ac:dyDescent="0.3">
      <c r="B5514" s="18" t="s">
        <v>5257</v>
      </c>
      <c r="C5514" s="13">
        <v>2</v>
      </c>
    </row>
    <row r="5515" spans="2:3" x14ac:dyDescent="0.3">
      <c r="B5515" s="18" t="s">
        <v>5247</v>
      </c>
      <c r="C5515" s="13">
        <v>3</v>
      </c>
    </row>
    <row r="5516" spans="2:3" x14ac:dyDescent="0.3">
      <c r="B5516" s="18" t="s">
        <v>5245</v>
      </c>
      <c r="C5516" s="13">
        <v>4</v>
      </c>
    </row>
    <row r="5517" spans="2:3" x14ac:dyDescent="0.3">
      <c r="B5517" s="18" t="s">
        <v>5243</v>
      </c>
      <c r="C5517" s="13">
        <v>5</v>
      </c>
    </row>
    <row r="5518" spans="2:3" x14ac:dyDescent="0.3">
      <c r="B5518" s="18" t="s">
        <v>5241</v>
      </c>
      <c r="C5518" s="13">
        <v>6</v>
      </c>
    </row>
    <row r="5519" spans="2:3" x14ac:dyDescent="0.3">
      <c r="B5519" s="18" t="s">
        <v>5239</v>
      </c>
      <c r="C5519" s="13">
        <v>7</v>
      </c>
    </row>
    <row r="5520" spans="2:3" x14ac:dyDescent="0.3">
      <c r="B5520" s="18" t="s">
        <v>5237</v>
      </c>
      <c r="C5520" s="13">
        <v>8</v>
      </c>
    </row>
    <row r="5521" spans="2:3" x14ac:dyDescent="0.3">
      <c r="B5521" s="18" t="s">
        <v>5235</v>
      </c>
      <c r="C5521" s="13">
        <v>9</v>
      </c>
    </row>
    <row r="5522" spans="2:3" x14ac:dyDescent="0.3">
      <c r="B5522" s="18" t="s">
        <v>5233</v>
      </c>
      <c r="C5522" s="13">
        <v>34</v>
      </c>
    </row>
    <row r="5523" spans="2:3" x14ac:dyDescent="0.3">
      <c r="B5523" s="18" t="s">
        <v>5231</v>
      </c>
      <c r="C5523" s="13">
        <v>25</v>
      </c>
    </row>
    <row r="5524" spans="2:3" x14ac:dyDescent="0.3">
      <c r="B5524" s="18" t="s">
        <v>5229</v>
      </c>
      <c r="C5524" s="13">
        <v>24</v>
      </c>
    </row>
    <row r="5525" spans="2:3" x14ac:dyDescent="0.3">
      <c r="B5525" s="18" t="s">
        <v>5227</v>
      </c>
      <c r="C5525" s="13">
        <v>23</v>
      </c>
    </row>
    <row r="5526" spans="2:3" x14ac:dyDescent="0.3">
      <c r="B5526" s="18" t="s">
        <v>5225</v>
      </c>
      <c r="C5526" s="13">
        <v>22</v>
      </c>
    </row>
    <row r="5527" spans="2:3" x14ac:dyDescent="0.3">
      <c r="B5527" s="18" t="s">
        <v>5223</v>
      </c>
      <c r="C5527" s="13">
        <v>21</v>
      </c>
    </row>
    <row r="5528" spans="2:3" x14ac:dyDescent="0.3">
      <c r="B5528" s="18" t="s">
        <v>5221</v>
      </c>
      <c r="C5528" s="13">
        <v>20</v>
      </c>
    </row>
    <row r="5529" spans="2:3" x14ac:dyDescent="0.3">
      <c r="B5529" s="18" t="s">
        <v>5219</v>
      </c>
      <c r="C5529" s="13">
        <v>19</v>
      </c>
    </row>
    <row r="5530" spans="2:3" x14ac:dyDescent="0.3">
      <c r="B5530" s="18" t="s">
        <v>5217</v>
      </c>
      <c r="C5530" s="13">
        <v>18</v>
      </c>
    </row>
    <row r="5531" spans="2:3" x14ac:dyDescent="0.3">
      <c r="B5531" s="18" t="s">
        <v>5211</v>
      </c>
      <c r="C5531" s="13">
        <v>33</v>
      </c>
    </row>
    <row r="5532" spans="2:3" x14ac:dyDescent="0.3">
      <c r="B5532" s="18" t="s">
        <v>5201</v>
      </c>
      <c r="C5532" s="13">
        <v>32</v>
      </c>
    </row>
    <row r="5533" spans="2:3" x14ac:dyDescent="0.3">
      <c r="B5533" s="18" t="s">
        <v>5199</v>
      </c>
      <c r="C5533" s="13">
        <v>31</v>
      </c>
    </row>
    <row r="5534" spans="2:3" x14ac:dyDescent="0.3">
      <c r="B5534" s="18" t="s">
        <v>5197</v>
      </c>
      <c r="C5534" s="13">
        <v>30</v>
      </c>
    </row>
    <row r="5535" spans="2:3" x14ac:dyDescent="0.3">
      <c r="B5535" s="18" t="s">
        <v>5195</v>
      </c>
      <c r="C5535" s="13">
        <v>29</v>
      </c>
    </row>
    <row r="5536" spans="2:3" x14ac:dyDescent="0.3">
      <c r="B5536" s="18" t="s">
        <v>5193</v>
      </c>
      <c r="C5536" s="13">
        <v>28</v>
      </c>
    </row>
    <row r="5537" spans="2:3" x14ac:dyDescent="0.3">
      <c r="B5537" s="18" t="s">
        <v>5191</v>
      </c>
      <c r="C5537" s="13">
        <v>27</v>
      </c>
    </row>
    <row r="5538" spans="2:3" x14ac:dyDescent="0.3">
      <c r="B5538" s="18" t="s">
        <v>5189</v>
      </c>
      <c r="C5538" s="13">
        <v>26</v>
      </c>
    </row>
    <row r="5539" spans="2:3" x14ac:dyDescent="0.3">
      <c r="B5539" s="18" t="s">
        <v>8827</v>
      </c>
      <c r="C5539" s="13">
        <v>35</v>
      </c>
    </row>
    <row r="5540" spans="2:3" x14ac:dyDescent="0.3">
      <c r="B5540" s="18" t="s">
        <v>5187</v>
      </c>
      <c r="C5540" s="13">
        <v>44</v>
      </c>
    </row>
    <row r="5541" spans="2:3" x14ac:dyDescent="0.3">
      <c r="B5541" s="18" t="s">
        <v>5185</v>
      </c>
      <c r="C5541" s="13">
        <v>45</v>
      </c>
    </row>
    <row r="5542" spans="2:3" x14ac:dyDescent="0.3">
      <c r="B5542" s="18" t="s">
        <v>5183</v>
      </c>
      <c r="C5542" s="13">
        <v>46</v>
      </c>
    </row>
    <row r="5543" spans="2:3" x14ac:dyDescent="0.3">
      <c r="B5543" s="18" t="s">
        <v>5181</v>
      </c>
      <c r="C5543" s="13">
        <v>47</v>
      </c>
    </row>
    <row r="5544" spans="2:3" x14ac:dyDescent="0.3">
      <c r="B5544" s="18" t="s">
        <v>5179</v>
      </c>
      <c r="C5544" s="13">
        <v>48</v>
      </c>
    </row>
    <row r="5545" spans="2:3" x14ac:dyDescent="0.3">
      <c r="B5545" s="18" t="s">
        <v>5177</v>
      </c>
      <c r="C5545" s="13">
        <v>49</v>
      </c>
    </row>
    <row r="5546" spans="2:3" x14ac:dyDescent="0.3">
      <c r="B5546" s="18" t="s">
        <v>5175</v>
      </c>
      <c r="C5546" s="13">
        <v>50</v>
      </c>
    </row>
    <row r="5547" spans="2:3" x14ac:dyDescent="0.3">
      <c r="B5547" s="18" t="s">
        <v>5173</v>
      </c>
      <c r="C5547" s="13">
        <v>51</v>
      </c>
    </row>
    <row r="5548" spans="2:3" x14ac:dyDescent="0.3">
      <c r="B5548" s="18" t="s">
        <v>8828</v>
      </c>
      <c r="C5548" s="13">
        <v>36</v>
      </c>
    </row>
    <row r="5549" spans="2:3" x14ac:dyDescent="0.3">
      <c r="B5549" s="18" t="s">
        <v>5159</v>
      </c>
      <c r="C5549" s="13">
        <v>37</v>
      </c>
    </row>
    <row r="5550" spans="2:3" x14ac:dyDescent="0.3">
      <c r="B5550" s="18" t="s">
        <v>5157</v>
      </c>
      <c r="C5550" s="13">
        <v>38</v>
      </c>
    </row>
    <row r="5551" spans="2:3" x14ac:dyDescent="0.3">
      <c r="B5551" s="18" t="s">
        <v>5155</v>
      </c>
      <c r="C5551" s="13">
        <v>39</v>
      </c>
    </row>
    <row r="5552" spans="2:3" x14ac:dyDescent="0.3">
      <c r="B5552" s="18" t="s">
        <v>5153</v>
      </c>
      <c r="C5552" s="13">
        <v>40</v>
      </c>
    </row>
    <row r="5553" spans="2:3" x14ac:dyDescent="0.3">
      <c r="B5553" s="18" t="s">
        <v>5151</v>
      </c>
      <c r="C5553" s="13">
        <v>41</v>
      </c>
    </row>
    <row r="5554" spans="2:3" x14ac:dyDescent="0.3">
      <c r="B5554" s="18" t="s">
        <v>5149</v>
      </c>
      <c r="C5554" s="13">
        <v>42</v>
      </c>
    </row>
    <row r="5555" spans="2:3" x14ac:dyDescent="0.3">
      <c r="B5555" s="18" t="s">
        <v>5147</v>
      </c>
      <c r="C5555" s="13">
        <v>43</v>
      </c>
    </row>
    <row r="5556" spans="2:3" x14ac:dyDescent="0.3">
      <c r="B5556" s="18" t="s">
        <v>8829</v>
      </c>
      <c r="C5556" s="13">
        <v>59</v>
      </c>
    </row>
    <row r="5557" spans="2:3" x14ac:dyDescent="0.3">
      <c r="B5557" s="18" t="s">
        <v>8830</v>
      </c>
      <c r="C5557" s="13">
        <v>58</v>
      </c>
    </row>
    <row r="5558" spans="2:3" x14ac:dyDescent="0.3">
      <c r="B5558" s="18" t="s">
        <v>8831</v>
      </c>
      <c r="C5558" s="13">
        <v>57</v>
      </c>
    </row>
    <row r="5559" spans="2:3" x14ac:dyDescent="0.3">
      <c r="B5559" s="18" t="s">
        <v>8832</v>
      </c>
      <c r="C5559" s="13">
        <v>56</v>
      </c>
    </row>
    <row r="5560" spans="2:3" x14ac:dyDescent="0.3">
      <c r="B5560" s="18" t="s">
        <v>8833</v>
      </c>
      <c r="C5560" s="13">
        <v>55</v>
      </c>
    </row>
    <row r="5561" spans="2:3" x14ac:dyDescent="0.3">
      <c r="B5561" s="18" t="s">
        <v>8834</v>
      </c>
      <c r="C5561" s="13">
        <v>54</v>
      </c>
    </row>
    <row r="5562" spans="2:3" x14ac:dyDescent="0.3">
      <c r="B5562" s="18" t="s">
        <v>8835</v>
      </c>
      <c r="C5562" s="13">
        <v>53</v>
      </c>
    </row>
    <row r="5563" spans="2:3" x14ac:dyDescent="0.3">
      <c r="B5563" s="18" t="s">
        <v>8836</v>
      </c>
      <c r="C5563" s="13">
        <v>52</v>
      </c>
    </row>
    <row r="5564" spans="2:3" x14ac:dyDescent="0.3">
      <c r="B5564" s="18" t="s">
        <v>8837</v>
      </c>
      <c r="C5564" s="13">
        <v>67</v>
      </c>
    </row>
    <row r="5565" spans="2:3" x14ac:dyDescent="0.3">
      <c r="B5565" s="18" t="s">
        <v>8838</v>
      </c>
      <c r="C5565" s="13">
        <v>66</v>
      </c>
    </row>
    <row r="5566" spans="2:3" x14ac:dyDescent="0.3">
      <c r="B5566" s="18" t="s">
        <v>8839</v>
      </c>
      <c r="C5566" s="13">
        <v>65</v>
      </c>
    </row>
    <row r="5567" spans="2:3" x14ac:dyDescent="0.3">
      <c r="B5567" s="18" t="s">
        <v>8840</v>
      </c>
      <c r="C5567" s="13">
        <v>64</v>
      </c>
    </row>
    <row r="5568" spans="2:3" x14ac:dyDescent="0.3">
      <c r="B5568" s="18" t="s">
        <v>8841</v>
      </c>
      <c r="C5568" s="13">
        <v>63</v>
      </c>
    </row>
    <row r="5569" spans="2:3" x14ac:dyDescent="0.3">
      <c r="B5569" s="18" t="s">
        <v>8842</v>
      </c>
      <c r="C5569" s="13">
        <v>62</v>
      </c>
    </row>
    <row r="5570" spans="2:3" x14ac:dyDescent="0.3">
      <c r="B5570" s="18" t="s">
        <v>8843</v>
      </c>
      <c r="C5570" s="13">
        <v>61</v>
      </c>
    </row>
    <row r="5571" spans="2:3" x14ac:dyDescent="0.3">
      <c r="B5571" s="18" t="s">
        <v>8844</v>
      </c>
      <c r="C5571" s="13">
        <v>60</v>
      </c>
    </row>
    <row r="5572" spans="2:3" x14ac:dyDescent="0.3">
      <c r="B5572" s="18" t="s">
        <v>5145</v>
      </c>
      <c r="C5572" s="13">
        <v>1</v>
      </c>
    </row>
    <row r="5573" spans="2:3" x14ac:dyDescent="0.3">
      <c r="B5573" s="18" t="s">
        <v>5143</v>
      </c>
      <c r="C5573" s="13">
        <v>10</v>
      </c>
    </row>
    <row r="5574" spans="2:3" x14ac:dyDescent="0.3">
      <c r="B5574" s="18" t="s">
        <v>5141</v>
      </c>
      <c r="C5574" s="13">
        <v>11</v>
      </c>
    </row>
    <row r="5575" spans="2:3" x14ac:dyDescent="0.3">
      <c r="B5575" s="18" t="s">
        <v>5139</v>
      </c>
      <c r="C5575" s="13">
        <v>12</v>
      </c>
    </row>
    <row r="5576" spans="2:3" x14ac:dyDescent="0.3">
      <c r="B5576" s="18" t="s">
        <v>5137</v>
      </c>
      <c r="C5576" s="13">
        <v>13</v>
      </c>
    </row>
    <row r="5577" spans="2:3" x14ac:dyDescent="0.3">
      <c r="B5577" s="18" t="s">
        <v>5135</v>
      </c>
      <c r="C5577" s="13">
        <v>14</v>
      </c>
    </row>
    <row r="5578" spans="2:3" x14ac:dyDescent="0.3">
      <c r="B5578" s="18" t="s">
        <v>5133</v>
      </c>
      <c r="C5578" s="13">
        <v>15</v>
      </c>
    </row>
    <row r="5579" spans="2:3" x14ac:dyDescent="0.3">
      <c r="B5579" s="18" t="s">
        <v>5131</v>
      </c>
      <c r="C5579" s="13">
        <v>16</v>
      </c>
    </row>
    <row r="5580" spans="2:3" x14ac:dyDescent="0.3">
      <c r="B5580" s="18" t="s">
        <v>5129</v>
      </c>
      <c r="C5580" s="13">
        <v>17</v>
      </c>
    </row>
    <row r="5581" spans="2:3" x14ac:dyDescent="0.3">
      <c r="B5581" s="18" t="s">
        <v>5123</v>
      </c>
      <c r="C5581" s="13">
        <v>2</v>
      </c>
    </row>
    <row r="5582" spans="2:3" x14ac:dyDescent="0.3">
      <c r="B5582" s="18" t="s">
        <v>5113</v>
      </c>
      <c r="C5582" s="13">
        <v>3</v>
      </c>
    </row>
    <row r="5583" spans="2:3" x14ac:dyDescent="0.3">
      <c r="B5583" s="18" t="s">
        <v>5111</v>
      </c>
      <c r="C5583" s="13">
        <v>4</v>
      </c>
    </row>
    <row r="5584" spans="2:3" x14ac:dyDescent="0.3">
      <c r="B5584" s="18" t="s">
        <v>5109</v>
      </c>
      <c r="C5584" s="13">
        <v>5</v>
      </c>
    </row>
    <row r="5585" spans="2:3" x14ac:dyDescent="0.3">
      <c r="B5585" s="18" t="s">
        <v>5107</v>
      </c>
      <c r="C5585" s="13">
        <v>6</v>
      </c>
    </row>
    <row r="5586" spans="2:3" x14ac:dyDescent="0.3">
      <c r="B5586" s="18" t="s">
        <v>5105</v>
      </c>
      <c r="C5586" s="13">
        <v>7</v>
      </c>
    </row>
    <row r="5587" spans="2:3" x14ac:dyDescent="0.3">
      <c r="B5587" s="18" t="s">
        <v>5103</v>
      </c>
      <c r="C5587" s="13">
        <v>8</v>
      </c>
    </row>
    <row r="5588" spans="2:3" x14ac:dyDescent="0.3">
      <c r="B5588" s="18" t="s">
        <v>5101</v>
      </c>
      <c r="C5588" s="13">
        <v>9</v>
      </c>
    </row>
    <row r="5589" spans="2:3" x14ac:dyDescent="0.3">
      <c r="B5589" s="18" t="s">
        <v>5099</v>
      </c>
      <c r="C5589" s="13">
        <v>34</v>
      </c>
    </row>
    <row r="5590" spans="2:3" x14ac:dyDescent="0.3">
      <c r="B5590" s="18" t="s">
        <v>5097</v>
      </c>
      <c r="C5590" s="13">
        <v>25</v>
      </c>
    </row>
    <row r="5591" spans="2:3" x14ac:dyDescent="0.3">
      <c r="B5591" s="18" t="s">
        <v>5095</v>
      </c>
      <c r="C5591" s="13">
        <v>24</v>
      </c>
    </row>
    <row r="5592" spans="2:3" x14ac:dyDescent="0.3">
      <c r="B5592" s="18" t="s">
        <v>5093</v>
      </c>
      <c r="C5592" s="13">
        <v>23</v>
      </c>
    </row>
    <row r="5593" spans="2:3" x14ac:dyDescent="0.3">
      <c r="B5593" s="18" t="s">
        <v>5091</v>
      </c>
      <c r="C5593" s="13">
        <v>22</v>
      </c>
    </row>
    <row r="5594" spans="2:3" x14ac:dyDescent="0.3">
      <c r="B5594" s="18" t="s">
        <v>5089</v>
      </c>
      <c r="C5594" s="13">
        <v>21</v>
      </c>
    </row>
    <row r="5595" spans="2:3" x14ac:dyDescent="0.3">
      <c r="B5595" s="18" t="s">
        <v>5087</v>
      </c>
      <c r="C5595" s="13">
        <v>20</v>
      </c>
    </row>
    <row r="5596" spans="2:3" x14ac:dyDescent="0.3">
      <c r="B5596" s="18" t="s">
        <v>5085</v>
      </c>
      <c r="C5596" s="13">
        <v>19</v>
      </c>
    </row>
    <row r="5597" spans="2:3" x14ac:dyDescent="0.3">
      <c r="B5597" s="18" t="s">
        <v>5083</v>
      </c>
      <c r="C5597" s="13">
        <v>18</v>
      </c>
    </row>
    <row r="5598" spans="2:3" x14ac:dyDescent="0.3">
      <c r="B5598" s="18" t="s">
        <v>5077</v>
      </c>
      <c r="C5598" s="13">
        <v>33</v>
      </c>
    </row>
    <row r="5599" spans="2:3" x14ac:dyDescent="0.3">
      <c r="B5599" s="18" t="s">
        <v>5067</v>
      </c>
      <c r="C5599" s="13">
        <v>32</v>
      </c>
    </row>
    <row r="5600" spans="2:3" x14ac:dyDescent="0.3">
      <c r="B5600" s="18" t="s">
        <v>5065</v>
      </c>
      <c r="C5600" s="13">
        <v>31</v>
      </c>
    </row>
    <row r="5601" spans="2:3" x14ac:dyDescent="0.3">
      <c r="B5601" s="18" t="s">
        <v>5063</v>
      </c>
      <c r="C5601" s="13">
        <v>30</v>
      </c>
    </row>
    <row r="5602" spans="2:3" x14ac:dyDescent="0.3">
      <c r="B5602" s="18" t="s">
        <v>5061</v>
      </c>
      <c r="C5602" s="13">
        <v>29</v>
      </c>
    </row>
    <row r="5603" spans="2:3" x14ac:dyDescent="0.3">
      <c r="B5603" s="18" t="s">
        <v>5059</v>
      </c>
      <c r="C5603" s="13">
        <v>28</v>
      </c>
    </row>
    <row r="5604" spans="2:3" x14ac:dyDescent="0.3">
      <c r="B5604" s="18" t="s">
        <v>5057</v>
      </c>
      <c r="C5604" s="13">
        <v>27</v>
      </c>
    </row>
    <row r="5605" spans="2:3" x14ac:dyDescent="0.3">
      <c r="B5605" s="18" t="s">
        <v>5055</v>
      </c>
      <c r="C5605" s="13">
        <v>26</v>
      </c>
    </row>
    <row r="5606" spans="2:3" x14ac:dyDescent="0.3">
      <c r="B5606" s="18" t="s">
        <v>8845</v>
      </c>
      <c r="C5606" s="13">
        <v>35</v>
      </c>
    </row>
    <row r="5607" spans="2:3" x14ac:dyDescent="0.3">
      <c r="B5607" s="18" t="s">
        <v>5053</v>
      </c>
      <c r="C5607" s="13">
        <v>44</v>
      </c>
    </row>
    <row r="5608" spans="2:3" x14ac:dyDescent="0.3">
      <c r="B5608" s="18" t="s">
        <v>5051</v>
      </c>
      <c r="C5608" s="13">
        <v>45</v>
      </c>
    </row>
    <row r="5609" spans="2:3" x14ac:dyDescent="0.3">
      <c r="B5609" s="18" t="s">
        <v>5049</v>
      </c>
      <c r="C5609" s="13">
        <v>46</v>
      </c>
    </row>
    <row r="5610" spans="2:3" x14ac:dyDescent="0.3">
      <c r="B5610" s="18" t="s">
        <v>5047</v>
      </c>
      <c r="C5610" s="13">
        <v>47</v>
      </c>
    </row>
    <row r="5611" spans="2:3" x14ac:dyDescent="0.3">
      <c r="B5611" s="18" t="s">
        <v>5045</v>
      </c>
      <c r="C5611" s="13">
        <v>48</v>
      </c>
    </row>
    <row r="5612" spans="2:3" x14ac:dyDescent="0.3">
      <c r="B5612" s="18" t="s">
        <v>5043</v>
      </c>
      <c r="C5612" s="13">
        <v>49</v>
      </c>
    </row>
    <row r="5613" spans="2:3" x14ac:dyDescent="0.3">
      <c r="B5613" s="18" t="s">
        <v>5041</v>
      </c>
      <c r="C5613" s="13">
        <v>50</v>
      </c>
    </row>
    <row r="5614" spans="2:3" x14ac:dyDescent="0.3">
      <c r="B5614" s="18" t="s">
        <v>5039</v>
      </c>
      <c r="C5614" s="13">
        <v>51</v>
      </c>
    </row>
    <row r="5615" spans="2:3" x14ac:dyDescent="0.3">
      <c r="B5615" s="18" t="s">
        <v>5033</v>
      </c>
      <c r="C5615" s="13">
        <v>36</v>
      </c>
    </row>
    <row r="5616" spans="2:3" x14ac:dyDescent="0.3">
      <c r="B5616" s="18" t="s">
        <v>5023</v>
      </c>
      <c r="C5616" s="13">
        <v>37</v>
      </c>
    </row>
    <row r="5617" spans="2:3" x14ac:dyDescent="0.3">
      <c r="B5617" s="18" t="s">
        <v>5021</v>
      </c>
      <c r="C5617" s="13">
        <v>38</v>
      </c>
    </row>
    <row r="5618" spans="2:3" x14ac:dyDescent="0.3">
      <c r="B5618" s="18" t="s">
        <v>5019</v>
      </c>
      <c r="C5618" s="13">
        <v>39</v>
      </c>
    </row>
    <row r="5619" spans="2:3" x14ac:dyDescent="0.3">
      <c r="B5619" s="18" t="s">
        <v>5017</v>
      </c>
      <c r="C5619" s="13">
        <v>40</v>
      </c>
    </row>
    <row r="5620" spans="2:3" x14ac:dyDescent="0.3">
      <c r="B5620" s="18" t="s">
        <v>5015</v>
      </c>
      <c r="C5620" s="13">
        <v>41</v>
      </c>
    </row>
    <row r="5621" spans="2:3" x14ac:dyDescent="0.3">
      <c r="B5621" s="18" t="s">
        <v>5013</v>
      </c>
      <c r="C5621" s="13">
        <v>42</v>
      </c>
    </row>
    <row r="5622" spans="2:3" x14ac:dyDescent="0.3">
      <c r="B5622" s="18" t="s">
        <v>5011</v>
      </c>
      <c r="C5622" s="13">
        <v>43</v>
      </c>
    </row>
    <row r="5623" spans="2:3" x14ac:dyDescent="0.3">
      <c r="B5623" s="18" t="s">
        <v>8846</v>
      </c>
      <c r="C5623" s="13">
        <v>68</v>
      </c>
    </row>
    <row r="5624" spans="2:3" x14ac:dyDescent="0.3">
      <c r="B5624" s="18" t="s">
        <v>8847</v>
      </c>
      <c r="C5624" s="13">
        <v>59</v>
      </c>
    </row>
    <row r="5625" spans="2:3" x14ac:dyDescent="0.3">
      <c r="B5625" s="18" t="s">
        <v>8848</v>
      </c>
      <c r="C5625" s="13">
        <v>58</v>
      </c>
    </row>
    <row r="5626" spans="2:3" x14ac:dyDescent="0.3">
      <c r="B5626" s="18" t="s">
        <v>8849</v>
      </c>
      <c r="C5626" s="13">
        <v>57</v>
      </c>
    </row>
    <row r="5627" spans="2:3" x14ac:dyDescent="0.3">
      <c r="B5627" s="18" t="s">
        <v>8850</v>
      </c>
      <c r="C5627" s="13">
        <v>56</v>
      </c>
    </row>
    <row r="5628" spans="2:3" x14ac:dyDescent="0.3">
      <c r="B5628" s="18" t="s">
        <v>8851</v>
      </c>
      <c r="C5628" s="13">
        <v>55</v>
      </c>
    </row>
    <row r="5629" spans="2:3" x14ac:dyDescent="0.3">
      <c r="B5629" s="18" t="s">
        <v>8852</v>
      </c>
      <c r="C5629" s="13">
        <v>54</v>
      </c>
    </row>
    <row r="5630" spans="2:3" x14ac:dyDescent="0.3">
      <c r="B5630" s="18" t="s">
        <v>8853</v>
      </c>
      <c r="C5630" s="13">
        <v>53</v>
      </c>
    </row>
    <row r="5631" spans="2:3" x14ac:dyDescent="0.3">
      <c r="B5631" s="18" t="s">
        <v>8854</v>
      </c>
      <c r="C5631" s="13">
        <v>52</v>
      </c>
    </row>
    <row r="5632" spans="2:3" x14ac:dyDescent="0.3">
      <c r="B5632" s="18" t="s">
        <v>8855</v>
      </c>
      <c r="C5632" s="13">
        <v>67</v>
      </c>
    </row>
    <row r="5633" spans="2:3" x14ac:dyDescent="0.3">
      <c r="B5633" s="18" t="s">
        <v>8856</v>
      </c>
      <c r="C5633" s="13">
        <v>66</v>
      </c>
    </row>
    <row r="5634" spans="2:3" x14ac:dyDescent="0.3">
      <c r="B5634" s="18" t="s">
        <v>8857</v>
      </c>
      <c r="C5634" s="13">
        <v>65</v>
      </c>
    </row>
    <row r="5635" spans="2:3" x14ac:dyDescent="0.3">
      <c r="B5635" s="18" t="s">
        <v>8858</v>
      </c>
      <c r="C5635" s="13">
        <v>64</v>
      </c>
    </row>
    <row r="5636" spans="2:3" x14ac:dyDescent="0.3">
      <c r="B5636" s="18" t="s">
        <v>8859</v>
      </c>
      <c r="C5636" s="13">
        <v>63</v>
      </c>
    </row>
    <row r="5637" spans="2:3" x14ac:dyDescent="0.3">
      <c r="B5637" s="18" t="s">
        <v>8860</v>
      </c>
      <c r="C5637" s="13">
        <v>62</v>
      </c>
    </row>
    <row r="5638" spans="2:3" x14ac:dyDescent="0.3">
      <c r="B5638" s="18" t="s">
        <v>8861</v>
      </c>
      <c r="C5638" s="13">
        <v>61</v>
      </c>
    </row>
    <row r="5639" spans="2:3" x14ac:dyDescent="0.3">
      <c r="B5639" s="18" t="s">
        <v>8862</v>
      </c>
      <c r="C5639" s="13">
        <v>60</v>
      </c>
    </row>
    <row r="5640" spans="2:3" x14ac:dyDescent="0.3">
      <c r="B5640" s="18" t="s">
        <v>5009</v>
      </c>
      <c r="C5640" s="13">
        <v>1</v>
      </c>
    </row>
    <row r="5641" spans="2:3" x14ac:dyDescent="0.3">
      <c r="B5641" s="18" t="s">
        <v>5007</v>
      </c>
      <c r="C5641" s="13">
        <v>10</v>
      </c>
    </row>
    <row r="5642" spans="2:3" x14ac:dyDescent="0.3">
      <c r="B5642" s="18" t="s">
        <v>5005</v>
      </c>
      <c r="C5642" s="13">
        <v>11</v>
      </c>
    </row>
    <row r="5643" spans="2:3" x14ac:dyDescent="0.3">
      <c r="B5643" s="18" t="s">
        <v>5003</v>
      </c>
      <c r="C5643" s="13">
        <v>12</v>
      </c>
    </row>
    <row r="5644" spans="2:3" x14ac:dyDescent="0.3">
      <c r="B5644" s="18" t="s">
        <v>5001</v>
      </c>
      <c r="C5644" s="13">
        <v>13</v>
      </c>
    </row>
    <row r="5645" spans="2:3" x14ac:dyDescent="0.3">
      <c r="B5645" s="18" t="s">
        <v>4999</v>
      </c>
      <c r="C5645" s="13">
        <v>14</v>
      </c>
    </row>
    <row r="5646" spans="2:3" x14ac:dyDescent="0.3">
      <c r="B5646" s="18" t="s">
        <v>4997</v>
      </c>
      <c r="C5646" s="13">
        <v>15</v>
      </c>
    </row>
    <row r="5647" spans="2:3" x14ac:dyDescent="0.3">
      <c r="B5647" s="18" t="s">
        <v>4995</v>
      </c>
      <c r="C5647" s="13">
        <v>16</v>
      </c>
    </row>
    <row r="5648" spans="2:3" x14ac:dyDescent="0.3">
      <c r="B5648" s="18" t="s">
        <v>4993</v>
      </c>
      <c r="C5648" s="13">
        <v>17</v>
      </c>
    </row>
    <row r="5649" spans="2:3" x14ac:dyDescent="0.3">
      <c r="B5649" s="18" t="s">
        <v>4991</v>
      </c>
      <c r="C5649" s="13">
        <v>18</v>
      </c>
    </row>
    <row r="5650" spans="2:3" x14ac:dyDescent="0.3">
      <c r="B5650" s="18" t="s">
        <v>4987</v>
      </c>
      <c r="C5650" s="13">
        <v>2</v>
      </c>
    </row>
    <row r="5651" spans="2:3" x14ac:dyDescent="0.3">
      <c r="B5651" s="18" t="s">
        <v>4977</v>
      </c>
      <c r="C5651" s="13">
        <v>3</v>
      </c>
    </row>
    <row r="5652" spans="2:3" x14ac:dyDescent="0.3">
      <c r="B5652" s="18" t="s">
        <v>4975</v>
      </c>
      <c r="C5652" s="13">
        <v>4</v>
      </c>
    </row>
    <row r="5653" spans="2:3" x14ac:dyDescent="0.3">
      <c r="B5653" s="18" t="s">
        <v>4973</v>
      </c>
      <c r="C5653" s="13">
        <v>5</v>
      </c>
    </row>
    <row r="5654" spans="2:3" x14ac:dyDescent="0.3">
      <c r="B5654" s="18" t="s">
        <v>4971</v>
      </c>
      <c r="C5654" s="13">
        <v>6</v>
      </c>
    </row>
    <row r="5655" spans="2:3" x14ac:dyDescent="0.3">
      <c r="B5655" s="18" t="s">
        <v>4969</v>
      </c>
      <c r="C5655" s="13">
        <v>7</v>
      </c>
    </row>
    <row r="5656" spans="2:3" x14ac:dyDescent="0.3">
      <c r="B5656" s="18" t="s">
        <v>4967</v>
      </c>
      <c r="C5656" s="13">
        <v>8</v>
      </c>
    </row>
    <row r="5657" spans="2:3" x14ac:dyDescent="0.3">
      <c r="B5657" s="18" t="s">
        <v>4965</v>
      </c>
      <c r="C5657" s="13">
        <v>9</v>
      </c>
    </row>
    <row r="5658" spans="2:3" x14ac:dyDescent="0.3">
      <c r="B5658" s="18" t="s">
        <v>4963</v>
      </c>
      <c r="C5658" s="13">
        <v>36</v>
      </c>
    </row>
    <row r="5659" spans="2:3" x14ac:dyDescent="0.3">
      <c r="B5659" s="18" t="s">
        <v>4961</v>
      </c>
      <c r="C5659" s="13">
        <v>27</v>
      </c>
    </row>
    <row r="5660" spans="2:3" x14ac:dyDescent="0.3">
      <c r="B5660" s="18" t="s">
        <v>4959</v>
      </c>
      <c r="C5660" s="13">
        <v>26</v>
      </c>
    </row>
    <row r="5661" spans="2:3" x14ac:dyDescent="0.3">
      <c r="B5661" s="18" t="s">
        <v>4957</v>
      </c>
      <c r="C5661" s="13">
        <v>25</v>
      </c>
    </row>
    <row r="5662" spans="2:3" x14ac:dyDescent="0.3">
      <c r="B5662" s="18" t="s">
        <v>4955</v>
      </c>
      <c r="C5662" s="13">
        <v>24</v>
      </c>
    </row>
    <row r="5663" spans="2:3" x14ac:dyDescent="0.3">
      <c r="B5663" s="18" t="s">
        <v>4953</v>
      </c>
      <c r="C5663" s="13">
        <v>23</v>
      </c>
    </row>
    <row r="5664" spans="2:3" x14ac:dyDescent="0.3">
      <c r="B5664" s="18" t="s">
        <v>4951</v>
      </c>
      <c r="C5664" s="13">
        <v>22</v>
      </c>
    </row>
    <row r="5665" spans="2:3" x14ac:dyDescent="0.3">
      <c r="B5665" s="18" t="s">
        <v>4949</v>
      </c>
      <c r="C5665" s="13">
        <v>21</v>
      </c>
    </row>
    <row r="5666" spans="2:3" x14ac:dyDescent="0.3">
      <c r="B5666" s="18" t="s">
        <v>4947</v>
      </c>
      <c r="C5666" s="13">
        <v>20</v>
      </c>
    </row>
    <row r="5667" spans="2:3" x14ac:dyDescent="0.3">
      <c r="B5667" s="18" t="s">
        <v>4945</v>
      </c>
      <c r="C5667" s="13">
        <v>19</v>
      </c>
    </row>
    <row r="5668" spans="2:3" x14ac:dyDescent="0.3">
      <c r="B5668" s="18" t="s">
        <v>4941</v>
      </c>
      <c r="C5668" s="13">
        <v>35</v>
      </c>
    </row>
    <row r="5669" spans="2:3" x14ac:dyDescent="0.3">
      <c r="B5669" s="18" t="s">
        <v>4931</v>
      </c>
      <c r="C5669" s="13">
        <v>34</v>
      </c>
    </row>
    <row r="5670" spans="2:3" x14ac:dyDescent="0.3">
      <c r="B5670" s="18" t="s">
        <v>4929</v>
      </c>
      <c r="C5670" s="13">
        <v>33</v>
      </c>
    </row>
    <row r="5671" spans="2:3" x14ac:dyDescent="0.3">
      <c r="B5671" s="18" t="s">
        <v>4927</v>
      </c>
      <c r="C5671" s="13">
        <v>32</v>
      </c>
    </row>
    <row r="5672" spans="2:3" x14ac:dyDescent="0.3">
      <c r="B5672" s="18" t="s">
        <v>4925</v>
      </c>
      <c r="C5672" s="13">
        <v>31</v>
      </c>
    </row>
    <row r="5673" spans="2:3" x14ac:dyDescent="0.3">
      <c r="B5673" s="18" t="s">
        <v>4923</v>
      </c>
      <c r="C5673" s="13">
        <v>30</v>
      </c>
    </row>
    <row r="5674" spans="2:3" x14ac:dyDescent="0.3">
      <c r="B5674" s="18" t="s">
        <v>4921</v>
      </c>
      <c r="C5674" s="13">
        <v>29</v>
      </c>
    </row>
    <row r="5675" spans="2:3" x14ac:dyDescent="0.3">
      <c r="B5675" s="18" t="s">
        <v>4919</v>
      </c>
      <c r="C5675" s="13">
        <v>28</v>
      </c>
    </row>
    <row r="5676" spans="2:3" x14ac:dyDescent="0.3">
      <c r="B5676" s="18" t="s">
        <v>4917</v>
      </c>
      <c r="C5676" s="13">
        <v>37</v>
      </c>
    </row>
    <row r="5677" spans="2:3" x14ac:dyDescent="0.3">
      <c r="B5677" s="18" t="s">
        <v>4915</v>
      </c>
      <c r="C5677" s="13">
        <v>46</v>
      </c>
    </row>
    <row r="5678" spans="2:3" x14ac:dyDescent="0.3">
      <c r="B5678" s="18" t="s">
        <v>4913</v>
      </c>
      <c r="C5678" s="13">
        <v>47</v>
      </c>
    </row>
    <row r="5679" spans="2:3" x14ac:dyDescent="0.3">
      <c r="B5679" s="18" t="s">
        <v>4911</v>
      </c>
      <c r="C5679" s="13">
        <v>48</v>
      </c>
    </row>
    <row r="5680" spans="2:3" x14ac:dyDescent="0.3">
      <c r="B5680" s="18" t="s">
        <v>4909</v>
      </c>
      <c r="C5680" s="13">
        <v>49</v>
      </c>
    </row>
    <row r="5681" spans="2:3" x14ac:dyDescent="0.3">
      <c r="B5681" s="18" t="s">
        <v>4907</v>
      </c>
      <c r="C5681" s="13">
        <v>50</v>
      </c>
    </row>
    <row r="5682" spans="2:3" x14ac:dyDescent="0.3">
      <c r="B5682" s="18" t="s">
        <v>4905</v>
      </c>
      <c r="C5682" s="13">
        <v>51</v>
      </c>
    </row>
    <row r="5683" spans="2:3" x14ac:dyDescent="0.3">
      <c r="B5683" s="18" t="s">
        <v>4903</v>
      </c>
      <c r="C5683" s="13">
        <v>52</v>
      </c>
    </row>
    <row r="5684" spans="2:3" x14ac:dyDescent="0.3">
      <c r="B5684" s="18" t="s">
        <v>4901</v>
      </c>
      <c r="C5684" s="13">
        <v>53</v>
      </c>
    </row>
    <row r="5685" spans="2:3" x14ac:dyDescent="0.3">
      <c r="B5685" s="18" t="s">
        <v>4899</v>
      </c>
      <c r="C5685" s="13">
        <v>54</v>
      </c>
    </row>
    <row r="5686" spans="2:3" x14ac:dyDescent="0.3">
      <c r="B5686" s="18" t="s">
        <v>4895</v>
      </c>
      <c r="C5686" s="13">
        <v>38</v>
      </c>
    </row>
    <row r="5687" spans="2:3" x14ac:dyDescent="0.3">
      <c r="B5687" s="18" t="s">
        <v>4885</v>
      </c>
      <c r="C5687" s="13">
        <v>39</v>
      </c>
    </row>
    <row r="5688" spans="2:3" x14ac:dyDescent="0.3">
      <c r="B5688" s="18" t="s">
        <v>4883</v>
      </c>
      <c r="C5688" s="13">
        <v>40</v>
      </c>
    </row>
    <row r="5689" spans="2:3" x14ac:dyDescent="0.3">
      <c r="B5689" s="18" t="s">
        <v>4881</v>
      </c>
      <c r="C5689" s="13">
        <v>41</v>
      </c>
    </row>
    <row r="5690" spans="2:3" x14ac:dyDescent="0.3">
      <c r="B5690" s="18" t="s">
        <v>4879</v>
      </c>
      <c r="C5690" s="13">
        <v>42</v>
      </c>
    </row>
    <row r="5691" spans="2:3" x14ac:dyDescent="0.3">
      <c r="B5691" s="18" t="s">
        <v>4877</v>
      </c>
      <c r="C5691" s="13">
        <v>43</v>
      </c>
    </row>
    <row r="5692" spans="2:3" x14ac:dyDescent="0.3">
      <c r="B5692" s="18" t="s">
        <v>4875</v>
      </c>
      <c r="C5692" s="13">
        <v>44</v>
      </c>
    </row>
    <row r="5693" spans="2:3" x14ac:dyDescent="0.3">
      <c r="B5693" s="18" t="s">
        <v>4873</v>
      </c>
      <c r="C5693" s="13">
        <v>45</v>
      </c>
    </row>
    <row r="5694" spans="2:3" x14ac:dyDescent="0.3">
      <c r="B5694" s="18" t="s">
        <v>8863</v>
      </c>
      <c r="C5694" s="13">
        <v>63</v>
      </c>
    </row>
    <row r="5695" spans="2:3" x14ac:dyDescent="0.3">
      <c r="B5695" s="18" t="s">
        <v>8864</v>
      </c>
      <c r="C5695" s="13">
        <v>62</v>
      </c>
    </row>
    <row r="5696" spans="2:3" x14ac:dyDescent="0.3">
      <c r="B5696" s="18" t="s">
        <v>8865</v>
      </c>
      <c r="C5696" s="13">
        <v>61</v>
      </c>
    </row>
    <row r="5697" spans="2:3" x14ac:dyDescent="0.3">
      <c r="B5697" s="18" t="s">
        <v>8866</v>
      </c>
      <c r="C5697" s="13">
        <v>60</v>
      </c>
    </row>
    <row r="5698" spans="2:3" x14ac:dyDescent="0.3">
      <c r="B5698" s="18" t="s">
        <v>8867</v>
      </c>
      <c r="C5698" s="13">
        <v>59</v>
      </c>
    </row>
    <row r="5699" spans="2:3" x14ac:dyDescent="0.3">
      <c r="B5699" s="18" t="s">
        <v>8868</v>
      </c>
      <c r="C5699" s="13">
        <v>58</v>
      </c>
    </row>
    <row r="5700" spans="2:3" x14ac:dyDescent="0.3">
      <c r="B5700" s="18" t="s">
        <v>8869</v>
      </c>
      <c r="C5700" s="13">
        <v>57</v>
      </c>
    </row>
    <row r="5701" spans="2:3" x14ac:dyDescent="0.3">
      <c r="B5701" s="18" t="s">
        <v>8870</v>
      </c>
      <c r="C5701" s="13">
        <v>56</v>
      </c>
    </row>
    <row r="5702" spans="2:3" x14ac:dyDescent="0.3">
      <c r="B5702" s="18" t="s">
        <v>8871</v>
      </c>
      <c r="C5702" s="13">
        <v>55</v>
      </c>
    </row>
    <row r="5703" spans="2:3" x14ac:dyDescent="0.3">
      <c r="B5703" s="18" t="s">
        <v>8872</v>
      </c>
      <c r="C5703" s="13">
        <v>69</v>
      </c>
    </row>
    <row r="5704" spans="2:3" x14ac:dyDescent="0.3">
      <c r="B5704" s="18" t="s">
        <v>8873</v>
      </c>
      <c r="C5704" s="13">
        <v>68</v>
      </c>
    </row>
    <row r="5705" spans="2:3" x14ac:dyDescent="0.3">
      <c r="B5705" s="18" t="s">
        <v>8874</v>
      </c>
      <c r="C5705" s="13">
        <v>67</v>
      </c>
    </row>
    <row r="5706" spans="2:3" x14ac:dyDescent="0.3">
      <c r="B5706" s="18" t="s">
        <v>8875</v>
      </c>
      <c r="C5706" s="13">
        <v>66</v>
      </c>
    </row>
    <row r="5707" spans="2:3" x14ac:dyDescent="0.3">
      <c r="B5707" s="18" t="s">
        <v>8876</v>
      </c>
      <c r="C5707" s="13">
        <v>65</v>
      </c>
    </row>
    <row r="5708" spans="2:3" x14ac:dyDescent="0.3">
      <c r="B5708" s="18" t="s">
        <v>8877</v>
      </c>
      <c r="C5708" s="13">
        <v>64</v>
      </c>
    </row>
    <row r="5709" spans="2:3" x14ac:dyDescent="0.3">
      <c r="B5709" s="18" t="s">
        <v>4871</v>
      </c>
      <c r="C5709" s="13">
        <v>1</v>
      </c>
    </row>
    <row r="5710" spans="2:3" x14ac:dyDescent="0.3">
      <c r="B5710" s="18" t="s">
        <v>4869</v>
      </c>
      <c r="C5710" s="13">
        <v>2</v>
      </c>
    </row>
    <row r="5711" spans="2:3" x14ac:dyDescent="0.3">
      <c r="B5711" s="18" t="s">
        <v>4867</v>
      </c>
      <c r="C5711" s="13">
        <v>4</v>
      </c>
    </row>
    <row r="5712" spans="2:3" x14ac:dyDescent="0.3">
      <c r="B5712" s="18" t="s">
        <v>4865</v>
      </c>
      <c r="C5712" s="13">
        <v>3</v>
      </c>
    </row>
    <row r="5713" spans="2:3" x14ac:dyDescent="0.3">
      <c r="B5713" s="18" t="s">
        <v>4863</v>
      </c>
      <c r="C5713" s="13">
        <v>5</v>
      </c>
    </row>
    <row r="5714" spans="2:3" x14ac:dyDescent="0.3">
      <c r="B5714" s="18" t="s">
        <v>4861</v>
      </c>
      <c r="C5714" s="13">
        <v>6</v>
      </c>
    </row>
    <row r="5715" spans="2:3" x14ac:dyDescent="0.3">
      <c r="B5715" s="18" t="s">
        <v>4859</v>
      </c>
      <c r="C5715" s="13">
        <v>1</v>
      </c>
    </row>
    <row r="5716" spans="2:3" x14ac:dyDescent="0.3">
      <c r="B5716" s="18" t="s">
        <v>4857</v>
      </c>
      <c r="C5716" s="13">
        <v>10</v>
      </c>
    </row>
    <row r="5717" spans="2:3" x14ac:dyDescent="0.3">
      <c r="B5717" s="18" t="s">
        <v>4855</v>
      </c>
      <c r="C5717" s="13">
        <v>11</v>
      </c>
    </row>
    <row r="5718" spans="2:3" x14ac:dyDescent="0.3">
      <c r="B5718" s="18" t="s">
        <v>4853</v>
      </c>
      <c r="C5718" s="13">
        <v>12</v>
      </c>
    </row>
    <row r="5719" spans="2:3" x14ac:dyDescent="0.3">
      <c r="B5719" s="18" t="s">
        <v>4851</v>
      </c>
      <c r="C5719" s="13">
        <v>13</v>
      </c>
    </row>
    <row r="5720" spans="2:3" x14ac:dyDescent="0.3">
      <c r="B5720" s="18" t="s">
        <v>4849</v>
      </c>
      <c r="C5720" s="13">
        <v>14</v>
      </c>
    </row>
    <row r="5721" spans="2:3" x14ac:dyDescent="0.3">
      <c r="B5721" s="18" t="s">
        <v>4847</v>
      </c>
      <c r="C5721" s="13">
        <v>15</v>
      </c>
    </row>
    <row r="5722" spans="2:3" x14ac:dyDescent="0.3">
      <c r="B5722" s="18" t="s">
        <v>4845</v>
      </c>
      <c r="C5722" s="13">
        <v>16</v>
      </c>
    </row>
    <row r="5723" spans="2:3" x14ac:dyDescent="0.3">
      <c r="B5723" s="18" t="s">
        <v>4843</v>
      </c>
      <c r="C5723" s="13">
        <v>17</v>
      </c>
    </row>
    <row r="5724" spans="2:3" x14ac:dyDescent="0.3">
      <c r="B5724" s="18" t="s">
        <v>4841</v>
      </c>
      <c r="C5724" s="13">
        <v>18</v>
      </c>
    </row>
    <row r="5725" spans="2:3" x14ac:dyDescent="0.3">
      <c r="B5725" s="18" t="s">
        <v>4837</v>
      </c>
      <c r="C5725" s="13">
        <v>2</v>
      </c>
    </row>
    <row r="5726" spans="2:3" x14ac:dyDescent="0.3">
      <c r="B5726" s="18" t="s">
        <v>4825</v>
      </c>
      <c r="C5726" s="13">
        <v>3</v>
      </c>
    </row>
    <row r="5727" spans="2:3" x14ac:dyDescent="0.3">
      <c r="B5727" s="18" t="s">
        <v>4823</v>
      </c>
      <c r="C5727" s="13">
        <v>4</v>
      </c>
    </row>
    <row r="5728" spans="2:3" x14ac:dyDescent="0.3">
      <c r="B5728" s="18" t="s">
        <v>4821</v>
      </c>
      <c r="C5728" s="13">
        <v>5</v>
      </c>
    </row>
    <row r="5729" spans="2:3" x14ac:dyDescent="0.3">
      <c r="B5729" s="18" t="s">
        <v>4819</v>
      </c>
      <c r="C5729" s="13">
        <v>6</v>
      </c>
    </row>
    <row r="5730" spans="2:3" x14ac:dyDescent="0.3">
      <c r="B5730" s="18" t="s">
        <v>4817</v>
      </c>
      <c r="C5730" s="13">
        <v>7</v>
      </c>
    </row>
    <row r="5731" spans="2:3" x14ac:dyDescent="0.3">
      <c r="B5731" s="18" t="s">
        <v>4815</v>
      </c>
      <c r="C5731" s="13">
        <v>8</v>
      </c>
    </row>
    <row r="5732" spans="2:3" x14ac:dyDescent="0.3">
      <c r="B5732" s="18" t="s">
        <v>4813</v>
      </c>
      <c r="C5732" s="13">
        <v>9</v>
      </c>
    </row>
    <row r="5733" spans="2:3" x14ac:dyDescent="0.3">
      <c r="B5733" s="18" t="s">
        <v>4811</v>
      </c>
      <c r="C5733" s="13">
        <v>36</v>
      </c>
    </row>
    <row r="5734" spans="2:3" x14ac:dyDescent="0.3">
      <c r="B5734" s="18" t="s">
        <v>4809</v>
      </c>
      <c r="C5734" s="13">
        <v>27</v>
      </c>
    </row>
    <row r="5735" spans="2:3" x14ac:dyDescent="0.3">
      <c r="B5735" s="18" t="s">
        <v>4807</v>
      </c>
      <c r="C5735" s="13">
        <v>26</v>
      </c>
    </row>
    <row r="5736" spans="2:3" x14ac:dyDescent="0.3">
      <c r="B5736" s="18" t="s">
        <v>4805</v>
      </c>
      <c r="C5736" s="13">
        <v>25</v>
      </c>
    </row>
    <row r="5737" spans="2:3" x14ac:dyDescent="0.3">
      <c r="B5737" s="18" t="s">
        <v>4803</v>
      </c>
      <c r="C5737" s="13">
        <v>24</v>
      </c>
    </row>
    <row r="5738" spans="2:3" x14ac:dyDescent="0.3">
      <c r="B5738" s="18" t="s">
        <v>4801</v>
      </c>
      <c r="C5738" s="13">
        <v>23</v>
      </c>
    </row>
    <row r="5739" spans="2:3" x14ac:dyDescent="0.3">
      <c r="B5739" s="18" t="s">
        <v>4799</v>
      </c>
      <c r="C5739" s="13">
        <v>22</v>
      </c>
    </row>
    <row r="5740" spans="2:3" x14ac:dyDescent="0.3">
      <c r="B5740" s="18" t="s">
        <v>4797</v>
      </c>
      <c r="C5740" s="13">
        <v>21</v>
      </c>
    </row>
    <row r="5741" spans="2:3" x14ac:dyDescent="0.3">
      <c r="B5741" s="18" t="s">
        <v>4795</v>
      </c>
      <c r="C5741" s="13">
        <v>20</v>
      </c>
    </row>
    <row r="5742" spans="2:3" x14ac:dyDescent="0.3">
      <c r="B5742" s="18" t="s">
        <v>4793</v>
      </c>
      <c r="C5742" s="13">
        <v>19</v>
      </c>
    </row>
    <row r="5743" spans="2:3" x14ac:dyDescent="0.3">
      <c r="B5743" s="18" t="s">
        <v>4789</v>
      </c>
      <c r="C5743" s="13">
        <v>35</v>
      </c>
    </row>
    <row r="5744" spans="2:3" x14ac:dyDescent="0.3">
      <c r="B5744" s="18" t="s">
        <v>4777</v>
      </c>
      <c r="C5744" s="13">
        <v>34</v>
      </c>
    </row>
    <row r="5745" spans="2:3" x14ac:dyDescent="0.3">
      <c r="B5745" s="18" t="s">
        <v>4775</v>
      </c>
      <c r="C5745" s="13">
        <v>33</v>
      </c>
    </row>
    <row r="5746" spans="2:3" x14ac:dyDescent="0.3">
      <c r="B5746" s="18" t="s">
        <v>4773</v>
      </c>
      <c r="C5746" s="13">
        <v>32</v>
      </c>
    </row>
    <row r="5747" spans="2:3" x14ac:dyDescent="0.3">
      <c r="B5747" s="18" t="s">
        <v>4771</v>
      </c>
      <c r="C5747" s="13">
        <v>31</v>
      </c>
    </row>
    <row r="5748" spans="2:3" x14ac:dyDescent="0.3">
      <c r="B5748" s="18" t="s">
        <v>4769</v>
      </c>
      <c r="C5748" s="13">
        <v>30</v>
      </c>
    </row>
    <row r="5749" spans="2:3" x14ac:dyDescent="0.3">
      <c r="B5749" s="18" t="s">
        <v>4767</v>
      </c>
      <c r="C5749" s="13">
        <v>29</v>
      </c>
    </row>
    <row r="5750" spans="2:3" x14ac:dyDescent="0.3">
      <c r="B5750" s="18" t="s">
        <v>4765</v>
      </c>
      <c r="C5750" s="13">
        <v>28</v>
      </c>
    </row>
    <row r="5751" spans="2:3" x14ac:dyDescent="0.3">
      <c r="B5751" s="18" t="s">
        <v>8878</v>
      </c>
      <c r="C5751" s="13">
        <v>37</v>
      </c>
    </row>
    <row r="5752" spans="2:3" x14ac:dyDescent="0.3">
      <c r="B5752" s="18" t="s">
        <v>4763</v>
      </c>
      <c r="C5752" s="13">
        <v>46</v>
      </c>
    </row>
    <row r="5753" spans="2:3" x14ac:dyDescent="0.3">
      <c r="B5753" s="18" t="s">
        <v>4761</v>
      </c>
      <c r="C5753" s="13">
        <v>47</v>
      </c>
    </row>
    <row r="5754" spans="2:3" x14ac:dyDescent="0.3">
      <c r="B5754" s="18" t="s">
        <v>4759</v>
      </c>
      <c r="C5754" s="13">
        <v>48</v>
      </c>
    </row>
    <row r="5755" spans="2:3" x14ac:dyDescent="0.3">
      <c r="B5755" s="18" t="s">
        <v>4757</v>
      </c>
      <c r="C5755" s="13">
        <v>49</v>
      </c>
    </row>
    <row r="5756" spans="2:3" x14ac:dyDescent="0.3">
      <c r="B5756" s="18" t="s">
        <v>4755</v>
      </c>
      <c r="C5756" s="13">
        <v>50</v>
      </c>
    </row>
    <row r="5757" spans="2:3" x14ac:dyDescent="0.3">
      <c r="B5757" s="18" t="s">
        <v>4753</v>
      </c>
      <c r="C5757" s="13">
        <v>51</v>
      </c>
    </row>
    <row r="5758" spans="2:3" x14ac:dyDescent="0.3">
      <c r="B5758" s="18" t="s">
        <v>4751</v>
      </c>
      <c r="C5758" s="13">
        <v>52</v>
      </c>
    </row>
    <row r="5759" spans="2:3" x14ac:dyDescent="0.3">
      <c r="B5759" s="18" t="s">
        <v>4749</v>
      </c>
      <c r="C5759" s="13">
        <v>53</v>
      </c>
    </row>
    <row r="5760" spans="2:3" x14ac:dyDescent="0.3">
      <c r="B5760" s="18" t="s">
        <v>4747</v>
      </c>
      <c r="C5760" s="13">
        <v>54</v>
      </c>
    </row>
    <row r="5761" spans="2:3" x14ac:dyDescent="0.3">
      <c r="B5761" s="18" t="s">
        <v>8879</v>
      </c>
      <c r="C5761" s="13">
        <v>38</v>
      </c>
    </row>
    <row r="5762" spans="2:3" x14ac:dyDescent="0.3">
      <c r="B5762" s="18" t="s">
        <v>4733</v>
      </c>
      <c r="C5762" s="13">
        <v>39</v>
      </c>
    </row>
    <row r="5763" spans="2:3" x14ac:dyDescent="0.3">
      <c r="B5763" s="18" t="s">
        <v>4731</v>
      </c>
      <c r="C5763" s="13">
        <v>40</v>
      </c>
    </row>
    <row r="5764" spans="2:3" x14ac:dyDescent="0.3">
      <c r="B5764" s="18" t="s">
        <v>4729</v>
      </c>
      <c r="C5764" s="13">
        <v>41</v>
      </c>
    </row>
    <row r="5765" spans="2:3" x14ac:dyDescent="0.3">
      <c r="B5765" s="18" t="s">
        <v>4727</v>
      </c>
      <c r="C5765" s="13">
        <v>42</v>
      </c>
    </row>
    <row r="5766" spans="2:3" x14ac:dyDescent="0.3">
      <c r="B5766" s="18" t="s">
        <v>4725</v>
      </c>
      <c r="C5766" s="13">
        <v>43</v>
      </c>
    </row>
    <row r="5767" spans="2:3" x14ac:dyDescent="0.3">
      <c r="B5767" s="18" t="s">
        <v>4723</v>
      </c>
      <c r="C5767" s="13">
        <v>44</v>
      </c>
    </row>
    <row r="5768" spans="2:3" x14ac:dyDescent="0.3">
      <c r="B5768" s="18" t="s">
        <v>4721</v>
      </c>
      <c r="C5768" s="13">
        <v>45</v>
      </c>
    </row>
    <row r="5769" spans="2:3" x14ac:dyDescent="0.3">
      <c r="B5769" s="18" t="s">
        <v>8880</v>
      </c>
      <c r="C5769" s="13">
        <v>63</v>
      </c>
    </row>
    <row r="5770" spans="2:3" x14ac:dyDescent="0.3">
      <c r="B5770" s="18" t="s">
        <v>8881</v>
      </c>
      <c r="C5770" s="13">
        <v>62</v>
      </c>
    </row>
    <row r="5771" spans="2:3" x14ac:dyDescent="0.3">
      <c r="B5771" s="18" t="s">
        <v>8882</v>
      </c>
      <c r="C5771" s="13">
        <v>61</v>
      </c>
    </row>
    <row r="5772" spans="2:3" x14ac:dyDescent="0.3">
      <c r="B5772" s="18" t="s">
        <v>8883</v>
      </c>
      <c r="C5772" s="13">
        <v>60</v>
      </c>
    </row>
    <row r="5773" spans="2:3" x14ac:dyDescent="0.3">
      <c r="B5773" s="18" t="s">
        <v>8884</v>
      </c>
      <c r="C5773" s="13">
        <v>59</v>
      </c>
    </row>
    <row r="5774" spans="2:3" x14ac:dyDescent="0.3">
      <c r="B5774" s="18" t="s">
        <v>8885</v>
      </c>
      <c r="C5774" s="13">
        <v>58</v>
      </c>
    </row>
    <row r="5775" spans="2:3" x14ac:dyDescent="0.3">
      <c r="B5775" s="18" t="s">
        <v>8886</v>
      </c>
      <c r="C5775" s="13">
        <v>57</v>
      </c>
    </row>
    <row r="5776" spans="2:3" x14ac:dyDescent="0.3">
      <c r="B5776" s="18" t="s">
        <v>8887</v>
      </c>
      <c r="C5776" s="13">
        <v>56</v>
      </c>
    </row>
    <row r="5777" spans="2:3" x14ac:dyDescent="0.3">
      <c r="B5777" s="18" t="s">
        <v>8888</v>
      </c>
      <c r="C5777" s="13">
        <v>55</v>
      </c>
    </row>
    <row r="5778" spans="2:3" x14ac:dyDescent="0.3">
      <c r="B5778" s="18" t="s">
        <v>8889</v>
      </c>
      <c r="C5778" s="13">
        <v>70</v>
      </c>
    </row>
    <row r="5779" spans="2:3" x14ac:dyDescent="0.3">
      <c r="B5779" s="18" t="s">
        <v>8890</v>
      </c>
      <c r="C5779" s="13">
        <v>69</v>
      </c>
    </row>
    <row r="5780" spans="2:3" x14ac:dyDescent="0.3">
      <c r="B5780" s="18" t="s">
        <v>8891</v>
      </c>
      <c r="C5780" s="13">
        <v>68</v>
      </c>
    </row>
    <row r="5781" spans="2:3" x14ac:dyDescent="0.3">
      <c r="B5781" s="18" t="s">
        <v>8892</v>
      </c>
      <c r="C5781" s="13">
        <v>67</v>
      </c>
    </row>
    <row r="5782" spans="2:3" x14ac:dyDescent="0.3">
      <c r="B5782" s="18" t="s">
        <v>8893</v>
      </c>
      <c r="C5782" s="13">
        <v>66</v>
      </c>
    </row>
    <row r="5783" spans="2:3" x14ac:dyDescent="0.3">
      <c r="B5783" s="18" t="s">
        <v>8894</v>
      </c>
      <c r="C5783" s="13">
        <v>65</v>
      </c>
    </row>
    <row r="5784" spans="2:3" x14ac:dyDescent="0.3">
      <c r="B5784" s="18" t="s">
        <v>8895</v>
      </c>
      <c r="C5784" s="13">
        <v>64</v>
      </c>
    </row>
    <row r="5785" spans="2:3" x14ac:dyDescent="0.3">
      <c r="B5785" s="18" t="s">
        <v>4719</v>
      </c>
      <c r="C5785" s="13">
        <v>1</v>
      </c>
    </row>
    <row r="5786" spans="2:3" x14ac:dyDescent="0.3">
      <c r="B5786" s="18" t="s">
        <v>4717</v>
      </c>
      <c r="C5786" s="13">
        <v>10</v>
      </c>
    </row>
    <row r="5787" spans="2:3" x14ac:dyDescent="0.3">
      <c r="B5787" s="18" t="s">
        <v>4715</v>
      </c>
      <c r="C5787" s="13">
        <v>11</v>
      </c>
    </row>
    <row r="5788" spans="2:3" x14ac:dyDescent="0.3">
      <c r="B5788" s="18" t="s">
        <v>4713</v>
      </c>
      <c r="C5788" s="13">
        <v>12</v>
      </c>
    </row>
    <row r="5789" spans="2:3" x14ac:dyDescent="0.3">
      <c r="B5789" s="18" t="s">
        <v>4711</v>
      </c>
      <c r="C5789" s="13">
        <v>13</v>
      </c>
    </row>
    <row r="5790" spans="2:3" x14ac:dyDescent="0.3">
      <c r="B5790" s="18" t="s">
        <v>4709</v>
      </c>
      <c r="C5790" s="13">
        <v>14</v>
      </c>
    </row>
    <row r="5791" spans="2:3" x14ac:dyDescent="0.3">
      <c r="B5791" s="18" t="s">
        <v>4707</v>
      </c>
      <c r="C5791" s="13">
        <v>15</v>
      </c>
    </row>
    <row r="5792" spans="2:3" x14ac:dyDescent="0.3">
      <c r="B5792" s="18" t="s">
        <v>4705</v>
      </c>
      <c r="C5792" s="13">
        <v>16</v>
      </c>
    </row>
    <row r="5793" spans="2:3" x14ac:dyDescent="0.3">
      <c r="B5793" s="18" t="s">
        <v>4703</v>
      </c>
      <c r="C5793" s="13">
        <v>17</v>
      </c>
    </row>
    <row r="5794" spans="2:3" x14ac:dyDescent="0.3">
      <c r="B5794" s="18" t="s">
        <v>4701</v>
      </c>
      <c r="C5794" s="13">
        <v>18</v>
      </c>
    </row>
    <row r="5795" spans="2:3" x14ac:dyDescent="0.3">
      <c r="B5795" s="18" t="s">
        <v>4697</v>
      </c>
      <c r="C5795" s="13">
        <v>2</v>
      </c>
    </row>
    <row r="5796" spans="2:3" x14ac:dyDescent="0.3">
      <c r="B5796" s="18" t="s">
        <v>4685</v>
      </c>
      <c r="C5796" s="13">
        <v>3</v>
      </c>
    </row>
    <row r="5797" spans="2:3" x14ac:dyDescent="0.3">
      <c r="B5797" s="18" t="s">
        <v>4683</v>
      </c>
      <c r="C5797" s="13">
        <v>4</v>
      </c>
    </row>
    <row r="5798" spans="2:3" x14ac:dyDescent="0.3">
      <c r="B5798" s="18" t="s">
        <v>4681</v>
      </c>
      <c r="C5798" s="13">
        <v>5</v>
      </c>
    </row>
    <row r="5799" spans="2:3" x14ac:dyDescent="0.3">
      <c r="B5799" s="18" t="s">
        <v>4679</v>
      </c>
      <c r="C5799" s="13">
        <v>6</v>
      </c>
    </row>
    <row r="5800" spans="2:3" x14ac:dyDescent="0.3">
      <c r="B5800" s="18" t="s">
        <v>4677</v>
      </c>
      <c r="C5800" s="13">
        <v>7</v>
      </c>
    </row>
    <row r="5801" spans="2:3" x14ac:dyDescent="0.3">
      <c r="B5801" s="18" t="s">
        <v>4675</v>
      </c>
      <c r="C5801" s="13">
        <v>8</v>
      </c>
    </row>
    <row r="5802" spans="2:3" x14ac:dyDescent="0.3">
      <c r="B5802" s="18" t="s">
        <v>4673</v>
      </c>
      <c r="C5802" s="13">
        <v>9</v>
      </c>
    </row>
    <row r="5803" spans="2:3" x14ac:dyDescent="0.3">
      <c r="B5803" s="18" t="s">
        <v>4671</v>
      </c>
      <c r="C5803" s="13">
        <v>36</v>
      </c>
    </row>
    <row r="5804" spans="2:3" x14ac:dyDescent="0.3">
      <c r="B5804" s="18" t="s">
        <v>4669</v>
      </c>
      <c r="C5804" s="13">
        <v>27</v>
      </c>
    </row>
    <row r="5805" spans="2:3" x14ac:dyDescent="0.3">
      <c r="B5805" s="18" t="s">
        <v>4667</v>
      </c>
      <c r="C5805" s="13">
        <v>26</v>
      </c>
    </row>
    <row r="5806" spans="2:3" x14ac:dyDescent="0.3">
      <c r="B5806" s="18" t="s">
        <v>4665</v>
      </c>
      <c r="C5806" s="13">
        <v>25</v>
      </c>
    </row>
    <row r="5807" spans="2:3" x14ac:dyDescent="0.3">
      <c r="B5807" s="18" t="s">
        <v>4663</v>
      </c>
      <c r="C5807" s="13">
        <v>24</v>
      </c>
    </row>
    <row r="5808" spans="2:3" x14ac:dyDescent="0.3">
      <c r="B5808" s="18" t="s">
        <v>4661</v>
      </c>
      <c r="C5808" s="13">
        <v>23</v>
      </c>
    </row>
    <row r="5809" spans="2:3" x14ac:dyDescent="0.3">
      <c r="B5809" s="18" t="s">
        <v>4659</v>
      </c>
      <c r="C5809" s="13">
        <v>22</v>
      </c>
    </row>
    <row r="5810" spans="2:3" x14ac:dyDescent="0.3">
      <c r="B5810" s="18" t="s">
        <v>4657</v>
      </c>
      <c r="C5810" s="13">
        <v>21</v>
      </c>
    </row>
    <row r="5811" spans="2:3" x14ac:dyDescent="0.3">
      <c r="B5811" s="18" t="s">
        <v>4655</v>
      </c>
      <c r="C5811" s="13">
        <v>20</v>
      </c>
    </row>
    <row r="5812" spans="2:3" x14ac:dyDescent="0.3">
      <c r="B5812" s="18" t="s">
        <v>4653</v>
      </c>
      <c r="C5812" s="13">
        <v>19</v>
      </c>
    </row>
    <row r="5813" spans="2:3" x14ac:dyDescent="0.3">
      <c r="B5813" s="18" t="s">
        <v>4649</v>
      </c>
      <c r="C5813" s="13">
        <v>35</v>
      </c>
    </row>
    <row r="5814" spans="2:3" x14ac:dyDescent="0.3">
      <c r="B5814" s="18" t="s">
        <v>4637</v>
      </c>
      <c r="C5814" s="13">
        <v>34</v>
      </c>
    </row>
    <row r="5815" spans="2:3" x14ac:dyDescent="0.3">
      <c r="B5815" s="18" t="s">
        <v>4635</v>
      </c>
      <c r="C5815" s="13">
        <v>33</v>
      </c>
    </row>
    <row r="5816" spans="2:3" x14ac:dyDescent="0.3">
      <c r="B5816" s="18" t="s">
        <v>4633</v>
      </c>
      <c r="C5816" s="13">
        <v>32</v>
      </c>
    </row>
    <row r="5817" spans="2:3" x14ac:dyDescent="0.3">
      <c r="B5817" s="18" t="s">
        <v>4631</v>
      </c>
      <c r="C5817" s="13">
        <v>31</v>
      </c>
    </row>
    <row r="5818" spans="2:3" x14ac:dyDescent="0.3">
      <c r="B5818" s="18" t="s">
        <v>4629</v>
      </c>
      <c r="C5818" s="13">
        <v>30</v>
      </c>
    </row>
    <row r="5819" spans="2:3" x14ac:dyDescent="0.3">
      <c r="B5819" s="18" t="s">
        <v>4627</v>
      </c>
      <c r="C5819" s="13">
        <v>29</v>
      </c>
    </row>
    <row r="5820" spans="2:3" x14ac:dyDescent="0.3">
      <c r="B5820" s="18" t="s">
        <v>4625</v>
      </c>
      <c r="C5820" s="13">
        <v>28</v>
      </c>
    </row>
    <row r="5821" spans="2:3" x14ac:dyDescent="0.3">
      <c r="B5821" s="18" t="s">
        <v>8896</v>
      </c>
      <c r="C5821" s="13">
        <v>37</v>
      </c>
    </row>
    <row r="5822" spans="2:3" x14ac:dyDescent="0.3">
      <c r="B5822" s="18" t="s">
        <v>4623</v>
      </c>
      <c r="C5822" s="13">
        <v>46</v>
      </c>
    </row>
    <row r="5823" spans="2:3" x14ac:dyDescent="0.3">
      <c r="B5823" s="18" t="s">
        <v>4621</v>
      </c>
      <c r="C5823" s="13">
        <v>47</v>
      </c>
    </row>
    <row r="5824" spans="2:3" x14ac:dyDescent="0.3">
      <c r="B5824" s="18" t="s">
        <v>4619</v>
      </c>
      <c r="C5824" s="13">
        <v>48</v>
      </c>
    </row>
    <row r="5825" spans="2:3" x14ac:dyDescent="0.3">
      <c r="B5825" s="18" t="s">
        <v>4617</v>
      </c>
      <c r="C5825" s="13">
        <v>49</v>
      </c>
    </row>
    <row r="5826" spans="2:3" x14ac:dyDescent="0.3">
      <c r="B5826" s="18" t="s">
        <v>4615</v>
      </c>
      <c r="C5826" s="13">
        <v>50</v>
      </c>
    </row>
    <row r="5827" spans="2:3" x14ac:dyDescent="0.3">
      <c r="B5827" s="18" t="s">
        <v>4613</v>
      </c>
      <c r="C5827" s="13">
        <v>51</v>
      </c>
    </row>
    <row r="5828" spans="2:3" x14ac:dyDescent="0.3">
      <c r="B5828" s="18" t="s">
        <v>4611</v>
      </c>
      <c r="C5828" s="13">
        <v>52</v>
      </c>
    </row>
    <row r="5829" spans="2:3" x14ac:dyDescent="0.3">
      <c r="B5829" s="18" t="s">
        <v>4609</v>
      </c>
      <c r="C5829" s="13">
        <v>53</v>
      </c>
    </row>
    <row r="5830" spans="2:3" x14ac:dyDescent="0.3">
      <c r="B5830" s="18" t="s">
        <v>4607</v>
      </c>
      <c r="C5830" s="13">
        <v>54</v>
      </c>
    </row>
    <row r="5831" spans="2:3" x14ac:dyDescent="0.3">
      <c r="B5831" s="18" t="s">
        <v>4603</v>
      </c>
      <c r="C5831" s="13">
        <v>38</v>
      </c>
    </row>
    <row r="5832" spans="2:3" x14ac:dyDescent="0.3">
      <c r="B5832" s="18" t="s">
        <v>4591</v>
      </c>
      <c r="C5832" s="13">
        <v>39</v>
      </c>
    </row>
    <row r="5833" spans="2:3" x14ac:dyDescent="0.3">
      <c r="B5833" s="18" t="s">
        <v>4589</v>
      </c>
      <c r="C5833" s="13">
        <v>40</v>
      </c>
    </row>
    <row r="5834" spans="2:3" x14ac:dyDescent="0.3">
      <c r="B5834" s="18" t="s">
        <v>4587</v>
      </c>
      <c r="C5834" s="13">
        <v>41</v>
      </c>
    </row>
    <row r="5835" spans="2:3" x14ac:dyDescent="0.3">
      <c r="B5835" s="18" t="s">
        <v>4585</v>
      </c>
      <c r="C5835" s="13">
        <v>42</v>
      </c>
    </row>
    <row r="5836" spans="2:3" x14ac:dyDescent="0.3">
      <c r="B5836" s="18" t="s">
        <v>4583</v>
      </c>
      <c r="C5836" s="13">
        <v>43</v>
      </c>
    </row>
    <row r="5837" spans="2:3" x14ac:dyDescent="0.3">
      <c r="B5837" s="18" t="s">
        <v>4581</v>
      </c>
      <c r="C5837" s="13">
        <v>44</v>
      </c>
    </row>
    <row r="5838" spans="2:3" x14ac:dyDescent="0.3">
      <c r="B5838" s="18" t="s">
        <v>4579</v>
      </c>
      <c r="C5838" s="13">
        <v>45</v>
      </c>
    </row>
    <row r="5839" spans="2:3" x14ac:dyDescent="0.3">
      <c r="B5839" s="18" t="s">
        <v>8897</v>
      </c>
      <c r="C5839" s="13">
        <v>63</v>
      </c>
    </row>
    <row r="5840" spans="2:3" x14ac:dyDescent="0.3">
      <c r="B5840" s="18" t="s">
        <v>8898</v>
      </c>
      <c r="C5840" s="13">
        <v>62</v>
      </c>
    </row>
    <row r="5841" spans="2:3" x14ac:dyDescent="0.3">
      <c r="B5841" s="18" t="s">
        <v>8899</v>
      </c>
      <c r="C5841" s="13">
        <v>61</v>
      </c>
    </row>
    <row r="5842" spans="2:3" x14ac:dyDescent="0.3">
      <c r="B5842" s="18" t="s">
        <v>8900</v>
      </c>
      <c r="C5842" s="13">
        <v>60</v>
      </c>
    </row>
    <row r="5843" spans="2:3" x14ac:dyDescent="0.3">
      <c r="B5843" s="18" t="s">
        <v>8901</v>
      </c>
      <c r="C5843" s="13">
        <v>59</v>
      </c>
    </row>
    <row r="5844" spans="2:3" x14ac:dyDescent="0.3">
      <c r="B5844" s="18" t="s">
        <v>8902</v>
      </c>
      <c r="C5844" s="13">
        <v>58</v>
      </c>
    </row>
    <row r="5845" spans="2:3" x14ac:dyDescent="0.3">
      <c r="B5845" s="18" t="s">
        <v>8903</v>
      </c>
      <c r="C5845" s="13">
        <v>57</v>
      </c>
    </row>
    <row r="5846" spans="2:3" x14ac:dyDescent="0.3">
      <c r="B5846" s="18" t="s">
        <v>8904</v>
      </c>
      <c r="C5846" s="13">
        <v>56</v>
      </c>
    </row>
    <row r="5847" spans="2:3" x14ac:dyDescent="0.3">
      <c r="B5847" s="18" t="s">
        <v>8905</v>
      </c>
      <c r="C5847" s="13">
        <v>55</v>
      </c>
    </row>
    <row r="5848" spans="2:3" x14ac:dyDescent="0.3">
      <c r="B5848" s="18" t="s">
        <v>8906</v>
      </c>
      <c r="C5848" s="13">
        <v>71</v>
      </c>
    </row>
    <row r="5849" spans="2:3" x14ac:dyDescent="0.3">
      <c r="B5849" s="18" t="s">
        <v>8907</v>
      </c>
      <c r="C5849" s="13">
        <v>70</v>
      </c>
    </row>
    <row r="5850" spans="2:3" x14ac:dyDescent="0.3">
      <c r="B5850" s="18" t="s">
        <v>8908</v>
      </c>
      <c r="C5850" s="13">
        <v>69</v>
      </c>
    </row>
    <row r="5851" spans="2:3" x14ac:dyDescent="0.3">
      <c r="B5851" s="18" t="s">
        <v>8909</v>
      </c>
      <c r="C5851" s="13">
        <v>68</v>
      </c>
    </row>
    <row r="5852" spans="2:3" x14ac:dyDescent="0.3">
      <c r="B5852" s="18" t="s">
        <v>8910</v>
      </c>
      <c r="C5852" s="13">
        <v>67</v>
      </c>
    </row>
    <row r="5853" spans="2:3" x14ac:dyDescent="0.3">
      <c r="B5853" s="18" t="s">
        <v>8911</v>
      </c>
      <c r="C5853" s="13">
        <v>66</v>
      </c>
    </row>
    <row r="5854" spans="2:3" x14ac:dyDescent="0.3">
      <c r="B5854" s="18" t="s">
        <v>8912</v>
      </c>
      <c r="C5854" s="13">
        <v>65</v>
      </c>
    </row>
    <row r="5855" spans="2:3" x14ac:dyDescent="0.3">
      <c r="B5855" s="18" t="s">
        <v>8913</v>
      </c>
      <c r="C5855" s="13">
        <v>64</v>
      </c>
    </row>
    <row r="5856" spans="2:3" x14ac:dyDescent="0.3">
      <c r="B5856" s="18" t="s">
        <v>4577</v>
      </c>
      <c r="C5856" s="13">
        <v>1</v>
      </c>
    </row>
    <row r="5857" spans="2:3" x14ac:dyDescent="0.3">
      <c r="B5857" s="18" t="s">
        <v>4575</v>
      </c>
      <c r="C5857" s="13">
        <v>10</v>
      </c>
    </row>
    <row r="5858" spans="2:3" x14ac:dyDescent="0.3">
      <c r="B5858" s="18" t="s">
        <v>4573</v>
      </c>
      <c r="C5858" s="13">
        <v>11</v>
      </c>
    </row>
    <row r="5859" spans="2:3" x14ac:dyDescent="0.3">
      <c r="B5859" s="18" t="s">
        <v>4571</v>
      </c>
      <c r="C5859" s="13">
        <v>12</v>
      </c>
    </row>
    <row r="5860" spans="2:3" x14ac:dyDescent="0.3">
      <c r="B5860" s="18" t="s">
        <v>4569</v>
      </c>
      <c r="C5860" s="13">
        <v>13</v>
      </c>
    </row>
    <row r="5861" spans="2:3" x14ac:dyDescent="0.3">
      <c r="B5861" s="18" t="s">
        <v>4567</v>
      </c>
      <c r="C5861" s="13">
        <v>14</v>
      </c>
    </row>
    <row r="5862" spans="2:3" x14ac:dyDescent="0.3">
      <c r="B5862" s="18" t="s">
        <v>4565</v>
      </c>
      <c r="C5862" s="13">
        <v>15</v>
      </c>
    </row>
    <row r="5863" spans="2:3" x14ac:dyDescent="0.3">
      <c r="B5863" s="18" t="s">
        <v>4563</v>
      </c>
      <c r="C5863" s="13">
        <v>16</v>
      </c>
    </row>
    <row r="5864" spans="2:3" x14ac:dyDescent="0.3">
      <c r="B5864" s="18" t="s">
        <v>4561</v>
      </c>
      <c r="C5864" s="13">
        <v>17</v>
      </c>
    </row>
    <row r="5865" spans="2:3" x14ac:dyDescent="0.3">
      <c r="B5865" s="18" t="s">
        <v>4559</v>
      </c>
      <c r="C5865" s="13">
        <v>18</v>
      </c>
    </row>
    <row r="5866" spans="2:3" x14ac:dyDescent="0.3">
      <c r="B5866" s="18" t="s">
        <v>4555</v>
      </c>
      <c r="C5866" s="13">
        <v>2</v>
      </c>
    </row>
    <row r="5867" spans="2:3" x14ac:dyDescent="0.3">
      <c r="B5867" s="18" t="s">
        <v>4543</v>
      </c>
      <c r="C5867" s="13">
        <v>3</v>
      </c>
    </row>
    <row r="5868" spans="2:3" x14ac:dyDescent="0.3">
      <c r="B5868" s="18" t="s">
        <v>4541</v>
      </c>
      <c r="C5868" s="13">
        <v>4</v>
      </c>
    </row>
    <row r="5869" spans="2:3" x14ac:dyDescent="0.3">
      <c r="B5869" s="18" t="s">
        <v>4539</v>
      </c>
      <c r="C5869" s="13">
        <v>5</v>
      </c>
    </row>
    <row r="5870" spans="2:3" x14ac:dyDescent="0.3">
      <c r="B5870" s="18" t="s">
        <v>4537</v>
      </c>
      <c r="C5870" s="13">
        <v>6</v>
      </c>
    </row>
    <row r="5871" spans="2:3" x14ac:dyDescent="0.3">
      <c r="B5871" s="18" t="s">
        <v>4535</v>
      </c>
      <c r="C5871" s="13">
        <v>7</v>
      </c>
    </row>
    <row r="5872" spans="2:3" x14ac:dyDescent="0.3">
      <c r="B5872" s="18" t="s">
        <v>4533</v>
      </c>
      <c r="C5872" s="13">
        <v>8</v>
      </c>
    </row>
    <row r="5873" spans="2:3" x14ac:dyDescent="0.3">
      <c r="B5873" s="18" t="s">
        <v>4531</v>
      </c>
      <c r="C5873" s="13">
        <v>9</v>
      </c>
    </row>
    <row r="5874" spans="2:3" x14ac:dyDescent="0.3">
      <c r="B5874" s="18" t="s">
        <v>4529</v>
      </c>
      <c r="C5874" s="13">
        <v>36</v>
      </c>
    </row>
    <row r="5875" spans="2:3" x14ac:dyDescent="0.3">
      <c r="B5875" s="18" t="s">
        <v>4527</v>
      </c>
      <c r="C5875" s="13">
        <v>27</v>
      </c>
    </row>
    <row r="5876" spans="2:3" x14ac:dyDescent="0.3">
      <c r="B5876" s="18" t="s">
        <v>4525</v>
      </c>
      <c r="C5876" s="13">
        <v>26</v>
      </c>
    </row>
    <row r="5877" spans="2:3" x14ac:dyDescent="0.3">
      <c r="B5877" s="18" t="s">
        <v>4523</v>
      </c>
      <c r="C5877" s="13">
        <v>25</v>
      </c>
    </row>
    <row r="5878" spans="2:3" x14ac:dyDescent="0.3">
      <c r="B5878" s="18" t="s">
        <v>4521</v>
      </c>
      <c r="C5878" s="13">
        <v>24</v>
      </c>
    </row>
    <row r="5879" spans="2:3" x14ac:dyDescent="0.3">
      <c r="B5879" s="18" t="s">
        <v>4519</v>
      </c>
      <c r="C5879" s="13">
        <v>23</v>
      </c>
    </row>
    <row r="5880" spans="2:3" x14ac:dyDescent="0.3">
      <c r="B5880" s="18" t="s">
        <v>4517</v>
      </c>
      <c r="C5880" s="13">
        <v>22</v>
      </c>
    </row>
    <row r="5881" spans="2:3" x14ac:dyDescent="0.3">
      <c r="B5881" s="18" t="s">
        <v>4515</v>
      </c>
      <c r="C5881" s="13">
        <v>21</v>
      </c>
    </row>
    <row r="5882" spans="2:3" x14ac:dyDescent="0.3">
      <c r="B5882" s="18" t="s">
        <v>4513</v>
      </c>
      <c r="C5882" s="13">
        <v>20</v>
      </c>
    </row>
    <row r="5883" spans="2:3" x14ac:dyDescent="0.3">
      <c r="B5883" s="18" t="s">
        <v>4511</v>
      </c>
      <c r="C5883" s="13">
        <v>19</v>
      </c>
    </row>
    <row r="5884" spans="2:3" x14ac:dyDescent="0.3">
      <c r="B5884" s="18" t="s">
        <v>4507</v>
      </c>
      <c r="C5884" s="13">
        <v>35</v>
      </c>
    </row>
    <row r="5885" spans="2:3" x14ac:dyDescent="0.3">
      <c r="B5885" s="18" t="s">
        <v>4495</v>
      </c>
      <c r="C5885" s="13">
        <v>34</v>
      </c>
    </row>
    <row r="5886" spans="2:3" x14ac:dyDescent="0.3">
      <c r="B5886" s="18" t="s">
        <v>4493</v>
      </c>
      <c r="C5886" s="13">
        <v>33</v>
      </c>
    </row>
    <row r="5887" spans="2:3" x14ac:dyDescent="0.3">
      <c r="B5887" s="18" t="s">
        <v>4491</v>
      </c>
      <c r="C5887" s="13">
        <v>32</v>
      </c>
    </row>
    <row r="5888" spans="2:3" x14ac:dyDescent="0.3">
      <c r="B5888" s="18" t="s">
        <v>4489</v>
      </c>
      <c r="C5888" s="13">
        <v>31</v>
      </c>
    </row>
    <row r="5889" spans="2:3" x14ac:dyDescent="0.3">
      <c r="B5889" s="18" t="s">
        <v>4487</v>
      </c>
      <c r="C5889" s="13">
        <v>30</v>
      </c>
    </row>
    <row r="5890" spans="2:3" x14ac:dyDescent="0.3">
      <c r="B5890" s="18" t="s">
        <v>4485</v>
      </c>
      <c r="C5890" s="13">
        <v>29</v>
      </c>
    </row>
    <row r="5891" spans="2:3" x14ac:dyDescent="0.3">
      <c r="B5891" s="18" t="s">
        <v>4483</v>
      </c>
      <c r="C5891" s="13">
        <v>28</v>
      </c>
    </row>
    <row r="5892" spans="2:3" x14ac:dyDescent="0.3">
      <c r="B5892" s="18" t="s">
        <v>4481</v>
      </c>
      <c r="C5892" s="13">
        <v>37</v>
      </c>
    </row>
    <row r="5893" spans="2:3" x14ac:dyDescent="0.3">
      <c r="B5893" s="18" t="s">
        <v>4479</v>
      </c>
      <c r="C5893" s="13">
        <v>46</v>
      </c>
    </row>
    <row r="5894" spans="2:3" x14ac:dyDescent="0.3">
      <c r="B5894" s="18" t="s">
        <v>4477</v>
      </c>
      <c r="C5894" s="13">
        <v>47</v>
      </c>
    </row>
    <row r="5895" spans="2:3" x14ac:dyDescent="0.3">
      <c r="B5895" s="18" t="s">
        <v>4475</v>
      </c>
      <c r="C5895" s="13">
        <v>48</v>
      </c>
    </row>
    <row r="5896" spans="2:3" x14ac:dyDescent="0.3">
      <c r="B5896" s="18" t="s">
        <v>4473</v>
      </c>
      <c r="C5896" s="13">
        <v>49</v>
      </c>
    </row>
    <row r="5897" spans="2:3" x14ac:dyDescent="0.3">
      <c r="B5897" s="18" t="s">
        <v>4471</v>
      </c>
      <c r="C5897" s="13">
        <v>50</v>
      </c>
    </row>
    <row r="5898" spans="2:3" x14ac:dyDescent="0.3">
      <c r="B5898" s="18" t="s">
        <v>4469</v>
      </c>
      <c r="C5898" s="13">
        <v>51</v>
      </c>
    </row>
    <row r="5899" spans="2:3" x14ac:dyDescent="0.3">
      <c r="B5899" s="18" t="s">
        <v>4467</v>
      </c>
      <c r="C5899" s="13">
        <v>52</v>
      </c>
    </row>
    <row r="5900" spans="2:3" x14ac:dyDescent="0.3">
      <c r="B5900" s="18" t="s">
        <v>4465</v>
      </c>
      <c r="C5900" s="13">
        <v>53</v>
      </c>
    </row>
    <row r="5901" spans="2:3" x14ac:dyDescent="0.3">
      <c r="B5901" s="18" t="s">
        <v>4463</v>
      </c>
      <c r="C5901" s="13">
        <v>54</v>
      </c>
    </row>
    <row r="5902" spans="2:3" x14ac:dyDescent="0.3">
      <c r="B5902" s="18" t="s">
        <v>4459</v>
      </c>
      <c r="C5902" s="13">
        <v>38</v>
      </c>
    </row>
    <row r="5903" spans="2:3" x14ac:dyDescent="0.3">
      <c r="B5903" s="18" t="s">
        <v>4447</v>
      </c>
      <c r="C5903" s="13">
        <v>39</v>
      </c>
    </row>
    <row r="5904" spans="2:3" x14ac:dyDescent="0.3">
      <c r="B5904" s="18" t="s">
        <v>4445</v>
      </c>
      <c r="C5904" s="13">
        <v>40</v>
      </c>
    </row>
    <row r="5905" spans="2:3" x14ac:dyDescent="0.3">
      <c r="B5905" s="18" t="s">
        <v>4443</v>
      </c>
      <c r="C5905" s="13">
        <v>41</v>
      </c>
    </row>
    <row r="5906" spans="2:3" x14ac:dyDescent="0.3">
      <c r="B5906" s="18" t="s">
        <v>4441</v>
      </c>
      <c r="C5906" s="13">
        <v>42</v>
      </c>
    </row>
    <row r="5907" spans="2:3" x14ac:dyDescent="0.3">
      <c r="B5907" s="18" t="s">
        <v>4439</v>
      </c>
      <c r="C5907" s="13">
        <v>43</v>
      </c>
    </row>
    <row r="5908" spans="2:3" x14ac:dyDescent="0.3">
      <c r="B5908" s="18" t="s">
        <v>4437</v>
      </c>
      <c r="C5908" s="13">
        <v>44</v>
      </c>
    </row>
    <row r="5909" spans="2:3" x14ac:dyDescent="0.3">
      <c r="B5909" s="18" t="s">
        <v>4435</v>
      </c>
      <c r="C5909" s="13">
        <v>45</v>
      </c>
    </row>
    <row r="5910" spans="2:3" x14ac:dyDescent="0.3">
      <c r="B5910" s="18" t="s">
        <v>8914</v>
      </c>
      <c r="C5910" s="13">
        <v>72</v>
      </c>
    </row>
    <row r="5911" spans="2:3" x14ac:dyDescent="0.3">
      <c r="B5911" s="18" t="s">
        <v>8915</v>
      </c>
      <c r="C5911" s="13">
        <v>63</v>
      </c>
    </row>
    <row r="5912" spans="2:3" x14ac:dyDescent="0.3">
      <c r="B5912" s="18" t="s">
        <v>8916</v>
      </c>
      <c r="C5912" s="13">
        <v>62</v>
      </c>
    </row>
    <row r="5913" spans="2:3" x14ac:dyDescent="0.3">
      <c r="B5913" s="18" t="s">
        <v>8917</v>
      </c>
      <c r="C5913" s="13">
        <v>61</v>
      </c>
    </row>
    <row r="5914" spans="2:3" x14ac:dyDescent="0.3">
      <c r="B5914" s="18" t="s">
        <v>8918</v>
      </c>
      <c r="C5914" s="13">
        <v>60</v>
      </c>
    </row>
    <row r="5915" spans="2:3" x14ac:dyDescent="0.3">
      <c r="B5915" s="18" t="s">
        <v>8919</v>
      </c>
      <c r="C5915" s="13">
        <v>59</v>
      </c>
    </row>
    <row r="5916" spans="2:3" x14ac:dyDescent="0.3">
      <c r="B5916" s="18" t="s">
        <v>8920</v>
      </c>
      <c r="C5916" s="13">
        <v>58</v>
      </c>
    </row>
    <row r="5917" spans="2:3" x14ac:dyDescent="0.3">
      <c r="B5917" s="18" t="s">
        <v>8921</v>
      </c>
      <c r="C5917" s="13">
        <v>57</v>
      </c>
    </row>
    <row r="5918" spans="2:3" x14ac:dyDescent="0.3">
      <c r="B5918" s="18" t="s">
        <v>8922</v>
      </c>
      <c r="C5918" s="13">
        <v>56</v>
      </c>
    </row>
    <row r="5919" spans="2:3" x14ac:dyDescent="0.3">
      <c r="B5919" s="18" t="s">
        <v>8923</v>
      </c>
      <c r="C5919" s="13">
        <v>55</v>
      </c>
    </row>
    <row r="5920" spans="2:3" x14ac:dyDescent="0.3">
      <c r="B5920" s="18" t="s">
        <v>8924</v>
      </c>
      <c r="C5920" s="13">
        <v>71</v>
      </c>
    </row>
    <row r="5921" spans="2:3" x14ac:dyDescent="0.3">
      <c r="B5921" s="18" t="s">
        <v>8925</v>
      </c>
      <c r="C5921" s="13">
        <v>70</v>
      </c>
    </row>
    <row r="5922" spans="2:3" x14ac:dyDescent="0.3">
      <c r="B5922" s="18" t="s">
        <v>8926</v>
      </c>
      <c r="C5922" s="13">
        <v>69</v>
      </c>
    </row>
    <row r="5923" spans="2:3" x14ac:dyDescent="0.3">
      <c r="B5923" s="18" t="s">
        <v>8927</v>
      </c>
      <c r="C5923" s="13">
        <v>68</v>
      </c>
    </row>
    <row r="5924" spans="2:3" x14ac:dyDescent="0.3">
      <c r="B5924" s="18" t="s">
        <v>8928</v>
      </c>
      <c r="C5924" s="13">
        <v>67</v>
      </c>
    </row>
    <row r="5925" spans="2:3" x14ac:dyDescent="0.3">
      <c r="B5925" s="18" t="s">
        <v>8929</v>
      </c>
      <c r="C5925" s="13">
        <v>66</v>
      </c>
    </row>
    <row r="5926" spans="2:3" x14ac:dyDescent="0.3">
      <c r="B5926" s="18" t="s">
        <v>8930</v>
      </c>
      <c r="C5926" s="13">
        <v>65</v>
      </c>
    </row>
    <row r="5927" spans="2:3" x14ac:dyDescent="0.3">
      <c r="B5927" s="18" t="s">
        <v>8931</v>
      </c>
      <c r="C5927" s="13">
        <v>64</v>
      </c>
    </row>
    <row r="5928" spans="2:3" x14ac:dyDescent="0.3">
      <c r="B5928" s="18" t="s">
        <v>4433</v>
      </c>
      <c r="C5928" s="13">
        <v>1</v>
      </c>
    </row>
    <row r="5929" spans="2:3" x14ac:dyDescent="0.3">
      <c r="B5929" s="18" t="s">
        <v>4431</v>
      </c>
      <c r="C5929" s="13">
        <v>10</v>
      </c>
    </row>
    <row r="5930" spans="2:3" x14ac:dyDescent="0.3">
      <c r="B5930" s="18" t="s">
        <v>4429</v>
      </c>
      <c r="C5930" s="13">
        <v>11</v>
      </c>
    </row>
    <row r="5931" spans="2:3" x14ac:dyDescent="0.3">
      <c r="B5931" s="18" t="s">
        <v>4427</v>
      </c>
      <c r="C5931" s="13">
        <v>12</v>
      </c>
    </row>
    <row r="5932" spans="2:3" x14ac:dyDescent="0.3">
      <c r="B5932" s="18" t="s">
        <v>4425</v>
      </c>
      <c r="C5932" s="13">
        <v>13</v>
      </c>
    </row>
    <row r="5933" spans="2:3" x14ac:dyDescent="0.3">
      <c r="B5933" s="18" t="s">
        <v>4423</v>
      </c>
      <c r="C5933" s="13">
        <v>14</v>
      </c>
    </row>
    <row r="5934" spans="2:3" x14ac:dyDescent="0.3">
      <c r="B5934" s="18" t="s">
        <v>4421</v>
      </c>
      <c r="C5934" s="13">
        <v>15</v>
      </c>
    </row>
    <row r="5935" spans="2:3" x14ac:dyDescent="0.3">
      <c r="B5935" s="18" t="s">
        <v>4419</v>
      </c>
      <c r="C5935" s="13">
        <v>16</v>
      </c>
    </row>
    <row r="5936" spans="2:3" x14ac:dyDescent="0.3">
      <c r="B5936" s="18" t="s">
        <v>4417</v>
      </c>
      <c r="C5936" s="13">
        <v>17</v>
      </c>
    </row>
    <row r="5937" spans="2:3" x14ac:dyDescent="0.3">
      <c r="B5937" s="18" t="s">
        <v>4415</v>
      </c>
      <c r="C5937" s="13">
        <v>18</v>
      </c>
    </row>
    <row r="5938" spans="2:3" x14ac:dyDescent="0.3">
      <c r="B5938" s="18" t="s">
        <v>4413</v>
      </c>
      <c r="C5938" s="13">
        <v>19</v>
      </c>
    </row>
    <row r="5939" spans="2:3" x14ac:dyDescent="0.3">
      <c r="B5939" s="18" t="s">
        <v>4411</v>
      </c>
      <c r="C5939" s="13">
        <v>2</v>
      </c>
    </row>
    <row r="5940" spans="2:3" x14ac:dyDescent="0.3">
      <c r="B5940" s="18" t="s">
        <v>4397</v>
      </c>
      <c r="C5940" s="13">
        <v>3</v>
      </c>
    </row>
    <row r="5941" spans="2:3" x14ac:dyDescent="0.3">
      <c r="B5941" s="18" t="s">
        <v>4395</v>
      </c>
      <c r="C5941" s="13">
        <v>4</v>
      </c>
    </row>
    <row r="5942" spans="2:3" x14ac:dyDescent="0.3">
      <c r="B5942" s="18" t="s">
        <v>4393</v>
      </c>
      <c r="C5942" s="13">
        <v>5</v>
      </c>
    </row>
    <row r="5943" spans="2:3" x14ac:dyDescent="0.3">
      <c r="B5943" s="18" t="s">
        <v>4391</v>
      </c>
      <c r="C5943" s="13">
        <v>6</v>
      </c>
    </row>
    <row r="5944" spans="2:3" x14ac:dyDescent="0.3">
      <c r="B5944" s="18" t="s">
        <v>4389</v>
      </c>
      <c r="C5944" s="13">
        <v>7</v>
      </c>
    </row>
    <row r="5945" spans="2:3" x14ac:dyDescent="0.3">
      <c r="B5945" s="18" t="s">
        <v>4387</v>
      </c>
      <c r="C5945" s="13">
        <v>8</v>
      </c>
    </row>
    <row r="5946" spans="2:3" x14ac:dyDescent="0.3">
      <c r="B5946" s="18" t="s">
        <v>4385</v>
      </c>
      <c r="C5946" s="13">
        <v>9</v>
      </c>
    </row>
    <row r="5947" spans="2:3" x14ac:dyDescent="0.3">
      <c r="B5947" s="18" t="s">
        <v>4383</v>
      </c>
      <c r="C5947" s="13">
        <v>38</v>
      </c>
    </row>
    <row r="5948" spans="2:3" x14ac:dyDescent="0.3">
      <c r="B5948" s="18" t="s">
        <v>4381</v>
      </c>
      <c r="C5948" s="13">
        <v>29</v>
      </c>
    </row>
    <row r="5949" spans="2:3" x14ac:dyDescent="0.3">
      <c r="B5949" s="18" t="s">
        <v>4379</v>
      </c>
      <c r="C5949" s="13">
        <v>28</v>
      </c>
    </row>
    <row r="5950" spans="2:3" x14ac:dyDescent="0.3">
      <c r="B5950" s="18" t="s">
        <v>4377</v>
      </c>
      <c r="C5950" s="13">
        <v>27</v>
      </c>
    </row>
    <row r="5951" spans="2:3" x14ac:dyDescent="0.3">
      <c r="B5951" s="18" t="s">
        <v>4375</v>
      </c>
      <c r="C5951" s="13">
        <v>26</v>
      </c>
    </row>
    <row r="5952" spans="2:3" x14ac:dyDescent="0.3">
      <c r="B5952" s="18" t="s">
        <v>4373</v>
      </c>
      <c r="C5952" s="13">
        <v>25</v>
      </c>
    </row>
    <row r="5953" spans="2:3" x14ac:dyDescent="0.3">
      <c r="B5953" s="18" t="s">
        <v>4371</v>
      </c>
      <c r="C5953" s="13">
        <v>24</v>
      </c>
    </row>
    <row r="5954" spans="2:3" x14ac:dyDescent="0.3">
      <c r="B5954" s="18" t="s">
        <v>4369</v>
      </c>
      <c r="C5954" s="13">
        <v>23</v>
      </c>
    </row>
    <row r="5955" spans="2:3" x14ac:dyDescent="0.3">
      <c r="B5955" s="18" t="s">
        <v>4367</v>
      </c>
      <c r="C5955" s="13">
        <v>22</v>
      </c>
    </row>
    <row r="5956" spans="2:3" x14ac:dyDescent="0.3">
      <c r="B5956" s="18" t="s">
        <v>4365</v>
      </c>
      <c r="C5956" s="13">
        <v>21</v>
      </c>
    </row>
    <row r="5957" spans="2:3" x14ac:dyDescent="0.3">
      <c r="B5957" s="18" t="s">
        <v>4363</v>
      </c>
      <c r="C5957" s="13">
        <v>20</v>
      </c>
    </row>
    <row r="5958" spans="2:3" x14ac:dyDescent="0.3">
      <c r="B5958" s="18" t="s">
        <v>4361</v>
      </c>
      <c r="C5958" s="13">
        <v>37</v>
      </c>
    </row>
    <row r="5959" spans="2:3" x14ac:dyDescent="0.3">
      <c r="B5959" s="18" t="s">
        <v>4347</v>
      </c>
      <c r="C5959" s="13">
        <v>36</v>
      </c>
    </row>
    <row r="5960" spans="2:3" x14ac:dyDescent="0.3">
      <c r="B5960" s="18" t="s">
        <v>4345</v>
      </c>
      <c r="C5960" s="13">
        <v>35</v>
      </c>
    </row>
    <row r="5961" spans="2:3" x14ac:dyDescent="0.3">
      <c r="B5961" s="18" t="s">
        <v>4343</v>
      </c>
      <c r="C5961" s="13">
        <v>34</v>
      </c>
    </row>
    <row r="5962" spans="2:3" x14ac:dyDescent="0.3">
      <c r="B5962" s="18" t="s">
        <v>4341</v>
      </c>
      <c r="C5962" s="13">
        <v>33</v>
      </c>
    </row>
    <row r="5963" spans="2:3" x14ac:dyDescent="0.3">
      <c r="B5963" s="18" t="s">
        <v>4339</v>
      </c>
      <c r="C5963" s="13">
        <v>32</v>
      </c>
    </row>
    <row r="5964" spans="2:3" x14ac:dyDescent="0.3">
      <c r="B5964" s="18" t="s">
        <v>4337</v>
      </c>
      <c r="C5964" s="13">
        <v>31</v>
      </c>
    </row>
    <row r="5965" spans="2:3" x14ac:dyDescent="0.3">
      <c r="B5965" s="18" t="s">
        <v>4335</v>
      </c>
      <c r="C5965" s="13">
        <v>30</v>
      </c>
    </row>
    <row r="5966" spans="2:3" x14ac:dyDescent="0.3">
      <c r="B5966" s="18" t="s">
        <v>8932</v>
      </c>
      <c r="C5966" s="13">
        <v>39</v>
      </c>
    </row>
    <row r="5967" spans="2:3" x14ac:dyDescent="0.3">
      <c r="B5967" s="18" t="s">
        <v>4333</v>
      </c>
      <c r="C5967" s="13">
        <v>48</v>
      </c>
    </row>
    <row r="5968" spans="2:3" x14ac:dyDescent="0.3">
      <c r="B5968" s="18" t="s">
        <v>4331</v>
      </c>
      <c r="C5968" s="13">
        <v>49</v>
      </c>
    </row>
    <row r="5969" spans="2:3" x14ac:dyDescent="0.3">
      <c r="B5969" s="18" t="s">
        <v>4329</v>
      </c>
      <c r="C5969" s="13">
        <v>50</v>
      </c>
    </row>
    <row r="5970" spans="2:3" x14ac:dyDescent="0.3">
      <c r="B5970" s="18" t="s">
        <v>4327</v>
      </c>
      <c r="C5970" s="13">
        <v>51</v>
      </c>
    </row>
    <row r="5971" spans="2:3" x14ac:dyDescent="0.3">
      <c r="B5971" s="18" t="s">
        <v>4325</v>
      </c>
      <c r="C5971" s="13">
        <v>52</v>
      </c>
    </row>
    <row r="5972" spans="2:3" x14ac:dyDescent="0.3">
      <c r="B5972" s="18" t="s">
        <v>4323</v>
      </c>
      <c r="C5972" s="13">
        <v>53</v>
      </c>
    </row>
    <row r="5973" spans="2:3" x14ac:dyDescent="0.3">
      <c r="B5973" s="18" t="s">
        <v>4321</v>
      </c>
      <c r="C5973" s="13">
        <v>54</v>
      </c>
    </row>
    <row r="5974" spans="2:3" x14ac:dyDescent="0.3">
      <c r="B5974" s="18" t="s">
        <v>4319</v>
      </c>
      <c r="C5974" s="13">
        <v>55</v>
      </c>
    </row>
    <row r="5975" spans="2:3" x14ac:dyDescent="0.3">
      <c r="B5975" s="18" t="s">
        <v>4317</v>
      </c>
      <c r="C5975" s="13">
        <v>56</v>
      </c>
    </row>
    <row r="5976" spans="2:3" x14ac:dyDescent="0.3">
      <c r="B5976" s="18" t="s">
        <v>4315</v>
      </c>
      <c r="C5976" s="13">
        <v>57</v>
      </c>
    </row>
    <row r="5977" spans="2:3" x14ac:dyDescent="0.3">
      <c r="B5977" s="18" t="s">
        <v>8933</v>
      </c>
      <c r="C5977" s="13">
        <v>40</v>
      </c>
    </row>
    <row r="5978" spans="2:3" x14ac:dyDescent="0.3">
      <c r="B5978" s="18" t="s">
        <v>4301</v>
      </c>
      <c r="C5978" s="13">
        <v>41</v>
      </c>
    </row>
    <row r="5979" spans="2:3" x14ac:dyDescent="0.3">
      <c r="B5979" s="18" t="s">
        <v>4299</v>
      </c>
      <c r="C5979" s="13">
        <v>42</v>
      </c>
    </row>
    <row r="5980" spans="2:3" x14ac:dyDescent="0.3">
      <c r="B5980" s="18" t="s">
        <v>4297</v>
      </c>
      <c r="C5980" s="13">
        <v>43</v>
      </c>
    </row>
    <row r="5981" spans="2:3" x14ac:dyDescent="0.3">
      <c r="B5981" s="18" t="s">
        <v>4295</v>
      </c>
      <c r="C5981" s="13">
        <v>44</v>
      </c>
    </row>
    <row r="5982" spans="2:3" x14ac:dyDescent="0.3">
      <c r="B5982" s="18" t="s">
        <v>4293</v>
      </c>
      <c r="C5982" s="13">
        <v>45</v>
      </c>
    </row>
    <row r="5983" spans="2:3" x14ac:dyDescent="0.3">
      <c r="B5983" s="18" t="s">
        <v>4291</v>
      </c>
      <c r="C5983" s="13">
        <v>46</v>
      </c>
    </row>
    <row r="5984" spans="2:3" x14ac:dyDescent="0.3">
      <c r="B5984" s="18" t="s">
        <v>4289</v>
      </c>
      <c r="C5984" s="13">
        <v>47</v>
      </c>
    </row>
    <row r="5985" spans="2:3" x14ac:dyDescent="0.3">
      <c r="B5985" s="18" t="s">
        <v>8934</v>
      </c>
      <c r="C5985" s="13">
        <v>67</v>
      </c>
    </row>
    <row r="5986" spans="2:3" x14ac:dyDescent="0.3">
      <c r="B5986" s="18" t="s">
        <v>8935</v>
      </c>
      <c r="C5986" s="13">
        <v>66</v>
      </c>
    </row>
    <row r="5987" spans="2:3" x14ac:dyDescent="0.3">
      <c r="B5987" s="18" t="s">
        <v>8936</v>
      </c>
      <c r="C5987" s="13">
        <v>65</v>
      </c>
    </row>
    <row r="5988" spans="2:3" x14ac:dyDescent="0.3">
      <c r="B5988" s="18" t="s">
        <v>8937</v>
      </c>
      <c r="C5988" s="13">
        <v>64</v>
      </c>
    </row>
    <row r="5989" spans="2:3" x14ac:dyDescent="0.3">
      <c r="B5989" s="18" t="s">
        <v>8938</v>
      </c>
      <c r="C5989" s="13">
        <v>63</v>
      </c>
    </row>
    <row r="5990" spans="2:3" x14ac:dyDescent="0.3">
      <c r="B5990" s="18" t="s">
        <v>8939</v>
      </c>
      <c r="C5990" s="13">
        <v>62</v>
      </c>
    </row>
    <row r="5991" spans="2:3" x14ac:dyDescent="0.3">
      <c r="B5991" s="18" t="s">
        <v>8940</v>
      </c>
      <c r="C5991" s="13">
        <v>61</v>
      </c>
    </row>
    <row r="5992" spans="2:3" x14ac:dyDescent="0.3">
      <c r="B5992" s="18" t="s">
        <v>8941</v>
      </c>
      <c r="C5992" s="13">
        <v>60</v>
      </c>
    </row>
    <row r="5993" spans="2:3" x14ac:dyDescent="0.3">
      <c r="B5993" s="18" t="s">
        <v>8942</v>
      </c>
      <c r="C5993" s="13">
        <v>59</v>
      </c>
    </row>
    <row r="5994" spans="2:3" x14ac:dyDescent="0.3">
      <c r="B5994" s="18" t="s">
        <v>8943</v>
      </c>
      <c r="C5994" s="13">
        <v>58</v>
      </c>
    </row>
    <row r="5995" spans="2:3" x14ac:dyDescent="0.3">
      <c r="B5995" s="18" t="s">
        <v>8944</v>
      </c>
      <c r="C5995" s="13">
        <v>73</v>
      </c>
    </row>
    <row r="5996" spans="2:3" x14ac:dyDescent="0.3">
      <c r="B5996" s="18" t="s">
        <v>8945</v>
      </c>
      <c r="C5996" s="13">
        <v>72</v>
      </c>
    </row>
    <row r="5997" spans="2:3" x14ac:dyDescent="0.3">
      <c r="B5997" s="18" t="s">
        <v>8946</v>
      </c>
      <c r="C5997" s="13">
        <v>71</v>
      </c>
    </row>
    <row r="5998" spans="2:3" x14ac:dyDescent="0.3">
      <c r="B5998" s="18" t="s">
        <v>8947</v>
      </c>
      <c r="C5998" s="13">
        <v>70</v>
      </c>
    </row>
    <row r="5999" spans="2:3" x14ac:dyDescent="0.3">
      <c r="B5999" s="18" t="s">
        <v>8948</v>
      </c>
      <c r="C5999" s="13">
        <v>69</v>
      </c>
    </row>
    <row r="6000" spans="2:3" x14ac:dyDescent="0.3">
      <c r="B6000" s="18" t="s">
        <v>8949</v>
      </c>
      <c r="C6000" s="13">
        <v>68</v>
      </c>
    </row>
    <row r="6001" spans="2:3" x14ac:dyDescent="0.3">
      <c r="B6001" s="18" t="s">
        <v>4287</v>
      </c>
      <c r="C6001" s="13">
        <v>1</v>
      </c>
    </row>
    <row r="6002" spans="2:3" x14ac:dyDescent="0.3">
      <c r="B6002" s="18" t="s">
        <v>4285</v>
      </c>
      <c r="C6002" s="13">
        <v>10</v>
      </c>
    </row>
    <row r="6003" spans="2:3" x14ac:dyDescent="0.3">
      <c r="B6003" s="18" t="s">
        <v>4283</v>
      </c>
      <c r="C6003" s="13">
        <v>11</v>
      </c>
    </row>
    <row r="6004" spans="2:3" x14ac:dyDescent="0.3">
      <c r="B6004" s="18" t="s">
        <v>4281</v>
      </c>
      <c r="C6004" s="13">
        <v>12</v>
      </c>
    </row>
    <row r="6005" spans="2:3" x14ac:dyDescent="0.3">
      <c r="B6005" s="18" t="s">
        <v>4279</v>
      </c>
      <c r="C6005" s="13">
        <v>13</v>
      </c>
    </row>
    <row r="6006" spans="2:3" x14ac:dyDescent="0.3">
      <c r="B6006" s="18" t="s">
        <v>4277</v>
      </c>
      <c r="C6006" s="13">
        <v>14</v>
      </c>
    </row>
    <row r="6007" spans="2:3" x14ac:dyDescent="0.3">
      <c r="B6007" s="18" t="s">
        <v>4275</v>
      </c>
      <c r="C6007" s="13">
        <v>15</v>
      </c>
    </row>
    <row r="6008" spans="2:3" x14ac:dyDescent="0.3">
      <c r="B6008" s="18" t="s">
        <v>4273</v>
      </c>
      <c r="C6008" s="13">
        <v>16</v>
      </c>
    </row>
    <row r="6009" spans="2:3" x14ac:dyDescent="0.3">
      <c r="B6009" s="18" t="s">
        <v>4271</v>
      </c>
      <c r="C6009" s="13">
        <v>17</v>
      </c>
    </row>
    <row r="6010" spans="2:3" x14ac:dyDescent="0.3">
      <c r="B6010" s="18" t="s">
        <v>4269</v>
      </c>
      <c r="C6010" s="13">
        <v>18</v>
      </c>
    </row>
    <row r="6011" spans="2:3" x14ac:dyDescent="0.3">
      <c r="B6011" s="18" t="s">
        <v>4267</v>
      </c>
      <c r="C6011" s="13">
        <v>19</v>
      </c>
    </row>
    <row r="6012" spans="2:3" x14ac:dyDescent="0.3">
      <c r="B6012" s="18" t="s">
        <v>4265</v>
      </c>
      <c r="C6012" s="13">
        <v>2</v>
      </c>
    </row>
    <row r="6013" spans="2:3" x14ac:dyDescent="0.3">
      <c r="B6013" s="18" t="s">
        <v>4251</v>
      </c>
      <c r="C6013" s="13">
        <v>3</v>
      </c>
    </row>
    <row r="6014" spans="2:3" x14ac:dyDescent="0.3">
      <c r="B6014" s="18" t="s">
        <v>4249</v>
      </c>
      <c r="C6014" s="13">
        <v>4</v>
      </c>
    </row>
    <row r="6015" spans="2:3" x14ac:dyDescent="0.3">
      <c r="B6015" s="18" t="s">
        <v>4247</v>
      </c>
      <c r="C6015" s="13">
        <v>5</v>
      </c>
    </row>
    <row r="6016" spans="2:3" x14ac:dyDescent="0.3">
      <c r="B6016" s="18" t="s">
        <v>4245</v>
      </c>
      <c r="C6016" s="13">
        <v>6</v>
      </c>
    </row>
    <row r="6017" spans="2:3" x14ac:dyDescent="0.3">
      <c r="B6017" s="18" t="s">
        <v>4243</v>
      </c>
      <c r="C6017" s="13">
        <v>7</v>
      </c>
    </row>
    <row r="6018" spans="2:3" x14ac:dyDescent="0.3">
      <c r="B6018" s="18" t="s">
        <v>4241</v>
      </c>
      <c r="C6018" s="13">
        <v>8</v>
      </c>
    </row>
    <row r="6019" spans="2:3" x14ac:dyDescent="0.3">
      <c r="B6019" s="18" t="s">
        <v>4239</v>
      </c>
      <c r="C6019" s="13">
        <v>9</v>
      </c>
    </row>
    <row r="6020" spans="2:3" x14ac:dyDescent="0.3">
      <c r="B6020" s="18" t="s">
        <v>4237</v>
      </c>
      <c r="C6020" s="13">
        <v>38</v>
      </c>
    </row>
    <row r="6021" spans="2:3" x14ac:dyDescent="0.3">
      <c r="B6021" s="18" t="s">
        <v>4235</v>
      </c>
      <c r="C6021" s="13">
        <v>29</v>
      </c>
    </row>
    <row r="6022" spans="2:3" x14ac:dyDescent="0.3">
      <c r="B6022" s="18" t="s">
        <v>4233</v>
      </c>
      <c r="C6022" s="13">
        <v>28</v>
      </c>
    </row>
    <row r="6023" spans="2:3" x14ac:dyDescent="0.3">
      <c r="B6023" s="18" t="s">
        <v>4231</v>
      </c>
      <c r="C6023" s="13">
        <v>27</v>
      </c>
    </row>
    <row r="6024" spans="2:3" x14ac:dyDescent="0.3">
      <c r="B6024" s="18" t="s">
        <v>4229</v>
      </c>
      <c r="C6024" s="13">
        <v>26</v>
      </c>
    </row>
    <row r="6025" spans="2:3" x14ac:dyDescent="0.3">
      <c r="B6025" s="18" t="s">
        <v>4227</v>
      </c>
      <c r="C6025" s="13">
        <v>25</v>
      </c>
    </row>
    <row r="6026" spans="2:3" x14ac:dyDescent="0.3">
      <c r="B6026" s="18" t="s">
        <v>4225</v>
      </c>
      <c r="C6026" s="13">
        <v>24</v>
      </c>
    </row>
    <row r="6027" spans="2:3" x14ac:dyDescent="0.3">
      <c r="B6027" s="18" t="s">
        <v>4223</v>
      </c>
      <c r="C6027" s="13">
        <v>23</v>
      </c>
    </row>
    <row r="6028" spans="2:3" x14ac:dyDescent="0.3">
      <c r="B6028" s="18" t="s">
        <v>4221</v>
      </c>
      <c r="C6028" s="13">
        <v>22</v>
      </c>
    </row>
    <row r="6029" spans="2:3" x14ac:dyDescent="0.3">
      <c r="B6029" s="18" t="s">
        <v>4219</v>
      </c>
      <c r="C6029" s="13">
        <v>21</v>
      </c>
    </row>
    <row r="6030" spans="2:3" x14ac:dyDescent="0.3">
      <c r="B6030" s="18" t="s">
        <v>4217</v>
      </c>
      <c r="C6030" s="13">
        <v>20</v>
      </c>
    </row>
    <row r="6031" spans="2:3" x14ac:dyDescent="0.3">
      <c r="B6031" s="18" t="s">
        <v>4215</v>
      </c>
      <c r="C6031" s="13">
        <v>37</v>
      </c>
    </row>
    <row r="6032" spans="2:3" x14ac:dyDescent="0.3">
      <c r="B6032" s="18" t="s">
        <v>4201</v>
      </c>
      <c r="C6032" s="13">
        <v>36</v>
      </c>
    </row>
    <row r="6033" spans="2:3" x14ac:dyDescent="0.3">
      <c r="B6033" s="18" t="s">
        <v>4199</v>
      </c>
      <c r="C6033" s="13">
        <v>35</v>
      </c>
    </row>
    <row r="6034" spans="2:3" x14ac:dyDescent="0.3">
      <c r="B6034" s="18" t="s">
        <v>4197</v>
      </c>
      <c r="C6034" s="13">
        <v>34</v>
      </c>
    </row>
    <row r="6035" spans="2:3" x14ac:dyDescent="0.3">
      <c r="B6035" s="18" t="s">
        <v>4195</v>
      </c>
      <c r="C6035" s="13">
        <v>33</v>
      </c>
    </row>
    <row r="6036" spans="2:3" x14ac:dyDescent="0.3">
      <c r="B6036" s="18" t="s">
        <v>4193</v>
      </c>
      <c r="C6036" s="13">
        <v>32</v>
      </c>
    </row>
    <row r="6037" spans="2:3" x14ac:dyDescent="0.3">
      <c r="B6037" s="18" t="s">
        <v>4191</v>
      </c>
      <c r="C6037" s="13">
        <v>31</v>
      </c>
    </row>
    <row r="6038" spans="2:3" x14ac:dyDescent="0.3">
      <c r="B6038" s="18" t="s">
        <v>4189</v>
      </c>
      <c r="C6038" s="13">
        <v>30</v>
      </c>
    </row>
    <row r="6039" spans="2:3" x14ac:dyDescent="0.3">
      <c r="B6039" s="18" t="s">
        <v>8950</v>
      </c>
      <c r="C6039" s="13">
        <v>39</v>
      </c>
    </row>
    <row r="6040" spans="2:3" x14ac:dyDescent="0.3">
      <c r="B6040" s="18" t="s">
        <v>4187</v>
      </c>
      <c r="C6040" s="13">
        <v>48</v>
      </c>
    </row>
    <row r="6041" spans="2:3" x14ac:dyDescent="0.3">
      <c r="B6041" s="18" t="s">
        <v>4185</v>
      </c>
      <c r="C6041" s="13">
        <v>49</v>
      </c>
    </row>
    <row r="6042" spans="2:3" x14ac:dyDescent="0.3">
      <c r="B6042" s="18" t="s">
        <v>4183</v>
      </c>
      <c r="C6042" s="13">
        <v>50</v>
      </c>
    </row>
    <row r="6043" spans="2:3" x14ac:dyDescent="0.3">
      <c r="B6043" s="18" t="s">
        <v>4181</v>
      </c>
      <c r="C6043" s="13">
        <v>51</v>
      </c>
    </row>
    <row r="6044" spans="2:3" x14ac:dyDescent="0.3">
      <c r="B6044" s="18" t="s">
        <v>4179</v>
      </c>
      <c r="C6044" s="13">
        <v>52</v>
      </c>
    </row>
    <row r="6045" spans="2:3" x14ac:dyDescent="0.3">
      <c r="B6045" s="18" t="s">
        <v>4177</v>
      </c>
      <c r="C6045" s="13">
        <v>53</v>
      </c>
    </row>
    <row r="6046" spans="2:3" x14ac:dyDescent="0.3">
      <c r="B6046" s="18" t="s">
        <v>4175</v>
      </c>
      <c r="C6046" s="13">
        <v>54</v>
      </c>
    </row>
    <row r="6047" spans="2:3" x14ac:dyDescent="0.3">
      <c r="B6047" s="18" t="s">
        <v>4173</v>
      </c>
      <c r="C6047" s="13">
        <v>55</v>
      </c>
    </row>
    <row r="6048" spans="2:3" x14ac:dyDescent="0.3">
      <c r="B6048" s="18" t="s">
        <v>4171</v>
      </c>
      <c r="C6048" s="13">
        <v>56</v>
      </c>
    </row>
    <row r="6049" spans="2:3" x14ac:dyDescent="0.3">
      <c r="B6049" s="18" t="s">
        <v>4169</v>
      </c>
      <c r="C6049" s="13">
        <v>57</v>
      </c>
    </row>
    <row r="6050" spans="2:3" x14ac:dyDescent="0.3">
      <c r="B6050" s="18" t="s">
        <v>4167</v>
      </c>
      <c r="C6050" s="13">
        <v>40</v>
      </c>
    </row>
    <row r="6051" spans="2:3" x14ac:dyDescent="0.3">
      <c r="B6051" s="18" t="s">
        <v>4153</v>
      </c>
      <c r="C6051" s="13">
        <v>41</v>
      </c>
    </row>
    <row r="6052" spans="2:3" x14ac:dyDescent="0.3">
      <c r="B6052" s="18" t="s">
        <v>4151</v>
      </c>
      <c r="C6052" s="13">
        <v>42</v>
      </c>
    </row>
    <row r="6053" spans="2:3" x14ac:dyDescent="0.3">
      <c r="B6053" s="18" t="s">
        <v>4149</v>
      </c>
      <c r="C6053" s="13">
        <v>43</v>
      </c>
    </row>
    <row r="6054" spans="2:3" x14ac:dyDescent="0.3">
      <c r="B6054" s="18" t="s">
        <v>4147</v>
      </c>
      <c r="C6054" s="13">
        <v>44</v>
      </c>
    </row>
    <row r="6055" spans="2:3" x14ac:dyDescent="0.3">
      <c r="B6055" s="18" t="s">
        <v>4145</v>
      </c>
      <c r="C6055" s="13">
        <v>45</v>
      </c>
    </row>
    <row r="6056" spans="2:3" x14ac:dyDescent="0.3">
      <c r="B6056" s="18" t="s">
        <v>4143</v>
      </c>
      <c r="C6056" s="13">
        <v>46</v>
      </c>
    </row>
    <row r="6057" spans="2:3" x14ac:dyDescent="0.3">
      <c r="B6057" s="18" t="s">
        <v>4141</v>
      </c>
      <c r="C6057" s="13">
        <v>47</v>
      </c>
    </row>
    <row r="6058" spans="2:3" x14ac:dyDescent="0.3">
      <c r="B6058" s="18" t="s">
        <v>8951</v>
      </c>
      <c r="C6058" s="13">
        <v>67</v>
      </c>
    </row>
    <row r="6059" spans="2:3" x14ac:dyDescent="0.3">
      <c r="B6059" s="18" t="s">
        <v>8952</v>
      </c>
      <c r="C6059" s="13">
        <v>66</v>
      </c>
    </row>
    <row r="6060" spans="2:3" x14ac:dyDescent="0.3">
      <c r="B6060" s="18" t="s">
        <v>8953</v>
      </c>
      <c r="C6060" s="13">
        <v>65</v>
      </c>
    </row>
    <row r="6061" spans="2:3" x14ac:dyDescent="0.3">
      <c r="B6061" s="18" t="s">
        <v>8954</v>
      </c>
      <c r="C6061" s="13">
        <v>64</v>
      </c>
    </row>
    <row r="6062" spans="2:3" x14ac:dyDescent="0.3">
      <c r="B6062" s="18" t="s">
        <v>8955</v>
      </c>
      <c r="C6062" s="13">
        <v>63</v>
      </c>
    </row>
    <row r="6063" spans="2:3" x14ac:dyDescent="0.3">
      <c r="B6063" s="18" t="s">
        <v>8956</v>
      </c>
      <c r="C6063" s="13">
        <v>62</v>
      </c>
    </row>
    <row r="6064" spans="2:3" x14ac:dyDescent="0.3">
      <c r="B6064" s="18" t="s">
        <v>8957</v>
      </c>
      <c r="C6064" s="13">
        <v>61</v>
      </c>
    </row>
    <row r="6065" spans="2:3" x14ac:dyDescent="0.3">
      <c r="B6065" s="18" t="s">
        <v>8958</v>
      </c>
      <c r="C6065" s="13">
        <v>60</v>
      </c>
    </row>
    <row r="6066" spans="2:3" x14ac:dyDescent="0.3">
      <c r="B6066" s="18" t="s">
        <v>8959</v>
      </c>
      <c r="C6066" s="13">
        <v>59</v>
      </c>
    </row>
    <row r="6067" spans="2:3" x14ac:dyDescent="0.3">
      <c r="B6067" s="18" t="s">
        <v>8960</v>
      </c>
      <c r="C6067" s="13">
        <v>58</v>
      </c>
    </row>
    <row r="6068" spans="2:3" x14ac:dyDescent="0.3">
      <c r="B6068" s="18" t="s">
        <v>8961</v>
      </c>
      <c r="C6068" s="13">
        <v>74</v>
      </c>
    </row>
    <row r="6069" spans="2:3" x14ac:dyDescent="0.3">
      <c r="B6069" s="18" t="s">
        <v>8962</v>
      </c>
      <c r="C6069" s="13">
        <v>73</v>
      </c>
    </row>
    <row r="6070" spans="2:3" x14ac:dyDescent="0.3">
      <c r="B6070" s="18" t="s">
        <v>8963</v>
      </c>
      <c r="C6070" s="13">
        <v>72</v>
      </c>
    </row>
    <row r="6071" spans="2:3" x14ac:dyDescent="0.3">
      <c r="B6071" s="18" t="s">
        <v>8964</v>
      </c>
      <c r="C6071" s="13">
        <v>71</v>
      </c>
    </row>
    <row r="6072" spans="2:3" x14ac:dyDescent="0.3">
      <c r="B6072" s="18" t="s">
        <v>8965</v>
      </c>
      <c r="C6072" s="13">
        <v>70</v>
      </c>
    </row>
    <row r="6073" spans="2:3" x14ac:dyDescent="0.3">
      <c r="B6073" s="18" t="s">
        <v>8966</v>
      </c>
      <c r="C6073" s="13">
        <v>69</v>
      </c>
    </row>
    <row r="6074" spans="2:3" x14ac:dyDescent="0.3">
      <c r="B6074" s="18" t="s">
        <v>8967</v>
      </c>
      <c r="C6074" s="13">
        <v>68</v>
      </c>
    </row>
    <row r="6075" spans="2:3" x14ac:dyDescent="0.3">
      <c r="B6075" s="18" t="s">
        <v>4139</v>
      </c>
      <c r="C6075" s="13">
        <v>1</v>
      </c>
    </row>
    <row r="6076" spans="2:3" x14ac:dyDescent="0.3">
      <c r="B6076" s="18" t="s">
        <v>4137</v>
      </c>
      <c r="C6076" s="13">
        <v>10</v>
      </c>
    </row>
    <row r="6077" spans="2:3" x14ac:dyDescent="0.3">
      <c r="B6077" s="18" t="s">
        <v>4135</v>
      </c>
      <c r="C6077" s="13">
        <v>11</v>
      </c>
    </row>
    <row r="6078" spans="2:3" x14ac:dyDescent="0.3">
      <c r="B6078" s="18" t="s">
        <v>4133</v>
      </c>
      <c r="C6078" s="13">
        <v>12</v>
      </c>
    </row>
    <row r="6079" spans="2:3" x14ac:dyDescent="0.3">
      <c r="B6079" s="18" t="s">
        <v>4131</v>
      </c>
      <c r="C6079" s="13">
        <v>13</v>
      </c>
    </row>
    <row r="6080" spans="2:3" x14ac:dyDescent="0.3">
      <c r="B6080" s="18" t="s">
        <v>4129</v>
      </c>
      <c r="C6080" s="13">
        <v>14</v>
      </c>
    </row>
    <row r="6081" spans="2:3" x14ac:dyDescent="0.3">
      <c r="B6081" s="18" t="s">
        <v>4127</v>
      </c>
      <c r="C6081" s="13">
        <v>15</v>
      </c>
    </row>
    <row r="6082" spans="2:3" x14ac:dyDescent="0.3">
      <c r="B6082" s="18" t="s">
        <v>4125</v>
      </c>
      <c r="C6082" s="13">
        <v>16</v>
      </c>
    </row>
    <row r="6083" spans="2:3" x14ac:dyDescent="0.3">
      <c r="B6083" s="18" t="s">
        <v>4123</v>
      </c>
      <c r="C6083" s="13">
        <v>17</v>
      </c>
    </row>
    <row r="6084" spans="2:3" x14ac:dyDescent="0.3">
      <c r="B6084" s="18" t="s">
        <v>4121</v>
      </c>
      <c r="C6084" s="13">
        <v>18</v>
      </c>
    </row>
    <row r="6085" spans="2:3" x14ac:dyDescent="0.3">
      <c r="B6085" s="18" t="s">
        <v>4119</v>
      </c>
      <c r="C6085" s="13">
        <v>19</v>
      </c>
    </row>
    <row r="6086" spans="2:3" x14ac:dyDescent="0.3">
      <c r="B6086" s="18" t="s">
        <v>4117</v>
      </c>
      <c r="C6086" s="13">
        <v>2</v>
      </c>
    </row>
    <row r="6087" spans="2:3" x14ac:dyDescent="0.3">
      <c r="B6087" s="18" t="s">
        <v>4103</v>
      </c>
      <c r="C6087" s="13">
        <v>3</v>
      </c>
    </row>
    <row r="6088" spans="2:3" x14ac:dyDescent="0.3">
      <c r="B6088" s="18" t="s">
        <v>4101</v>
      </c>
      <c r="C6088" s="13">
        <v>4</v>
      </c>
    </row>
    <row r="6089" spans="2:3" x14ac:dyDescent="0.3">
      <c r="B6089" s="18" t="s">
        <v>4099</v>
      </c>
      <c r="C6089" s="13">
        <v>5</v>
      </c>
    </row>
    <row r="6090" spans="2:3" x14ac:dyDescent="0.3">
      <c r="B6090" s="18" t="s">
        <v>4097</v>
      </c>
      <c r="C6090" s="13">
        <v>6</v>
      </c>
    </row>
    <row r="6091" spans="2:3" x14ac:dyDescent="0.3">
      <c r="B6091" s="18" t="s">
        <v>4095</v>
      </c>
      <c r="C6091" s="13">
        <v>7</v>
      </c>
    </row>
    <row r="6092" spans="2:3" x14ac:dyDescent="0.3">
      <c r="B6092" s="18" t="s">
        <v>4093</v>
      </c>
      <c r="C6092" s="13">
        <v>8</v>
      </c>
    </row>
    <row r="6093" spans="2:3" x14ac:dyDescent="0.3">
      <c r="B6093" s="18" t="s">
        <v>4091</v>
      </c>
      <c r="C6093" s="13">
        <v>9</v>
      </c>
    </row>
    <row r="6094" spans="2:3" x14ac:dyDescent="0.3">
      <c r="B6094" s="18" t="s">
        <v>4089</v>
      </c>
      <c r="C6094" s="13">
        <v>38</v>
      </c>
    </row>
    <row r="6095" spans="2:3" x14ac:dyDescent="0.3">
      <c r="B6095" s="18" t="s">
        <v>4087</v>
      </c>
      <c r="C6095" s="13">
        <v>29</v>
      </c>
    </row>
    <row r="6096" spans="2:3" x14ac:dyDescent="0.3">
      <c r="B6096" s="18" t="s">
        <v>4085</v>
      </c>
      <c r="C6096" s="13">
        <v>28</v>
      </c>
    </row>
    <row r="6097" spans="2:3" x14ac:dyDescent="0.3">
      <c r="B6097" s="18" t="s">
        <v>4083</v>
      </c>
      <c r="C6097" s="13">
        <v>27</v>
      </c>
    </row>
    <row r="6098" spans="2:3" x14ac:dyDescent="0.3">
      <c r="B6098" s="18" t="s">
        <v>4081</v>
      </c>
      <c r="C6098" s="13">
        <v>26</v>
      </c>
    </row>
    <row r="6099" spans="2:3" x14ac:dyDescent="0.3">
      <c r="B6099" s="18" t="s">
        <v>4079</v>
      </c>
      <c r="C6099" s="13">
        <v>25</v>
      </c>
    </row>
    <row r="6100" spans="2:3" x14ac:dyDescent="0.3">
      <c r="B6100" s="18" t="s">
        <v>4077</v>
      </c>
      <c r="C6100" s="13">
        <v>24</v>
      </c>
    </row>
    <row r="6101" spans="2:3" x14ac:dyDescent="0.3">
      <c r="B6101" s="18" t="s">
        <v>4075</v>
      </c>
      <c r="C6101" s="13">
        <v>23</v>
      </c>
    </row>
    <row r="6102" spans="2:3" x14ac:dyDescent="0.3">
      <c r="B6102" s="18" t="s">
        <v>4073</v>
      </c>
      <c r="C6102" s="13">
        <v>22</v>
      </c>
    </row>
    <row r="6103" spans="2:3" x14ac:dyDescent="0.3">
      <c r="B6103" s="18" t="s">
        <v>4071</v>
      </c>
      <c r="C6103" s="13">
        <v>21</v>
      </c>
    </row>
    <row r="6104" spans="2:3" x14ac:dyDescent="0.3">
      <c r="B6104" s="18" t="s">
        <v>4069</v>
      </c>
      <c r="C6104" s="13">
        <v>20</v>
      </c>
    </row>
    <row r="6105" spans="2:3" x14ac:dyDescent="0.3">
      <c r="B6105" s="18" t="s">
        <v>4067</v>
      </c>
      <c r="C6105" s="13">
        <v>37</v>
      </c>
    </row>
    <row r="6106" spans="2:3" x14ac:dyDescent="0.3">
      <c r="B6106" s="18" t="s">
        <v>4053</v>
      </c>
      <c r="C6106" s="13">
        <v>36</v>
      </c>
    </row>
    <row r="6107" spans="2:3" x14ac:dyDescent="0.3">
      <c r="B6107" s="18" t="s">
        <v>4051</v>
      </c>
      <c r="C6107" s="13">
        <v>35</v>
      </c>
    </row>
    <row r="6108" spans="2:3" x14ac:dyDescent="0.3">
      <c r="B6108" s="18" t="s">
        <v>4049</v>
      </c>
      <c r="C6108" s="13">
        <v>34</v>
      </c>
    </row>
    <row r="6109" spans="2:3" x14ac:dyDescent="0.3">
      <c r="B6109" s="18" t="s">
        <v>4047</v>
      </c>
      <c r="C6109" s="13">
        <v>33</v>
      </c>
    </row>
    <row r="6110" spans="2:3" x14ac:dyDescent="0.3">
      <c r="B6110" s="18" t="s">
        <v>4045</v>
      </c>
      <c r="C6110" s="13">
        <v>32</v>
      </c>
    </row>
    <row r="6111" spans="2:3" x14ac:dyDescent="0.3">
      <c r="B6111" s="18" t="s">
        <v>4043</v>
      </c>
      <c r="C6111" s="13">
        <v>31</v>
      </c>
    </row>
    <row r="6112" spans="2:3" x14ac:dyDescent="0.3">
      <c r="B6112" s="18" t="s">
        <v>4041</v>
      </c>
      <c r="C6112" s="13">
        <v>30</v>
      </c>
    </row>
    <row r="6113" spans="2:3" x14ac:dyDescent="0.3">
      <c r="B6113" s="18" t="s">
        <v>4039</v>
      </c>
      <c r="C6113" s="13">
        <v>39</v>
      </c>
    </row>
    <row r="6114" spans="2:3" x14ac:dyDescent="0.3">
      <c r="B6114" s="18" t="s">
        <v>4037</v>
      </c>
      <c r="C6114" s="13">
        <v>48</v>
      </c>
    </row>
    <row r="6115" spans="2:3" x14ac:dyDescent="0.3">
      <c r="B6115" s="18" t="s">
        <v>4035</v>
      </c>
      <c r="C6115" s="13">
        <v>49</v>
      </c>
    </row>
    <row r="6116" spans="2:3" x14ac:dyDescent="0.3">
      <c r="B6116" s="18" t="s">
        <v>4033</v>
      </c>
      <c r="C6116" s="13">
        <v>50</v>
      </c>
    </row>
    <row r="6117" spans="2:3" x14ac:dyDescent="0.3">
      <c r="B6117" s="18" t="s">
        <v>4031</v>
      </c>
      <c r="C6117" s="13">
        <v>51</v>
      </c>
    </row>
    <row r="6118" spans="2:3" x14ac:dyDescent="0.3">
      <c r="B6118" s="18" t="s">
        <v>4029</v>
      </c>
      <c r="C6118" s="13">
        <v>52</v>
      </c>
    </row>
    <row r="6119" spans="2:3" x14ac:dyDescent="0.3">
      <c r="B6119" s="18" t="s">
        <v>4027</v>
      </c>
      <c r="C6119" s="13">
        <v>53</v>
      </c>
    </row>
    <row r="6120" spans="2:3" x14ac:dyDescent="0.3">
      <c r="B6120" s="18" t="s">
        <v>4025</v>
      </c>
      <c r="C6120" s="13">
        <v>54</v>
      </c>
    </row>
    <row r="6121" spans="2:3" x14ac:dyDescent="0.3">
      <c r="B6121" s="18" t="s">
        <v>4023</v>
      </c>
      <c r="C6121" s="13">
        <v>55</v>
      </c>
    </row>
    <row r="6122" spans="2:3" x14ac:dyDescent="0.3">
      <c r="B6122" s="18" t="s">
        <v>4021</v>
      </c>
      <c r="C6122" s="13">
        <v>56</v>
      </c>
    </row>
    <row r="6123" spans="2:3" x14ac:dyDescent="0.3">
      <c r="B6123" s="18" t="s">
        <v>4019</v>
      </c>
      <c r="C6123" s="13">
        <v>57</v>
      </c>
    </row>
    <row r="6124" spans="2:3" x14ac:dyDescent="0.3">
      <c r="B6124" s="18" t="s">
        <v>4017</v>
      </c>
      <c r="C6124" s="13">
        <v>40</v>
      </c>
    </row>
    <row r="6125" spans="2:3" x14ac:dyDescent="0.3">
      <c r="B6125" s="18" t="s">
        <v>4003</v>
      </c>
      <c r="C6125" s="13">
        <v>41</v>
      </c>
    </row>
    <row r="6126" spans="2:3" x14ac:dyDescent="0.3">
      <c r="B6126" s="18" t="s">
        <v>4001</v>
      </c>
      <c r="C6126" s="13">
        <v>42</v>
      </c>
    </row>
    <row r="6127" spans="2:3" x14ac:dyDescent="0.3">
      <c r="B6127" s="18" t="s">
        <v>3999</v>
      </c>
      <c r="C6127" s="13">
        <v>43</v>
      </c>
    </row>
    <row r="6128" spans="2:3" x14ac:dyDescent="0.3">
      <c r="B6128" s="18" t="s">
        <v>3997</v>
      </c>
      <c r="C6128" s="13">
        <v>44</v>
      </c>
    </row>
    <row r="6129" spans="2:3" x14ac:dyDescent="0.3">
      <c r="B6129" s="18" t="s">
        <v>3995</v>
      </c>
      <c r="C6129" s="13">
        <v>45</v>
      </c>
    </row>
    <row r="6130" spans="2:3" x14ac:dyDescent="0.3">
      <c r="B6130" s="18" t="s">
        <v>3993</v>
      </c>
      <c r="C6130" s="13">
        <v>46</v>
      </c>
    </row>
    <row r="6131" spans="2:3" x14ac:dyDescent="0.3">
      <c r="B6131" s="18" t="s">
        <v>3991</v>
      </c>
      <c r="C6131" s="13">
        <v>47</v>
      </c>
    </row>
    <row r="6132" spans="2:3" x14ac:dyDescent="0.3">
      <c r="B6132" s="18" t="s">
        <v>8968</v>
      </c>
      <c r="C6132" s="13">
        <v>67</v>
      </c>
    </row>
    <row r="6133" spans="2:3" x14ac:dyDescent="0.3">
      <c r="B6133" s="18" t="s">
        <v>8969</v>
      </c>
      <c r="C6133" s="13">
        <v>66</v>
      </c>
    </row>
    <row r="6134" spans="2:3" x14ac:dyDescent="0.3">
      <c r="B6134" s="18" t="s">
        <v>8970</v>
      </c>
      <c r="C6134" s="13">
        <v>65</v>
      </c>
    </row>
    <row r="6135" spans="2:3" x14ac:dyDescent="0.3">
      <c r="B6135" s="18" t="s">
        <v>8971</v>
      </c>
      <c r="C6135" s="13">
        <v>64</v>
      </c>
    </row>
    <row r="6136" spans="2:3" x14ac:dyDescent="0.3">
      <c r="B6136" s="18" t="s">
        <v>8972</v>
      </c>
      <c r="C6136" s="13">
        <v>63</v>
      </c>
    </row>
    <row r="6137" spans="2:3" x14ac:dyDescent="0.3">
      <c r="B6137" s="18" t="s">
        <v>8973</v>
      </c>
      <c r="C6137" s="13">
        <v>62</v>
      </c>
    </row>
    <row r="6138" spans="2:3" x14ac:dyDescent="0.3">
      <c r="B6138" s="18" t="s">
        <v>8974</v>
      </c>
      <c r="C6138" s="13">
        <v>61</v>
      </c>
    </row>
    <row r="6139" spans="2:3" x14ac:dyDescent="0.3">
      <c r="B6139" s="18" t="s">
        <v>8975</v>
      </c>
      <c r="C6139" s="13">
        <v>60</v>
      </c>
    </row>
    <row r="6140" spans="2:3" x14ac:dyDescent="0.3">
      <c r="B6140" s="18" t="s">
        <v>8976</v>
      </c>
      <c r="C6140" s="13">
        <v>59</v>
      </c>
    </row>
    <row r="6141" spans="2:3" x14ac:dyDescent="0.3">
      <c r="B6141" s="18" t="s">
        <v>8977</v>
      </c>
      <c r="C6141" s="13">
        <v>58</v>
      </c>
    </row>
    <row r="6142" spans="2:3" x14ac:dyDescent="0.3">
      <c r="B6142" s="18" t="s">
        <v>8978</v>
      </c>
      <c r="C6142" s="13">
        <v>75</v>
      </c>
    </row>
    <row r="6143" spans="2:3" x14ac:dyDescent="0.3">
      <c r="B6143" s="18" t="s">
        <v>8979</v>
      </c>
      <c r="C6143" s="13">
        <v>74</v>
      </c>
    </row>
    <row r="6144" spans="2:3" x14ac:dyDescent="0.3">
      <c r="B6144" s="18" t="s">
        <v>8980</v>
      </c>
      <c r="C6144" s="13">
        <v>73</v>
      </c>
    </row>
    <row r="6145" spans="2:3" x14ac:dyDescent="0.3">
      <c r="B6145" s="18" t="s">
        <v>8981</v>
      </c>
      <c r="C6145" s="13">
        <v>72</v>
      </c>
    </row>
    <row r="6146" spans="2:3" x14ac:dyDescent="0.3">
      <c r="B6146" s="18" t="s">
        <v>8982</v>
      </c>
      <c r="C6146" s="13">
        <v>71</v>
      </c>
    </row>
    <row r="6147" spans="2:3" x14ac:dyDescent="0.3">
      <c r="B6147" s="18" t="s">
        <v>8983</v>
      </c>
      <c r="C6147" s="13">
        <v>70</v>
      </c>
    </row>
    <row r="6148" spans="2:3" x14ac:dyDescent="0.3">
      <c r="B6148" s="18" t="s">
        <v>8984</v>
      </c>
      <c r="C6148" s="13">
        <v>69</v>
      </c>
    </row>
    <row r="6149" spans="2:3" x14ac:dyDescent="0.3">
      <c r="B6149" s="18" t="s">
        <v>8985</v>
      </c>
      <c r="C6149" s="13">
        <v>68</v>
      </c>
    </row>
    <row r="6150" spans="2:3" x14ac:dyDescent="0.3">
      <c r="B6150" s="18" t="s">
        <v>3989</v>
      </c>
      <c r="C6150" s="13">
        <v>1</v>
      </c>
    </row>
    <row r="6151" spans="2:3" x14ac:dyDescent="0.3">
      <c r="B6151" s="18" t="s">
        <v>3987</v>
      </c>
      <c r="C6151" s="13">
        <v>10</v>
      </c>
    </row>
    <row r="6152" spans="2:3" x14ac:dyDescent="0.3">
      <c r="B6152" s="18" t="s">
        <v>3985</v>
      </c>
      <c r="C6152" s="13">
        <v>11</v>
      </c>
    </row>
    <row r="6153" spans="2:3" x14ac:dyDescent="0.3">
      <c r="B6153" s="18" t="s">
        <v>3983</v>
      </c>
      <c r="C6153" s="13">
        <v>12</v>
      </c>
    </row>
    <row r="6154" spans="2:3" x14ac:dyDescent="0.3">
      <c r="B6154" s="18" t="s">
        <v>3981</v>
      </c>
      <c r="C6154" s="13">
        <v>13</v>
      </c>
    </row>
    <row r="6155" spans="2:3" x14ac:dyDescent="0.3">
      <c r="B6155" s="18" t="s">
        <v>3979</v>
      </c>
      <c r="C6155" s="13">
        <v>14</v>
      </c>
    </row>
    <row r="6156" spans="2:3" x14ac:dyDescent="0.3">
      <c r="B6156" s="18" t="s">
        <v>3977</v>
      </c>
      <c r="C6156" s="13">
        <v>15</v>
      </c>
    </row>
    <row r="6157" spans="2:3" x14ac:dyDescent="0.3">
      <c r="B6157" s="18" t="s">
        <v>3975</v>
      </c>
      <c r="C6157" s="13">
        <v>16</v>
      </c>
    </row>
    <row r="6158" spans="2:3" x14ac:dyDescent="0.3">
      <c r="B6158" s="18" t="s">
        <v>3973</v>
      </c>
      <c r="C6158" s="13">
        <v>17</v>
      </c>
    </row>
    <row r="6159" spans="2:3" x14ac:dyDescent="0.3">
      <c r="B6159" s="18" t="s">
        <v>3971</v>
      </c>
      <c r="C6159" s="13">
        <v>18</v>
      </c>
    </row>
    <row r="6160" spans="2:3" x14ac:dyDescent="0.3">
      <c r="B6160" s="18" t="s">
        <v>3969</v>
      </c>
      <c r="C6160" s="13">
        <v>19</v>
      </c>
    </row>
    <row r="6161" spans="2:3" x14ac:dyDescent="0.3">
      <c r="B6161" s="18" t="s">
        <v>3967</v>
      </c>
      <c r="C6161" s="13">
        <v>2</v>
      </c>
    </row>
    <row r="6162" spans="2:3" x14ac:dyDescent="0.3">
      <c r="B6162" s="18" t="s">
        <v>3951</v>
      </c>
      <c r="C6162" s="13">
        <v>3</v>
      </c>
    </row>
    <row r="6163" spans="2:3" x14ac:dyDescent="0.3">
      <c r="B6163" s="18" t="s">
        <v>3949</v>
      </c>
      <c r="C6163" s="13">
        <v>4</v>
      </c>
    </row>
    <row r="6164" spans="2:3" x14ac:dyDescent="0.3">
      <c r="B6164" s="18" t="s">
        <v>3947</v>
      </c>
      <c r="C6164" s="13">
        <v>5</v>
      </c>
    </row>
    <row r="6165" spans="2:3" x14ac:dyDescent="0.3">
      <c r="B6165" s="18" t="s">
        <v>3945</v>
      </c>
      <c r="C6165" s="13">
        <v>6</v>
      </c>
    </row>
    <row r="6166" spans="2:3" x14ac:dyDescent="0.3">
      <c r="B6166" s="18" t="s">
        <v>3943</v>
      </c>
      <c r="C6166" s="13">
        <v>7</v>
      </c>
    </row>
    <row r="6167" spans="2:3" x14ac:dyDescent="0.3">
      <c r="B6167" s="18" t="s">
        <v>3941</v>
      </c>
      <c r="C6167" s="13">
        <v>8</v>
      </c>
    </row>
    <row r="6168" spans="2:3" x14ac:dyDescent="0.3">
      <c r="B6168" s="18" t="s">
        <v>3939</v>
      </c>
      <c r="C6168" s="13">
        <v>9</v>
      </c>
    </row>
    <row r="6169" spans="2:3" x14ac:dyDescent="0.3">
      <c r="B6169" s="18" t="s">
        <v>3937</v>
      </c>
      <c r="C6169" s="13">
        <v>38</v>
      </c>
    </row>
    <row r="6170" spans="2:3" x14ac:dyDescent="0.3">
      <c r="B6170" s="18" t="s">
        <v>3935</v>
      </c>
      <c r="C6170" s="13">
        <v>29</v>
      </c>
    </row>
    <row r="6171" spans="2:3" x14ac:dyDescent="0.3">
      <c r="B6171" s="18" t="s">
        <v>3933</v>
      </c>
      <c r="C6171" s="13">
        <v>28</v>
      </c>
    </row>
    <row r="6172" spans="2:3" x14ac:dyDescent="0.3">
      <c r="B6172" s="18" t="s">
        <v>3931</v>
      </c>
      <c r="C6172" s="13">
        <v>27</v>
      </c>
    </row>
    <row r="6173" spans="2:3" x14ac:dyDescent="0.3">
      <c r="B6173" s="18" t="s">
        <v>3929</v>
      </c>
      <c r="C6173" s="13">
        <v>26</v>
      </c>
    </row>
    <row r="6174" spans="2:3" x14ac:dyDescent="0.3">
      <c r="B6174" s="18" t="s">
        <v>3927</v>
      </c>
      <c r="C6174" s="13">
        <v>25</v>
      </c>
    </row>
    <row r="6175" spans="2:3" x14ac:dyDescent="0.3">
      <c r="B6175" s="18" t="s">
        <v>3925</v>
      </c>
      <c r="C6175" s="13">
        <v>24</v>
      </c>
    </row>
    <row r="6176" spans="2:3" x14ac:dyDescent="0.3">
      <c r="B6176" s="18" t="s">
        <v>3923</v>
      </c>
      <c r="C6176" s="13">
        <v>23</v>
      </c>
    </row>
    <row r="6177" spans="2:3" x14ac:dyDescent="0.3">
      <c r="B6177" s="18" t="s">
        <v>3921</v>
      </c>
      <c r="C6177" s="13">
        <v>22</v>
      </c>
    </row>
    <row r="6178" spans="2:3" x14ac:dyDescent="0.3">
      <c r="B6178" s="18" t="s">
        <v>3919</v>
      </c>
      <c r="C6178" s="13">
        <v>21</v>
      </c>
    </row>
    <row r="6179" spans="2:3" x14ac:dyDescent="0.3">
      <c r="B6179" s="18" t="s">
        <v>3917</v>
      </c>
      <c r="C6179" s="13">
        <v>20</v>
      </c>
    </row>
    <row r="6180" spans="2:3" x14ac:dyDescent="0.3">
      <c r="B6180" s="18" t="s">
        <v>3915</v>
      </c>
      <c r="C6180" s="13">
        <v>37</v>
      </c>
    </row>
    <row r="6181" spans="2:3" x14ac:dyDescent="0.3">
      <c r="B6181" s="18" t="s">
        <v>3899</v>
      </c>
      <c r="C6181" s="13">
        <v>36</v>
      </c>
    </row>
    <row r="6182" spans="2:3" x14ac:dyDescent="0.3">
      <c r="B6182" s="18" t="s">
        <v>3897</v>
      </c>
      <c r="C6182" s="13">
        <v>35</v>
      </c>
    </row>
    <row r="6183" spans="2:3" x14ac:dyDescent="0.3">
      <c r="B6183" s="18" t="s">
        <v>3895</v>
      </c>
      <c r="C6183" s="13">
        <v>34</v>
      </c>
    </row>
    <row r="6184" spans="2:3" x14ac:dyDescent="0.3">
      <c r="B6184" s="18" t="s">
        <v>3893</v>
      </c>
      <c r="C6184" s="13">
        <v>33</v>
      </c>
    </row>
    <row r="6185" spans="2:3" x14ac:dyDescent="0.3">
      <c r="B6185" s="18" t="s">
        <v>3891</v>
      </c>
      <c r="C6185" s="13">
        <v>32</v>
      </c>
    </row>
    <row r="6186" spans="2:3" x14ac:dyDescent="0.3">
      <c r="B6186" s="18" t="s">
        <v>3889</v>
      </c>
      <c r="C6186" s="13">
        <v>31</v>
      </c>
    </row>
    <row r="6187" spans="2:3" x14ac:dyDescent="0.3">
      <c r="B6187" s="18" t="s">
        <v>3887</v>
      </c>
      <c r="C6187" s="13">
        <v>30</v>
      </c>
    </row>
    <row r="6188" spans="2:3" x14ac:dyDescent="0.3">
      <c r="B6188" s="18" t="s">
        <v>8986</v>
      </c>
      <c r="C6188" s="13">
        <v>39</v>
      </c>
    </row>
    <row r="6189" spans="2:3" x14ac:dyDescent="0.3">
      <c r="B6189" s="18" t="s">
        <v>3885</v>
      </c>
      <c r="C6189" s="13">
        <v>48</v>
      </c>
    </row>
    <row r="6190" spans="2:3" x14ac:dyDescent="0.3">
      <c r="B6190" s="18" t="s">
        <v>3883</v>
      </c>
      <c r="C6190" s="13">
        <v>49</v>
      </c>
    </row>
    <row r="6191" spans="2:3" x14ac:dyDescent="0.3">
      <c r="B6191" s="18" t="s">
        <v>3881</v>
      </c>
      <c r="C6191" s="13">
        <v>50</v>
      </c>
    </row>
    <row r="6192" spans="2:3" x14ac:dyDescent="0.3">
      <c r="B6192" s="18" t="s">
        <v>3879</v>
      </c>
      <c r="C6192" s="13">
        <v>51</v>
      </c>
    </row>
    <row r="6193" spans="2:3" x14ac:dyDescent="0.3">
      <c r="B6193" s="18" t="s">
        <v>3877</v>
      </c>
      <c r="C6193" s="13">
        <v>52</v>
      </c>
    </row>
    <row r="6194" spans="2:3" x14ac:dyDescent="0.3">
      <c r="B6194" s="18" t="s">
        <v>3875</v>
      </c>
      <c r="C6194" s="13">
        <v>53</v>
      </c>
    </row>
    <row r="6195" spans="2:3" x14ac:dyDescent="0.3">
      <c r="B6195" s="18" t="s">
        <v>3873</v>
      </c>
      <c r="C6195" s="13">
        <v>54</v>
      </c>
    </row>
    <row r="6196" spans="2:3" x14ac:dyDescent="0.3">
      <c r="B6196" s="18" t="s">
        <v>3871</v>
      </c>
      <c r="C6196" s="13">
        <v>55</v>
      </c>
    </row>
    <row r="6197" spans="2:3" x14ac:dyDescent="0.3">
      <c r="B6197" s="18" t="s">
        <v>3869</v>
      </c>
      <c r="C6197" s="13">
        <v>56</v>
      </c>
    </row>
    <row r="6198" spans="2:3" x14ac:dyDescent="0.3">
      <c r="B6198" s="18" t="s">
        <v>3867</v>
      </c>
      <c r="C6198" s="13">
        <v>57</v>
      </c>
    </row>
    <row r="6199" spans="2:3" x14ac:dyDescent="0.3">
      <c r="B6199" s="18" t="s">
        <v>8987</v>
      </c>
      <c r="C6199" s="13">
        <v>40</v>
      </c>
    </row>
    <row r="6200" spans="2:3" x14ac:dyDescent="0.3">
      <c r="B6200" s="18" t="s">
        <v>3851</v>
      </c>
      <c r="C6200" s="13">
        <v>41</v>
      </c>
    </row>
    <row r="6201" spans="2:3" x14ac:dyDescent="0.3">
      <c r="B6201" s="18" t="s">
        <v>3849</v>
      </c>
      <c r="C6201" s="13">
        <v>42</v>
      </c>
    </row>
    <row r="6202" spans="2:3" x14ac:dyDescent="0.3">
      <c r="B6202" s="18" t="s">
        <v>3847</v>
      </c>
      <c r="C6202" s="13">
        <v>43</v>
      </c>
    </row>
    <row r="6203" spans="2:3" x14ac:dyDescent="0.3">
      <c r="B6203" s="18" t="s">
        <v>3845</v>
      </c>
      <c r="C6203" s="13">
        <v>44</v>
      </c>
    </row>
    <row r="6204" spans="2:3" x14ac:dyDescent="0.3">
      <c r="B6204" s="18" t="s">
        <v>3843</v>
      </c>
      <c r="C6204" s="13">
        <v>45</v>
      </c>
    </row>
    <row r="6205" spans="2:3" x14ac:dyDescent="0.3">
      <c r="B6205" s="18" t="s">
        <v>3841</v>
      </c>
      <c r="C6205" s="13">
        <v>46</v>
      </c>
    </row>
    <row r="6206" spans="2:3" x14ac:dyDescent="0.3">
      <c r="B6206" s="18" t="s">
        <v>3839</v>
      </c>
      <c r="C6206" s="13">
        <v>47</v>
      </c>
    </row>
    <row r="6207" spans="2:3" x14ac:dyDescent="0.3">
      <c r="B6207" s="18" t="s">
        <v>8988</v>
      </c>
      <c r="C6207" s="13">
        <v>76</v>
      </c>
    </row>
    <row r="6208" spans="2:3" x14ac:dyDescent="0.3">
      <c r="B6208" s="18" t="s">
        <v>8989</v>
      </c>
      <c r="C6208" s="13">
        <v>67</v>
      </c>
    </row>
    <row r="6209" spans="2:3" x14ac:dyDescent="0.3">
      <c r="B6209" s="18" t="s">
        <v>8990</v>
      </c>
      <c r="C6209" s="13">
        <v>66</v>
      </c>
    </row>
    <row r="6210" spans="2:3" x14ac:dyDescent="0.3">
      <c r="B6210" s="18" t="s">
        <v>8991</v>
      </c>
      <c r="C6210" s="13">
        <v>65</v>
      </c>
    </row>
    <row r="6211" spans="2:3" x14ac:dyDescent="0.3">
      <c r="B6211" s="18" t="s">
        <v>8992</v>
      </c>
      <c r="C6211" s="13">
        <v>64</v>
      </c>
    </row>
    <row r="6212" spans="2:3" x14ac:dyDescent="0.3">
      <c r="B6212" s="18" t="s">
        <v>8993</v>
      </c>
      <c r="C6212" s="13">
        <v>63</v>
      </c>
    </row>
    <row r="6213" spans="2:3" x14ac:dyDescent="0.3">
      <c r="B6213" s="18" t="s">
        <v>8994</v>
      </c>
      <c r="C6213" s="13">
        <v>62</v>
      </c>
    </row>
    <row r="6214" spans="2:3" x14ac:dyDescent="0.3">
      <c r="B6214" s="18" t="s">
        <v>8995</v>
      </c>
      <c r="C6214" s="13">
        <v>61</v>
      </c>
    </row>
    <row r="6215" spans="2:3" x14ac:dyDescent="0.3">
      <c r="B6215" s="18" t="s">
        <v>8996</v>
      </c>
      <c r="C6215" s="13">
        <v>60</v>
      </c>
    </row>
    <row r="6216" spans="2:3" x14ac:dyDescent="0.3">
      <c r="B6216" s="18" t="s">
        <v>8997</v>
      </c>
      <c r="C6216" s="13">
        <v>59</v>
      </c>
    </row>
    <row r="6217" spans="2:3" x14ac:dyDescent="0.3">
      <c r="B6217" s="18" t="s">
        <v>8998</v>
      </c>
      <c r="C6217" s="13">
        <v>58</v>
      </c>
    </row>
    <row r="6218" spans="2:3" x14ac:dyDescent="0.3">
      <c r="B6218" s="18" t="s">
        <v>8999</v>
      </c>
      <c r="C6218" s="13">
        <v>75</v>
      </c>
    </row>
    <row r="6219" spans="2:3" x14ac:dyDescent="0.3">
      <c r="B6219" s="18" t="s">
        <v>9000</v>
      </c>
      <c r="C6219" s="13">
        <v>74</v>
      </c>
    </row>
    <row r="6220" spans="2:3" x14ac:dyDescent="0.3">
      <c r="B6220" s="18" t="s">
        <v>9001</v>
      </c>
      <c r="C6220" s="13">
        <v>73</v>
      </c>
    </row>
    <row r="6221" spans="2:3" x14ac:dyDescent="0.3">
      <c r="B6221" s="18" t="s">
        <v>9002</v>
      </c>
      <c r="C6221" s="13">
        <v>72</v>
      </c>
    </row>
    <row r="6222" spans="2:3" x14ac:dyDescent="0.3">
      <c r="B6222" s="18" t="s">
        <v>9003</v>
      </c>
      <c r="C6222" s="13">
        <v>71</v>
      </c>
    </row>
    <row r="6223" spans="2:3" x14ac:dyDescent="0.3">
      <c r="B6223" s="18" t="s">
        <v>9004</v>
      </c>
      <c r="C6223" s="13">
        <v>70</v>
      </c>
    </row>
    <row r="6224" spans="2:3" x14ac:dyDescent="0.3">
      <c r="B6224" s="18" t="s">
        <v>9005</v>
      </c>
      <c r="C6224" s="13">
        <v>69</v>
      </c>
    </row>
    <row r="6225" spans="2:3" x14ac:dyDescent="0.3">
      <c r="B6225" s="18" t="s">
        <v>9006</v>
      </c>
      <c r="C6225" s="13">
        <v>68</v>
      </c>
    </row>
    <row r="6226" spans="2:3" x14ac:dyDescent="0.3">
      <c r="B6226" s="18" t="s">
        <v>3837</v>
      </c>
      <c r="C6226" s="13">
        <v>1</v>
      </c>
    </row>
    <row r="6227" spans="2:3" x14ac:dyDescent="0.3">
      <c r="B6227" s="18" t="s">
        <v>3835</v>
      </c>
      <c r="C6227" s="13">
        <v>10</v>
      </c>
    </row>
    <row r="6228" spans="2:3" x14ac:dyDescent="0.3">
      <c r="B6228" s="18" t="s">
        <v>3833</v>
      </c>
      <c r="C6228" s="13">
        <v>11</v>
      </c>
    </row>
    <row r="6229" spans="2:3" x14ac:dyDescent="0.3">
      <c r="B6229" s="18" t="s">
        <v>3831</v>
      </c>
      <c r="C6229" s="13">
        <v>12</v>
      </c>
    </row>
    <row r="6230" spans="2:3" x14ac:dyDescent="0.3">
      <c r="B6230" s="18" t="s">
        <v>3829</v>
      </c>
      <c r="C6230" s="13">
        <v>13</v>
      </c>
    </row>
    <row r="6231" spans="2:3" x14ac:dyDescent="0.3">
      <c r="B6231" s="18" t="s">
        <v>3827</v>
      </c>
      <c r="C6231" s="13">
        <v>14</v>
      </c>
    </row>
    <row r="6232" spans="2:3" x14ac:dyDescent="0.3">
      <c r="B6232" s="18" t="s">
        <v>3825</v>
      </c>
      <c r="C6232" s="13">
        <v>15</v>
      </c>
    </row>
    <row r="6233" spans="2:3" x14ac:dyDescent="0.3">
      <c r="B6233" s="18" t="s">
        <v>3823</v>
      </c>
      <c r="C6233" s="13">
        <v>16</v>
      </c>
    </row>
    <row r="6234" spans="2:3" x14ac:dyDescent="0.3">
      <c r="B6234" s="18" t="s">
        <v>3821</v>
      </c>
      <c r="C6234" s="13">
        <v>17</v>
      </c>
    </row>
    <row r="6235" spans="2:3" x14ac:dyDescent="0.3">
      <c r="B6235" s="18" t="s">
        <v>3819</v>
      </c>
      <c r="C6235" s="13">
        <v>18</v>
      </c>
    </row>
    <row r="6236" spans="2:3" x14ac:dyDescent="0.3">
      <c r="B6236" s="18" t="s">
        <v>3817</v>
      </c>
      <c r="C6236" s="13">
        <v>19</v>
      </c>
    </row>
    <row r="6237" spans="2:3" x14ac:dyDescent="0.3">
      <c r="B6237" s="18" t="s">
        <v>3815</v>
      </c>
      <c r="C6237" s="13">
        <v>2</v>
      </c>
    </row>
    <row r="6238" spans="2:3" x14ac:dyDescent="0.3">
      <c r="B6238" s="18" t="s">
        <v>3813</v>
      </c>
      <c r="C6238" s="13">
        <v>20</v>
      </c>
    </row>
    <row r="6239" spans="2:3" x14ac:dyDescent="0.3">
      <c r="B6239" s="18" t="s">
        <v>3799</v>
      </c>
      <c r="C6239" s="13">
        <v>3</v>
      </c>
    </row>
    <row r="6240" spans="2:3" x14ac:dyDescent="0.3">
      <c r="B6240" s="18" t="s">
        <v>3797</v>
      </c>
      <c r="C6240" s="13">
        <v>4</v>
      </c>
    </row>
    <row r="6241" spans="2:3" x14ac:dyDescent="0.3">
      <c r="B6241" s="18" t="s">
        <v>3795</v>
      </c>
      <c r="C6241" s="13">
        <v>5</v>
      </c>
    </row>
    <row r="6242" spans="2:3" x14ac:dyDescent="0.3">
      <c r="B6242" s="18" t="s">
        <v>3793</v>
      </c>
      <c r="C6242" s="13">
        <v>6</v>
      </c>
    </row>
    <row r="6243" spans="2:3" x14ac:dyDescent="0.3">
      <c r="B6243" s="18" t="s">
        <v>3791</v>
      </c>
      <c r="C6243" s="13">
        <v>7</v>
      </c>
    </row>
    <row r="6244" spans="2:3" x14ac:dyDescent="0.3">
      <c r="B6244" s="18" t="s">
        <v>3789</v>
      </c>
      <c r="C6244" s="13">
        <v>8</v>
      </c>
    </row>
    <row r="6245" spans="2:3" x14ac:dyDescent="0.3">
      <c r="B6245" s="18" t="s">
        <v>3787</v>
      </c>
      <c r="C6245" s="13">
        <v>9</v>
      </c>
    </row>
    <row r="6246" spans="2:3" x14ac:dyDescent="0.3">
      <c r="B6246" s="18" t="s">
        <v>3785</v>
      </c>
      <c r="C6246" s="13">
        <v>40</v>
      </c>
    </row>
    <row r="6247" spans="2:3" x14ac:dyDescent="0.3">
      <c r="B6247" s="18" t="s">
        <v>3783</v>
      </c>
      <c r="C6247" s="13">
        <v>31</v>
      </c>
    </row>
    <row r="6248" spans="2:3" x14ac:dyDescent="0.3">
      <c r="B6248" s="18" t="s">
        <v>3781</v>
      </c>
      <c r="C6248" s="13">
        <v>30</v>
      </c>
    </row>
    <row r="6249" spans="2:3" x14ac:dyDescent="0.3">
      <c r="B6249" s="18" t="s">
        <v>3779</v>
      </c>
      <c r="C6249" s="13">
        <v>29</v>
      </c>
    </row>
    <row r="6250" spans="2:3" x14ac:dyDescent="0.3">
      <c r="B6250" s="18" t="s">
        <v>3777</v>
      </c>
      <c r="C6250" s="13">
        <v>28</v>
      </c>
    </row>
    <row r="6251" spans="2:3" x14ac:dyDescent="0.3">
      <c r="B6251" s="18" t="s">
        <v>3775</v>
      </c>
      <c r="C6251" s="13">
        <v>27</v>
      </c>
    </row>
    <row r="6252" spans="2:3" x14ac:dyDescent="0.3">
      <c r="B6252" s="18" t="s">
        <v>3773</v>
      </c>
      <c r="C6252" s="13">
        <v>26</v>
      </c>
    </row>
    <row r="6253" spans="2:3" x14ac:dyDescent="0.3">
      <c r="B6253" s="18" t="s">
        <v>3771</v>
      </c>
      <c r="C6253" s="13">
        <v>25</v>
      </c>
    </row>
    <row r="6254" spans="2:3" x14ac:dyDescent="0.3">
      <c r="B6254" s="18" t="s">
        <v>3769</v>
      </c>
      <c r="C6254" s="13">
        <v>24</v>
      </c>
    </row>
    <row r="6255" spans="2:3" x14ac:dyDescent="0.3">
      <c r="B6255" s="18" t="s">
        <v>3767</v>
      </c>
      <c r="C6255" s="13">
        <v>23</v>
      </c>
    </row>
    <row r="6256" spans="2:3" x14ac:dyDescent="0.3">
      <c r="B6256" s="18" t="s">
        <v>3765</v>
      </c>
      <c r="C6256" s="13">
        <v>22</v>
      </c>
    </row>
    <row r="6257" spans="2:3" x14ac:dyDescent="0.3">
      <c r="B6257" s="18" t="s">
        <v>3763</v>
      </c>
      <c r="C6257" s="13">
        <v>39</v>
      </c>
    </row>
    <row r="6258" spans="2:3" x14ac:dyDescent="0.3">
      <c r="B6258" s="18" t="s">
        <v>3761</v>
      </c>
      <c r="C6258" s="13">
        <v>21</v>
      </c>
    </row>
    <row r="6259" spans="2:3" x14ac:dyDescent="0.3">
      <c r="B6259" s="18" t="s">
        <v>3747</v>
      </c>
      <c r="C6259" s="13">
        <v>38</v>
      </c>
    </row>
    <row r="6260" spans="2:3" x14ac:dyDescent="0.3">
      <c r="B6260" s="18" t="s">
        <v>3745</v>
      </c>
      <c r="C6260" s="13">
        <v>37</v>
      </c>
    </row>
    <row r="6261" spans="2:3" x14ac:dyDescent="0.3">
      <c r="B6261" s="18" t="s">
        <v>3743</v>
      </c>
      <c r="C6261" s="13">
        <v>36</v>
      </c>
    </row>
    <row r="6262" spans="2:3" x14ac:dyDescent="0.3">
      <c r="B6262" s="18" t="s">
        <v>3741</v>
      </c>
      <c r="C6262" s="13">
        <v>35</v>
      </c>
    </row>
    <row r="6263" spans="2:3" x14ac:dyDescent="0.3">
      <c r="B6263" s="18" t="s">
        <v>3739</v>
      </c>
      <c r="C6263" s="13">
        <v>34</v>
      </c>
    </row>
    <row r="6264" spans="2:3" x14ac:dyDescent="0.3">
      <c r="B6264" s="18" t="s">
        <v>3737</v>
      </c>
      <c r="C6264" s="13">
        <v>33</v>
      </c>
    </row>
    <row r="6265" spans="2:3" x14ac:dyDescent="0.3">
      <c r="B6265" s="18" t="s">
        <v>3735</v>
      </c>
      <c r="C6265" s="13">
        <v>32</v>
      </c>
    </row>
    <row r="6266" spans="2:3" x14ac:dyDescent="0.3">
      <c r="B6266" s="18" t="s">
        <v>9007</v>
      </c>
      <c r="C6266" s="13">
        <v>41</v>
      </c>
    </row>
    <row r="6267" spans="2:3" x14ac:dyDescent="0.3">
      <c r="B6267" s="18" t="s">
        <v>3733</v>
      </c>
      <c r="C6267" s="13">
        <v>50</v>
      </c>
    </row>
    <row r="6268" spans="2:3" x14ac:dyDescent="0.3">
      <c r="B6268" s="18" t="s">
        <v>3731</v>
      </c>
      <c r="C6268" s="13">
        <v>51</v>
      </c>
    </row>
    <row r="6269" spans="2:3" x14ac:dyDescent="0.3">
      <c r="B6269" s="18" t="s">
        <v>3729</v>
      </c>
      <c r="C6269" s="13">
        <v>52</v>
      </c>
    </row>
    <row r="6270" spans="2:3" x14ac:dyDescent="0.3">
      <c r="B6270" s="18" t="s">
        <v>3727</v>
      </c>
      <c r="C6270" s="13">
        <v>53</v>
      </c>
    </row>
    <row r="6271" spans="2:3" x14ac:dyDescent="0.3">
      <c r="B6271" s="18" t="s">
        <v>3725</v>
      </c>
      <c r="C6271" s="13">
        <v>54</v>
      </c>
    </row>
    <row r="6272" spans="2:3" x14ac:dyDescent="0.3">
      <c r="B6272" s="18" t="s">
        <v>3723</v>
      </c>
      <c r="C6272" s="13">
        <v>55</v>
      </c>
    </row>
    <row r="6273" spans="2:3" x14ac:dyDescent="0.3">
      <c r="B6273" s="18" t="s">
        <v>3721</v>
      </c>
      <c r="C6273" s="13">
        <v>56</v>
      </c>
    </row>
    <row r="6274" spans="2:3" x14ac:dyDescent="0.3">
      <c r="B6274" s="18" t="s">
        <v>3719</v>
      </c>
      <c r="C6274" s="13">
        <v>57</v>
      </c>
    </row>
    <row r="6275" spans="2:3" x14ac:dyDescent="0.3">
      <c r="B6275" s="18" t="s">
        <v>3717</v>
      </c>
      <c r="C6275" s="13">
        <v>58</v>
      </c>
    </row>
    <row r="6276" spans="2:3" x14ac:dyDescent="0.3">
      <c r="B6276" s="18" t="s">
        <v>3715</v>
      </c>
      <c r="C6276" s="13">
        <v>59</v>
      </c>
    </row>
    <row r="6277" spans="2:3" x14ac:dyDescent="0.3">
      <c r="B6277" s="18" t="s">
        <v>3713</v>
      </c>
      <c r="C6277" s="13">
        <v>42</v>
      </c>
    </row>
    <row r="6278" spans="2:3" x14ac:dyDescent="0.3">
      <c r="B6278" s="18" t="s">
        <v>3711</v>
      </c>
      <c r="C6278" s="13">
        <v>60</v>
      </c>
    </row>
    <row r="6279" spans="2:3" x14ac:dyDescent="0.3">
      <c r="B6279" s="18" t="s">
        <v>3697</v>
      </c>
      <c r="C6279" s="13">
        <v>43</v>
      </c>
    </row>
    <row r="6280" spans="2:3" x14ac:dyDescent="0.3">
      <c r="B6280" s="18" t="s">
        <v>3695</v>
      </c>
      <c r="C6280" s="13">
        <v>44</v>
      </c>
    </row>
    <row r="6281" spans="2:3" x14ac:dyDescent="0.3">
      <c r="B6281" s="18" t="s">
        <v>3693</v>
      </c>
      <c r="C6281" s="13">
        <v>45</v>
      </c>
    </row>
    <row r="6282" spans="2:3" x14ac:dyDescent="0.3">
      <c r="B6282" s="18" t="s">
        <v>3691</v>
      </c>
      <c r="C6282" s="13">
        <v>46</v>
      </c>
    </row>
    <row r="6283" spans="2:3" x14ac:dyDescent="0.3">
      <c r="B6283" s="18" t="s">
        <v>3689</v>
      </c>
      <c r="C6283" s="13">
        <v>47</v>
      </c>
    </row>
    <row r="6284" spans="2:3" x14ac:dyDescent="0.3">
      <c r="B6284" s="18" t="s">
        <v>3687</v>
      </c>
      <c r="C6284" s="13">
        <v>48</v>
      </c>
    </row>
    <row r="6285" spans="2:3" x14ac:dyDescent="0.3">
      <c r="B6285" s="18" t="s">
        <v>3685</v>
      </c>
      <c r="C6285" s="13">
        <v>49</v>
      </c>
    </row>
    <row r="6286" spans="2:3" x14ac:dyDescent="0.3">
      <c r="B6286" s="18" t="s">
        <v>9008</v>
      </c>
      <c r="C6286" s="13">
        <v>71</v>
      </c>
    </row>
    <row r="6287" spans="2:3" x14ac:dyDescent="0.3">
      <c r="B6287" s="18" t="s">
        <v>9009</v>
      </c>
      <c r="C6287" s="13">
        <v>70</v>
      </c>
    </row>
    <row r="6288" spans="2:3" x14ac:dyDescent="0.3">
      <c r="B6288" s="18" t="s">
        <v>9010</v>
      </c>
      <c r="C6288" s="13">
        <v>69</v>
      </c>
    </row>
    <row r="6289" spans="2:3" x14ac:dyDescent="0.3">
      <c r="B6289" s="18" t="s">
        <v>9011</v>
      </c>
      <c r="C6289" s="13">
        <v>68</v>
      </c>
    </row>
    <row r="6290" spans="2:3" x14ac:dyDescent="0.3">
      <c r="B6290" s="18" t="s">
        <v>9012</v>
      </c>
      <c r="C6290" s="13">
        <v>67</v>
      </c>
    </row>
    <row r="6291" spans="2:3" x14ac:dyDescent="0.3">
      <c r="B6291" s="18" t="s">
        <v>9013</v>
      </c>
      <c r="C6291" s="13">
        <v>66</v>
      </c>
    </row>
    <row r="6292" spans="2:3" x14ac:dyDescent="0.3">
      <c r="B6292" s="18" t="s">
        <v>9014</v>
      </c>
      <c r="C6292" s="13">
        <v>65</v>
      </c>
    </row>
    <row r="6293" spans="2:3" x14ac:dyDescent="0.3">
      <c r="B6293" s="18" t="s">
        <v>9015</v>
      </c>
      <c r="C6293" s="13">
        <v>64</v>
      </c>
    </row>
    <row r="6294" spans="2:3" x14ac:dyDescent="0.3">
      <c r="B6294" s="18" t="s">
        <v>9016</v>
      </c>
      <c r="C6294" s="13">
        <v>63</v>
      </c>
    </row>
    <row r="6295" spans="2:3" x14ac:dyDescent="0.3">
      <c r="B6295" s="18" t="s">
        <v>9017</v>
      </c>
      <c r="C6295" s="13">
        <v>62</v>
      </c>
    </row>
    <row r="6296" spans="2:3" x14ac:dyDescent="0.3">
      <c r="B6296" s="18" t="s">
        <v>9018</v>
      </c>
      <c r="C6296" s="13">
        <v>61</v>
      </c>
    </row>
    <row r="6297" spans="2:3" x14ac:dyDescent="0.3">
      <c r="B6297" s="18" t="s">
        <v>9019</v>
      </c>
      <c r="C6297" s="13">
        <v>77</v>
      </c>
    </row>
    <row r="6298" spans="2:3" x14ac:dyDescent="0.3">
      <c r="B6298" s="18" t="s">
        <v>9020</v>
      </c>
      <c r="C6298" s="13">
        <v>76</v>
      </c>
    </row>
    <row r="6299" spans="2:3" x14ac:dyDescent="0.3">
      <c r="B6299" s="18" t="s">
        <v>9021</v>
      </c>
      <c r="C6299" s="13">
        <v>75</v>
      </c>
    </row>
    <row r="6300" spans="2:3" x14ac:dyDescent="0.3">
      <c r="B6300" s="18" t="s">
        <v>9022</v>
      </c>
      <c r="C6300" s="13">
        <v>74</v>
      </c>
    </row>
    <row r="6301" spans="2:3" x14ac:dyDescent="0.3">
      <c r="B6301" s="18" t="s">
        <v>9023</v>
      </c>
      <c r="C6301" s="13">
        <v>73</v>
      </c>
    </row>
    <row r="6302" spans="2:3" x14ac:dyDescent="0.3">
      <c r="B6302" s="18" t="s">
        <v>9024</v>
      </c>
      <c r="C6302" s="13">
        <v>72</v>
      </c>
    </row>
    <row r="6303" spans="2:3" x14ac:dyDescent="0.3">
      <c r="B6303" s="18" t="s">
        <v>3683</v>
      </c>
      <c r="C6303" s="13">
        <v>1</v>
      </c>
    </row>
    <row r="6304" spans="2:3" x14ac:dyDescent="0.3">
      <c r="B6304" s="18" t="s">
        <v>3681</v>
      </c>
      <c r="C6304" s="13">
        <v>10</v>
      </c>
    </row>
    <row r="6305" spans="2:3" x14ac:dyDescent="0.3">
      <c r="B6305" s="18" t="s">
        <v>3679</v>
      </c>
      <c r="C6305" s="13">
        <v>11</v>
      </c>
    </row>
    <row r="6306" spans="2:3" x14ac:dyDescent="0.3">
      <c r="B6306" s="18" t="s">
        <v>3677</v>
      </c>
      <c r="C6306" s="13">
        <v>12</v>
      </c>
    </row>
    <row r="6307" spans="2:3" x14ac:dyDescent="0.3">
      <c r="B6307" s="18" t="s">
        <v>3675</v>
      </c>
      <c r="C6307" s="13">
        <v>13</v>
      </c>
    </row>
    <row r="6308" spans="2:3" x14ac:dyDescent="0.3">
      <c r="B6308" s="18" t="s">
        <v>3673</v>
      </c>
      <c r="C6308" s="13">
        <v>14</v>
      </c>
    </row>
    <row r="6309" spans="2:3" x14ac:dyDescent="0.3">
      <c r="B6309" s="18" t="s">
        <v>3671</v>
      </c>
      <c r="C6309" s="13">
        <v>15</v>
      </c>
    </row>
    <row r="6310" spans="2:3" x14ac:dyDescent="0.3">
      <c r="B6310" s="18" t="s">
        <v>3669</v>
      </c>
      <c r="C6310" s="13">
        <v>16</v>
      </c>
    </row>
    <row r="6311" spans="2:3" x14ac:dyDescent="0.3">
      <c r="B6311" s="18" t="s">
        <v>3667</v>
      </c>
      <c r="C6311" s="13">
        <v>17</v>
      </c>
    </row>
    <row r="6312" spans="2:3" x14ac:dyDescent="0.3">
      <c r="B6312" s="18" t="s">
        <v>3665</v>
      </c>
      <c r="C6312" s="13">
        <v>18</v>
      </c>
    </row>
    <row r="6313" spans="2:3" x14ac:dyDescent="0.3">
      <c r="B6313" s="18" t="s">
        <v>3663</v>
      </c>
      <c r="C6313" s="13">
        <v>19</v>
      </c>
    </row>
    <row r="6314" spans="2:3" x14ac:dyDescent="0.3">
      <c r="B6314" s="18" t="s">
        <v>3661</v>
      </c>
      <c r="C6314" s="13">
        <v>2</v>
      </c>
    </row>
    <row r="6315" spans="2:3" x14ac:dyDescent="0.3">
      <c r="B6315" s="18" t="s">
        <v>3659</v>
      </c>
      <c r="C6315" s="13">
        <v>20</v>
      </c>
    </row>
    <row r="6316" spans="2:3" x14ac:dyDescent="0.3">
      <c r="B6316" s="18" t="s">
        <v>3645</v>
      </c>
      <c r="C6316" s="13">
        <v>3</v>
      </c>
    </row>
    <row r="6317" spans="2:3" x14ac:dyDescent="0.3">
      <c r="B6317" s="18" t="s">
        <v>3643</v>
      </c>
      <c r="C6317" s="13">
        <v>4</v>
      </c>
    </row>
    <row r="6318" spans="2:3" x14ac:dyDescent="0.3">
      <c r="B6318" s="18" t="s">
        <v>3641</v>
      </c>
      <c r="C6318" s="13">
        <v>5</v>
      </c>
    </row>
    <row r="6319" spans="2:3" x14ac:dyDescent="0.3">
      <c r="B6319" s="18" t="s">
        <v>3639</v>
      </c>
      <c r="C6319" s="13">
        <v>6</v>
      </c>
    </row>
    <row r="6320" spans="2:3" x14ac:dyDescent="0.3">
      <c r="B6320" s="18" t="s">
        <v>3637</v>
      </c>
      <c r="C6320" s="13">
        <v>7</v>
      </c>
    </row>
    <row r="6321" spans="2:3" x14ac:dyDescent="0.3">
      <c r="B6321" s="18" t="s">
        <v>3635</v>
      </c>
      <c r="C6321" s="13">
        <v>8</v>
      </c>
    </row>
    <row r="6322" spans="2:3" x14ac:dyDescent="0.3">
      <c r="B6322" s="18" t="s">
        <v>3633</v>
      </c>
      <c r="C6322" s="13">
        <v>9</v>
      </c>
    </row>
    <row r="6323" spans="2:3" x14ac:dyDescent="0.3">
      <c r="B6323" s="18" t="s">
        <v>3631</v>
      </c>
      <c r="C6323" s="13">
        <v>40</v>
      </c>
    </row>
    <row r="6324" spans="2:3" x14ac:dyDescent="0.3">
      <c r="B6324" s="18" t="s">
        <v>3629</v>
      </c>
      <c r="C6324" s="13">
        <v>31</v>
      </c>
    </row>
    <row r="6325" spans="2:3" x14ac:dyDescent="0.3">
      <c r="B6325" s="18" t="s">
        <v>3627</v>
      </c>
      <c r="C6325" s="13">
        <v>30</v>
      </c>
    </row>
    <row r="6326" spans="2:3" x14ac:dyDescent="0.3">
      <c r="B6326" s="18" t="s">
        <v>3625</v>
      </c>
      <c r="C6326" s="13">
        <v>29</v>
      </c>
    </row>
    <row r="6327" spans="2:3" x14ac:dyDescent="0.3">
      <c r="B6327" s="18" t="s">
        <v>3623</v>
      </c>
      <c r="C6327" s="13">
        <v>28</v>
      </c>
    </row>
    <row r="6328" spans="2:3" x14ac:dyDescent="0.3">
      <c r="B6328" s="18" t="s">
        <v>3621</v>
      </c>
      <c r="C6328" s="13">
        <v>27</v>
      </c>
    </row>
    <row r="6329" spans="2:3" x14ac:dyDescent="0.3">
      <c r="B6329" s="18" t="s">
        <v>3619</v>
      </c>
      <c r="C6329" s="13">
        <v>26</v>
      </c>
    </row>
    <row r="6330" spans="2:3" x14ac:dyDescent="0.3">
      <c r="B6330" s="18" t="s">
        <v>3617</v>
      </c>
      <c r="C6330" s="13">
        <v>25</v>
      </c>
    </row>
    <row r="6331" spans="2:3" x14ac:dyDescent="0.3">
      <c r="B6331" s="18" t="s">
        <v>3615</v>
      </c>
      <c r="C6331" s="13">
        <v>24</v>
      </c>
    </row>
    <row r="6332" spans="2:3" x14ac:dyDescent="0.3">
      <c r="B6332" s="18" t="s">
        <v>3613</v>
      </c>
      <c r="C6332" s="13">
        <v>23</v>
      </c>
    </row>
    <row r="6333" spans="2:3" x14ac:dyDescent="0.3">
      <c r="B6333" s="18" t="s">
        <v>3611</v>
      </c>
      <c r="C6333" s="13">
        <v>22</v>
      </c>
    </row>
    <row r="6334" spans="2:3" x14ac:dyDescent="0.3">
      <c r="B6334" s="18" t="s">
        <v>3609</v>
      </c>
      <c r="C6334" s="13">
        <v>39</v>
      </c>
    </row>
    <row r="6335" spans="2:3" x14ac:dyDescent="0.3">
      <c r="B6335" s="18" t="s">
        <v>3607</v>
      </c>
      <c r="C6335" s="13">
        <v>21</v>
      </c>
    </row>
    <row r="6336" spans="2:3" x14ac:dyDescent="0.3">
      <c r="B6336" s="18" t="s">
        <v>3593</v>
      </c>
      <c r="C6336" s="13">
        <v>38</v>
      </c>
    </row>
    <row r="6337" spans="2:3" x14ac:dyDescent="0.3">
      <c r="B6337" s="18" t="s">
        <v>3591</v>
      </c>
      <c r="C6337" s="13">
        <v>37</v>
      </c>
    </row>
    <row r="6338" spans="2:3" x14ac:dyDescent="0.3">
      <c r="B6338" s="18" t="s">
        <v>3589</v>
      </c>
      <c r="C6338" s="13">
        <v>36</v>
      </c>
    </row>
    <row r="6339" spans="2:3" x14ac:dyDescent="0.3">
      <c r="B6339" s="18" t="s">
        <v>3587</v>
      </c>
      <c r="C6339" s="13">
        <v>35</v>
      </c>
    </row>
    <row r="6340" spans="2:3" x14ac:dyDescent="0.3">
      <c r="B6340" s="18" t="s">
        <v>3585</v>
      </c>
      <c r="C6340" s="13">
        <v>34</v>
      </c>
    </row>
    <row r="6341" spans="2:3" x14ac:dyDescent="0.3">
      <c r="B6341" s="18" t="s">
        <v>3583</v>
      </c>
      <c r="C6341" s="13">
        <v>33</v>
      </c>
    </row>
    <row r="6342" spans="2:3" x14ac:dyDescent="0.3">
      <c r="B6342" s="18" t="s">
        <v>3581</v>
      </c>
      <c r="C6342" s="13">
        <v>32</v>
      </c>
    </row>
    <row r="6343" spans="2:3" x14ac:dyDescent="0.3">
      <c r="B6343" s="18" t="s">
        <v>3579</v>
      </c>
      <c r="C6343" s="13">
        <v>41</v>
      </c>
    </row>
    <row r="6344" spans="2:3" x14ac:dyDescent="0.3">
      <c r="B6344" s="18" t="s">
        <v>3577</v>
      </c>
      <c r="C6344" s="13">
        <v>50</v>
      </c>
    </row>
    <row r="6345" spans="2:3" x14ac:dyDescent="0.3">
      <c r="B6345" s="18" t="s">
        <v>3575</v>
      </c>
      <c r="C6345" s="13">
        <v>51</v>
      </c>
    </row>
    <row r="6346" spans="2:3" x14ac:dyDescent="0.3">
      <c r="B6346" s="18" t="s">
        <v>3573</v>
      </c>
      <c r="C6346" s="13">
        <v>52</v>
      </c>
    </row>
    <row r="6347" spans="2:3" x14ac:dyDescent="0.3">
      <c r="B6347" s="18" t="s">
        <v>3571</v>
      </c>
      <c r="C6347" s="13">
        <v>53</v>
      </c>
    </row>
    <row r="6348" spans="2:3" x14ac:dyDescent="0.3">
      <c r="B6348" s="18" t="s">
        <v>3569</v>
      </c>
      <c r="C6348" s="13">
        <v>54</v>
      </c>
    </row>
    <row r="6349" spans="2:3" x14ac:dyDescent="0.3">
      <c r="B6349" s="18" t="s">
        <v>3567</v>
      </c>
      <c r="C6349" s="13">
        <v>55</v>
      </c>
    </row>
    <row r="6350" spans="2:3" x14ac:dyDescent="0.3">
      <c r="B6350" s="18" t="s">
        <v>3565</v>
      </c>
      <c r="C6350" s="13">
        <v>56</v>
      </c>
    </row>
    <row r="6351" spans="2:3" x14ac:dyDescent="0.3">
      <c r="B6351" s="18" t="s">
        <v>3563</v>
      </c>
      <c r="C6351" s="13">
        <v>57</v>
      </c>
    </row>
    <row r="6352" spans="2:3" x14ac:dyDescent="0.3">
      <c r="B6352" s="18" t="s">
        <v>3561</v>
      </c>
      <c r="C6352" s="13">
        <v>58</v>
      </c>
    </row>
    <row r="6353" spans="2:3" x14ac:dyDescent="0.3">
      <c r="B6353" s="18" t="s">
        <v>3559</v>
      </c>
      <c r="C6353" s="13">
        <v>59</v>
      </c>
    </row>
    <row r="6354" spans="2:3" x14ac:dyDescent="0.3">
      <c r="B6354" s="18" t="s">
        <v>3557</v>
      </c>
      <c r="C6354" s="13">
        <v>42</v>
      </c>
    </row>
    <row r="6355" spans="2:3" x14ac:dyDescent="0.3">
      <c r="B6355" s="18" t="s">
        <v>3555</v>
      </c>
      <c r="C6355" s="13">
        <v>60</v>
      </c>
    </row>
    <row r="6356" spans="2:3" x14ac:dyDescent="0.3">
      <c r="B6356" s="18" t="s">
        <v>3541</v>
      </c>
      <c r="C6356" s="13">
        <v>43</v>
      </c>
    </row>
    <row r="6357" spans="2:3" x14ac:dyDescent="0.3">
      <c r="B6357" s="18" t="s">
        <v>3539</v>
      </c>
      <c r="C6357" s="13">
        <v>44</v>
      </c>
    </row>
    <row r="6358" spans="2:3" x14ac:dyDescent="0.3">
      <c r="B6358" s="18" t="s">
        <v>3537</v>
      </c>
      <c r="C6358" s="13">
        <v>45</v>
      </c>
    </row>
    <row r="6359" spans="2:3" x14ac:dyDescent="0.3">
      <c r="B6359" s="18" t="s">
        <v>3535</v>
      </c>
      <c r="C6359" s="13">
        <v>46</v>
      </c>
    </row>
    <row r="6360" spans="2:3" x14ac:dyDescent="0.3">
      <c r="B6360" s="18" t="s">
        <v>3533</v>
      </c>
      <c r="C6360" s="13">
        <v>47</v>
      </c>
    </row>
    <row r="6361" spans="2:3" x14ac:dyDescent="0.3">
      <c r="B6361" s="18" t="s">
        <v>3531</v>
      </c>
      <c r="C6361" s="13">
        <v>48</v>
      </c>
    </row>
    <row r="6362" spans="2:3" x14ac:dyDescent="0.3">
      <c r="B6362" s="18" t="s">
        <v>3529</v>
      </c>
      <c r="C6362" s="13">
        <v>49</v>
      </c>
    </row>
    <row r="6363" spans="2:3" x14ac:dyDescent="0.3">
      <c r="B6363" s="18" t="s">
        <v>9025</v>
      </c>
      <c r="C6363" s="13">
        <v>71</v>
      </c>
    </row>
    <row r="6364" spans="2:3" x14ac:dyDescent="0.3">
      <c r="B6364" s="18" t="s">
        <v>9026</v>
      </c>
      <c r="C6364" s="13">
        <v>70</v>
      </c>
    </row>
    <row r="6365" spans="2:3" x14ac:dyDescent="0.3">
      <c r="B6365" s="18" t="s">
        <v>9027</v>
      </c>
      <c r="C6365" s="13">
        <v>69</v>
      </c>
    </row>
    <row r="6366" spans="2:3" x14ac:dyDescent="0.3">
      <c r="B6366" s="18" t="s">
        <v>9028</v>
      </c>
      <c r="C6366" s="13">
        <v>68</v>
      </c>
    </row>
    <row r="6367" spans="2:3" x14ac:dyDescent="0.3">
      <c r="B6367" s="18" t="s">
        <v>9029</v>
      </c>
      <c r="C6367" s="13">
        <v>67</v>
      </c>
    </row>
    <row r="6368" spans="2:3" x14ac:dyDescent="0.3">
      <c r="B6368" s="18" t="s">
        <v>9030</v>
      </c>
      <c r="C6368" s="13">
        <v>66</v>
      </c>
    </row>
    <row r="6369" spans="2:3" x14ac:dyDescent="0.3">
      <c r="B6369" s="18" t="s">
        <v>9031</v>
      </c>
      <c r="C6369" s="13">
        <v>65</v>
      </c>
    </row>
    <row r="6370" spans="2:3" x14ac:dyDescent="0.3">
      <c r="B6370" s="18" t="s">
        <v>9032</v>
      </c>
      <c r="C6370" s="13">
        <v>64</v>
      </c>
    </row>
    <row r="6371" spans="2:3" x14ac:dyDescent="0.3">
      <c r="B6371" s="18" t="s">
        <v>9033</v>
      </c>
      <c r="C6371" s="13">
        <v>63</v>
      </c>
    </row>
    <row r="6372" spans="2:3" x14ac:dyDescent="0.3">
      <c r="B6372" s="18" t="s">
        <v>9034</v>
      </c>
      <c r="C6372" s="13">
        <v>62</v>
      </c>
    </row>
    <row r="6373" spans="2:3" x14ac:dyDescent="0.3">
      <c r="B6373" s="18" t="s">
        <v>9035</v>
      </c>
      <c r="C6373" s="13">
        <v>61</v>
      </c>
    </row>
    <row r="6374" spans="2:3" x14ac:dyDescent="0.3">
      <c r="B6374" s="18" t="s">
        <v>9036</v>
      </c>
      <c r="C6374" s="13">
        <v>78</v>
      </c>
    </row>
    <row r="6375" spans="2:3" x14ac:dyDescent="0.3">
      <c r="B6375" s="18" t="s">
        <v>9037</v>
      </c>
      <c r="C6375" s="13">
        <v>77</v>
      </c>
    </row>
    <row r="6376" spans="2:3" x14ac:dyDescent="0.3">
      <c r="B6376" s="18" t="s">
        <v>9038</v>
      </c>
      <c r="C6376" s="13">
        <v>76</v>
      </c>
    </row>
    <row r="6377" spans="2:3" x14ac:dyDescent="0.3">
      <c r="B6377" s="18" t="s">
        <v>9039</v>
      </c>
      <c r="C6377" s="13">
        <v>75</v>
      </c>
    </row>
    <row r="6378" spans="2:3" x14ac:dyDescent="0.3">
      <c r="B6378" s="18" t="s">
        <v>9040</v>
      </c>
      <c r="C6378" s="13">
        <v>74</v>
      </c>
    </row>
    <row r="6379" spans="2:3" x14ac:dyDescent="0.3">
      <c r="B6379" s="18" t="s">
        <v>9041</v>
      </c>
      <c r="C6379" s="13">
        <v>73</v>
      </c>
    </row>
    <row r="6380" spans="2:3" x14ac:dyDescent="0.3">
      <c r="B6380" s="18" t="s">
        <v>9042</v>
      </c>
      <c r="C6380" s="13">
        <v>72</v>
      </c>
    </row>
    <row r="6381" spans="2:3" x14ac:dyDescent="0.3">
      <c r="B6381" s="18" t="s">
        <v>3527</v>
      </c>
      <c r="C6381" s="13">
        <v>1</v>
      </c>
    </row>
    <row r="6382" spans="2:3" x14ac:dyDescent="0.3">
      <c r="B6382" s="18" t="s">
        <v>3525</v>
      </c>
      <c r="C6382" s="13">
        <v>10</v>
      </c>
    </row>
    <row r="6383" spans="2:3" x14ac:dyDescent="0.3">
      <c r="B6383" s="18" t="s">
        <v>3523</v>
      </c>
      <c r="C6383" s="13">
        <v>11</v>
      </c>
    </row>
    <row r="6384" spans="2:3" x14ac:dyDescent="0.3">
      <c r="B6384" s="18" t="s">
        <v>3521</v>
      </c>
      <c r="C6384" s="13">
        <v>12</v>
      </c>
    </row>
    <row r="6385" spans="2:3" x14ac:dyDescent="0.3">
      <c r="B6385" s="18" t="s">
        <v>3519</v>
      </c>
      <c r="C6385" s="13">
        <v>13</v>
      </c>
    </row>
    <row r="6386" spans="2:3" x14ac:dyDescent="0.3">
      <c r="B6386" s="18" t="s">
        <v>3517</v>
      </c>
      <c r="C6386" s="13">
        <v>14</v>
      </c>
    </row>
    <row r="6387" spans="2:3" x14ac:dyDescent="0.3">
      <c r="B6387" s="18" t="s">
        <v>3515</v>
      </c>
      <c r="C6387" s="13">
        <v>15</v>
      </c>
    </row>
    <row r="6388" spans="2:3" x14ac:dyDescent="0.3">
      <c r="B6388" s="18" t="s">
        <v>3513</v>
      </c>
      <c r="C6388" s="13">
        <v>16</v>
      </c>
    </row>
    <row r="6389" spans="2:3" x14ac:dyDescent="0.3">
      <c r="B6389" s="18" t="s">
        <v>3511</v>
      </c>
      <c r="C6389" s="13">
        <v>17</v>
      </c>
    </row>
    <row r="6390" spans="2:3" x14ac:dyDescent="0.3">
      <c r="B6390" s="18" t="s">
        <v>3509</v>
      </c>
      <c r="C6390" s="13">
        <v>18</v>
      </c>
    </row>
    <row r="6391" spans="2:3" x14ac:dyDescent="0.3">
      <c r="B6391" s="18" t="s">
        <v>3507</v>
      </c>
      <c r="C6391" s="13">
        <v>19</v>
      </c>
    </row>
    <row r="6392" spans="2:3" x14ac:dyDescent="0.3">
      <c r="B6392" s="18" t="s">
        <v>3505</v>
      </c>
      <c r="C6392" s="13">
        <v>2</v>
      </c>
    </row>
    <row r="6393" spans="2:3" x14ac:dyDescent="0.3">
      <c r="B6393" s="18" t="s">
        <v>3503</v>
      </c>
      <c r="C6393" s="13">
        <v>20</v>
      </c>
    </row>
    <row r="6394" spans="2:3" x14ac:dyDescent="0.3">
      <c r="B6394" s="18" t="s">
        <v>3487</v>
      </c>
      <c r="C6394" s="13">
        <v>3</v>
      </c>
    </row>
    <row r="6395" spans="2:3" x14ac:dyDescent="0.3">
      <c r="B6395" s="18" t="s">
        <v>3485</v>
      </c>
      <c r="C6395" s="13">
        <v>4</v>
      </c>
    </row>
    <row r="6396" spans="2:3" x14ac:dyDescent="0.3">
      <c r="B6396" s="18" t="s">
        <v>3483</v>
      </c>
      <c r="C6396" s="13">
        <v>5</v>
      </c>
    </row>
    <row r="6397" spans="2:3" x14ac:dyDescent="0.3">
      <c r="B6397" s="18" t="s">
        <v>3481</v>
      </c>
      <c r="C6397" s="13">
        <v>6</v>
      </c>
    </row>
    <row r="6398" spans="2:3" x14ac:dyDescent="0.3">
      <c r="B6398" s="18" t="s">
        <v>3479</v>
      </c>
      <c r="C6398" s="13">
        <v>7</v>
      </c>
    </row>
    <row r="6399" spans="2:3" x14ac:dyDescent="0.3">
      <c r="B6399" s="18" t="s">
        <v>3477</v>
      </c>
      <c r="C6399" s="13">
        <v>8</v>
      </c>
    </row>
    <row r="6400" spans="2:3" x14ac:dyDescent="0.3">
      <c r="B6400" s="18" t="s">
        <v>3475</v>
      </c>
      <c r="C6400" s="13">
        <v>9</v>
      </c>
    </row>
    <row r="6401" spans="2:3" x14ac:dyDescent="0.3">
      <c r="B6401" s="18" t="s">
        <v>3473</v>
      </c>
      <c r="C6401" s="13">
        <v>40</v>
      </c>
    </row>
    <row r="6402" spans="2:3" x14ac:dyDescent="0.3">
      <c r="B6402" s="18" t="s">
        <v>3471</v>
      </c>
      <c r="C6402" s="13">
        <v>31</v>
      </c>
    </row>
    <row r="6403" spans="2:3" x14ac:dyDescent="0.3">
      <c r="B6403" s="18" t="s">
        <v>3469</v>
      </c>
      <c r="C6403" s="13">
        <v>30</v>
      </c>
    </row>
    <row r="6404" spans="2:3" x14ac:dyDescent="0.3">
      <c r="B6404" s="18" t="s">
        <v>3467</v>
      </c>
      <c r="C6404" s="13">
        <v>29</v>
      </c>
    </row>
    <row r="6405" spans="2:3" x14ac:dyDescent="0.3">
      <c r="B6405" s="18" t="s">
        <v>3465</v>
      </c>
      <c r="C6405" s="13">
        <v>28</v>
      </c>
    </row>
    <row r="6406" spans="2:3" x14ac:dyDescent="0.3">
      <c r="B6406" s="18" t="s">
        <v>3463</v>
      </c>
      <c r="C6406" s="13">
        <v>27</v>
      </c>
    </row>
    <row r="6407" spans="2:3" x14ac:dyDescent="0.3">
      <c r="B6407" s="18" t="s">
        <v>3461</v>
      </c>
      <c r="C6407" s="13">
        <v>26</v>
      </c>
    </row>
    <row r="6408" spans="2:3" x14ac:dyDescent="0.3">
      <c r="B6408" s="18" t="s">
        <v>3459</v>
      </c>
      <c r="C6408" s="13">
        <v>25</v>
      </c>
    </row>
    <row r="6409" spans="2:3" x14ac:dyDescent="0.3">
      <c r="B6409" s="18" t="s">
        <v>3457</v>
      </c>
      <c r="C6409" s="13">
        <v>24</v>
      </c>
    </row>
    <row r="6410" spans="2:3" x14ac:dyDescent="0.3">
      <c r="B6410" s="18" t="s">
        <v>3455</v>
      </c>
      <c r="C6410" s="13">
        <v>23</v>
      </c>
    </row>
    <row r="6411" spans="2:3" x14ac:dyDescent="0.3">
      <c r="B6411" s="18" t="s">
        <v>3453</v>
      </c>
      <c r="C6411" s="13">
        <v>22</v>
      </c>
    </row>
    <row r="6412" spans="2:3" x14ac:dyDescent="0.3">
      <c r="B6412" s="18" t="s">
        <v>3451</v>
      </c>
      <c r="C6412" s="13">
        <v>39</v>
      </c>
    </row>
    <row r="6413" spans="2:3" x14ac:dyDescent="0.3">
      <c r="B6413" s="18" t="s">
        <v>3449</v>
      </c>
      <c r="C6413" s="13">
        <v>21</v>
      </c>
    </row>
    <row r="6414" spans="2:3" x14ac:dyDescent="0.3">
      <c r="B6414" s="18" t="s">
        <v>3433</v>
      </c>
      <c r="C6414" s="13">
        <v>38</v>
      </c>
    </row>
    <row r="6415" spans="2:3" x14ac:dyDescent="0.3">
      <c r="B6415" s="18" t="s">
        <v>3431</v>
      </c>
      <c r="C6415" s="13">
        <v>37</v>
      </c>
    </row>
    <row r="6416" spans="2:3" x14ac:dyDescent="0.3">
      <c r="B6416" s="18" t="s">
        <v>3429</v>
      </c>
      <c r="C6416" s="13">
        <v>36</v>
      </c>
    </row>
    <row r="6417" spans="2:3" x14ac:dyDescent="0.3">
      <c r="B6417" s="18" t="s">
        <v>3427</v>
      </c>
      <c r="C6417" s="13">
        <v>35</v>
      </c>
    </row>
    <row r="6418" spans="2:3" x14ac:dyDescent="0.3">
      <c r="B6418" s="18" t="s">
        <v>3425</v>
      </c>
      <c r="C6418" s="13">
        <v>34</v>
      </c>
    </row>
    <row r="6419" spans="2:3" x14ac:dyDescent="0.3">
      <c r="B6419" s="18" t="s">
        <v>3423</v>
      </c>
      <c r="C6419" s="13">
        <v>33</v>
      </c>
    </row>
    <row r="6420" spans="2:3" x14ac:dyDescent="0.3">
      <c r="B6420" s="18" t="s">
        <v>3421</v>
      </c>
      <c r="C6420" s="13">
        <v>32</v>
      </c>
    </row>
    <row r="6421" spans="2:3" x14ac:dyDescent="0.3">
      <c r="B6421" s="18" t="s">
        <v>9043</v>
      </c>
      <c r="C6421" s="13">
        <v>41</v>
      </c>
    </row>
    <row r="6422" spans="2:3" x14ac:dyDescent="0.3">
      <c r="B6422" s="18" t="s">
        <v>3419</v>
      </c>
      <c r="C6422" s="13">
        <v>50</v>
      </c>
    </row>
    <row r="6423" spans="2:3" x14ac:dyDescent="0.3">
      <c r="B6423" s="18" t="s">
        <v>3417</v>
      </c>
      <c r="C6423" s="13">
        <v>51</v>
      </c>
    </row>
    <row r="6424" spans="2:3" x14ac:dyDescent="0.3">
      <c r="B6424" s="18" t="s">
        <v>3415</v>
      </c>
      <c r="C6424" s="13">
        <v>52</v>
      </c>
    </row>
    <row r="6425" spans="2:3" x14ac:dyDescent="0.3">
      <c r="B6425" s="18" t="s">
        <v>3413</v>
      </c>
      <c r="C6425" s="13">
        <v>53</v>
      </c>
    </row>
    <row r="6426" spans="2:3" x14ac:dyDescent="0.3">
      <c r="B6426" s="18" t="s">
        <v>3411</v>
      </c>
      <c r="C6426" s="13">
        <v>54</v>
      </c>
    </row>
    <row r="6427" spans="2:3" x14ac:dyDescent="0.3">
      <c r="B6427" s="18" t="s">
        <v>3409</v>
      </c>
      <c r="C6427" s="13">
        <v>55</v>
      </c>
    </row>
    <row r="6428" spans="2:3" x14ac:dyDescent="0.3">
      <c r="B6428" s="18" t="s">
        <v>3407</v>
      </c>
      <c r="C6428" s="13">
        <v>56</v>
      </c>
    </row>
    <row r="6429" spans="2:3" x14ac:dyDescent="0.3">
      <c r="B6429" s="18" t="s">
        <v>3405</v>
      </c>
      <c r="C6429" s="13">
        <v>57</v>
      </c>
    </row>
    <row r="6430" spans="2:3" x14ac:dyDescent="0.3">
      <c r="B6430" s="18" t="s">
        <v>3403</v>
      </c>
      <c r="C6430" s="13">
        <v>58</v>
      </c>
    </row>
    <row r="6431" spans="2:3" x14ac:dyDescent="0.3">
      <c r="B6431" s="18" t="s">
        <v>3401</v>
      </c>
      <c r="C6431" s="13">
        <v>59</v>
      </c>
    </row>
    <row r="6432" spans="2:3" x14ac:dyDescent="0.3">
      <c r="B6432" s="18" t="s">
        <v>9044</v>
      </c>
      <c r="C6432" s="13">
        <v>42</v>
      </c>
    </row>
    <row r="6433" spans="2:3" x14ac:dyDescent="0.3">
      <c r="B6433" s="18" t="s">
        <v>3399</v>
      </c>
      <c r="C6433" s="13">
        <v>60</v>
      </c>
    </row>
    <row r="6434" spans="2:3" x14ac:dyDescent="0.3">
      <c r="B6434" s="18" t="s">
        <v>3383</v>
      </c>
      <c r="C6434" s="13">
        <v>43</v>
      </c>
    </row>
    <row r="6435" spans="2:3" x14ac:dyDescent="0.3">
      <c r="B6435" s="18" t="s">
        <v>3381</v>
      </c>
      <c r="C6435" s="13">
        <v>44</v>
      </c>
    </row>
    <row r="6436" spans="2:3" x14ac:dyDescent="0.3">
      <c r="B6436" s="18" t="s">
        <v>3379</v>
      </c>
      <c r="C6436" s="13">
        <v>45</v>
      </c>
    </row>
    <row r="6437" spans="2:3" x14ac:dyDescent="0.3">
      <c r="B6437" s="18" t="s">
        <v>3377</v>
      </c>
      <c r="C6437" s="13">
        <v>46</v>
      </c>
    </row>
    <row r="6438" spans="2:3" x14ac:dyDescent="0.3">
      <c r="B6438" s="18" t="s">
        <v>3375</v>
      </c>
      <c r="C6438" s="13">
        <v>47</v>
      </c>
    </row>
    <row r="6439" spans="2:3" x14ac:dyDescent="0.3">
      <c r="B6439" s="18" t="s">
        <v>3373</v>
      </c>
      <c r="C6439" s="13">
        <v>48</v>
      </c>
    </row>
    <row r="6440" spans="2:3" x14ac:dyDescent="0.3">
      <c r="B6440" s="18" t="s">
        <v>3371</v>
      </c>
      <c r="C6440" s="13">
        <v>49</v>
      </c>
    </row>
    <row r="6441" spans="2:3" x14ac:dyDescent="0.3">
      <c r="B6441" s="18" t="s">
        <v>9045</v>
      </c>
      <c r="C6441" s="13">
        <v>71</v>
      </c>
    </row>
    <row r="6442" spans="2:3" x14ac:dyDescent="0.3">
      <c r="B6442" s="18" t="s">
        <v>9046</v>
      </c>
      <c r="C6442" s="13">
        <v>70</v>
      </c>
    </row>
    <row r="6443" spans="2:3" x14ac:dyDescent="0.3">
      <c r="B6443" s="18" t="s">
        <v>9047</v>
      </c>
      <c r="C6443" s="13">
        <v>69</v>
      </c>
    </row>
    <row r="6444" spans="2:3" x14ac:dyDescent="0.3">
      <c r="B6444" s="18" t="s">
        <v>9048</v>
      </c>
      <c r="C6444" s="13">
        <v>68</v>
      </c>
    </row>
    <row r="6445" spans="2:3" x14ac:dyDescent="0.3">
      <c r="B6445" s="18" t="s">
        <v>9049</v>
      </c>
      <c r="C6445" s="13">
        <v>67</v>
      </c>
    </row>
    <row r="6446" spans="2:3" x14ac:dyDescent="0.3">
      <c r="B6446" s="18" t="s">
        <v>9050</v>
      </c>
      <c r="C6446" s="13">
        <v>66</v>
      </c>
    </row>
    <row r="6447" spans="2:3" x14ac:dyDescent="0.3">
      <c r="B6447" s="18" t="s">
        <v>9051</v>
      </c>
      <c r="C6447" s="13">
        <v>65</v>
      </c>
    </row>
    <row r="6448" spans="2:3" x14ac:dyDescent="0.3">
      <c r="B6448" s="18" t="s">
        <v>9052</v>
      </c>
      <c r="C6448" s="13">
        <v>64</v>
      </c>
    </row>
    <row r="6449" spans="2:3" x14ac:dyDescent="0.3">
      <c r="B6449" s="18" t="s">
        <v>9053</v>
      </c>
      <c r="C6449" s="13">
        <v>63</v>
      </c>
    </row>
    <row r="6450" spans="2:3" x14ac:dyDescent="0.3">
      <c r="B6450" s="18" t="s">
        <v>9054</v>
      </c>
      <c r="C6450" s="13">
        <v>62</v>
      </c>
    </row>
    <row r="6451" spans="2:3" x14ac:dyDescent="0.3">
      <c r="B6451" s="18" t="s">
        <v>9055</v>
      </c>
      <c r="C6451" s="13">
        <v>79</v>
      </c>
    </row>
    <row r="6452" spans="2:3" x14ac:dyDescent="0.3">
      <c r="B6452" s="18" t="s">
        <v>9056</v>
      </c>
      <c r="C6452" s="13">
        <v>61</v>
      </c>
    </row>
    <row r="6453" spans="2:3" x14ac:dyDescent="0.3">
      <c r="B6453" s="18" t="s">
        <v>9057</v>
      </c>
      <c r="C6453" s="13">
        <v>78</v>
      </c>
    </row>
    <row r="6454" spans="2:3" x14ac:dyDescent="0.3">
      <c r="B6454" s="18" t="s">
        <v>9058</v>
      </c>
      <c r="C6454" s="13">
        <v>77</v>
      </c>
    </row>
    <row r="6455" spans="2:3" x14ac:dyDescent="0.3">
      <c r="B6455" s="18" t="s">
        <v>9059</v>
      </c>
      <c r="C6455" s="13">
        <v>76</v>
      </c>
    </row>
    <row r="6456" spans="2:3" x14ac:dyDescent="0.3">
      <c r="B6456" s="18" t="s">
        <v>9060</v>
      </c>
      <c r="C6456" s="13">
        <v>75</v>
      </c>
    </row>
    <row r="6457" spans="2:3" x14ac:dyDescent="0.3">
      <c r="B6457" s="18" t="s">
        <v>9061</v>
      </c>
      <c r="C6457" s="13">
        <v>74</v>
      </c>
    </row>
    <row r="6458" spans="2:3" x14ac:dyDescent="0.3">
      <c r="B6458" s="18" t="s">
        <v>9062</v>
      </c>
      <c r="C6458" s="13">
        <v>73</v>
      </c>
    </row>
    <row r="6459" spans="2:3" x14ac:dyDescent="0.3">
      <c r="B6459" s="18" t="s">
        <v>9063</v>
      </c>
      <c r="C6459" s="13">
        <v>72</v>
      </c>
    </row>
    <row r="6460" spans="2:3" x14ac:dyDescent="0.3">
      <c r="B6460" s="18" t="s">
        <v>3369</v>
      </c>
      <c r="C6460" s="13">
        <v>1</v>
      </c>
    </row>
    <row r="6461" spans="2:3" x14ac:dyDescent="0.3">
      <c r="B6461" s="18" t="s">
        <v>3367</v>
      </c>
      <c r="C6461" s="13">
        <v>2</v>
      </c>
    </row>
    <row r="6462" spans="2:3" x14ac:dyDescent="0.3">
      <c r="B6462" s="18" t="s">
        <v>3363</v>
      </c>
      <c r="C6462" s="13">
        <v>4</v>
      </c>
    </row>
    <row r="6463" spans="2:3" x14ac:dyDescent="0.3">
      <c r="B6463" s="18" t="s">
        <v>3361</v>
      </c>
      <c r="C6463" s="13">
        <v>3</v>
      </c>
    </row>
    <row r="6464" spans="2:3" x14ac:dyDescent="0.3">
      <c r="B6464" s="18" t="s">
        <v>9064</v>
      </c>
      <c r="C6464" s="13">
        <v>5</v>
      </c>
    </row>
    <row r="6465" spans="2:3" x14ac:dyDescent="0.3">
      <c r="B6465" s="18" t="s">
        <v>9065</v>
      </c>
      <c r="C6465" s="13">
        <v>6</v>
      </c>
    </row>
    <row r="6466" spans="2:3" x14ac:dyDescent="0.3">
      <c r="B6466" s="18" t="s">
        <v>9066</v>
      </c>
      <c r="C6466" s="13">
        <v>7</v>
      </c>
    </row>
    <row r="6467" spans="2:3" x14ac:dyDescent="0.3">
      <c r="B6467" s="18" t="s">
        <v>3355</v>
      </c>
      <c r="C6467" s="13">
        <v>1</v>
      </c>
    </row>
    <row r="6468" spans="2:3" x14ac:dyDescent="0.3">
      <c r="B6468" s="18" t="s">
        <v>3353</v>
      </c>
      <c r="C6468" s="13">
        <v>10</v>
      </c>
    </row>
    <row r="6469" spans="2:3" x14ac:dyDescent="0.3">
      <c r="B6469" s="18" t="s">
        <v>3351</v>
      </c>
      <c r="C6469" s="13">
        <v>11</v>
      </c>
    </row>
    <row r="6470" spans="2:3" x14ac:dyDescent="0.3">
      <c r="B6470" s="18" t="s">
        <v>3349</v>
      </c>
      <c r="C6470" s="13">
        <v>12</v>
      </c>
    </row>
    <row r="6471" spans="2:3" x14ac:dyDescent="0.3">
      <c r="B6471" s="18" t="s">
        <v>3347</v>
      </c>
      <c r="C6471" s="13">
        <v>13</v>
      </c>
    </row>
    <row r="6472" spans="2:3" x14ac:dyDescent="0.3">
      <c r="B6472" s="18" t="s">
        <v>3345</v>
      </c>
      <c r="C6472" s="13">
        <v>14</v>
      </c>
    </row>
    <row r="6473" spans="2:3" x14ac:dyDescent="0.3">
      <c r="B6473" s="18" t="s">
        <v>3343</v>
      </c>
      <c r="C6473" s="13">
        <v>15</v>
      </c>
    </row>
    <row r="6474" spans="2:3" x14ac:dyDescent="0.3">
      <c r="B6474" s="18" t="s">
        <v>3341</v>
      </c>
      <c r="C6474" s="13">
        <v>16</v>
      </c>
    </row>
    <row r="6475" spans="2:3" x14ac:dyDescent="0.3">
      <c r="B6475" s="18" t="s">
        <v>3339</v>
      </c>
      <c r="C6475" s="13">
        <v>17</v>
      </c>
    </row>
    <row r="6476" spans="2:3" x14ac:dyDescent="0.3">
      <c r="B6476" s="18" t="s">
        <v>3337</v>
      </c>
      <c r="C6476" s="13">
        <v>18</v>
      </c>
    </row>
    <row r="6477" spans="2:3" x14ac:dyDescent="0.3">
      <c r="B6477" s="18" t="s">
        <v>3335</v>
      </c>
      <c r="C6477" s="13">
        <v>19</v>
      </c>
    </row>
    <row r="6478" spans="2:3" x14ac:dyDescent="0.3">
      <c r="B6478" s="18" t="s">
        <v>3333</v>
      </c>
      <c r="C6478" s="13">
        <v>2</v>
      </c>
    </row>
    <row r="6479" spans="2:3" x14ac:dyDescent="0.3">
      <c r="B6479" s="18" t="s">
        <v>3331</v>
      </c>
      <c r="C6479" s="13">
        <v>20</v>
      </c>
    </row>
    <row r="6480" spans="2:3" x14ac:dyDescent="0.3">
      <c r="B6480" s="18" t="s">
        <v>3315</v>
      </c>
      <c r="C6480" s="13">
        <v>3</v>
      </c>
    </row>
    <row r="6481" spans="2:3" x14ac:dyDescent="0.3">
      <c r="B6481" s="18" t="s">
        <v>3313</v>
      </c>
      <c r="C6481" s="13">
        <v>4</v>
      </c>
    </row>
    <row r="6482" spans="2:3" x14ac:dyDescent="0.3">
      <c r="B6482" s="18" t="s">
        <v>3311</v>
      </c>
      <c r="C6482" s="13">
        <v>5</v>
      </c>
    </row>
    <row r="6483" spans="2:3" x14ac:dyDescent="0.3">
      <c r="B6483" s="18" t="s">
        <v>3309</v>
      </c>
      <c r="C6483" s="13">
        <v>6</v>
      </c>
    </row>
    <row r="6484" spans="2:3" x14ac:dyDescent="0.3">
      <c r="B6484" s="18" t="s">
        <v>3307</v>
      </c>
      <c r="C6484" s="13">
        <v>7</v>
      </c>
    </row>
    <row r="6485" spans="2:3" x14ac:dyDescent="0.3">
      <c r="B6485" s="18" t="s">
        <v>3305</v>
      </c>
      <c r="C6485" s="13">
        <v>8</v>
      </c>
    </row>
    <row r="6486" spans="2:3" x14ac:dyDescent="0.3">
      <c r="B6486" s="18" t="s">
        <v>3303</v>
      </c>
      <c r="C6486" s="13">
        <v>9</v>
      </c>
    </row>
    <row r="6487" spans="2:3" x14ac:dyDescent="0.3">
      <c r="B6487" s="18" t="s">
        <v>3301</v>
      </c>
      <c r="C6487" s="13">
        <v>40</v>
      </c>
    </row>
    <row r="6488" spans="2:3" x14ac:dyDescent="0.3">
      <c r="B6488" s="18" t="s">
        <v>3299</v>
      </c>
      <c r="C6488" s="13">
        <v>31</v>
      </c>
    </row>
    <row r="6489" spans="2:3" x14ac:dyDescent="0.3">
      <c r="B6489" s="18" t="s">
        <v>3297</v>
      </c>
      <c r="C6489" s="13">
        <v>30</v>
      </c>
    </row>
    <row r="6490" spans="2:3" x14ac:dyDescent="0.3">
      <c r="B6490" s="18" t="s">
        <v>3295</v>
      </c>
      <c r="C6490" s="13">
        <v>29</v>
      </c>
    </row>
    <row r="6491" spans="2:3" x14ac:dyDescent="0.3">
      <c r="B6491" s="18" t="s">
        <v>3293</v>
      </c>
      <c r="C6491" s="13">
        <v>28</v>
      </c>
    </row>
    <row r="6492" spans="2:3" x14ac:dyDescent="0.3">
      <c r="B6492" s="18" t="s">
        <v>3291</v>
      </c>
      <c r="C6492" s="13">
        <v>27</v>
      </c>
    </row>
    <row r="6493" spans="2:3" x14ac:dyDescent="0.3">
      <c r="B6493" s="18" t="s">
        <v>3289</v>
      </c>
      <c r="C6493" s="13">
        <v>26</v>
      </c>
    </row>
    <row r="6494" spans="2:3" x14ac:dyDescent="0.3">
      <c r="B6494" s="18" t="s">
        <v>3287</v>
      </c>
      <c r="C6494" s="13">
        <v>25</v>
      </c>
    </row>
    <row r="6495" spans="2:3" x14ac:dyDescent="0.3">
      <c r="B6495" s="18" t="s">
        <v>3285</v>
      </c>
      <c r="C6495" s="13">
        <v>24</v>
      </c>
    </row>
    <row r="6496" spans="2:3" x14ac:dyDescent="0.3">
      <c r="B6496" s="18" t="s">
        <v>3283</v>
      </c>
      <c r="C6496" s="13">
        <v>23</v>
      </c>
    </row>
    <row r="6497" spans="2:3" x14ac:dyDescent="0.3">
      <c r="B6497" s="18" t="s">
        <v>3281</v>
      </c>
      <c r="C6497" s="13">
        <v>22</v>
      </c>
    </row>
    <row r="6498" spans="2:3" x14ac:dyDescent="0.3">
      <c r="B6498" s="18" t="s">
        <v>3279</v>
      </c>
      <c r="C6498" s="13">
        <v>39</v>
      </c>
    </row>
    <row r="6499" spans="2:3" x14ac:dyDescent="0.3">
      <c r="B6499" s="18" t="s">
        <v>3277</v>
      </c>
      <c r="C6499" s="13">
        <v>21</v>
      </c>
    </row>
    <row r="6500" spans="2:3" x14ac:dyDescent="0.3">
      <c r="B6500" s="18" t="s">
        <v>3261</v>
      </c>
      <c r="C6500" s="13">
        <v>38</v>
      </c>
    </row>
    <row r="6501" spans="2:3" x14ac:dyDescent="0.3">
      <c r="B6501" s="18" t="s">
        <v>3259</v>
      </c>
      <c r="C6501" s="13">
        <v>37</v>
      </c>
    </row>
    <row r="6502" spans="2:3" x14ac:dyDescent="0.3">
      <c r="B6502" s="18" t="s">
        <v>3257</v>
      </c>
      <c r="C6502" s="13">
        <v>36</v>
      </c>
    </row>
    <row r="6503" spans="2:3" x14ac:dyDescent="0.3">
      <c r="B6503" s="18" t="s">
        <v>3255</v>
      </c>
      <c r="C6503" s="13">
        <v>35</v>
      </c>
    </row>
    <row r="6504" spans="2:3" x14ac:dyDescent="0.3">
      <c r="B6504" s="18" t="s">
        <v>3253</v>
      </c>
      <c r="C6504" s="13">
        <v>34</v>
      </c>
    </row>
    <row r="6505" spans="2:3" x14ac:dyDescent="0.3">
      <c r="B6505" s="18" t="s">
        <v>3251</v>
      </c>
      <c r="C6505" s="13">
        <v>33</v>
      </c>
    </row>
    <row r="6506" spans="2:3" x14ac:dyDescent="0.3">
      <c r="B6506" s="18" t="s">
        <v>3249</v>
      </c>
      <c r="C6506" s="13">
        <v>32</v>
      </c>
    </row>
    <row r="6507" spans="2:3" x14ac:dyDescent="0.3">
      <c r="B6507" s="18" t="s">
        <v>9067</v>
      </c>
      <c r="C6507" s="13">
        <v>41</v>
      </c>
    </row>
    <row r="6508" spans="2:3" x14ac:dyDescent="0.3">
      <c r="B6508" s="18" t="s">
        <v>3247</v>
      </c>
      <c r="C6508" s="13">
        <v>50</v>
      </c>
    </row>
    <row r="6509" spans="2:3" x14ac:dyDescent="0.3">
      <c r="B6509" s="18" t="s">
        <v>3245</v>
      </c>
      <c r="C6509" s="13">
        <v>51</v>
      </c>
    </row>
    <row r="6510" spans="2:3" x14ac:dyDescent="0.3">
      <c r="B6510" s="18" t="s">
        <v>3243</v>
      </c>
      <c r="C6510" s="13">
        <v>52</v>
      </c>
    </row>
    <row r="6511" spans="2:3" x14ac:dyDescent="0.3">
      <c r="B6511" s="18" t="s">
        <v>3241</v>
      </c>
      <c r="C6511" s="13">
        <v>53</v>
      </c>
    </row>
    <row r="6512" spans="2:3" x14ac:dyDescent="0.3">
      <c r="B6512" s="18" t="s">
        <v>3239</v>
      </c>
      <c r="C6512" s="13">
        <v>54</v>
      </c>
    </row>
    <row r="6513" spans="2:3" x14ac:dyDescent="0.3">
      <c r="B6513" s="18" t="s">
        <v>3237</v>
      </c>
      <c r="C6513" s="13">
        <v>55</v>
      </c>
    </row>
    <row r="6514" spans="2:3" x14ac:dyDescent="0.3">
      <c r="B6514" s="18" t="s">
        <v>3235</v>
      </c>
      <c r="C6514" s="13">
        <v>56</v>
      </c>
    </row>
    <row r="6515" spans="2:3" x14ac:dyDescent="0.3">
      <c r="B6515" s="18" t="s">
        <v>3233</v>
      </c>
      <c r="C6515" s="13">
        <v>57</v>
      </c>
    </row>
    <row r="6516" spans="2:3" x14ac:dyDescent="0.3">
      <c r="B6516" s="18" t="s">
        <v>3231</v>
      </c>
      <c r="C6516" s="13">
        <v>58</v>
      </c>
    </row>
    <row r="6517" spans="2:3" x14ac:dyDescent="0.3">
      <c r="B6517" s="18" t="s">
        <v>3229</v>
      </c>
      <c r="C6517" s="13">
        <v>59</v>
      </c>
    </row>
    <row r="6518" spans="2:3" x14ac:dyDescent="0.3">
      <c r="B6518" s="18" t="s">
        <v>3227</v>
      </c>
      <c r="C6518" s="13">
        <v>42</v>
      </c>
    </row>
    <row r="6519" spans="2:3" x14ac:dyDescent="0.3">
      <c r="B6519" s="18" t="s">
        <v>3225</v>
      </c>
      <c r="C6519" s="13">
        <v>60</v>
      </c>
    </row>
    <row r="6520" spans="2:3" x14ac:dyDescent="0.3">
      <c r="B6520" s="18" t="s">
        <v>3209</v>
      </c>
      <c r="C6520" s="13">
        <v>43</v>
      </c>
    </row>
    <row r="6521" spans="2:3" x14ac:dyDescent="0.3">
      <c r="B6521" s="18" t="s">
        <v>3207</v>
      </c>
      <c r="C6521" s="13">
        <v>44</v>
      </c>
    </row>
    <row r="6522" spans="2:3" x14ac:dyDescent="0.3">
      <c r="B6522" s="18" t="s">
        <v>3205</v>
      </c>
      <c r="C6522" s="13">
        <v>45</v>
      </c>
    </row>
    <row r="6523" spans="2:3" x14ac:dyDescent="0.3">
      <c r="B6523" s="18" t="s">
        <v>3203</v>
      </c>
      <c r="C6523" s="13">
        <v>46</v>
      </c>
    </row>
    <row r="6524" spans="2:3" x14ac:dyDescent="0.3">
      <c r="B6524" s="18" t="s">
        <v>3201</v>
      </c>
      <c r="C6524" s="13">
        <v>47</v>
      </c>
    </row>
    <row r="6525" spans="2:3" x14ac:dyDescent="0.3">
      <c r="B6525" s="18" t="s">
        <v>3199</v>
      </c>
      <c r="C6525" s="13">
        <v>48</v>
      </c>
    </row>
    <row r="6526" spans="2:3" x14ac:dyDescent="0.3">
      <c r="B6526" s="18" t="s">
        <v>3197</v>
      </c>
      <c r="C6526" s="13">
        <v>49</v>
      </c>
    </row>
    <row r="6527" spans="2:3" x14ac:dyDescent="0.3">
      <c r="B6527" s="18" t="s">
        <v>9068</v>
      </c>
      <c r="C6527" s="13">
        <v>80</v>
      </c>
    </row>
    <row r="6528" spans="2:3" x14ac:dyDescent="0.3">
      <c r="B6528" s="18" t="s">
        <v>9069</v>
      </c>
      <c r="C6528" s="13">
        <v>71</v>
      </c>
    </row>
    <row r="6529" spans="2:3" x14ac:dyDescent="0.3">
      <c r="B6529" s="18" t="s">
        <v>9070</v>
      </c>
      <c r="C6529" s="13">
        <v>70</v>
      </c>
    </row>
    <row r="6530" spans="2:3" x14ac:dyDescent="0.3">
      <c r="B6530" s="18" t="s">
        <v>9071</v>
      </c>
      <c r="C6530" s="13">
        <v>69</v>
      </c>
    </row>
    <row r="6531" spans="2:3" x14ac:dyDescent="0.3">
      <c r="B6531" s="18" t="s">
        <v>9072</v>
      </c>
      <c r="C6531" s="13">
        <v>68</v>
      </c>
    </row>
    <row r="6532" spans="2:3" x14ac:dyDescent="0.3">
      <c r="B6532" s="18" t="s">
        <v>9073</v>
      </c>
      <c r="C6532" s="13">
        <v>67</v>
      </c>
    </row>
    <row r="6533" spans="2:3" x14ac:dyDescent="0.3">
      <c r="B6533" s="18" t="s">
        <v>9074</v>
      </c>
      <c r="C6533" s="13">
        <v>66</v>
      </c>
    </row>
    <row r="6534" spans="2:3" x14ac:dyDescent="0.3">
      <c r="B6534" s="18" t="s">
        <v>9075</v>
      </c>
      <c r="C6534" s="13">
        <v>65</v>
      </c>
    </row>
    <row r="6535" spans="2:3" x14ac:dyDescent="0.3">
      <c r="B6535" s="18" t="s">
        <v>9076</v>
      </c>
      <c r="C6535" s="13">
        <v>64</v>
      </c>
    </row>
    <row r="6536" spans="2:3" x14ac:dyDescent="0.3">
      <c r="B6536" s="18" t="s">
        <v>9077</v>
      </c>
      <c r="C6536" s="13">
        <v>63</v>
      </c>
    </row>
    <row r="6537" spans="2:3" x14ac:dyDescent="0.3">
      <c r="B6537" s="18" t="s">
        <v>9078</v>
      </c>
      <c r="C6537" s="13">
        <v>62</v>
      </c>
    </row>
    <row r="6538" spans="2:3" x14ac:dyDescent="0.3">
      <c r="B6538" s="18" t="s">
        <v>9079</v>
      </c>
      <c r="C6538" s="13">
        <v>79</v>
      </c>
    </row>
    <row r="6539" spans="2:3" x14ac:dyDescent="0.3">
      <c r="B6539" s="18" t="s">
        <v>9080</v>
      </c>
      <c r="C6539" s="13">
        <v>61</v>
      </c>
    </row>
    <row r="6540" spans="2:3" x14ac:dyDescent="0.3">
      <c r="B6540" s="18" t="s">
        <v>9081</v>
      </c>
      <c r="C6540" s="13">
        <v>78</v>
      </c>
    </row>
    <row r="6541" spans="2:3" x14ac:dyDescent="0.3">
      <c r="B6541" s="18" t="s">
        <v>9082</v>
      </c>
      <c r="C6541" s="13">
        <v>77</v>
      </c>
    </row>
    <row r="6542" spans="2:3" x14ac:dyDescent="0.3">
      <c r="B6542" s="18" t="s">
        <v>9083</v>
      </c>
      <c r="C6542" s="13">
        <v>76</v>
      </c>
    </row>
    <row r="6543" spans="2:3" x14ac:dyDescent="0.3">
      <c r="B6543" s="18" t="s">
        <v>9084</v>
      </c>
      <c r="C6543" s="13">
        <v>75</v>
      </c>
    </row>
    <row r="6544" spans="2:3" x14ac:dyDescent="0.3">
      <c r="B6544" s="18" t="s">
        <v>9085</v>
      </c>
      <c r="C6544" s="13">
        <v>74</v>
      </c>
    </row>
    <row r="6545" spans="2:3" x14ac:dyDescent="0.3">
      <c r="B6545" s="18" t="s">
        <v>9086</v>
      </c>
      <c r="C6545" s="13">
        <v>73</v>
      </c>
    </row>
    <row r="6546" spans="2:3" x14ac:dyDescent="0.3">
      <c r="B6546" s="18" t="s">
        <v>9087</v>
      </c>
      <c r="C6546" s="13">
        <v>72</v>
      </c>
    </row>
    <row r="6547" spans="2:3" x14ac:dyDescent="0.3">
      <c r="B6547" s="18" t="s">
        <v>3195</v>
      </c>
      <c r="C6547" s="13">
        <v>1</v>
      </c>
    </row>
    <row r="6548" spans="2:3" x14ac:dyDescent="0.3">
      <c r="B6548" s="18" t="s">
        <v>3193</v>
      </c>
      <c r="C6548" s="13">
        <v>10</v>
      </c>
    </row>
    <row r="6549" spans="2:3" x14ac:dyDescent="0.3">
      <c r="B6549" s="18" t="s">
        <v>3191</v>
      </c>
      <c r="C6549" s="13">
        <v>11</v>
      </c>
    </row>
    <row r="6550" spans="2:3" x14ac:dyDescent="0.3">
      <c r="B6550" s="18" t="s">
        <v>3189</v>
      </c>
      <c r="C6550" s="13">
        <v>12</v>
      </c>
    </row>
    <row r="6551" spans="2:3" x14ac:dyDescent="0.3">
      <c r="B6551" s="18" t="s">
        <v>3187</v>
      </c>
      <c r="C6551" s="13">
        <v>13</v>
      </c>
    </row>
    <row r="6552" spans="2:3" x14ac:dyDescent="0.3">
      <c r="B6552" s="18" t="s">
        <v>3185</v>
      </c>
      <c r="C6552" s="13">
        <v>14</v>
      </c>
    </row>
    <row r="6553" spans="2:3" x14ac:dyDescent="0.3">
      <c r="B6553" s="18" t="s">
        <v>3183</v>
      </c>
      <c r="C6553" s="13">
        <v>15</v>
      </c>
    </row>
    <row r="6554" spans="2:3" x14ac:dyDescent="0.3">
      <c r="B6554" s="18" t="s">
        <v>3181</v>
      </c>
      <c r="C6554" s="13">
        <v>16</v>
      </c>
    </row>
    <row r="6555" spans="2:3" x14ac:dyDescent="0.3">
      <c r="B6555" s="18" t="s">
        <v>3179</v>
      </c>
      <c r="C6555" s="13">
        <v>17</v>
      </c>
    </row>
    <row r="6556" spans="2:3" x14ac:dyDescent="0.3">
      <c r="B6556" s="18" t="s">
        <v>3177</v>
      </c>
      <c r="C6556" s="13">
        <v>18</v>
      </c>
    </row>
    <row r="6557" spans="2:3" x14ac:dyDescent="0.3">
      <c r="B6557" s="18" t="s">
        <v>3175</v>
      </c>
      <c r="C6557" s="13">
        <v>19</v>
      </c>
    </row>
    <row r="6558" spans="2:3" x14ac:dyDescent="0.3">
      <c r="B6558" s="18" t="s">
        <v>3173</v>
      </c>
      <c r="C6558" s="13">
        <v>2</v>
      </c>
    </row>
    <row r="6559" spans="2:3" x14ac:dyDescent="0.3">
      <c r="B6559" s="18" t="s">
        <v>3171</v>
      </c>
      <c r="C6559" s="13">
        <v>20</v>
      </c>
    </row>
    <row r="6560" spans="2:3" x14ac:dyDescent="0.3">
      <c r="B6560" s="18" t="s">
        <v>3169</v>
      </c>
      <c r="C6560" s="13">
        <v>21</v>
      </c>
    </row>
    <row r="6561" spans="2:3" x14ac:dyDescent="0.3">
      <c r="B6561" s="18" t="s">
        <v>3155</v>
      </c>
      <c r="C6561" s="13">
        <v>3</v>
      </c>
    </row>
    <row r="6562" spans="2:3" x14ac:dyDescent="0.3">
      <c r="B6562" s="18" t="s">
        <v>3153</v>
      </c>
      <c r="C6562" s="13">
        <v>4</v>
      </c>
    </row>
    <row r="6563" spans="2:3" x14ac:dyDescent="0.3">
      <c r="B6563" s="18" t="s">
        <v>3151</v>
      </c>
      <c r="C6563" s="13">
        <v>5</v>
      </c>
    </row>
    <row r="6564" spans="2:3" x14ac:dyDescent="0.3">
      <c r="B6564" s="18" t="s">
        <v>3149</v>
      </c>
      <c r="C6564" s="13">
        <v>6</v>
      </c>
    </row>
    <row r="6565" spans="2:3" x14ac:dyDescent="0.3">
      <c r="B6565" s="18" t="s">
        <v>3147</v>
      </c>
      <c r="C6565" s="13">
        <v>7</v>
      </c>
    </row>
    <row r="6566" spans="2:3" x14ac:dyDescent="0.3">
      <c r="B6566" s="18" t="s">
        <v>3145</v>
      </c>
      <c r="C6566" s="13">
        <v>8</v>
      </c>
    </row>
    <row r="6567" spans="2:3" x14ac:dyDescent="0.3">
      <c r="B6567" s="18" t="s">
        <v>3143</v>
      </c>
      <c r="C6567" s="13">
        <v>9</v>
      </c>
    </row>
    <row r="6568" spans="2:3" x14ac:dyDescent="0.3">
      <c r="B6568" s="18" t="s">
        <v>3141</v>
      </c>
      <c r="C6568" s="13">
        <v>42</v>
      </c>
    </row>
    <row r="6569" spans="2:3" x14ac:dyDescent="0.3">
      <c r="B6569" s="18" t="s">
        <v>3139</v>
      </c>
      <c r="C6569" s="13">
        <v>33</v>
      </c>
    </row>
    <row r="6570" spans="2:3" x14ac:dyDescent="0.3">
      <c r="B6570" s="18" t="s">
        <v>3137</v>
      </c>
      <c r="C6570" s="13">
        <v>32</v>
      </c>
    </row>
    <row r="6571" spans="2:3" x14ac:dyDescent="0.3">
      <c r="B6571" s="18" t="s">
        <v>3135</v>
      </c>
      <c r="C6571" s="13">
        <v>31</v>
      </c>
    </row>
    <row r="6572" spans="2:3" x14ac:dyDescent="0.3">
      <c r="B6572" s="18" t="s">
        <v>3133</v>
      </c>
      <c r="C6572" s="13">
        <v>30</v>
      </c>
    </row>
    <row r="6573" spans="2:3" x14ac:dyDescent="0.3">
      <c r="B6573" s="18" t="s">
        <v>3131</v>
      </c>
      <c r="C6573" s="13">
        <v>29</v>
      </c>
    </row>
    <row r="6574" spans="2:3" x14ac:dyDescent="0.3">
      <c r="B6574" s="18" t="s">
        <v>3129</v>
      </c>
      <c r="C6574" s="13">
        <v>28</v>
      </c>
    </row>
    <row r="6575" spans="2:3" x14ac:dyDescent="0.3">
      <c r="B6575" s="18" t="s">
        <v>3127</v>
      </c>
      <c r="C6575" s="13">
        <v>27</v>
      </c>
    </row>
    <row r="6576" spans="2:3" x14ac:dyDescent="0.3">
      <c r="B6576" s="18" t="s">
        <v>3125</v>
      </c>
      <c r="C6576" s="13">
        <v>26</v>
      </c>
    </row>
    <row r="6577" spans="2:3" x14ac:dyDescent="0.3">
      <c r="B6577" s="18" t="s">
        <v>3123</v>
      </c>
      <c r="C6577" s="13">
        <v>25</v>
      </c>
    </row>
    <row r="6578" spans="2:3" x14ac:dyDescent="0.3">
      <c r="B6578" s="18" t="s">
        <v>3121</v>
      </c>
      <c r="C6578" s="13">
        <v>24</v>
      </c>
    </row>
    <row r="6579" spans="2:3" x14ac:dyDescent="0.3">
      <c r="B6579" s="18" t="s">
        <v>3119</v>
      </c>
      <c r="C6579" s="13">
        <v>41</v>
      </c>
    </row>
    <row r="6580" spans="2:3" x14ac:dyDescent="0.3">
      <c r="B6580" s="18" t="s">
        <v>3117</v>
      </c>
      <c r="C6580" s="13">
        <v>23</v>
      </c>
    </row>
    <row r="6581" spans="2:3" x14ac:dyDescent="0.3">
      <c r="B6581" s="18" t="s">
        <v>3115</v>
      </c>
      <c r="C6581" s="13">
        <v>22</v>
      </c>
    </row>
    <row r="6582" spans="2:3" x14ac:dyDescent="0.3">
      <c r="B6582" s="18" t="s">
        <v>3101</v>
      </c>
      <c r="C6582" s="13">
        <v>40</v>
      </c>
    </row>
    <row r="6583" spans="2:3" x14ac:dyDescent="0.3">
      <c r="B6583" s="18" t="s">
        <v>3099</v>
      </c>
      <c r="C6583" s="13">
        <v>39</v>
      </c>
    </row>
    <row r="6584" spans="2:3" x14ac:dyDescent="0.3">
      <c r="B6584" s="18" t="s">
        <v>3097</v>
      </c>
      <c r="C6584" s="13">
        <v>38</v>
      </c>
    </row>
    <row r="6585" spans="2:3" x14ac:dyDescent="0.3">
      <c r="B6585" s="18" t="s">
        <v>3095</v>
      </c>
      <c r="C6585" s="13">
        <v>37</v>
      </c>
    </row>
    <row r="6586" spans="2:3" x14ac:dyDescent="0.3">
      <c r="B6586" s="18" t="s">
        <v>3093</v>
      </c>
      <c r="C6586" s="13">
        <v>36</v>
      </c>
    </row>
    <row r="6587" spans="2:3" x14ac:dyDescent="0.3">
      <c r="B6587" s="18" t="s">
        <v>3091</v>
      </c>
      <c r="C6587" s="13">
        <v>35</v>
      </c>
    </row>
    <row r="6588" spans="2:3" x14ac:dyDescent="0.3">
      <c r="B6588" s="18" t="s">
        <v>3089</v>
      </c>
      <c r="C6588" s="13">
        <v>34</v>
      </c>
    </row>
    <row r="6589" spans="2:3" x14ac:dyDescent="0.3">
      <c r="B6589" s="18" t="s">
        <v>3087</v>
      </c>
      <c r="C6589" s="13">
        <v>43</v>
      </c>
    </row>
    <row r="6590" spans="2:3" x14ac:dyDescent="0.3">
      <c r="B6590" s="18" t="s">
        <v>3085</v>
      </c>
      <c r="C6590" s="13">
        <v>52</v>
      </c>
    </row>
    <row r="6591" spans="2:3" x14ac:dyDescent="0.3">
      <c r="B6591" s="18" t="s">
        <v>3083</v>
      </c>
      <c r="C6591" s="13">
        <v>53</v>
      </c>
    </row>
    <row r="6592" spans="2:3" x14ac:dyDescent="0.3">
      <c r="B6592" s="18" t="s">
        <v>3081</v>
      </c>
      <c r="C6592" s="13">
        <v>54</v>
      </c>
    </row>
    <row r="6593" spans="2:3" x14ac:dyDescent="0.3">
      <c r="B6593" s="18" t="s">
        <v>3079</v>
      </c>
      <c r="C6593" s="13">
        <v>55</v>
      </c>
    </row>
    <row r="6594" spans="2:3" x14ac:dyDescent="0.3">
      <c r="B6594" s="18" t="s">
        <v>3077</v>
      </c>
      <c r="C6594" s="13">
        <v>56</v>
      </c>
    </row>
    <row r="6595" spans="2:3" x14ac:dyDescent="0.3">
      <c r="B6595" s="18" t="s">
        <v>3075</v>
      </c>
      <c r="C6595" s="13">
        <v>57</v>
      </c>
    </row>
    <row r="6596" spans="2:3" x14ac:dyDescent="0.3">
      <c r="B6596" s="18" t="s">
        <v>3073</v>
      </c>
      <c r="C6596" s="13">
        <v>58</v>
      </c>
    </row>
    <row r="6597" spans="2:3" x14ac:dyDescent="0.3">
      <c r="B6597" s="18" t="s">
        <v>3071</v>
      </c>
      <c r="C6597" s="13">
        <v>59</v>
      </c>
    </row>
    <row r="6598" spans="2:3" x14ac:dyDescent="0.3">
      <c r="B6598" s="18" t="s">
        <v>3069</v>
      </c>
      <c r="C6598" s="13">
        <v>60</v>
      </c>
    </row>
    <row r="6599" spans="2:3" x14ac:dyDescent="0.3">
      <c r="B6599" s="18" t="s">
        <v>3067</v>
      </c>
      <c r="C6599" s="13">
        <v>61</v>
      </c>
    </row>
    <row r="6600" spans="2:3" x14ac:dyDescent="0.3">
      <c r="B6600" s="18" t="s">
        <v>3065</v>
      </c>
      <c r="C6600" s="13">
        <v>44</v>
      </c>
    </row>
    <row r="6601" spans="2:3" x14ac:dyDescent="0.3">
      <c r="B6601" s="18" t="s">
        <v>3063</v>
      </c>
      <c r="C6601" s="13">
        <v>62</v>
      </c>
    </row>
    <row r="6602" spans="2:3" x14ac:dyDescent="0.3">
      <c r="B6602" s="18" t="s">
        <v>3061</v>
      </c>
      <c r="C6602" s="13">
        <v>63</v>
      </c>
    </row>
    <row r="6603" spans="2:3" x14ac:dyDescent="0.3">
      <c r="B6603" s="18" t="s">
        <v>3047</v>
      </c>
      <c r="C6603" s="13">
        <v>45</v>
      </c>
    </row>
    <row r="6604" spans="2:3" x14ac:dyDescent="0.3">
      <c r="B6604" s="18" t="s">
        <v>3045</v>
      </c>
      <c r="C6604" s="13">
        <v>46</v>
      </c>
    </row>
    <row r="6605" spans="2:3" x14ac:dyDescent="0.3">
      <c r="B6605" s="18" t="s">
        <v>3043</v>
      </c>
      <c r="C6605" s="13">
        <v>47</v>
      </c>
    </row>
    <row r="6606" spans="2:3" x14ac:dyDescent="0.3">
      <c r="B6606" s="18" t="s">
        <v>3041</v>
      </c>
      <c r="C6606" s="13">
        <v>48</v>
      </c>
    </row>
    <row r="6607" spans="2:3" x14ac:dyDescent="0.3">
      <c r="B6607" s="18" t="s">
        <v>3039</v>
      </c>
      <c r="C6607" s="13">
        <v>49</v>
      </c>
    </row>
    <row r="6608" spans="2:3" x14ac:dyDescent="0.3">
      <c r="B6608" s="18" t="s">
        <v>3037</v>
      </c>
      <c r="C6608" s="13">
        <v>50</v>
      </c>
    </row>
    <row r="6609" spans="2:3" x14ac:dyDescent="0.3">
      <c r="B6609" s="18" t="s">
        <v>3035</v>
      </c>
      <c r="C6609" s="13">
        <v>51</v>
      </c>
    </row>
    <row r="6610" spans="2:3" x14ac:dyDescent="0.3">
      <c r="B6610" s="18" t="s">
        <v>9088</v>
      </c>
      <c r="C6610" s="13">
        <v>75</v>
      </c>
    </row>
    <row r="6611" spans="2:3" x14ac:dyDescent="0.3">
      <c r="B6611" s="18" t="s">
        <v>9089</v>
      </c>
      <c r="C6611" s="13">
        <v>74</v>
      </c>
    </row>
    <row r="6612" spans="2:3" x14ac:dyDescent="0.3">
      <c r="B6612" s="18" t="s">
        <v>9090</v>
      </c>
      <c r="C6612" s="13">
        <v>73</v>
      </c>
    </row>
    <row r="6613" spans="2:3" x14ac:dyDescent="0.3">
      <c r="B6613" s="18" t="s">
        <v>9091</v>
      </c>
      <c r="C6613" s="13">
        <v>72</v>
      </c>
    </row>
    <row r="6614" spans="2:3" x14ac:dyDescent="0.3">
      <c r="B6614" s="18" t="s">
        <v>9092</v>
      </c>
      <c r="C6614" s="13">
        <v>71</v>
      </c>
    </row>
    <row r="6615" spans="2:3" x14ac:dyDescent="0.3">
      <c r="B6615" s="18" t="s">
        <v>9093</v>
      </c>
      <c r="C6615" s="13">
        <v>70</v>
      </c>
    </row>
    <row r="6616" spans="2:3" x14ac:dyDescent="0.3">
      <c r="B6616" s="18" t="s">
        <v>9094</v>
      </c>
      <c r="C6616" s="13">
        <v>69</v>
      </c>
    </row>
    <row r="6617" spans="2:3" x14ac:dyDescent="0.3">
      <c r="B6617" s="18" t="s">
        <v>9095</v>
      </c>
      <c r="C6617" s="13">
        <v>68</v>
      </c>
    </row>
    <row r="6618" spans="2:3" x14ac:dyDescent="0.3">
      <c r="B6618" s="18" t="s">
        <v>9096</v>
      </c>
      <c r="C6618" s="13">
        <v>67</v>
      </c>
    </row>
    <row r="6619" spans="2:3" x14ac:dyDescent="0.3">
      <c r="B6619" s="18" t="s">
        <v>9097</v>
      </c>
      <c r="C6619" s="13">
        <v>66</v>
      </c>
    </row>
    <row r="6620" spans="2:3" x14ac:dyDescent="0.3">
      <c r="B6620" s="18" t="s">
        <v>9098</v>
      </c>
      <c r="C6620" s="13">
        <v>65</v>
      </c>
    </row>
    <row r="6621" spans="2:3" x14ac:dyDescent="0.3">
      <c r="B6621" s="18" t="s">
        <v>9099</v>
      </c>
      <c r="C6621" s="13">
        <v>64</v>
      </c>
    </row>
    <row r="6622" spans="2:3" x14ac:dyDescent="0.3">
      <c r="B6622" s="18" t="s">
        <v>9100</v>
      </c>
      <c r="C6622" s="13">
        <v>81</v>
      </c>
    </row>
    <row r="6623" spans="2:3" x14ac:dyDescent="0.3">
      <c r="B6623" s="18" t="s">
        <v>9101</v>
      </c>
      <c r="C6623" s="13">
        <v>80</v>
      </c>
    </row>
    <row r="6624" spans="2:3" x14ac:dyDescent="0.3">
      <c r="B6624" s="18" t="s">
        <v>9102</v>
      </c>
      <c r="C6624" s="13">
        <v>79</v>
      </c>
    </row>
    <row r="6625" spans="2:3" x14ac:dyDescent="0.3">
      <c r="B6625" s="18" t="s">
        <v>9103</v>
      </c>
      <c r="C6625" s="13">
        <v>78</v>
      </c>
    </row>
    <row r="6626" spans="2:3" x14ac:dyDescent="0.3">
      <c r="B6626" s="18" t="s">
        <v>9104</v>
      </c>
      <c r="C6626" s="13">
        <v>77</v>
      </c>
    </row>
    <row r="6627" spans="2:3" x14ac:dyDescent="0.3">
      <c r="B6627" s="18" t="s">
        <v>9105</v>
      </c>
      <c r="C6627" s="13">
        <v>76</v>
      </c>
    </row>
    <row r="6628" spans="2:3" x14ac:dyDescent="0.3">
      <c r="B6628" s="18" t="s">
        <v>3033</v>
      </c>
      <c r="C6628" s="13">
        <v>1</v>
      </c>
    </row>
    <row r="6629" spans="2:3" x14ac:dyDescent="0.3">
      <c r="B6629" s="18" t="s">
        <v>3031</v>
      </c>
      <c r="C6629" s="13">
        <v>10</v>
      </c>
    </row>
    <row r="6630" spans="2:3" x14ac:dyDescent="0.3">
      <c r="B6630" s="18" t="s">
        <v>3029</v>
      </c>
      <c r="C6630" s="13">
        <v>11</v>
      </c>
    </row>
    <row r="6631" spans="2:3" x14ac:dyDescent="0.3">
      <c r="B6631" s="18" t="s">
        <v>3027</v>
      </c>
      <c r="C6631" s="13">
        <v>12</v>
      </c>
    </row>
    <row r="6632" spans="2:3" x14ac:dyDescent="0.3">
      <c r="B6632" s="18" t="s">
        <v>3025</v>
      </c>
      <c r="C6632" s="13">
        <v>13</v>
      </c>
    </row>
    <row r="6633" spans="2:3" x14ac:dyDescent="0.3">
      <c r="B6633" s="18" t="s">
        <v>3023</v>
      </c>
      <c r="C6633" s="13">
        <v>14</v>
      </c>
    </row>
    <row r="6634" spans="2:3" x14ac:dyDescent="0.3">
      <c r="B6634" s="18" t="s">
        <v>3021</v>
      </c>
      <c r="C6634" s="13">
        <v>15</v>
      </c>
    </row>
    <row r="6635" spans="2:3" x14ac:dyDescent="0.3">
      <c r="B6635" s="18" t="s">
        <v>3019</v>
      </c>
      <c r="C6635" s="13">
        <v>16</v>
      </c>
    </row>
    <row r="6636" spans="2:3" x14ac:dyDescent="0.3">
      <c r="B6636" s="18" t="s">
        <v>3017</v>
      </c>
      <c r="C6636" s="13">
        <v>17</v>
      </c>
    </row>
    <row r="6637" spans="2:3" x14ac:dyDescent="0.3">
      <c r="B6637" s="18" t="s">
        <v>3015</v>
      </c>
      <c r="C6637" s="13">
        <v>18</v>
      </c>
    </row>
    <row r="6638" spans="2:3" x14ac:dyDescent="0.3">
      <c r="B6638" s="18" t="s">
        <v>3013</v>
      </c>
      <c r="C6638" s="13">
        <v>19</v>
      </c>
    </row>
    <row r="6639" spans="2:3" x14ac:dyDescent="0.3">
      <c r="B6639" s="18" t="s">
        <v>3011</v>
      </c>
      <c r="C6639" s="13">
        <v>2</v>
      </c>
    </row>
    <row r="6640" spans="2:3" x14ac:dyDescent="0.3">
      <c r="B6640" s="18" t="s">
        <v>3009</v>
      </c>
      <c r="C6640" s="13">
        <v>20</v>
      </c>
    </row>
    <row r="6641" spans="2:3" x14ac:dyDescent="0.3">
      <c r="B6641" s="18" t="s">
        <v>3007</v>
      </c>
      <c r="C6641" s="13">
        <v>21</v>
      </c>
    </row>
    <row r="6642" spans="2:3" x14ac:dyDescent="0.3">
      <c r="B6642" s="18" t="s">
        <v>2991</v>
      </c>
      <c r="C6642" s="13">
        <v>3</v>
      </c>
    </row>
    <row r="6643" spans="2:3" x14ac:dyDescent="0.3">
      <c r="B6643" s="18" t="s">
        <v>2989</v>
      </c>
      <c r="C6643" s="13">
        <v>4</v>
      </c>
    </row>
    <row r="6644" spans="2:3" x14ac:dyDescent="0.3">
      <c r="B6644" s="18" t="s">
        <v>2987</v>
      </c>
      <c r="C6644" s="13">
        <v>5</v>
      </c>
    </row>
    <row r="6645" spans="2:3" x14ac:dyDescent="0.3">
      <c r="B6645" s="18" t="s">
        <v>2985</v>
      </c>
      <c r="C6645" s="13">
        <v>6</v>
      </c>
    </row>
    <row r="6646" spans="2:3" x14ac:dyDescent="0.3">
      <c r="B6646" s="18" t="s">
        <v>2983</v>
      </c>
      <c r="C6646" s="13">
        <v>7</v>
      </c>
    </row>
    <row r="6647" spans="2:3" x14ac:dyDescent="0.3">
      <c r="B6647" s="18" t="s">
        <v>2981</v>
      </c>
      <c r="C6647" s="13">
        <v>8</v>
      </c>
    </row>
    <row r="6648" spans="2:3" x14ac:dyDescent="0.3">
      <c r="B6648" s="18" t="s">
        <v>2979</v>
      </c>
      <c r="C6648" s="13">
        <v>9</v>
      </c>
    </row>
    <row r="6649" spans="2:3" x14ac:dyDescent="0.3">
      <c r="B6649" s="18" t="s">
        <v>2977</v>
      </c>
      <c r="C6649" s="13">
        <v>42</v>
      </c>
    </row>
    <row r="6650" spans="2:3" x14ac:dyDescent="0.3">
      <c r="B6650" s="18" t="s">
        <v>2975</v>
      </c>
      <c r="C6650" s="13">
        <v>33</v>
      </c>
    </row>
    <row r="6651" spans="2:3" x14ac:dyDescent="0.3">
      <c r="B6651" s="18" t="s">
        <v>2973</v>
      </c>
      <c r="C6651" s="13">
        <v>32</v>
      </c>
    </row>
    <row r="6652" spans="2:3" x14ac:dyDescent="0.3">
      <c r="B6652" s="18" t="s">
        <v>2971</v>
      </c>
      <c r="C6652" s="13">
        <v>31</v>
      </c>
    </row>
    <row r="6653" spans="2:3" x14ac:dyDescent="0.3">
      <c r="B6653" s="18" t="s">
        <v>2969</v>
      </c>
      <c r="C6653" s="13">
        <v>30</v>
      </c>
    </row>
    <row r="6654" spans="2:3" x14ac:dyDescent="0.3">
      <c r="B6654" s="18" t="s">
        <v>2967</v>
      </c>
      <c r="C6654" s="13">
        <v>29</v>
      </c>
    </row>
    <row r="6655" spans="2:3" x14ac:dyDescent="0.3">
      <c r="B6655" s="18" t="s">
        <v>2965</v>
      </c>
      <c r="C6655" s="13">
        <v>28</v>
      </c>
    </row>
    <row r="6656" spans="2:3" x14ac:dyDescent="0.3">
      <c r="B6656" s="18" t="s">
        <v>2963</v>
      </c>
      <c r="C6656" s="13">
        <v>27</v>
      </c>
    </row>
    <row r="6657" spans="2:3" x14ac:dyDescent="0.3">
      <c r="B6657" s="18" t="s">
        <v>2961</v>
      </c>
      <c r="C6657" s="13">
        <v>26</v>
      </c>
    </row>
    <row r="6658" spans="2:3" x14ac:dyDescent="0.3">
      <c r="B6658" s="18" t="s">
        <v>2959</v>
      </c>
      <c r="C6658" s="13">
        <v>25</v>
      </c>
    </row>
    <row r="6659" spans="2:3" x14ac:dyDescent="0.3">
      <c r="B6659" s="18" t="s">
        <v>2957</v>
      </c>
      <c r="C6659" s="13">
        <v>24</v>
      </c>
    </row>
    <row r="6660" spans="2:3" x14ac:dyDescent="0.3">
      <c r="B6660" s="18" t="s">
        <v>2955</v>
      </c>
      <c r="C6660" s="13">
        <v>41</v>
      </c>
    </row>
    <row r="6661" spans="2:3" x14ac:dyDescent="0.3">
      <c r="B6661" s="18" t="s">
        <v>2953</v>
      </c>
      <c r="C6661" s="13">
        <v>23</v>
      </c>
    </row>
    <row r="6662" spans="2:3" x14ac:dyDescent="0.3">
      <c r="B6662" s="18" t="s">
        <v>2951</v>
      </c>
      <c r="C6662" s="13">
        <v>22</v>
      </c>
    </row>
    <row r="6663" spans="2:3" x14ac:dyDescent="0.3">
      <c r="B6663" s="18" t="s">
        <v>2935</v>
      </c>
      <c r="C6663" s="13">
        <v>40</v>
      </c>
    </row>
    <row r="6664" spans="2:3" x14ac:dyDescent="0.3">
      <c r="B6664" s="18" t="s">
        <v>2933</v>
      </c>
      <c r="C6664" s="13">
        <v>39</v>
      </c>
    </row>
    <row r="6665" spans="2:3" x14ac:dyDescent="0.3">
      <c r="B6665" s="18" t="s">
        <v>2931</v>
      </c>
      <c r="C6665" s="13">
        <v>38</v>
      </c>
    </row>
    <row r="6666" spans="2:3" x14ac:dyDescent="0.3">
      <c r="B6666" s="18" t="s">
        <v>2929</v>
      </c>
      <c r="C6666" s="13">
        <v>37</v>
      </c>
    </row>
    <row r="6667" spans="2:3" x14ac:dyDescent="0.3">
      <c r="B6667" s="18" t="s">
        <v>2927</v>
      </c>
      <c r="C6667" s="13">
        <v>36</v>
      </c>
    </row>
    <row r="6668" spans="2:3" x14ac:dyDescent="0.3">
      <c r="B6668" s="18" t="s">
        <v>2925</v>
      </c>
      <c r="C6668" s="13">
        <v>35</v>
      </c>
    </row>
    <row r="6669" spans="2:3" x14ac:dyDescent="0.3">
      <c r="B6669" s="18" t="s">
        <v>2923</v>
      </c>
      <c r="C6669" s="13">
        <v>34</v>
      </c>
    </row>
    <row r="6670" spans="2:3" x14ac:dyDescent="0.3">
      <c r="B6670" s="18" t="s">
        <v>9106</v>
      </c>
      <c r="C6670" s="13">
        <v>43</v>
      </c>
    </row>
    <row r="6671" spans="2:3" x14ac:dyDescent="0.3">
      <c r="B6671" s="18" t="s">
        <v>2921</v>
      </c>
      <c r="C6671" s="13">
        <v>52</v>
      </c>
    </row>
    <row r="6672" spans="2:3" x14ac:dyDescent="0.3">
      <c r="B6672" s="18" t="s">
        <v>2919</v>
      </c>
      <c r="C6672" s="13">
        <v>53</v>
      </c>
    </row>
    <row r="6673" spans="2:3" x14ac:dyDescent="0.3">
      <c r="B6673" s="18" t="s">
        <v>2917</v>
      </c>
      <c r="C6673" s="13">
        <v>54</v>
      </c>
    </row>
    <row r="6674" spans="2:3" x14ac:dyDescent="0.3">
      <c r="B6674" s="18" t="s">
        <v>2915</v>
      </c>
      <c r="C6674" s="13">
        <v>55</v>
      </c>
    </row>
    <row r="6675" spans="2:3" x14ac:dyDescent="0.3">
      <c r="B6675" s="18" t="s">
        <v>2913</v>
      </c>
      <c r="C6675" s="13">
        <v>56</v>
      </c>
    </row>
    <row r="6676" spans="2:3" x14ac:dyDescent="0.3">
      <c r="B6676" s="18" t="s">
        <v>2911</v>
      </c>
      <c r="C6676" s="13">
        <v>57</v>
      </c>
    </row>
    <row r="6677" spans="2:3" x14ac:dyDescent="0.3">
      <c r="B6677" s="18" t="s">
        <v>2909</v>
      </c>
      <c r="C6677" s="13">
        <v>58</v>
      </c>
    </row>
    <row r="6678" spans="2:3" x14ac:dyDescent="0.3">
      <c r="B6678" s="18" t="s">
        <v>2907</v>
      </c>
      <c r="C6678" s="13">
        <v>59</v>
      </c>
    </row>
    <row r="6679" spans="2:3" x14ac:dyDescent="0.3">
      <c r="B6679" s="18" t="s">
        <v>2905</v>
      </c>
      <c r="C6679" s="13">
        <v>60</v>
      </c>
    </row>
    <row r="6680" spans="2:3" x14ac:dyDescent="0.3">
      <c r="B6680" s="18" t="s">
        <v>2903</v>
      </c>
      <c r="C6680" s="13">
        <v>61</v>
      </c>
    </row>
    <row r="6681" spans="2:3" x14ac:dyDescent="0.3">
      <c r="B6681" s="18" t="s">
        <v>9107</v>
      </c>
      <c r="C6681" s="13">
        <v>44</v>
      </c>
    </row>
    <row r="6682" spans="2:3" x14ac:dyDescent="0.3">
      <c r="B6682" s="18" t="s">
        <v>2901</v>
      </c>
      <c r="C6682" s="13">
        <v>62</v>
      </c>
    </row>
    <row r="6683" spans="2:3" x14ac:dyDescent="0.3">
      <c r="B6683" s="18" t="s">
        <v>2899</v>
      </c>
      <c r="C6683" s="13">
        <v>63</v>
      </c>
    </row>
    <row r="6684" spans="2:3" x14ac:dyDescent="0.3">
      <c r="B6684" s="18" t="s">
        <v>2883</v>
      </c>
      <c r="C6684" s="13">
        <v>45</v>
      </c>
    </row>
    <row r="6685" spans="2:3" x14ac:dyDescent="0.3">
      <c r="B6685" s="18" t="s">
        <v>2881</v>
      </c>
      <c r="C6685" s="13">
        <v>46</v>
      </c>
    </row>
    <row r="6686" spans="2:3" x14ac:dyDescent="0.3">
      <c r="B6686" s="18" t="s">
        <v>2879</v>
      </c>
      <c r="C6686" s="13">
        <v>47</v>
      </c>
    </row>
    <row r="6687" spans="2:3" x14ac:dyDescent="0.3">
      <c r="B6687" s="18" t="s">
        <v>2877</v>
      </c>
      <c r="C6687" s="13">
        <v>48</v>
      </c>
    </row>
    <row r="6688" spans="2:3" x14ac:dyDescent="0.3">
      <c r="B6688" s="18" t="s">
        <v>2875</v>
      </c>
      <c r="C6688" s="13">
        <v>49</v>
      </c>
    </row>
    <row r="6689" spans="2:3" x14ac:dyDescent="0.3">
      <c r="B6689" s="18" t="s">
        <v>2873</v>
      </c>
      <c r="C6689" s="13">
        <v>50</v>
      </c>
    </row>
    <row r="6690" spans="2:3" x14ac:dyDescent="0.3">
      <c r="B6690" s="18" t="s">
        <v>2871</v>
      </c>
      <c r="C6690" s="13">
        <v>51</v>
      </c>
    </row>
    <row r="6691" spans="2:3" x14ac:dyDescent="0.3">
      <c r="B6691" s="18" t="s">
        <v>9108</v>
      </c>
      <c r="C6691" s="13">
        <v>75</v>
      </c>
    </row>
    <row r="6692" spans="2:3" x14ac:dyDescent="0.3">
      <c r="B6692" s="18" t="s">
        <v>9109</v>
      </c>
      <c r="C6692" s="13">
        <v>74</v>
      </c>
    </row>
    <row r="6693" spans="2:3" x14ac:dyDescent="0.3">
      <c r="B6693" s="18" t="s">
        <v>9110</v>
      </c>
      <c r="C6693" s="13">
        <v>73</v>
      </c>
    </row>
    <row r="6694" spans="2:3" x14ac:dyDescent="0.3">
      <c r="B6694" s="18" t="s">
        <v>9111</v>
      </c>
      <c r="C6694" s="13">
        <v>72</v>
      </c>
    </row>
    <row r="6695" spans="2:3" x14ac:dyDescent="0.3">
      <c r="B6695" s="18" t="s">
        <v>9112</v>
      </c>
      <c r="C6695" s="13">
        <v>71</v>
      </c>
    </row>
    <row r="6696" spans="2:3" x14ac:dyDescent="0.3">
      <c r="B6696" s="18" t="s">
        <v>9113</v>
      </c>
      <c r="C6696" s="13">
        <v>70</v>
      </c>
    </row>
    <row r="6697" spans="2:3" x14ac:dyDescent="0.3">
      <c r="B6697" s="18" t="s">
        <v>9114</v>
      </c>
      <c r="C6697" s="13">
        <v>69</v>
      </c>
    </row>
    <row r="6698" spans="2:3" x14ac:dyDescent="0.3">
      <c r="B6698" s="18" t="s">
        <v>9115</v>
      </c>
      <c r="C6698" s="13">
        <v>68</v>
      </c>
    </row>
    <row r="6699" spans="2:3" x14ac:dyDescent="0.3">
      <c r="B6699" s="18" t="s">
        <v>9116</v>
      </c>
      <c r="C6699" s="13">
        <v>67</v>
      </c>
    </row>
    <row r="6700" spans="2:3" x14ac:dyDescent="0.3">
      <c r="B6700" s="18" t="s">
        <v>9117</v>
      </c>
      <c r="C6700" s="13">
        <v>66</v>
      </c>
    </row>
    <row r="6701" spans="2:3" x14ac:dyDescent="0.3">
      <c r="B6701" s="18" t="s">
        <v>9118</v>
      </c>
      <c r="C6701" s="13">
        <v>65</v>
      </c>
    </row>
    <row r="6702" spans="2:3" x14ac:dyDescent="0.3">
      <c r="B6702" s="18" t="s">
        <v>9119</v>
      </c>
      <c r="C6702" s="13">
        <v>64</v>
      </c>
    </row>
    <row r="6703" spans="2:3" x14ac:dyDescent="0.3">
      <c r="B6703" s="18" t="s">
        <v>9120</v>
      </c>
      <c r="C6703" s="13">
        <v>82</v>
      </c>
    </row>
    <row r="6704" spans="2:3" x14ac:dyDescent="0.3">
      <c r="B6704" s="18" t="s">
        <v>9121</v>
      </c>
      <c r="C6704" s="13">
        <v>81</v>
      </c>
    </row>
    <row r="6705" spans="2:3" x14ac:dyDescent="0.3">
      <c r="B6705" s="18" t="s">
        <v>9122</v>
      </c>
      <c r="C6705" s="13">
        <v>80</v>
      </c>
    </row>
    <row r="6706" spans="2:3" x14ac:dyDescent="0.3">
      <c r="B6706" s="18" t="s">
        <v>9123</v>
      </c>
      <c r="C6706" s="13">
        <v>79</v>
      </c>
    </row>
    <row r="6707" spans="2:3" x14ac:dyDescent="0.3">
      <c r="B6707" s="18" t="s">
        <v>9124</v>
      </c>
      <c r="C6707" s="13">
        <v>78</v>
      </c>
    </row>
    <row r="6708" spans="2:3" x14ac:dyDescent="0.3">
      <c r="B6708" s="18" t="s">
        <v>9125</v>
      </c>
      <c r="C6708" s="13">
        <v>77</v>
      </c>
    </row>
    <row r="6709" spans="2:3" x14ac:dyDescent="0.3">
      <c r="B6709" s="18" t="s">
        <v>9126</v>
      </c>
      <c r="C6709" s="13">
        <v>76</v>
      </c>
    </row>
    <row r="6710" spans="2:3" x14ac:dyDescent="0.3">
      <c r="B6710" s="18" t="s">
        <v>2869</v>
      </c>
      <c r="C6710" s="13">
        <v>1</v>
      </c>
    </row>
    <row r="6711" spans="2:3" x14ac:dyDescent="0.3">
      <c r="B6711" s="18" t="s">
        <v>2867</v>
      </c>
      <c r="C6711" s="13">
        <v>10</v>
      </c>
    </row>
    <row r="6712" spans="2:3" x14ac:dyDescent="0.3">
      <c r="B6712" s="18" t="s">
        <v>2865</v>
      </c>
      <c r="C6712" s="13">
        <v>11</v>
      </c>
    </row>
    <row r="6713" spans="2:3" x14ac:dyDescent="0.3">
      <c r="B6713" s="18" t="s">
        <v>2863</v>
      </c>
      <c r="C6713" s="13">
        <v>12</v>
      </c>
    </row>
    <row r="6714" spans="2:3" x14ac:dyDescent="0.3">
      <c r="B6714" s="18" t="s">
        <v>2861</v>
      </c>
      <c r="C6714" s="13">
        <v>13</v>
      </c>
    </row>
    <row r="6715" spans="2:3" x14ac:dyDescent="0.3">
      <c r="B6715" s="18" t="s">
        <v>2859</v>
      </c>
      <c r="C6715" s="13">
        <v>14</v>
      </c>
    </row>
    <row r="6716" spans="2:3" x14ac:dyDescent="0.3">
      <c r="B6716" s="18" t="s">
        <v>2857</v>
      </c>
      <c r="C6716" s="13">
        <v>15</v>
      </c>
    </row>
    <row r="6717" spans="2:3" x14ac:dyDescent="0.3">
      <c r="B6717" s="18" t="s">
        <v>2855</v>
      </c>
      <c r="C6717" s="13">
        <v>16</v>
      </c>
    </row>
    <row r="6718" spans="2:3" x14ac:dyDescent="0.3">
      <c r="B6718" s="18" t="s">
        <v>2853</v>
      </c>
      <c r="C6718" s="13">
        <v>17</v>
      </c>
    </row>
    <row r="6719" spans="2:3" x14ac:dyDescent="0.3">
      <c r="B6719" s="18" t="s">
        <v>2851</v>
      </c>
      <c r="C6719" s="13">
        <v>18</v>
      </c>
    </row>
    <row r="6720" spans="2:3" x14ac:dyDescent="0.3">
      <c r="B6720" s="18" t="s">
        <v>2849</v>
      </c>
      <c r="C6720" s="13">
        <v>19</v>
      </c>
    </row>
    <row r="6721" spans="2:3" x14ac:dyDescent="0.3">
      <c r="B6721" s="18" t="s">
        <v>2847</v>
      </c>
      <c r="C6721" s="13">
        <v>2</v>
      </c>
    </row>
    <row r="6722" spans="2:3" x14ac:dyDescent="0.3">
      <c r="B6722" s="18" t="s">
        <v>2845</v>
      </c>
      <c r="C6722" s="13">
        <v>20</v>
      </c>
    </row>
    <row r="6723" spans="2:3" x14ac:dyDescent="0.3">
      <c r="B6723" s="18" t="s">
        <v>2843</v>
      </c>
      <c r="C6723" s="13">
        <v>21</v>
      </c>
    </row>
    <row r="6724" spans="2:3" x14ac:dyDescent="0.3">
      <c r="B6724" s="18" t="s">
        <v>2827</v>
      </c>
      <c r="C6724" s="13">
        <v>3</v>
      </c>
    </row>
    <row r="6725" spans="2:3" x14ac:dyDescent="0.3">
      <c r="B6725" s="18" t="s">
        <v>2825</v>
      </c>
      <c r="C6725" s="13">
        <v>4</v>
      </c>
    </row>
    <row r="6726" spans="2:3" x14ac:dyDescent="0.3">
      <c r="B6726" s="18" t="s">
        <v>2823</v>
      </c>
      <c r="C6726" s="13">
        <v>5</v>
      </c>
    </row>
    <row r="6727" spans="2:3" x14ac:dyDescent="0.3">
      <c r="B6727" s="18" t="s">
        <v>2821</v>
      </c>
      <c r="C6727" s="13">
        <v>6</v>
      </c>
    </row>
    <row r="6728" spans="2:3" x14ac:dyDescent="0.3">
      <c r="B6728" s="18" t="s">
        <v>2819</v>
      </c>
      <c r="C6728" s="13">
        <v>7</v>
      </c>
    </row>
    <row r="6729" spans="2:3" x14ac:dyDescent="0.3">
      <c r="B6729" s="18" t="s">
        <v>2817</v>
      </c>
      <c r="C6729" s="13">
        <v>8</v>
      </c>
    </row>
    <row r="6730" spans="2:3" x14ac:dyDescent="0.3">
      <c r="B6730" s="18" t="s">
        <v>2815</v>
      </c>
      <c r="C6730" s="13">
        <v>9</v>
      </c>
    </row>
    <row r="6731" spans="2:3" x14ac:dyDescent="0.3">
      <c r="B6731" s="18" t="s">
        <v>2813</v>
      </c>
      <c r="C6731" s="13">
        <v>42</v>
      </c>
    </row>
    <row r="6732" spans="2:3" x14ac:dyDescent="0.3">
      <c r="B6732" s="18" t="s">
        <v>2811</v>
      </c>
      <c r="C6732" s="13">
        <v>33</v>
      </c>
    </row>
    <row r="6733" spans="2:3" x14ac:dyDescent="0.3">
      <c r="B6733" s="18" t="s">
        <v>2809</v>
      </c>
      <c r="C6733" s="13">
        <v>32</v>
      </c>
    </row>
    <row r="6734" spans="2:3" x14ac:dyDescent="0.3">
      <c r="B6734" s="18" t="s">
        <v>2807</v>
      </c>
      <c r="C6734" s="13">
        <v>31</v>
      </c>
    </row>
    <row r="6735" spans="2:3" x14ac:dyDescent="0.3">
      <c r="B6735" s="18" t="s">
        <v>2805</v>
      </c>
      <c r="C6735" s="13">
        <v>30</v>
      </c>
    </row>
    <row r="6736" spans="2:3" x14ac:dyDescent="0.3">
      <c r="B6736" s="18" t="s">
        <v>2803</v>
      </c>
      <c r="C6736" s="13">
        <v>29</v>
      </c>
    </row>
    <row r="6737" spans="2:3" x14ac:dyDescent="0.3">
      <c r="B6737" s="18" t="s">
        <v>2801</v>
      </c>
      <c r="C6737" s="13">
        <v>28</v>
      </c>
    </row>
    <row r="6738" spans="2:3" x14ac:dyDescent="0.3">
      <c r="B6738" s="18" t="s">
        <v>2799</v>
      </c>
      <c r="C6738" s="13">
        <v>27</v>
      </c>
    </row>
    <row r="6739" spans="2:3" x14ac:dyDescent="0.3">
      <c r="B6739" s="18" t="s">
        <v>2797</v>
      </c>
      <c r="C6739" s="13">
        <v>26</v>
      </c>
    </row>
    <row r="6740" spans="2:3" x14ac:dyDescent="0.3">
      <c r="B6740" s="18" t="s">
        <v>2795</v>
      </c>
      <c r="C6740" s="13">
        <v>25</v>
      </c>
    </row>
    <row r="6741" spans="2:3" x14ac:dyDescent="0.3">
      <c r="B6741" s="18" t="s">
        <v>2793</v>
      </c>
      <c r="C6741" s="13">
        <v>24</v>
      </c>
    </row>
    <row r="6742" spans="2:3" x14ac:dyDescent="0.3">
      <c r="B6742" s="18" t="s">
        <v>2791</v>
      </c>
      <c r="C6742" s="13">
        <v>41</v>
      </c>
    </row>
    <row r="6743" spans="2:3" x14ac:dyDescent="0.3">
      <c r="B6743" s="18" t="s">
        <v>2789</v>
      </c>
      <c r="C6743" s="13">
        <v>23</v>
      </c>
    </row>
    <row r="6744" spans="2:3" x14ac:dyDescent="0.3">
      <c r="B6744" s="18" t="s">
        <v>2787</v>
      </c>
      <c r="C6744" s="13">
        <v>22</v>
      </c>
    </row>
    <row r="6745" spans="2:3" x14ac:dyDescent="0.3">
      <c r="B6745" s="18" t="s">
        <v>2771</v>
      </c>
      <c r="C6745" s="13">
        <v>40</v>
      </c>
    </row>
    <row r="6746" spans="2:3" x14ac:dyDescent="0.3">
      <c r="B6746" s="18" t="s">
        <v>2769</v>
      </c>
      <c r="C6746" s="13">
        <v>39</v>
      </c>
    </row>
    <row r="6747" spans="2:3" x14ac:dyDescent="0.3">
      <c r="B6747" s="18" t="s">
        <v>2767</v>
      </c>
      <c r="C6747" s="13">
        <v>38</v>
      </c>
    </row>
    <row r="6748" spans="2:3" x14ac:dyDescent="0.3">
      <c r="B6748" s="18" t="s">
        <v>2765</v>
      </c>
      <c r="C6748" s="13">
        <v>37</v>
      </c>
    </row>
    <row r="6749" spans="2:3" x14ac:dyDescent="0.3">
      <c r="B6749" s="18" t="s">
        <v>2763</v>
      </c>
      <c r="C6749" s="13">
        <v>36</v>
      </c>
    </row>
    <row r="6750" spans="2:3" x14ac:dyDescent="0.3">
      <c r="B6750" s="18" t="s">
        <v>2761</v>
      </c>
      <c r="C6750" s="13">
        <v>35</v>
      </c>
    </row>
    <row r="6751" spans="2:3" x14ac:dyDescent="0.3">
      <c r="B6751" s="18" t="s">
        <v>2759</v>
      </c>
      <c r="C6751" s="13">
        <v>34</v>
      </c>
    </row>
    <row r="6752" spans="2:3" x14ac:dyDescent="0.3">
      <c r="B6752" s="18" t="s">
        <v>9127</v>
      </c>
      <c r="C6752" s="13">
        <v>43</v>
      </c>
    </row>
    <row r="6753" spans="2:3" x14ac:dyDescent="0.3">
      <c r="B6753" s="18" t="s">
        <v>2757</v>
      </c>
      <c r="C6753" s="13">
        <v>52</v>
      </c>
    </row>
    <row r="6754" spans="2:3" x14ac:dyDescent="0.3">
      <c r="B6754" s="18" t="s">
        <v>2755</v>
      </c>
      <c r="C6754" s="13">
        <v>53</v>
      </c>
    </row>
    <row r="6755" spans="2:3" x14ac:dyDescent="0.3">
      <c r="B6755" s="18" t="s">
        <v>2753</v>
      </c>
      <c r="C6755" s="13">
        <v>54</v>
      </c>
    </row>
    <row r="6756" spans="2:3" x14ac:dyDescent="0.3">
      <c r="B6756" s="18" t="s">
        <v>2751</v>
      </c>
      <c r="C6756" s="13">
        <v>55</v>
      </c>
    </row>
    <row r="6757" spans="2:3" x14ac:dyDescent="0.3">
      <c r="B6757" s="18" t="s">
        <v>2749</v>
      </c>
      <c r="C6757" s="13">
        <v>56</v>
      </c>
    </row>
    <row r="6758" spans="2:3" x14ac:dyDescent="0.3">
      <c r="B6758" s="18" t="s">
        <v>2747</v>
      </c>
      <c r="C6758" s="13">
        <v>57</v>
      </c>
    </row>
    <row r="6759" spans="2:3" x14ac:dyDescent="0.3">
      <c r="B6759" s="18" t="s">
        <v>2745</v>
      </c>
      <c r="C6759" s="13">
        <v>58</v>
      </c>
    </row>
    <row r="6760" spans="2:3" x14ac:dyDescent="0.3">
      <c r="B6760" s="18" t="s">
        <v>2743</v>
      </c>
      <c r="C6760" s="13">
        <v>59</v>
      </c>
    </row>
    <row r="6761" spans="2:3" x14ac:dyDescent="0.3">
      <c r="B6761" s="18" t="s">
        <v>2741</v>
      </c>
      <c r="C6761" s="13">
        <v>60</v>
      </c>
    </row>
    <row r="6762" spans="2:3" x14ac:dyDescent="0.3">
      <c r="B6762" s="18" t="s">
        <v>2739</v>
      </c>
      <c r="C6762" s="13">
        <v>61</v>
      </c>
    </row>
    <row r="6763" spans="2:3" x14ac:dyDescent="0.3">
      <c r="B6763" s="18" t="s">
        <v>2737</v>
      </c>
      <c r="C6763" s="13">
        <v>44</v>
      </c>
    </row>
    <row r="6764" spans="2:3" x14ac:dyDescent="0.3">
      <c r="B6764" s="18" t="s">
        <v>2735</v>
      </c>
      <c r="C6764" s="13">
        <v>62</v>
      </c>
    </row>
    <row r="6765" spans="2:3" x14ac:dyDescent="0.3">
      <c r="B6765" s="18" t="s">
        <v>2733</v>
      </c>
      <c r="C6765" s="13">
        <v>63</v>
      </c>
    </row>
    <row r="6766" spans="2:3" x14ac:dyDescent="0.3">
      <c r="B6766" s="18" t="s">
        <v>2717</v>
      </c>
      <c r="C6766" s="13">
        <v>45</v>
      </c>
    </row>
    <row r="6767" spans="2:3" x14ac:dyDescent="0.3">
      <c r="B6767" s="18" t="s">
        <v>2715</v>
      </c>
      <c r="C6767" s="13">
        <v>46</v>
      </c>
    </row>
    <row r="6768" spans="2:3" x14ac:dyDescent="0.3">
      <c r="B6768" s="18" t="s">
        <v>2713</v>
      </c>
      <c r="C6768" s="13">
        <v>47</v>
      </c>
    </row>
    <row r="6769" spans="2:3" x14ac:dyDescent="0.3">
      <c r="B6769" s="18" t="s">
        <v>2711</v>
      </c>
      <c r="C6769" s="13">
        <v>48</v>
      </c>
    </row>
    <row r="6770" spans="2:3" x14ac:dyDescent="0.3">
      <c r="B6770" s="18" t="s">
        <v>2709</v>
      </c>
      <c r="C6770" s="13">
        <v>49</v>
      </c>
    </row>
    <row r="6771" spans="2:3" x14ac:dyDescent="0.3">
      <c r="B6771" s="18" t="s">
        <v>2707</v>
      </c>
      <c r="C6771" s="13">
        <v>50</v>
      </c>
    </row>
    <row r="6772" spans="2:3" x14ac:dyDescent="0.3">
      <c r="B6772" s="18" t="s">
        <v>2705</v>
      </c>
      <c r="C6772" s="13">
        <v>51</v>
      </c>
    </row>
    <row r="6773" spans="2:3" x14ac:dyDescent="0.3">
      <c r="B6773" s="18" t="s">
        <v>9128</v>
      </c>
      <c r="C6773" s="13">
        <v>75</v>
      </c>
    </row>
    <row r="6774" spans="2:3" x14ac:dyDescent="0.3">
      <c r="B6774" s="18" t="s">
        <v>9129</v>
      </c>
      <c r="C6774" s="13">
        <v>74</v>
      </c>
    </row>
    <row r="6775" spans="2:3" x14ac:dyDescent="0.3">
      <c r="B6775" s="18" t="s">
        <v>9130</v>
      </c>
      <c r="C6775" s="13">
        <v>73</v>
      </c>
    </row>
    <row r="6776" spans="2:3" x14ac:dyDescent="0.3">
      <c r="B6776" s="18" t="s">
        <v>9131</v>
      </c>
      <c r="C6776" s="13">
        <v>72</v>
      </c>
    </row>
    <row r="6777" spans="2:3" x14ac:dyDescent="0.3">
      <c r="B6777" s="18" t="s">
        <v>9132</v>
      </c>
      <c r="C6777" s="13">
        <v>71</v>
      </c>
    </row>
    <row r="6778" spans="2:3" x14ac:dyDescent="0.3">
      <c r="B6778" s="18" t="s">
        <v>9133</v>
      </c>
      <c r="C6778" s="13">
        <v>70</v>
      </c>
    </row>
    <row r="6779" spans="2:3" x14ac:dyDescent="0.3">
      <c r="B6779" s="18" t="s">
        <v>9134</v>
      </c>
      <c r="C6779" s="13">
        <v>69</v>
      </c>
    </row>
    <row r="6780" spans="2:3" x14ac:dyDescent="0.3">
      <c r="B6780" s="18" t="s">
        <v>9135</v>
      </c>
      <c r="C6780" s="13">
        <v>68</v>
      </c>
    </row>
    <row r="6781" spans="2:3" x14ac:dyDescent="0.3">
      <c r="B6781" s="18" t="s">
        <v>9136</v>
      </c>
      <c r="C6781" s="13">
        <v>67</v>
      </c>
    </row>
    <row r="6782" spans="2:3" x14ac:dyDescent="0.3">
      <c r="B6782" s="18" t="s">
        <v>9137</v>
      </c>
      <c r="C6782" s="13">
        <v>66</v>
      </c>
    </row>
    <row r="6783" spans="2:3" x14ac:dyDescent="0.3">
      <c r="B6783" s="18" t="s">
        <v>9138</v>
      </c>
      <c r="C6783" s="13">
        <v>83</v>
      </c>
    </row>
    <row r="6784" spans="2:3" x14ac:dyDescent="0.3">
      <c r="B6784" s="18" t="s">
        <v>9139</v>
      </c>
      <c r="C6784" s="13">
        <v>65</v>
      </c>
    </row>
    <row r="6785" spans="2:3" x14ac:dyDescent="0.3">
      <c r="B6785" s="18" t="s">
        <v>9140</v>
      </c>
      <c r="C6785" s="13">
        <v>64</v>
      </c>
    </row>
    <row r="6786" spans="2:3" x14ac:dyDescent="0.3">
      <c r="B6786" s="18" t="s">
        <v>9141</v>
      </c>
      <c r="C6786" s="13">
        <v>82</v>
      </c>
    </row>
    <row r="6787" spans="2:3" x14ac:dyDescent="0.3">
      <c r="B6787" s="18" t="s">
        <v>9142</v>
      </c>
      <c r="C6787" s="13">
        <v>81</v>
      </c>
    </row>
    <row r="6788" spans="2:3" x14ac:dyDescent="0.3">
      <c r="B6788" s="18" t="s">
        <v>9143</v>
      </c>
      <c r="C6788" s="13">
        <v>80</v>
      </c>
    </row>
    <row r="6789" spans="2:3" x14ac:dyDescent="0.3">
      <c r="B6789" s="18" t="s">
        <v>9144</v>
      </c>
      <c r="C6789" s="13">
        <v>79</v>
      </c>
    </row>
    <row r="6790" spans="2:3" x14ac:dyDescent="0.3">
      <c r="B6790" s="18" t="s">
        <v>9145</v>
      </c>
      <c r="C6790" s="13">
        <v>78</v>
      </c>
    </row>
    <row r="6791" spans="2:3" x14ac:dyDescent="0.3">
      <c r="B6791" s="18" t="s">
        <v>9146</v>
      </c>
      <c r="C6791" s="13">
        <v>77</v>
      </c>
    </row>
    <row r="6792" spans="2:3" x14ac:dyDescent="0.3">
      <c r="B6792" s="18" t="s">
        <v>9147</v>
      </c>
      <c r="C6792" s="13">
        <v>76</v>
      </c>
    </row>
    <row r="6793" spans="2:3" x14ac:dyDescent="0.3">
      <c r="B6793" s="18" t="s">
        <v>2703</v>
      </c>
      <c r="C6793" s="13">
        <v>1</v>
      </c>
    </row>
    <row r="6794" spans="2:3" x14ac:dyDescent="0.3">
      <c r="B6794" s="18" t="s">
        <v>2701</v>
      </c>
      <c r="C6794" s="13">
        <v>10</v>
      </c>
    </row>
    <row r="6795" spans="2:3" x14ac:dyDescent="0.3">
      <c r="B6795" s="18" t="s">
        <v>2699</v>
      </c>
      <c r="C6795" s="13">
        <v>11</v>
      </c>
    </row>
    <row r="6796" spans="2:3" x14ac:dyDescent="0.3">
      <c r="B6796" s="18" t="s">
        <v>2697</v>
      </c>
      <c r="C6796" s="13">
        <v>12</v>
      </c>
    </row>
    <row r="6797" spans="2:3" x14ac:dyDescent="0.3">
      <c r="B6797" s="18" t="s">
        <v>2695</v>
      </c>
      <c r="C6797" s="13">
        <v>13</v>
      </c>
    </row>
    <row r="6798" spans="2:3" x14ac:dyDescent="0.3">
      <c r="B6798" s="18" t="s">
        <v>2693</v>
      </c>
      <c r="C6798" s="13">
        <v>14</v>
      </c>
    </row>
    <row r="6799" spans="2:3" x14ac:dyDescent="0.3">
      <c r="B6799" s="18" t="s">
        <v>2691</v>
      </c>
      <c r="C6799" s="13">
        <v>15</v>
      </c>
    </row>
    <row r="6800" spans="2:3" x14ac:dyDescent="0.3">
      <c r="B6800" s="18" t="s">
        <v>2689</v>
      </c>
      <c r="C6800" s="13">
        <v>16</v>
      </c>
    </row>
    <row r="6801" spans="2:3" x14ac:dyDescent="0.3">
      <c r="B6801" s="18" t="s">
        <v>2687</v>
      </c>
      <c r="C6801" s="13">
        <v>17</v>
      </c>
    </row>
    <row r="6802" spans="2:3" x14ac:dyDescent="0.3">
      <c r="B6802" s="18" t="s">
        <v>2685</v>
      </c>
      <c r="C6802" s="13">
        <v>18</v>
      </c>
    </row>
    <row r="6803" spans="2:3" x14ac:dyDescent="0.3">
      <c r="B6803" s="18" t="s">
        <v>2683</v>
      </c>
      <c r="C6803" s="13">
        <v>19</v>
      </c>
    </row>
    <row r="6804" spans="2:3" x14ac:dyDescent="0.3">
      <c r="B6804" s="18" t="s">
        <v>2681</v>
      </c>
      <c r="C6804" s="13">
        <v>2</v>
      </c>
    </row>
    <row r="6805" spans="2:3" x14ac:dyDescent="0.3">
      <c r="B6805" s="18" t="s">
        <v>2679</v>
      </c>
      <c r="C6805" s="13">
        <v>20</v>
      </c>
    </row>
    <row r="6806" spans="2:3" x14ac:dyDescent="0.3">
      <c r="B6806" s="18" t="s">
        <v>2677</v>
      </c>
      <c r="C6806" s="13">
        <v>21</v>
      </c>
    </row>
    <row r="6807" spans="2:3" x14ac:dyDescent="0.3">
      <c r="B6807" s="18" t="s">
        <v>2661</v>
      </c>
      <c r="C6807" s="13">
        <v>3</v>
      </c>
    </row>
    <row r="6808" spans="2:3" x14ac:dyDescent="0.3">
      <c r="B6808" s="18" t="s">
        <v>2659</v>
      </c>
      <c r="C6808" s="13">
        <v>4</v>
      </c>
    </row>
    <row r="6809" spans="2:3" x14ac:dyDescent="0.3">
      <c r="B6809" s="18" t="s">
        <v>2657</v>
      </c>
      <c r="C6809" s="13">
        <v>5</v>
      </c>
    </row>
    <row r="6810" spans="2:3" x14ac:dyDescent="0.3">
      <c r="B6810" s="18" t="s">
        <v>2655</v>
      </c>
      <c r="C6810" s="13">
        <v>6</v>
      </c>
    </row>
    <row r="6811" spans="2:3" x14ac:dyDescent="0.3">
      <c r="B6811" s="18" t="s">
        <v>2653</v>
      </c>
      <c r="C6811" s="13">
        <v>7</v>
      </c>
    </row>
    <row r="6812" spans="2:3" x14ac:dyDescent="0.3">
      <c r="B6812" s="18" t="s">
        <v>2651</v>
      </c>
      <c r="C6812" s="13">
        <v>8</v>
      </c>
    </row>
    <row r="6813" spans="2:3" x14ac:dyDescent="0.3">
      <c r="B6813" s="18" t="s">
        <v>2649</v>
      </c>
      <c r="C6813" s="13">
        <v>9</v>
      </c>
    </row>
    <row r="6814" spans="2:3" x14ac:dyDescent="0.3">
      <c r="B6814" s="18" t="s">
        <v>2647</v>
      </c>
      <c r="C6814" s="13">
        <v>42</v>
      </c>
    </row>
    <row r="6815" spans="2:3" x14ac:dyDescent="0.3">
      <c r="B6815" s="18" t="s">
        <v>2645</v>
      </c>
      <c r="C6815" s="13">
        <v>33</v>
      </c>
    </row>
    <row r="6816" spans="2:3" x14ac:dyDescent="0.3">
      <c r="B6816" s="18" t="s">
        <v>2643</v>
      </c>
      <c r="C6816" s="13">
        <v>32</v>
      </c>
    </row>
    <row r="6817" spans="2:3" x14ac:dyDescent="0.3">
      <c r="B6817" s="18" t="s">
        <v>2641</v>
      </c>
      <c r="C6817" s="13">
        <v>31</v>
      </c>
    </row>
    <row r="6818" spans="2:3" x14ac:dyDescent="0.3">
      <c r="B6818" s="18" t="s">
        <v>2639</v>
      </c>
      <c r="C6818" s="13">
        <v>30</v>
      </c>
    </row>
    <row r="6819" spans="2:3" x14ac:dyDescent="0.3">
      <c r="B6819" s="18" t="s">
        <v>2637</v>
      </c>
      <c r="C6819" s="13">
        <v>29</v>
      </c>
    </row>
    <row r="6820" spans="2:3" x14ac:dyDescent="0.3">
      <c r="B6820" s="18" t="s">
        <v>2635</v>
      </c>
      <c r="C6820" s="13">
        <v>28</v>
      </c>
    </row>
    <row r="6821" spans="2:3" x14ac:dyDescent="0.3">
      <c r="B6821" s="18" t="s">
        <v>2633</v>
      </c>
      <c r="C6821" s="13">
        <v>27</v>
      </c>
    </row>
    <row r="6822" spans="2:3" x14ac:dyDescent="0.3">
      <c r="B6822" s="18" t="s">
        <v>2631</v>
      </c>
      <c r="C6822" s="13">
        <v>26</v>
      </c>
    </row>
    <row r="6823" spans="2:3" x14ac:dyDescent="0.3">
      <c r="B6823" s="18" t="s">
        <v>2629</v>
      </c>
      <c r="C6823" s="13">
        <v>25</v>
      </c>
    </row>
    <row r="6824" spans="2:3" x14ac:dyDescent="0.3">
      <c r="B6824" s="18" t="s">
        <v>2627</v>
      </c>
      <c r="C6824" s="13">
        <v>24</v>
      </c>
    </row>
    <row r="6825" spans="2:3" x14ac:dyDescent="0.3">
      <c r="B6825" s="18" t="s">
        <v>2625</v>
      </c>
      <c r="C6825" s="13">
        <v>41</v>
      </c>
    </row>
    <row r="6826" spans="2:3" x14ac:dyDescent="0.3">
      <c r="B6826" s="18" t="s">
        <v>2623</v>
      </c>
      <c r="C6826" s="13">
        <v>23</v>
      </c>
    </row>
    <row r="6827" spans="2:3" x14ac:dyDescent="0.3">
      <c r="B6827" s="18" t="s">
        <v>2621</v>
      </c>
      <c r="C6827" s="13">
        <v>22</v>
      </c>
    </row>
    <row r="6828" spans="2:3" x14ac:dyDescent="0.3">
      <c r="B6828" s="18" t="s">
        <v>2605</v>
      </c>
      <c r="C6828" s="13">
        <v>40</v>
      </c>
    </row>
    <row r="6829" spans="2:3" x14ac:dyDescent="0.3">
      <c r="B6829" s="18" t="s">
        <v>2603</v>
      </c>
      <c r="C6829" s="13">
        <v>39</v>
      </c>
    </row>
    <row r="6830" spans="2:3" x14ac:dyDescent="0.3">
      <c r="B6830" s="18" t="s">
        <v>2601</v>
      </c>
      <c r="C6830" s="13">
        <v>38</v>
      </c>
    </row>
    <row r="6831" spans="2:3" x14ac:dyDescent="0.3">
      <c r="B6831" s="18" t="s">
        <v>2599</v>
      </c>
      <c r="C6831" s="13">
        <v>37</v>
      </c>
    </row>
    <row r="6832" spans="2:3" x14ac:dyDescent="0.3">
      <c r="B6832" s="18" t="s">
        <v>2597</v>
      </c>
      <c r="C6832" s="13">
        <v>36</v>
      </c>
    </row>
    <row r="6833" spans="2:3" x14ac:dyDescent="0.3">
      <c r="B6833" s="18" t="s">
        <v>2595</v>
      </c>
      <c r="C6833" s="13">
        <v>35</v>
      </c>
    </row>
    <row r="6834" spans="2:3" x14ac:dyDescent="0.3">
      <c r="B6834" s="18" t="s">
        <v>2593</v>
      </c>
      <c r="C6834" s="13">
        <v>34</v>
      </c>
    </row>
    <row r="6835" spans="2:3" x14ac:dyDescent="0.3">
      <c r="B6835" s="18" t="s">
        <v>2591</v>
      </c>
      <c r="C6835" s="13">
        <v>43</v>
      </c>
    </row>
    <row r="6836" spans="2:3" x14ac:dyDescent="0.3">
      <c r="B6836" s="18" t="s">
        <v>2589</v>
      </c>
      <c r="C6836" s="13">
        <v>52</v>
      </c>
    </row>
    <row r="6837" spans="2:3" x14ac:dyDescent="0.3">
      <c r="B6837" s="18" t="s">
        <v>2587</v>
      </c>
      <c r="C6837" s="13">
        <v>53</v>
      </c>
    </row>
    <row r="6838" spans="2:3" x14ac:dyDescent="0.3">
      <c r="B6838" s="18" t="s">
        <v>2585</v>
      </c>
      <c r="C6838" s="13">
        <v>54</v>
      </c>
    </row>
    <row r="6839" spans="2:3" x14ac:dyDescent="0.3">
      <c r="B6839" s="18" t="s">
        <v>2583</v>
      </c>
      <c r="C6839" s="13">
        <v>55</v>
      </c>
    </row>
    <row r="6840" spans="2:3" x14ac:dyDescent="0.3">
      <c r="B6840" s="18" t="s">
        <v>2581</v>
      </c>
      <c r="C6840" s="13">
        <v>56</v>
      </c>
    </row>
    <row r="6841" spans="2:3" x14ac:dyDescent="0.3">
      <c r="B6841" s="18" t="s">
        <v>2579</v>
      </c>
      <c r="C6841" s="13">
        <v>57</v>
      </c>
    </row>
    <row r="6842" spans="2:3" x14ac:dyDescent="0.3">
      <c r="B6842" s="18" t="s">
        <v>2577</v>
      </c>
      <c r="C6842" s="13">
        <v>58</v>
      </c>
    </row>
    <row r="6843" spans="2:3" x14ac:dyDescent="0.3">
      <c r="B6843" s="18" t="s">
        <v>2575</v>
      </c>
      <c r="C6843" s="13">
        <v>59</v>
      </c>
    </row>
    <row r="6844" spans="2:3" x14ac:dyDescent="0.3">
      <c r="B6844" s="18" t="s">
        <v>2573</v>
      </c>
      <c r="C6844" s="13">
        <v>60</v>
      </c>
    </row>
    <row r="6845" spans="2:3" x14ac:dyDescent="0.3">
      <c r="B6845" s="18" t="s">
        <v>2571</v>
      </c>
      <c r="C6845" s="13">
        <v>61</v>
      </c>
    </row>
    <row r="6846" spans="2:3" x14ac:dyDescent="0.3">
      <c r="B6846" s="18" t="s">
        <v>2569</v>
      </c>
      <c r="C6846" s="13">
        <v>44</v>
      </c>
    </row>
    <row r="6847" spans="2:3" x14ac:dyDescent="0.3">
      <c r="B6847" s="18" t="s">
        <v>2567</v>
      </c>
      <c r="C6847" s="13">
        <v>62</v>
      </c>
    </row>
    <row r="6848" spans="2:3" x14ac:dyDescent="0.3">
      <c r="B6848" s="18" t="s">
        <v>2565</v>
      </c>
      <c r="C6848" s="13">
        <v>63</v>
      </c>
    </row>
    <row r="6849" spans="2:3" x14ac:dyDescent="0.3">
      <c r="B6849" s="18" t="s">
        <v>2549</v>
      </c>
      <c r="C6849" s="13">
        <v>45</v>
      </c>
    </row>
    <row r="6850" spans="2:3" x14ac:dyDescent="0.3">
      <c r="B6850" s="18" t="s">
        <v>2547</v>
      </c>
      <c r="C6850" s="13">
        <v>46</v>
      </c>
    </row>
    <row r="6851" spans="2:3" x14ac:dyDescent="0.3">
      <c r="B6851" s="18" t="s">
        <v>2545</v>
      </c>
      <c r="C6851" s="13">
        <v>47</v>
      </c>
    </row>
    <row r="6852" spans="2:3" x14ac:dyDescent="0.3">
      <c r="B6852" s="18" t="s">
        <v>2543</v>
      </c>
      <c r="C6852" s="13">
        <v>48</v>
      </c>
    </row>
    <row r="6853" spans="2:3" x14ac:dyDescent="0.3">
      <c r="B6853" s="18" t="s">
        <v>2541</v>
      </c>
      <c r="C6853" s="13">
        <v>49</v>
      </c>
    </row>
    <row r="6854" spans="2:3" x14ac:dyDescent="0.3">
      <c r="B6854" s="18" t="s">
        <v>2539</v>
      </c>
      <c r="C6854" s="13">
        <v>50</v>
      </c>
    </row>
    <row r="6855" spans="2:3" x14ac:dyDescent="0.3">
      <c r="B6855" s="18" t="s">
        <v>2537</v>
      </c>
      <c r="C6855" s="13">
        <v>51</v>
      </c>
    </row>
    <row r="6856" spans="2:3" x14ac:dyDescent="0.3">
      <c r="B6856" s="18" t="s">
        <v>9148</v>
      </c>
      <c r="C6856" s="13">
        <v>84</v>
      </c>
    </row>
    <row r="6857" spans="2:3" x14ac:dyDescent="0.3">
      <c r="B6857" s="18" t="s">
        <v>9149</v>
      </c>
      <c r="C6857" s="13">
        <v>75</v>
      </c>
    </row>
    <row r="6858" spans="2:3" x14ac:dyDescent="0.3">
      <c r="B6858" s="18" t="s">
        <v>9150</v>
      </c>
      <c r="C6858" s="13">
        <v>74</v>
      </c>
    </row>
    <row r="6859" spans="2:3" x14ac:dyDescent="0.3">
      <c r="B6859" s="18" t="s">
        <v>9151</v>
      </c>
      <c r="C6859" s="13">
        <v>73</v>
      </c>
    </row>
    <row r="6860" spans="2:3" x14ac:dyDescent="0.3">
      <c r="B6860" s="18" t="s">
        <v>9152</v>
      </c>
      <c r="C6860" s="13">
        <v>72</v>
      </c>
    </row>
    <row r="6861" spans="2:3" x14ac:dyDescent="0.3">
      <c r="B6861" s="18" t="s">
        <v>9153</v>
      </c>
      <c r="C6861" s="13">
        <v>71</v>
      </c>
    </row>
    <row r="6862" spans="2:3" x14ac:dyDescent="0.3">
      <c r="B6862" s="18" t="s">
        <v>9154</v>
      </c>
      <c r="C6862" s="13">
        <v>70</v>
      </c>
    </row>
    <row r="6863" spans="2:3" x14ac:dyDescent="0.3">
      <c r="B6863" s="18" t="s">
        <v>9155</v>
      </c>
      <c r="C6863" s="13">
        <v>69</v>
      </c>
    </row>
    <row r="6864" spans="2:3" x14ac:dyDescent="0.3">
      <c r="B6864" s="18" t="s">
        <v>9156</v>
      </c>
      <c r="C6864" s="13">
        <v>68</v>
      </c>
    </row>
    <row r="6865" spans="2:3" x14ac:dyDescent="0.3">
      <c r="B6865" s="18" t="s">
        <v>9157</v>
      </c>
      <c r="C6865" s="13">
        <v>67</v>
      </c>
    </row>
    <row r="6866" spans="2:3" x14ac:dyDescent="0.3">
      <c r="B6866" s="18" t="s">
        <v>9158</v>
      </c>
      <c r="C6866" s="13">
        <v>66</v>
      </c>
    </row>
    <row r="6867" spans="2:3" x14ac:dyDescent="0.3">
      <c r="B6867" s="18" t="s">
        <v>9159</v>
      </c>
      <c r="C6867" s="13">
        <v>83</v>
      </c>
    </row>
    <row r="6868" spans="2:3" x14ac:dyDescent="0.3">
      <c r="B6868" s="18" t="s">
        <v>9160</v>
      </c>
      <c r="C6868" s="13">
        <v>65</v>
      </c>
    </row>
    <row r="6869" spans="2:3" x14ac:dyDescent="0.3">
      <c r="B6869" s="18" t="s">
        <v>9161</v>
      </c>
      <c r="C6869" s="13">
        <v>64</v>
      </c>
    </row>
    <row r="6870" spans="2:3" x14ac:dyDescent="0.3">
      <c r="B6870" s="18" t="s">
        <v>9162</v>
      </c>
      <c r="C6870" s="13">
        <v>82</v>
      </c>
    </row>
    <row r="6871" spans="2:3" x14ac:dyDescent="0.3">
      <c r="B6871" s="18" t="s">
        <v>9163</v>
      </c>
      <c r="C6871" s="13">
        <v>81</v>
      </c>
    </row>
    <row r="6872" spans="2:3" x14ac:dyDescent="0.3">
      <c r="B6872" s="18" t="s">
        <v>9164</v>
      </c>
      <c r="C6872" s="13">
        <v>80</v>
      </c>
    </row>
    <row r="6873" spans="2:3" x14ac:dyDescent="0.3">
      <c r="B6873" s="18" t="s">
        <v>9165</v>
      </c>
      <c r="C6873" s="13">
        <v>79</v>
      </c>
    </row>
    <row r="6874" spans="2:3" x14ac:dyDescent="0.3">
      <c r="B6874" s="18" t="s">
        <v>9166</v>
      </c>
      <c r="C6874" s="13">
        <v>78</v>
      </c>
    </row>
    <row r="6875" spans="2:3" x14ac:dyDescent="0.3">
      <c r="B6875" s="18" t="s">
        <v>9167</v>
      </c>
      <c r="C6875" s="13">
        <v>77</v>
      </c>
    </row>
    <row r="6876" spans="2:3" x14ac:dyDescent="0.3">
      <c r="B6876" s="18" t="s">
        <v>9168</v>
      </c>
      <c r="C6876" s="13">
        <v>76</v>
      </c>
    </row>
    <row r="6877" spans="2:3" x14ac:dyDescent="0.3">
      <c r="B6877" s="18" t="s">
        <v>2535</v>
      </c>
      <c r="C6877" s="13">
        <v>1</v>
      </c>
    </row>
    <row r="6878" spans="2:3" x14ac:dyDescent="0.3">
      <c r="B6878" s="18" t="s">
        <v>2533</v>
      </c>
      <c r="C6878" s="13">
        <v>10</v>
      </c>
    </row>
    <row r="6879" spans="2:3" x14ac:dyDescent="0.3">
      <c r="B6879" s="18" t="s">
        <v>2531</v>
      </c>
      <c r="C6879" s="13">
        <v>11</v>
      </c>
    </row>
    <row r="6880" spans="2:3" x14ac:dyDescent="0.3">
      <c r="B6880" s="18" t="s">
        <v>2529</v>
      </c>
      <c r="C6880" s="13">
        <v>12</v>
      </c>
    </row>
    <row r="6881" spans="2:3" x14ac:dyDescent="0.3">
      <c r="B6881" s="18" t="s">
        <v>2527</v>
      </c>
      <c r="C6881" s="13">
        <v>13</v>
      </c>
    </row>
    <row r="6882" spans="2:3" x14ac:dyDescent="0.3">
      <c r="B6882" s="18" t="s">
        <v>2525</v>
      </c>
      <c r="C6882" s="13">
        <v>14</v>
      </c>
    </row>
    <row r="6883" spans="2:3" x14ac:dyDescent="0.3">
      <c r="B6883" s="18" t="s">
        <v>2523</v>
      </c>
      <c r="C6883" s="13">
        <v>15</v>
      </c>
    </row>
    <row r="6884" spans="2:3" x14ac:dyDescent="0.3">
      <c r="B6884" s="18" t="s">
        <v>2521</v>
      </c>
      <c r="C6884" s="13">
        <v>16</v>
      </c>
    </row>
    <row r="6885" spans="2:3" x14ac:dyDescent="0.3">
      <c r="B6885" s="18" t="s">
        <v>2519</v>
      </c>
      <c r="C6885" s="13">
        <v>17</v>
      </c>
    </row>
    <row r="6886" spans="2:3" x14ac:dyDescent="0.3">
      <c r="B6886" s="18" t="s">
        <v>2517</v>
      </c>
      <c r="C6886" s="13">
        <v>18</v>
      </c>
    </row>
    <row r="6887" spans="2:3" x14ac:dyDescent="0.3">
      <c r="B6887" s="18" t="s">
        <v>2515</v>
      </c>
      <c r="C6887" s="13">
        <v>19</v>
      </c>
    </row>
    <row r="6888" spans="2:3" x14ac:dyDescent="0.3">
      <c r="B6888" s="18" t="s">
        <v>2513</v>
      </c>
      <c r="C6888" s="13">
        <v>2</v>
      </c>
    </row>
    <row r="6889" spans="2:3" x14ac:dyDescent="0.3">
      <c r="B6889" s="18" t="s">
        <v>2511</v>
      </c>
      <c r="C6889" s="13">
        <v>20</v>
      </c>
    </row>
    <row r="6890" spans="2:3" x14ac:dyDescent="0.3">
      <c r="B6890" s="18" t="s">
        <v>2509</v>
      </c>
      <c r="C6890" s="13">
        <v>21</v>
      </c>
    </row>
    <row r="6891" spans="2:3" x14ac:dyDescent="0.3">
      <c r="B6891" s="18" t="s">
        <v>2507</v>
      </c>
      <c r="C6891" s="13">
        <v>22</v>
      </c>
    </row>
    <row r="6892" spans="2:3" x14ac:dyDescent="0.3">
      <c r="B6892" s="18" t="s">
        <v>2491</v>
      </c>
      <c r="C6892" s="13">
        <v>3</v>
      </c>
    </row>
    <row r="6893" spans="2:3" x14ac:dyDescent="0.3">
      <c r="B6893" s="18" t="s">
        <v>2489</v>
      </c>
      <c r="C6893" s="13">
        <v>4</v>
      </c>
    </row>
    <row r="6894" spans="2:3" x14ac:dyDescent="0.3">
      <c r="B6894" s="18" t="s">
        <v>2487</v>
      </c>
      <c r="C6894" s="13">
        <v>5</v>
      </c>
    </row>
    <row r="6895" spans="2:3" x14ac:dyDescent="0.3">
      <c r="B6895" s="18" t="s">
        <v>2485</v>
      </c>
      <c r="C6895" s="13">
        <v>6</v>
      </c>
    </row>
    <row r="6896" spans="2:3" x14ac:dyDescent="0.3">
      <c r="B6896" s="18" t="s">
        <v>2483</v>
      </c>
      <c r="C6896" s="13">
        <v>7</v>
      </c>
    </row>
    <row r="6897" spans="2:3" x14ac:dyDescent="0.3">
      <c r="B6897" s="18" t="s">
        <v>2481</v>
      </c>
      <c r="C6897" s="13">
        <v>8</v>
      </c>
    </row>
    <row r="6898" spans="2:3" x14ac:dyDescent="0.3">
      <c r="B6898" s="18" t="s">
        <v>2479</v>
      </c>
      <c r="C6898" s="13">
        <v>9</v>
      </c>
    </row>
    <row r="6899" spans="2:3" x14ac:dyDescent="0.3">
      <c r="B6899" s="18" t="s">
        <v>2477</v>
      </c>
      <c r="C6899" s="13">
        <v>44</v>
      </c>
    </row>
    <row r="6900" spans="2:3" x14ac:dyDescent="0.3">
      <c r="B6900" s="18" t="s">
        <v>2475</v>
      </c>
      <c r="C6900" s="13">
        <v>35</v>
      </c>
    </row>
    <row r="6901" spans="2:3" x14ac:dyDescent="0.3">
      <c r="B6901" s="18" t="s">
        <v>2473</v>
      </c>
      <c r="C6901" s="13">
        <v>34</v>
      </c>
    </row>
    <row r="6902" spans="2:3" x14ac:dyDescent="0.3">
      <c r="B6902" s="18" t="s">
        <v>2471</v>
      </c>
      <c r="C6902" s="13">
        <v>33</v>
      </c>
    </row>
    <row r="6903" spans="2:3" x14ac:dyDescent="0.3">
      <c r="B6903" s="18" t="s">
        <v>2469</v>
      </c>
      <c r="C6903" s="13">
        <v>32</v>
      </c>
    </row>
    <row r="6904" spans="2:3" x14ac:dyDescent="0.3">
      <c r="B6904" s="18" t="s">
        <v>2467</v>
      </c>
      <c r="C6904" s="13">
        <v>31</v>
      </c>
    </row>
    <row r="6905" spans="2:3" x14ac:dyDescent="0.3">
      <c r="B6905" s="18" t="s">
        <v>2465</v>
      </c>
      <c r="C6905" s="13">
        <v>30</v>
      </c>
    </row>
    <row r="6906" spans="2:3" x14ac:dyDescent="0.3">
      <c r="B6906" s="18" t="s">
        <v>2463</v>
      </c>
      <c r="C6906" s="13">
        <v>29</v>
      </c>
    </row>
    <row r="6907" spans="2:3" x14ac:dyDescent="0.3">
      <c r="B6907" s="18" t="s">
        <v>2461</v>
      </c>
      <c r="C6907" s="13">
        <v>28</v>
      </c>
    </row>
    <row r="6908" spans="2:3" x14ac:dyDescent="0.3">
      <c r="B6908" s="18" t="s">
        <v>2459</v>
      </c>
      <c r="C6908" s="13">
        <v>27</v>
      </c>
    </row>
    <row r="6909" spans="2:3" x14ac:dyDescent="0.3">
      <c r="B6909" s="18" t="s">
        <v>2457</v>
      </c>
      <c r="C6909" s="13">
        <v>26</v>
      </c>
    </row>
    <row r="6910" spans="2:3" x14ac:dyDescent="0.3">
      <c r="B6910" s="18" t="s">
        <v>2455</v>
      </c>
      <c r="C6910" s="13">
        <v>43</v>
      </c>
    </row>
    <row r="6911" spans="2:3" x14ac:dyDescent="0.3">
      <c r="B6911" s="18" t="s">
        <v>2453</v>
      </c>
      <c r="C6911" s="13">
        <v>25</v>
      </c>
    </row>
    <row r="6912" spans="2:3" x14ac:dyDescent="0.3">
      <c r="B6912" s="18" t="s">
        <v>2451</v>
      </c>
      <c r="C6912" s="13">
        <v>24</v>
      </c>
    </row>
    <row r="6913" spans="2:3" x14ac:dyDescent="0.3">
      <c r="B6913" s="18" t="s">
        <v>2449</v>
      </c>
      <c r="C6913" s="13">
        <v>23</v>
      </c>
    </row>
    <row r="6914" spans="2:3" x14ac:dyDescent="0.3">
      <c r="B6914" s="18" t="s">
        <v>2433</v>
      </c>
      <c r="C6914" s="13">
        <v>42</v>
      </c>
    </row>
    <row r="6915" spans="2:3" x14ac:dyDescent="0.3">
      <c r="B6915" s="18" t="s">
        <v>2431</v>
      </c>
      <c r="C6915" s="13">
        <v>41</v>
      </c>
    </row>
    <row r="6916" spans="2:3" x14ac:dyDescent="0.3">
      <c r="B6916" s="18" t="s">
        <v>2429</v>
      </c>
      <c r="C6916" s="13">
        <v>40</v>
      </c>
    </row>
    <row r="6917" spans="2:3" x14ac:dyDescent="0.3">
      <c r="B6917" s="18" t="s">
        <v>2427</v>
      </c>
      <c r="C6917" s="13">
        <v>39</v>
      </c>
    </row>
    <row r="6918" spans="2:3" x14ac:dyDescent="0.3">
      <c r="B6918" s="18" t="s">
        <v>2425</v>
      </c>
      <c r="C6918" s="13">
        <v>38</v>
      </c>
    </row>
    <row r="6919" spans="2:3" x14ac:dyDescent="0.3">
      <c r="B6919" s="18" t="s">
        <v>2423</v>
      </c>
      <c r="C6919" s="13">
        <v>37</v>
      </c>
    </row>
    <row r="6920" spans="2:3" x14ac:dyDescent="0.3">
      <c r="B6920" s="18" t="s">
        <v>2421</v>
      </c>
      <c r="C6920" s="13">
        <v>36</v>
      </c>
    </row>
    <row r="6921" spans="2:3" x14ac:dyDescent="0.3">
      <c r="B6921" s="18" t="s">
        <v>9169</v>
      </c>
      <c r="C6921" s="13">
        <v>45</v>
      </c>
    </row>
    <row r="6922" spans="2:3" x14ac:dyDescent="0.3">
      <c r="B6922" s="18" t="s">
        <v>2419</v>
      </c>
      <c r="C6922" s="13">
        <v>54</v>
      </c>
    </row>
    <row r="6923" spans="2:3" x14ac:dyDescent="0.3">
      <c r="B6923" s="18" t="s">
        <v>2417</v>
      </c>
      <c r="C6923" s="13">
        <v>55</v>
      </c>
    </row>
    <row r="6924" spans="2:3" x14ac:dyDescent="0.3">
      <c r="B6924" s="18" t="s">
        <v>2415</v>
      </c>
      <c r="C6924" s="13">
        <v>56</v>
      </c>
    </row>
    <row r="6925" spans="2:3" x14ac:dyDescent="0.3">
      <c r="B6925" s="18" t="s">
        <v>2413</v>
      </c>
      <c r="C6925" s="13">
        <v>57</v>
      </c>
    </row>
    <row r="6926" spans="2:3" x14ac:dyDescent="0.3">
      <c r="B6926" s="18" t="s">
        <v>2411</v>
      </c>
      <c r="C6926" s="13">
        <v>58</v>
      </c>
    </row>
    <row r="6927" spans="2:3" x14ac:dyDescent="0.3">
      <c r="B6927" s="18" t="s">
        <v>2409</v>
      </c>
      <c r="C6927" s="13">
        <v>59</v>
      </c>
    </row>
    <row r="6928" spans="2:3" x14ac:dyDescent="0.3">
      <c r="B6928" s="18" t="s">
        <v>2407</v>
      </c>
      <c r="C6928" s="13">
        <v>60</v>
      </c>
    </row>
    <row r="6929" spans="2:3" x14ac:dyDescent="0.3">
      <c r="B6929" s="18" t="s">
        <v>2405</v>
      </c>
      <c r="C6929" s="13">
        <v>61</v>
      </c>
    </row>
    <row r="6930" spans="2:3" x14ac:dyDescent="0.3">
      <c r="B6930" s="18" t="s">
        <v>2403</v>
      </c>
      <c r="C6930" s="13">
        <v>62</v>
      </c>
    </row>
    <row r="6931" spans="2:3" x14ac:dyDescent="0.3">
      <c r="B6931" s="18" t="s">
        <v>2401</v>
      </c>
      <c r="C6931" s="13">
        <v>63</v>
      </c>
    </row>
    <row r="6932" spans="2:3" x14ac:dyDescent="0.3">
      <c r="B6932" s="18" t="s">
        <v>9170</v>
      </c>
      <c r="C6932" s="13">
        <v>46</v>
      </c>
    </row>
    <row r="6933" spans="2:3" x14ac:dyDescent="0.3">
      <c r="B6933" s="18" t="s">
        <v>2399</v>
      </c>
      <c r="C6933" s="13">
        <v>64</v>
      </c>
    </row>
    <row r="6934" spans="2:3" x14ac:dyDescent="0.3">
      <c r="B6934" s="18" t="s">
        <v>2397</v>
      </c>
      <c r="C6934" s="13">
        <v>65</v>
      </c>
    </row>
    <row r="6935" spans="2:3" x14ac:dyDescent="0.3">
      <c r="B6935" s="18" t="s">
        <v>2395</v>
      </c>
      <c r="C6935" s="13">
        <v>66</v>
      </c>
    </row>
    <row r="6936" spans="2:3" x14ac:dyDescent="0.3">
      <c r="B6936" s="18" t="s">
        <v>2379</v>
      </c>
      <c r="C6936" s="13">
        <v>47</v>
      </c>
    </row>
    <row r="6937" spans="2:3" x14ac:dyDescent="0.3">
      <c r="B6937" s="18" t="s">
        <v>2377</v>
      </c>
      <c r="C6937" s="13">
        <v>48</v>
      </c>
    </row>
    <row r="6938" spans="2:3" x14ac:dyDescent="0.3">
      <c r="B6938" s="18" t="s">
        <v>2375</v>
      </c>
      <c r="C6938" s="13">
        <v>49</v>
      </c>
    </row>
    <row r="6939" spans="2:3" x14ac:dyDescent="0.3">
      <c r="B6939" s="18" t="s">
        <v>2373</v>
      </c>
      <c r="C6939" s="13">
        <v>50</v>
      </c>
    </row>
    <row r="6940" spans="2:3" x14ac:dyDescent="0.3">
      <c r="B6940" s="18" t="s">
        <v>2371</v>
      </c>
      <c r="C6940" s="13">
        <v>51</v>
      </c>
    </row>
    <row r="6941" spans="2:3" x14ac:dyDescent="0.3">
      <c r="B6941" s="18" t="s">
        <v>2369</v>
      </c>
      <c r="C6941" s="13">
        <v>52</v>
      </c>
    </row>
    <row r="6942" spans="2:3" x14ac:dyDescent="0.3">
      <c r="B6942" s="18" t="s">
        <v>2367</v>
      </c>
      <c r="C6942" s="13">
        <v>53</v>
      </c>
    </row>
    <row r="6943" spans="2:3" x14ac:dyDescent="0.3">
      <c r="B6943" s="18" t="s">
        <v>9171</v>
      </c>
      <c r="C6943" s="13">
        <v>79</v>
      </c>
    </row>
    <row r="6944" spans="2:3" x14ac:dyDescent="0.3">
      <c r="B6944" s="18" t="s">
        <v>9172</v>
      </c>
      <c r="C6944" s="13">
        <v>78</v>
      </c>
    </row>
    <row r="6945" spans="2:3" x14ac:dyDescent="0.3">
      <c r="B6945" s="18" t="s">
        <v>9173</v>
      </c>
      <c r="C6945" s="13">
        <v>77</v>
      </c>
    </row>
    <row r="6946" spans="2:3" x14ac:dyDescent="0.3">
      <c r="B6946" s="18" t="s">
        <v>9174</v>
      </c>
      <c r="C6946" s="13">
        <v>76</v>
      </c>
    </row>
    <row r="6947" spans="2:3" x14ac:dyDescent="0.3">
      <c r="B6947" s="18" t="s">
        <v>9175</v>
      </c>
      <c r="C6947" s="13">
        <v>75</v>
      </c>
    </row>
    <row r="6948" spans="2:3" x14ac:dyDescent="0.3">
      <c r="B6948" s="18" t="s">
        <v>9176</v>
      </c>
      <c r="C6948" s="13">
        <v>74</v>
      </c>
    </row>
    <row r="6949" spans="2:3" x14ac:dyDescent="0.3">
      <c r="B6949" s="18" t="s">
        <v>9177</v>
      </c>
      <c r="C6949" s="13">
        <v>73</v>
      </c>
    </row>
    <row r="6950" spans="2:3" x14ac:dyDescent="0.3">
      <c r="B6950" s="18" t="s">
        <v>9178</v>
      </c>
      <c r="C6950" s="13">
        <v>72</v>
      </c>
    </row>
    <row r="6951" spans="2:3" x14ac:dyDescent="0.3">
      <c r="B6951" s="18" t="s">
        <v>9179</v>
      </c>
      <c r="C6951" s="13">
        <v>71</v>
      </c>
    </row>
    <row r="6952" spans="2:3" x14ac:dyDescent="0.3">
      <c r="B6952" s="18" t="s">
        <v>9180</v>
      </c>
      <c r="C6952" s="13">
        <v>70</v>
      </c>
    </row>
    <row r="6953" spans="2:3" x14ac:dyDescent="0.3">
      <c r="B6953" s="18" t="s">
        <v>9181</v>
      </c>
      <c r="C6953" s="13">
        <v>69</v>
      </c>
    </row>
    <row r="6954" spans="2:3" x14ac:dyDescent="0.3">
      <c r="B6954" s="18" t="s">
        <v>9182</v>
      </c>
      <c r="C6954" s="13">
        <v>68</v>
      </c>
    </row>
    <row r="6955" spans="2:3" x14ac:dyDescent="0.3">
      <c r="B6955" s="18" t="s">
        <v>9183</v>
      </c>
      <c r="C6955" s="13">
        <v>67</v>
      </c>
    </row>
    <row r="6956" spans="2:3" x14ac:dyDescent="0.3">
      <c r="B6956" s="18" t="s">
        <v>9184</v>
      </c>
      <c r="C6956" s="13">
        <v>85</v>
      </c>
    </row>
    <row r="6957" spans="2:3" x14ac:dyDescent="0.3">
      <c r="B6957" s="18" t="s">
        <v>9185</v>
      </c>
      <c r="C6957" s="13">
        <v>84</v>
      </c>
    </row>
    <row r="6958" spans="2:3" x14ac:dyDescent="0.3">
      <c r="B6958" s="18" t="s">
        <v>9186</v>
      </c>
      <c r="C6958" s="13">
        <v>83</v>
      </c>
    </row>
    <row r="6959" spans="2:3" x14ac:dyDescent="0.3">
      <c r="B6959" s="18" t="s">
        <v>9187</v>
      </c>
      <c r="C6959" s="13">
        <v>82</v>
      </c>
    </row>
    <row r="6960" spans="2:3" x14ac:dyDescent="0.3">
      <c r="B6960" s="18" t="s">
        <v>9188</v>
      </c>
      <c r="C6960" s="13">
        <v>81</v>
      </c>
    </row>
    <row r="6961" spans="2:3" x14ac:dyDescent="0.3">
      <c r="B6961" s="18" t="s">
        <v>9189</v>
      </c>
      <c r="C6961" s="13">
        <v>80</v>
      </c>
    </row>
    <row r="6962" spans="2:3" x14ac:dyDescent="0.3">
      <c r="B6962" s="18" t="s">
        <v>2365</v>
      </c>
      <c r="C6962" s="13">
        <v>1</v>
      </c>
    </row>
    <row r="6963" spans="2:3" x14ac:dyDescent="0.3">
      <c r="B6963" s="18" t="s">
        <v>2363</v>
      </c>
      <c r="C6963" s="13">
        <v>10</v>
      </c>
    </row>
    <row r="6964" spans="2:3" x14ac:dyDescent="0.3">
      <c r="B6964" s="18" t="s">
        <v>2361</v>
      </c>
      <c r="C6964" s="13">
        <v>11</v>
      </c>
    </row>
    <row r="6965" spans="2:3" x14ac:dyDescent="0.3">
      <c r="B6965" s="18" t="s">
        <v>2359</v>
      </c>
      <c r="C6965" s="13">
        <v>12</v>
      </c>
    </row>
    <row r="6966" spans="2:3" x14ac:dyDescent="0.3">
      <c r="B6966" s="18" t="s">
        <v>2357</v>
      </c>
      <c r="C6966" s="13">
        <v>13</v>
      </c>
    </row>
    <row r="6967" spans="2:3" x14ac:dyDescent="0.3">
      <c r="B6967" s="18" t="s">
        <v>2355</v>
      </c>
      <c r="C6967" s="13">
        <v>14</v>
      </c>
    </row>
    <row r="6968" spans="2:3" x14ac:dyDescent="0.3">
      <c r="B6968" s="18" t="s">
        <v>2353</v>
      </c>
      <c r="C6968" s="13">
        <v>15</v>
      </c>
    </row>
    <row r="6969" spans="2:3" x14ac:dyDescent="0.3">
      <c r="B6969" s="18" t="s">
        <v>2351</v>
      </c>
      <c r="C6969" s="13">
        <v>16</v>
      </c>
    </row>
    <row r="6970" spans="2:3" x14ac:dyDescent="0.3">
      <c r="B6970" s="18" t="s">
        <v>2349</v>
      </c>
      <c r="C6970" s="13">
        <v>17</v>
      </c>
    </row>
    <row r="6971" spans="2:3" x14ac:dyDescent="0.3">
      <c r="B6971" s="18" t="s">
        <v>2347</v>
      </c>
      <c r="C6971" s="13">
        <v>18</v>
      </c>
    </row>
    <row r="6972" spans="2:3" x14ac:dyDescent="0.3">
      <c r="B6972" s="18" t="s">
        <v>2345</v>
      </c>
      <c r="C6972" s="13">
        <v>19</v>
      </c>
    </row>
    <row r="6973" spans="2:3" x14ac:dyDescent="0.3">
      <c r="B6973" s="18" t="s">
        <v>2343</v>
      </c>
      <c r="C6973" s="13">
        <v>2</v>
      </c>
    </row>
    <row r="6974" spans="2:3" x14ac:dyDescent="0.3">
      <c r="B6974" s="18" t="s">
        <v>2341</v>
      </c>
      <c r="C6974" s="13">
        <v>20</v>
      </c>
    </row>
    <row r="6975" spans="2:3" x14ac:dyDescent="0.3">
      <c r="B6975" s="18" t="s">
        <v>2339</v>
      </c>
      <c r="C6975" s="13">
        <v>21</v>
      </c>
    </row>
    <row r="6976" spans="2:3" x14ac:dyDescent="0.3">
      <c r="B6976" s="18" t="s">
        <v>2337</v>
      </c>
      <c r="C6976" s="13">
        <v>22</v>
      </c>
    </row>
    <row r="6977" spans="2:3" x14ac:dyDescent="0.3">
      <c r="B6977" s="18" t="s">
        <v>2321</v>
      </c>
      <c r="C6977" s="13">
        <v>3</v>
      </c>
    </row>
    <row r="6978" spans="2:3" x14ac:dyDescent="0.3">
      <c r="B6978" s="18" t="s">
        <v>2319</v>
      </c>
      <c r="C6978" s="13">
        <v>4</v>
      </c>
    </row>
    <row r="6979" spans="2:3" x14ac:dyDescent="0.3">
      <c r="B6979" s="18" t="s">
        <v>2317</v>
      </c>
      <c r="C6979" s="13">
        <v>5</v>
      </c>
    </row>
    <row r="6980" spans="2:3" x14ac:dyDescent="0.3">
      <c r="B6980" s="18" t="s">
        <v>2315</v>
      </c>
      <c r="C6980" s="13">
        <v>6</v>
      </c>
    </row>
    <row r="6981" spans="2:3" x14ac:dyDescent="0.3">
      <c r="B6981" s="18" t="s">
        <v>2313</v>
      </c>
      <c r="C6981" s="13">
        <v>7</v>
      </c>
    </row>
    <row r="6982" spans="2:3" x14ac:dyDescent="0.3">
      <c r="B6982" s="18" t="s">
        <v>2311</v>
      </c>
      <c r="C6982" s="13">
        <v>8</v>
      </c>
    </row>
    <row r="6983" spans="2:3" x14ac:dyDescent="0.3">
      <c r="B6983" s="18" t="s">
        <v>2309</v>
      </c>
      <c r="C6983" s="13">
        <v>9</v>
      </c>
    </row>
    <row r="6984" spans="2:3" x14ac:dyDescent="0.3">
      <c r="B6984" s="18" t="s">
        <v>2307</v>
      </c>
      <c r="C6984" s="13">
        <v>44</v>
      </c>
    </row>
    <row r="6985" spans="2:3" x14ac:dyDescent="0.3">
      <c r="B6985" s="18" t="s">
        <v>2305</v>
      </c>
      <c r="C6985" s="13">
        <v>35</v>
      </c>
    </row>
    <row r="6986" spans="2:3" x14ac:dyDescent="0.3">
      <c r="B6986" s="18" t="s">
        <v>2303</v>
      </c>
      <c r="C6986" s="13">
        <v>34</v>
      </c>
    </row>
    <row r="6987" spans="2:3" x14ac:dyDescent="0.3">
      <c r="B6987" s="18" t="s">
        <v>2301</v>
      </c>
      <c r="C6987" s="13">
        <v>33</v>
      </c>
    </row>
    <row r="6988" spans="2:3" x14ac:dyDescent="0.3">
      <c r="B6988" s="18" t="s">
        <v>2299</v>
      </c>
      <c r="C6988" s="13">
        <v>32</v>
      </c>
    </row>
    <row r="6989" spans="2:3" x14ac:dyDescent="0.3">
      <c r="B6989" s="18" t="s">
        <v>2297</v>
      </c>
      <c r="C6989" s="13">
        <v>31</v>
      </c>
    </row>
    <row r="6990" spans="2:3" x14ac:dyDescent="0.3">
      <c r="B6990" s="18" t="s">
        <v>2295</v>
      </c>
      <c r="C6990" s="13">
        <v>30</v>
      </c>
    </row>
    <row r="6991" spans="2:3" x14ac:dyDescent="0.3">
      <c r="B6991" s="18" t="s">
        <v>2293</v>
      </c>
      <c r="C6991" s="13">
        <v>29</v>
      </c>
    </row>
    <row r="6992" spans="2:3" x14ac:dyDescent="0.3">
      <c r="B6992" s="18" t="s">
        <v>2291</v>
      </c>
      <c r="C6992" s="13">
        <v>28</v>
      </c>
    </row>
    <row r="6993" spans="2:3" x14ac:dyDescent="0.3">
      <c r="B6993" s="18" t="s">
        <v>2289</v>
      </c>
      <c r="C6993" s="13">
        <v>27</v>
      </c>
    </row>
    <row r="6994" spans="2:3" x14ac:dyDescent="0.3">
      <c r="B6994" s="18" t="s">
        <v>2287</v>
      </c>
      <c r="C6994" s="13">
        <v>26</v>
      </c>
    </row>
    <row r="6995" spans="2:3" x14ac:dyDescent="0.3">
      <c r="B6995" s="18" t="s">
        <v>2285</v>
      </c>
      <c r="C6995" s="13">
        <v>43</v>
      </c>
    </row>
    <row r="6996" spans="2:3" x14ac:dyDescent="0.3">
      <c r="B6996" s="18" t="s">
        <v>2283</v>
      </c>
      <c r="C6996" s="13">
        <v>25</v>
      </c>
    </row>
    <row r="6997" spans="2:3" x14ac:dyDescent="0.3">
      <c r="B6997" s="18" t="s">
        <v>2281</v>
      </c>
      <c r="C6997" s="13">
        <v>24</v>
      </c>
    </row>
    <row r="6998" spans="2:3" x14ac:dyDescent="0.3">
      <c r="B6998" s="18" t="s">
        <v>2279</v>
      </c>
      <c r="C6998" s="13">
        <v>23</v>
      </c>
    </row>
    <row r="6999" spans="2:3" x14ac:dyDescent="0.3">
      <c r="B6999" s="18" t="s">
        <v>2263</v>
      </c>
      <c r="C6999" s="13">
        <v>42</v>
      </c>
    </row>
    <row r="7000" spans="2:3" x14ac:dyDescent="0.3">
      <c r="B7000" s="18" t="s">
        <v>2261</v>
      </c>
      <c r="C7000" s="13">
        <v>41</v>
      </c>
    </row>
    <row r="7001" spans="2:3" x14ac:dyDescent="0.3">
      <c r="B7001" s="18" t="s">
        <v>2259</v>
      </c>
      <c r="C7001" s="13">
        <v>40</v>
      </c>
    </row>
    <row r="7002" spans="2:3" x14ac:dyDescent="0.3">
      <c r="B7002" s="18" t="s">
        <v>2257</v>
      </c>
      <c r="C7002" s="13">
        <v>39</v>
      </c>
    </row>
    <row r="7003" spans="2:3" x14ac:dyDescent="0.3">
      <c r="B7003" s="18" t="s">
        <v>2255</v>
      </c>
      <c r="C7003" s="13">
        <v>38</v>
      </c>
    </row>
    <row r="7004" spans="2:3" x14ac:dyDescent="0.3">
      <c r="B7004" s="18" t="s">
        <v>2253</v>
      </c>
      <c r="C7004" s="13">
        <v>37</v>
      </c>
    </row>
    <row r="7005" spans="2:3" x14ac:dyDescent="0.3">
      <c r="B7005" s="18" t="s">
        <v>2251</v>
      </c>
      <c r="C7005" s="13">
        <v>36</v>
      </c>
    </row>
    <row r="7006" spans="2:3" x14ac:dyDescent="0.3">
      <c r="B7006" s="18" t="s">
        <v>9190</v>
      </c>
      <c r="C7006" s="13">
        <v>45</v>
      </c>
    </row>
    <row r="7007" spans="2:3" x14ac:dyDescent="0.3">
      <c r="B7007" s="18" t="s">
        <v>2249</v>
      </c>
      <c r="C7007" s="13">
        <v>54</v>
      </c>
    </row>
    <row r="7008" spans="2:3" x14ac:dyDescent="0.3">
      <c r="B7008" s="18" t="s">
        <v>2247</v>
      </c>
      <c r="C7008" s="13">
        <v>55</v>
      </c>
    </row>
    <row r="7009" spans="2:3" x14ac:dyDescent="0.3">
      <c r="B7009" s="18" t="s">
        <v>2245</v>
      </c>
      <c r="C7009" s="13">
        <v>56</v>
      </c>
    </row>
    <row r="7010" spans="2:3" x14ac:dyDescent="0.3">
      <c r="B7010" s="18" t="s">
        <v>2243</v>
      </c>
      <c r="C7010" s="13">
        <v>57</v>
      </c>
    </row>
    <row r="7011" spans="2:3" x14ac:dyDescent="0.3">
      <c r="B7011" s="18" t="s">
        <v>2241</v>
      </c>
      <c r="C7011" s="13">
        <v>58</v>
      </c>
    </row>
    <row r="7012" spans="2:3" x14ac:dyDescent="0.3">
      <c r="B7012" s="18" t="s">
        <v>2239</v>
      </c>
      <c r="C7012" s="13">
        <v>59</v>
      </c>
    </row>
    <row r="7013" spans="2:3" x14ac:dyDescent="0.3">
      <c r="B7013" s="18" t="s">
        <v>2237</v>
      </c>
      <c r="C7013" s="13">
        <v>60</v>
      </c>
    </row>
    <row r="7014" spans="2:3" x14ac:dyDescent="0.3">
      <c r="B7014" s="18" t="s">
        <v>2235</v>
      </c>
      <c r="C7014" s="13">
        <v>61</v>
      </c>
    </row>
    <row r="7015" spans="2:3" x14ac:dyDescent="0.3">
      <c r="B7015" s="18" t="s">
        <v>2233</v>
      </c>
      <c r="C7015" s="13">
        <v>62</v>
      </c>
    </row>
    <row r="7016" spans="2:3" x14ac:dyDescent="0.3">
      <c r="B7016" s="18" t="s">
        <v>2231</v>
      </c>
      <c r="C7016" s="13">
        <v>63</v>
      </c>
    </row>
    <row r="7017" spans="2:3" x14ac:dyDescent="0.3">
      <c r="B7017" s="18" t="s">
        <v>2229</v>
      </c>
      <c r="C7017" s="13">
        <v>46</v>
      </c>
    </row>
    <row r="7018" spans="2:3" x14ac:dyDescent="0.3">
      <c r="B7018" s="18" t="s">
        <v>2227</v>
      </c>
      <c r="C7018" s="13">
        <v>64</v>
      </c>
    </row>
    <row r="7019" spans="2:3" x14ac:dyDescent="0.3">
      <c r="B7019" s="18" t="s">
        <v>2225</v>
      </c>
      <c r="C7019" s="13">
        <v>65</v>
      </c>
    </row>
    <row r="7020" spans="2:3" x14ac:dyDescent="0.3">
      <c r="B7020" s="18" t="s">
        <v>2223</v>
      </c>
      <c r="C7020" s="13">
        <v>66</v>
      </c>
    </row>
    <row r="7021" spans="2:3" x14ac:dyDescent="0.3">
      <c r="B7021" s="18" t="s">
        <v>2207</v>
      </c>
      <c r="C7021" s="13">
        <v>47</v>
      </c>
    </row>
    <row r="7022" spans="2:3" x14ac:dyDescent="0.3">
      <c r="B7022" s="18" t="s">
        <v>2205</v>
      </c>
      <c r="C7022" s="13">
        <v>48</v>
      </c>
    </row>
    <row r="7023" spans="2:3" x14ac:dyDescent="0.3">
      <c r="B7023" s="18" t="s">
        <v>2203</v>
      </c>
      <c r="C7023" s="13">
        <v>49</v>
      </c>
    </row>
    <row r="7024" spans="2:3" x14ac:dyDescent="0.3">
      <c r="B7024" s="18" t="s">
        <v>2201</v>
      </c>
      <c r="C7024" s="13">
        <v>50</v>
      </c>
    </row>
    <row r="7025" spans="2:3" x14ac:dyDescent="0.3">
      <c r="B7025" s="18" t="s">
        <v>2199</v>
      </c>
      <c r="C7025" s="13">
        <v>51</v>
      </c>
    </row>
    <row r="7026" spans="2:3" x14ac:dyDescent="0.3">
      <c r="B7026" s="18" t="s">
        <v>2197</v>
      </c>
      <c r="C7026" s="13">
        <v>52</v>
      </c>
    </row>
    <row r="7027" spans="2:3" x14ac:dyDescent="0.3">
      <c r="B7027" s="18" t="s">
        <v>2195</v>
      </c>
      <c r="C7027" s="13">
        <v>53</v>
      </c>
    </row>
    <row r="7028" spans="2:3" x14ac:dyDescent="0.3">
      <c r="B7028" s="18" t="s">
        <v>9191</v>
      </c>
      <c r="C7028" s="13">
        <v>79</v>
      </c>
    </row>
    <row r="7029" spans="2:3" x14ac:dyDescent="0.3">
      <c r="B7029" s="18" t="s">
        <v>9192</v>
      </c>
      <c r="C7029" s="13">
        <v>78</v>
      </c>
    </row>
    <row r="7030" spans="2:3" x14ac:dyDescent="0.3">
      <c r="B7030" s="18" t="s">
        <v>9193</v>
      </c>
      <c r="C7030" s="13">
        <v>77</v>
      </c>
    </row>
    <row r="7031" spans="2:3" x14ac:dyDescent="0.3">
      <c r="B7031" s="18" t="s">
        <v>9194</v>
      </c>
      <c r="C7031" s="13">
        <v>76</v>
      </c>
    </row>
    <row r="7032" spans="2:3" x14ac:dyDescent="0.3">
      <c r="B7032" s="18" t="s">
        <v>9195</v>
      </c>
      <c r="C7032" s="13">
        <v>75</v>
      </c>
    </row>
    <row r="7033" spans="2:3" x14ac:dyDescent="0.3">
      <c r="B7033" s="18" t="s">
        <v>9196</v>
      </c>
      <c r="C7033" s="13">
        <v>74</v>
      </c>
    </row>
    <row r="7034" spans="2:3" x14ac:dyDescent="0.3">
      <c r="B7034" s="18" t="s">
        <v>9197</v>
      </c>
      <c r="C7034" s="13">
        <v>73</v>
      </c>
    </row>
    <row r="7035" spans="2:3" x14ac:dyDescent="0.3">
      <c r="B7035" s="18" t="s">
        <v>9198</v>
      </c>
      <c r="C7035" s="13">
        <v>72</v>
      </c>
    </row>
    <row r="7036" spans="2:3" x14ac:dyDescent="0.3">
      <c r="B7036" s="18" t="s">
        <v>9199</v>
      </c>
      <c r="C7036" s="13">
        <v>71</v>
      </c>
    </row>
    <row r="7037" spans="2:3" x14ac:dyDescent="0.3">
      <c r="B7037" s="18" t="s">
        <v>9200</v>
      </c>
      <c r="C7037" s="13">
        <v>70</v>
      </c>
    </row>
    <row r="7038" spans="2:3" x14ac:dyDescent="0.3">
      <c r="B7038" s="18" t="s">
        <v>9201</v>
      </c>
      <c r="C7038" s="13">
        <v>69</v>
      </c>
    </row>
    <row r="7039" spans="2:3" x14ac:dyDescent="0.3">
      <c r="B7039" s="18" t="s">
        <v>9202</v>
      </c>
      <c r="C7039" s="13">
        <v>68</v>
      </c>
    </row>
    <row r="7040" spans="2:3" x14ac:dyDescent="0.3">
      <c r="B7040" s="18" t="s">
        <v>9203</v>
      </c>
      <c r="C7040" s="13">
        <v>67</v>
      </c>
    </row>
    <row r="7041" spans="2:3" x14ac:dyDescent="0.3">
      <c r="B7041" s="18" t="s">
        <v>9204</v>
      </c>
      <c r="C7041" s="13">
        <v>86</v>
      </c>
    </row>
    <row r="7042" spans="2:3" x14ac:dyDescent="0.3">
      <c r="B7042" s="18" t="s">
        <v>9205</v>
      </c>
      <c r="C7042" s="13">
        <v>85</v>
      </c>
    </row>
    <row r="7043" spans="2:3" x14ac:dyDescent="0.3">
      <c r="B7043" s="18" t="s">
        <v>9206</v>
      </c>
      <c r="C7043" s="13">
        <v>84</v>
      </c>
    </row>
    <row r="7044" spans="2:3" x14ac:dyDescent="0.3">
      <c r="B7044" s="18" t="s">
        <v>9207</v>
      </c>
      <c r="C7044" s="13">
        <v>83</v>
      </c>
    </row>
    <row r="7045" spans="2:3" x14ac:dyDescent="0.3">
      <c r="B7045" s="18" t="s">
        <v>9208</v>
      </c>
      <c r="C7045" s="13">
        <v>82</v>
      </c>
    </row>
    <row r="7046" spans="2:3" x14ac:dyDescent="0.3">
      <c r="B7046" s="18" t="s">
        <v>9209</v>
      </c>
      <c r="C7046" s="13">
        <v>81</v>
      </c>
    </row>
    <row r="7047" spans="2:3" x14ac:dyDescent="0.3">
      <c r="B7047" s="18" t="s">
        <v>9210</v>
      </c>
      <c r="C7047" s="13">
        <v>80</v>
      </c>
    </row>
    <row r="7048" spans="2:3" x14ac:dyDescent="0.3">
      <c r="B7048" s="18" t="s">
        <v>2193</v>
      </c>
      <c r="C7048" s="13">
        <v>1</v>
      </c>
    </row>
    <row r="7049" spans="2:3" x14ac:dyDescent="0.3">
      <c r="B7049" s="18" t="s">
        <v>2191</v>
      </c>
      <c r="C7049" s="13">
        <v>10</v>
      </c>
    </row>
    <row r="7050" spans="2:3" x14ac:dyDescent="0.3">
      <c r="B7050" s="18" t="s">
        <v>2189</v>
      </c>
      <c r="C7050" s="13">
        <v>11</v>
      </c>
    </row>
    <row r="7051" spans="2:3" x14ac:dyDescent="0.3">
      <c r="B7051" s="18" t="s">
        <v>2187</v>
      </c>
      <c r="C7051" s="13">
        <v>12</v>
      </c>
    </row>
    <row r="7052" spans="2:3" x14ac:dyDescent="0.3">
      <c r="B7052" s="18" t="s">
        <v>2185</v>
      </c>
      <c r="C7052" s="13">
        <v>13</v>
      </c>
    </row>
    <row r="7053" spans="2:3" x14ac:dyDescent="0.3">
      <c r="B7053" s="18" t="s">
        <v>2183</v>
      </c>
      <c r="C7053" s="13">
        <v>14</v>
      </c>
    </row>
    <row r="7054" spans="2:3" x14ac:dyDescent="0.3">
      <c r="B7054" s="18" t="s">
        <v>2181</v>
      </c>
      <c r="C7054" s="13">
        <v>15</v>
      </c>
    </row>
    <row r="7055" spans="2:3" x14ac:dyDescent="0.3">
      <c r="B7055" s="18" t="s">
        <v>2179</v>
      </c>
      <c r="C7055" s="13">
        <v>16</v>
      </c>
    </row>
    <row r="7056" spans="2:3" x14ac:dyDescent="0.3">
      <c r="B7056" s="18" t="s">
        <v>2177</v>
      </c>
      <c r="C7056" s="13">
        <v>17</v>
      </c>
    </row>
    <row r="7057" spans="2:3" x14ac:dyDescent="0.3">
      <c r="B7057" s="18" t="s">
        <v>2175</v>
      </c>
      <c r="C7057" s="13">
        <v>18</v>
      </c>
    </row>
    <row r="7058" spans="2:3" x14ac:dyDescent="0.3">
      <c r="B7058" s="18" t="s">
        <v>2173</v>
      </c>
      <c r="C7058" s="13">
        <v>19</v>
      </c>
    </row>
    <row r="7059" spans="2:3" x14ac:dyDescent="0.3">
      <c r="B7059" s="18" t="s">
        <v>2171</v>
      </c>
      <c r="C7059" s="13">
        <v>2</v>
      </c>
    </row>
    <row r="7060" spans="2:3" x14ac:dyDescent="0.3">
      <c r="B7060" s="18" t="s">
        <v>2169</v>
      </c>
      <c r="C7060" s="13">
        <v>20</v>
      </c>
    </row>
    <row r="7061" spans="2:3" x14ac:dyDescent="0.3">
      <c r="B7061" s="18" t="s">
        <v>2167</v>
      </c>
      <c r="C7061" s="13">
        <v>21</v>
      </c>
    </row>
    <row r="7062" spans="2:3" x14ac:dyDescent="0.3">
      <c r="B7062" s="18" t="s">
        <v>2165</v>
      </c>
      <c r="C7062" s="13">
        <v>22</v>
      </c>
    </row>
    <row r="7063" spans="2:3" x14ac:dyDescent="0.3">
      <c r="B7063" s="18" t="s">
        <v>2149</v>
      </c>
      <c r="C7063" s="13">
        <v>3</v>
      </c>
    </row>
    <row r="7064" spans="2:3" x14ac:dyDescent="0.3">
      <c r="B7064" s="18" t="s">
        <v>2147</v>
      </c>
      <c r="C7064" s="13">
        <v>4</v>
      </c>
    </row>
    <row r="7065" spans="2:3" x14ac:dyDescent="0.3">
      <c r="B7065" s="18" t="s">
        <v>2145</v>
      </c>
      <c r="C7065" s="13">
        <v>5</v>
      </c>
    </row>
    <row r="7066" spans="2:3" x14ac:dyDescent="0.3">
      <c r="B7066" s="18" t="s">
        <v>2143</v>
      </c>
      <c r="C7066" s="13">
        <v>6</v>
      </c>
    </row>
    <row r="7067" spans="2:3" x14ac:dyDescent="0.3">
      <c r="B7067" s="18" t="s">
        <v>2141</v>
      </c>
      <c r="C7067" s="13">
        <v>7</v>
      </c>
    </row>
    <row r="7068" spans="2:3" x14ac:dyDescent="0.3">
      <c r="B7068" s="18" t="s">
        <v>2139</v>
      </c>
      <c r="C7068" s="13">
        <v>8</v>
      </c>
    </row>
    <row r="7069" spans="2:3" x14ac:dyDescent="0.3">
      <c r="B7069" s="18" t="s">
        <v>2137</v>
      </c>
      <c r="C7069" s="13">
        <v>9</v>
      </c>
    </row>
    <row r="7070" spans="2:3" x14ac:dyDescent="0.3">
      <c r="B7070" s="18" t="s">
        <v>2135</v>
      </c>
      <c r="C7070" s="13">
        <v>44</v>
      </c>
    </row>
    <row r="7071" spans="2:3" x14ac:dyDescent="0.3">
      <c r="B7071" s="18" t="s">
        <v>2133</v>
      </c>
      <c r="C7071" s="13">
        <v>35</v>
      </c>
    </row>
    <row r="7072" spans="2:3" x14ac:dyDescent="0.3">
      <c r="B7072" s="18" t="s">
        <v>2131</v>
      </c>
      <c r="C7072" s="13">
        <v>34</v>
      </c>
    </row>
    <row r="7073" spans="2:3" x14ac:dyDescent="0.3">
      <c r="B7073" s="18" t="s">
        <v>2129</v>
      </c>
      <c r="C7073" s="13">
        <v>33</v>
      </c>
    </row>
    <row r="7074" spans="2:3" x14ac:dyDescent="0.3">
      <c r="B7074" s="18" t="s">
        <v>2127</v>
      </c>
      <c r="C7074" s="13">
        <v>32</v>
      </c>
    </row>
    <row r="7075" spans="2:3" x14ac:dyDescent="0.3">
      <c r="B7075" s="18" t="s">
        <v>2125</v>
      </c>
      <c r="C7075" s="13">
        <v>31</v>
      </c>
    </row>
    <row r="7076" spans="2:3" x14ac:dyDescent="0.3">
      <c r="B7076" s="18" t="s">
        <v>2123</v>
      </c>
      <c r="C7076" s="13">
        <v>30</v>
      </c>
    </row>
    <row r="7077" spans="2:3" x14ac:dyDescent="0.3">
      <c r="B7077" s="18" t="s">
        <v>2121</v>
      </c>
      <c r="C7077" s="13">
        <v>29</v>
      </c>
    </row>
    <row r="7078" spans="2:3" x14ac:dyDescent="0.3">
      <c r="B7078" s="18" t="s">
        <v>2119</v>
      </c>
      <c r="C7078" s="13">
        <v>28</v>
      </c>
    </row>
    <row r="7079" spans="2:3" x14ac:dyDescent="0.3">
      <c r="B7079" s="18" t="s">
        <v>2117</v>
      </c>
      <c r="C7079" s="13">
        <v>27</v>
      </c>
    </row>
    <row r="7080" spans="2:3" x14ac:dyDescent="0.3">
      <c r="B7080" s="18" t="s">
        <v>2115</v>
      </c>
      <c r="C7080" s="13">
        <v>26</v>
      </c>
    </row>
    <row r="7081" spans="2:3" x14ac:dyDescent="0.3">
      <c r="B7081" s="18" t="s">
        <v>2113</v>
      </c>
      <c r="C7081" s="13">
        <v>43</v>
      </c>
    </row>
    <row r="7082" spans="2:3" x14ac:dyDescent="0.3">
      <c r="B7082" s="18" t="s">
        <v>2111</v>
      </c>
      <c r="C7082" s="13">
        <v>25</v>
      </c>
    </row>
    <row r="7083" spans="2:3" x14ac:dyDescent="0.3">
      <c r="B7083" s="18" t="s">
        <v>2109</v>
      </c>
      <c r="C7083" s="13">
        <v>24</v>
      </c>
    </row>
    <row r="7084" spans="2:3" x14ac:dyDescent="0.3">
      <c r="B7084" s="18" t="s">
        <v>2107</v>
      </c>
      <c r="C7084" s="13">
        <v>23</v>
      </c>
    </row>
    <row r="7085" spans="2:3" x14ac:dyDescent="0.3">
      <c r="B7085" s="18" t="s">
        <v>2091</v>
      </c>
      <c r="C7085" s="13">
        <v>42</v>
      </c>
    </row>
    <row r="7086" spans="2:3" x14ac:dyDescent="0.3">
      <c r="B7086" s="18" t="s">
        <v>2089</v>
      </c>
      <c r="C7086" s="13">
        <v>41</v>
      </c>
    </row>
    <row r="7087" spans="2:3" x14ac:dyDescent="0.3">
      <c r="B7087" s="18" t="s">
        <v>2087</v>
      </c>
      <c r="C7087" s="13">
        <v>40</v>
      </c>
    </row>
    <row r="7088" spans="2:3" x14ac:dyDescent="0.3">
      <c r="B7088" s="18" t="s">
        <v>2085</v>
      </c>
      <c r="C7088" s="13">
        <v>39</v>
      </c>
    </row>
    <row r="7089" spans="2:3" x14ac:dyDescent="0.3">
      <c r="B7089" s="18" t="s">
        <v>2083</v>
      </c>
      <c r="C7089" s="13">
        <v>38</v>
      </c>
    </row>
    <row r="7090" spans="2:3" x14ac:dyDescent="0.3">
      <c r="B7090" s="18" t="s">
        <v>2081</v>
      </c>
      <c r="C7090" s="13">
        <v>37</v>
      </c>
    </row>
    <row r="7091" spans="2:3" x14ac:dyDescent="0.3">
      <c r="B7091" s="18" t="s">
        <v>2079</v>
      </c>
      <c r="C7091" s="13">
        <v>36</v>
      </c>
    </row>
    <row r="7092" spans="2:3" x14ac:dyDescent="0.3">
      <c r="B7092" s="18" t="s">
        <v>2077</v>
      </c>
      <c r="C7092" s="13">
        <v>45</v>
      </c>
    </row>
    <row r="7093" spans="2:3" x14ac:dyDescent="0.3">
      <c r="B7093" s="18" t="s">
        <v>2075</v>
      </c>
      <c r="C7093" s="13">
        <v>54</v>
      </c>
    </row>
    <row r="7094" spans="2:3" x14ac:dyDescent="0.3">
      <c r="B7094" s="18" t="s">
        <v>2073</v>
      </c>
      <c r="C7094" s="13">
        <v>55</v>
      </c>
    </row>
    <row r="7095" spans="2:3" x14ac:dyDescent="0.3">
      <c r="B7095" s="18" t="s">
        <v>2071</v>
      </c>
      <c r="C7095" s="13">
        <v>56</v>
      </c>
    </row>
    <row r="7096" spans="2:3" x14ac:dyDescent="0.3">
      <c r="B7096" s="18" t="s">
        <v>2069</v>
      </c>
      <c r="C7096" s="13">
        <v>57</v>
      </c>
    </row>
    <row r="7097" spans="2:3" x14ac:dyDescent="0.3">
      <c r="B7097" s="18" t="s">
        <v>2067</v>
      </c>
      <c r="C7097" s="13">
        <v>58</v>
      </c>
    </row>
    <row r="7098" spans="2:3" x14ac:dyDescent="0.3">
      <c r="B7098" s="18" t="s">
        <v>2065</v>
      </c>
      <c r="C7098" s="13">
        <v>59</v>
      </c>
    </row>
    <row r="7099" spans="2:3" x14ac:dyDescent="0.3">
      <c r="B7099" s="18" t="s">
        <v>2063</v>
      </c>
      <c r="C7099" s="13">
        <v>60</v>
      </c>
    </row>
    <row r="7100" spans="2:3" x14ac:dyDescent="0.3">
      <c r="B7100" s="18" t="s">
        <v>2061</v>
      </c>
      <c r="C7100" s="13">
        <v>61</v>
      </c>
    </row>
    <row r="7101" spans="2:3" x14ac:dyDescent="0.3">
      <c r="B7101" s="18" t="s">
        <v>2059</v>
      </c>
      <c r="C7101" s="13">
        <v>62</v>
      </c>
    </row>
    <row r="7102" spans="2:3" x14ac:dyDescent="0.3">
      <c r="B7102" s="18" t="s">
        <v>2057</v>
      </c>
      <c r="C7102" s="13">
        <v>63</v>
      </c>
    </row>
    <row r="7103" spans="2:3" x14ac:dyDescent="0.3">
      <c r="B7103" s="18" t="s">
        <v>2055</v>
      </c>
      <c r="C7103" s="13">
        <v>46</v>
      </c>
    </row>
    <row r="7104" spans="2:3" x14ac:dyDescent="0.3">
      <c r="B7104" s="18" t="s">
        <v>2053</v>
      </c>
      <c r="C7104" s="13">
        <v>64</v>
      </c>
    </row>
    <row r="7105" spans="2:3" x14ac:dyDescent="0.3">
      <c r="B7105" s="18" t="s">
        <v>2051</v>
      </c>
      <c r="C7105" s="13">
        <v>65</v>
      </c>
    </row>
    <row r="7106" spans="2:3" x14ac:dyDescent="0.3">
      <c r="B7106" s="18" t="s">
        <v>2049</v>
      </c>
      <c r="C7106" s="13">
        <v>66</v>
      </c>
    </row>
    <row r="7107" spans="2:3" x14ac:dyDescent="0.3">
      <c r="B7107" s="18" t="s">
        <v>2033</v>
      </c>
      <c r="C7107" s="13">
        <v>47</v>
      </c>
    </row>
    <row r="7108" spans="2:3" x14ac:dyDescent="0.3">
      <c r="B7108" s="18" t="s">
        <v>2031</v>
      </c>
      <c r="C7108" s="13">
        <v>48</v>
      </c>
    </row>
    <row r="7109" spans="2:3" x14ac:dyDescent="0.3">
      <c r="B7109" s="18" t="s">
        <v>2029</v>
      </c>
      <c r="C7109" s="13">
        <v>49</v>
      </c>
    </row>
    <row r="7110" spans="2:3" x14ac:dyDescent="0.3">
      <c r="B7110" s="18" t="s">
        <v>2027</v>
      </c>
      <c r="C7110" s="13">
        <v>50</v>
      </c>
    </row>
    <row r="7111" spans="2:3" x14ac:dyDescent="0.3">
      <c r="B7111" s="18" t="s">
        <v>2025</v>
      </c>
      <c r="C7111" s="13">
        <v>51</v>
      </c>
    </row>
    <row r="7112" spans="2:3" x14ac:dyDescent="0.3">
      <c r="B7112" s="18" t="s">
        <v>2023</v>
      </c>
      <c r="C7112" s="13">
        <v>52</v>
      </c>
    </row>
    <row r="7113" spans="2:3" x14ac:dyDescent="0.3">
      <c r="B7113" s="18" t="s">
        <v>2021</v>
      </c>
      <c r="C7113" s="13">
        <v>53</v>
      </c>
    </row>
    <row r="7114" spans="2:3" x14ac:dyDescent="0.3">
      <c r="B7114" s="18" t="s">
        <v>9211</v>
      </c>
      <c r="C7114" s="13">
        <v>79</v>
      </c>
    </row>
    <row r="7115" spans="2:3" x14ac:dyDescent="0.3">
      <c r="B7115" s="18" t="s">
        <v>9212</v>
      </c>
      <c r="C7115" s="13">
        <v>78</v>
      </c>
    </row>
    <row r="7116" spans="2:3" x14ac:dyDescent="0.3">
      <c r="B7116" s="18" t="s">
        <v>9213</v>
      </c>
      <c r="C7116" s="13">
        <v>77</v>
      </c>
    </row>
    <row r="7117" spans="2:3" x14ac:dyDescent="0.3">
      <c r="B7117" s="18" t="s">
        <v>9214</v>
      </c>
      <c r="C7117" s="13">
        <v>76</v>
      </c>
    </row>
    <row r="7118" spans="2:3" x14ac:dyDescent="0.3">
      <c r="B7118" s="18" t="s">
        <v>9215</v>
      </c>
      <c r="C7118" s="13">
        <v>75</v>
      </c>
    </row>
    <row r="7119" spans="2:3" x14ac:dyDescent="0.3">
      <c r="B7119" s="18" t="s">
        <v>9216</v>
      </c>
      <c r="C7119" s="13">
        <v>74</v>
      </c>
    </row>
    <row r="7120" spans="2:3" x14ac:dyDescent="0.3">
      <c r="B7120" s="18" t="s">
        <v>9217</v>
      </c>
      <c r="C7120" s="13">
        <v>73</v>
      </c>
    </row>
    <row r="7121" spans="2:3" x14ac:dyDescent="0.3">
      <c r="B7121" s="18" t="s">
        <v>9218</v>
      </c>
      <c r="C7121" s="13">
        <v>72</v>
      </c>
    </row>
    <row r="7122" spans="2:3" x14ac:dyDescent="0.3">
      <c r="B7122" s="18" t="s">
        <v>9219</v>
      </c>
      <c r="C7122" s="13">
        <v>71</v>
      </c>
    </row>
    <row r="7123" spans="2:3" x14ac:dyDescent="0.3">
      <c r="B7123" s="18" t="s">
        <v>9220</v>
      </c>
      <c r="C7123" s="13">
        <v>70</v>
      </c>
    </row>
    <row r="7124" spans="2:3" x14ac:dyDescent="0.3">
      <c r="B7124" s="18" t="s">
        <v>9221</v>
      </c>
      <c r="C7124" s="13">
        <v>87</v>
      </c>
    </row>
    <row r="7125" spans="2:3" x14ac:dyDescent="0.3">
      <c r="B7125" s="18" t="s">
        <v>9222</v>
      </c>
      <c r="C7125" s="13">
        <v>69</v>
      </c>
    </row>
    <row r="7126" spans="2:3" x14ac:dyDescent="0.3">
      <c r="B7126" s="18" t="s">
        <v>9223</v>
      </c>
      <c r="C7126" s="13">
        <v>68</v>
      </c>
    </row>
    <row r="7127" spans="2:3" x14ac:dyDescent="0.3">
      <c r="B7127" s="18" t="s">
        <v>9224</v>
      </c>
      <c r="C7127" s="13">
        <v>67</v>
      </c>
    </row>
    <row r="7128" spans="2:3" x14ac:dyDescent="0.3">
      <c r="B7128" s="18" t="s">
        <v>9225</v>
      </c>
      <c r="C7128" s="13">
        <v>86</v>
      </c>
    </row>
    <row r="7129" spans="2:3" x14ac:dyDescent="0.3">
      <c r="B7129" s="18" t="s">
        <v>9226</v>
      </c>
      <c r="C7129" s="13">
        <v>85</v>
      </c>
    </row>
    <row r="7130" spans="2:3" x14ac:dyDescent="0.3">
      <c r="B7130" s="18" t="s">
        <v>9227</v>
      </c>
      <c r="C7130" s="13">
        <v>84</v>
      </c>
    </row>
    <row r="7131" spans="2:3" x14ac:dyDescent="0.3">
      <c r="B7131" s="18" t="s">
        <v>9228</v>
      </c>
      <c r="C7131" s="13">
        <v>83</v>
      </c>
    </row>
    <row r="7132" spans="2:3" x14ac:dyDescent="0.3">
      <c r="B7132" s="18" t="s">
        <v>9229</v>
      </c>
      <c r="C7132" s="13">
        <v>82</v>
      </c>
    </row>
    <row r="7133" spans="2:3" x14ac:dyDescent="0.3">
      <c r="B7133" s="18" t="s">
        <v>9230</v>
      </c>
      <c r="C7133" s="13">
        <v>81</v>
      </c>
    </row>
    <row r="7134" spans="2:3" x14ac:dyDescent="0.3">
      <c r="B7134" s="18" t="s">
        <v>9231</v>
      </c>
      <c r="C7134" s="13">
        <v>80</v>
      </c>
    </row>
    <row r="7135" spans="2:3" x14ac:dyDescent="0.3">
      <c r="B7135" s="18" t="s">
        <v>2019</v>
      </c>
      <c r="C7135" s="13">
        <v>1</v>
      </c>
    </row>
    <row r="7136" spans="2:3" x14ac:dyDescent="0.3">
      <c r="B7136" s="18" t="s">
        <v>2017</v>
      </c>
      <c r="C7136" s="13">
        <v>10</v>
      </c>
    </row>
    <row r="7137" spans="2:3" x14ac:dyDescent="0.3">
      <c r="B7137" s="18" t="s">
        <v>2015</v>
      </c>
      <c r="C7137" s="13">
        <v>11</v>
      </c>
    </row>
    <row r="7138" spans="2:3" x14ac:dyDescent="0.3">
      <c r="B7138" s="18" t="s">
        <v>2013</v>
      </c>
      <c r="C7138" s="13">
        <v>12</v>
      </c>
    </row>
    <row r="7139" spans="2:3" x14ac:dyDescent="0.3">
      <c r="B7139" s="18" t="s">
        <v>2011</v>
      </c>
      <c r="C7139" s="13">
        <v>13</v>
      </c>
    </row>
    <row r="7140" spans="2:3" x14ac:dyDescent="0.3">
      <c r="B7140" s="18" t="s">
        <v>2009</v>
      </c>
      <c r="C7140" s="13">
        <v>14</v>
      </c>
    </row>
    <row r="7141" spans="2:3" x14ac:dyDescent="0.3">
      <c r="B7141" s="18" t="s">
        <v>2007</v>
      </c>
      <c r="C7141" s="13">
        <v>15</v>
      </c>
    </row>
    <row r="7142" spans="2:3" x14ac:dyDescent="0.3">
      <c r="B7142" s="18" t="s">
        <v>2005</v>
      </c>
      <c r="C7142" s="13">
        <v>16</v>
      </c>
    </row>
    <row r="7143" spans="2:3" x14ac:dyDescent="0.3">
      <c r="B7143" s="18" t="s">
        <v>2003</v>
      </c>
      <c r="C7143" s="13">
        <v>17</v>
      </c>
    </row>
    <row r="7144" spans="2:3" x14ac:dyDescent="0.3">
      <c r="B7144" s="18" t="s">
        <v>2001</v>
      </c>
      <c r="C7144" s="13">
        <v>18</v>
      </c>
    </row>
    <row r="7145" spans="2:3" x14ac:dyDescent="0.3">
      <c r="B7145" s="18" t="s">
        <v>1999</v>
      </c>
      <c r="C7145" s="13">
        <v>19</v>
      </c>
    </row>
    <row r="7146" spans="2:3" x14ac:dyDescent="0.3">
      <c r="B7146" s="18" t="s">
        <v>1997</v>
      </c>
      <c r="C7146" s="13">
        <v>2</v>
      </c>
    </row>
    <row r="7147" spans="2:3" x14ac:dyDescent="0.3">
      <c r="B7147" s="18" t="s">
        <v>1995</v>
      </c>
      <c r="C7147" s="13">
        <v>20</v>
      </c>
    </row>
    <row r="7148" spans="2:3" x14ac:dyDescent="0.3">
      <c r="B7148" s="18" t="s">
        <v>1993</v>
      </c>
      <c r="C7148" s="13">
        <v>21</v>
      </c>
    </row>
    <row r="7149" spans="2:3" x14ac:dyDescent="0.3">
      <c r="B7149" s="18" t="s">
        <v>1991</v>
      </c>
      <c r="C7149" s="13">
        <v>22</v>
      </c>
    </row>
    <row r="7150" spans="2:3" x14ac:dyDescent="0.3">
      <c r="B7150" s="18" t="s">
        <v>1975</v>
      </c>
      <c r="C7150" s="13">
        <v>3</v>
      </c>
    </row>
    <row r="7151" spans="2:3" x14ac:dyDescent="0.3">
      <c r="B7151" s="18" t="s">
        <v>1971</v>
      </c>
      <c r="C7151" s="13">
        <v>4</v>
      </c>
    </row>
    <row r="7152" spans="2:3" x14ac:dyDescent="0.3">
      <c r="B7152" s="18" t="s">
        <v>1969</v>
      </c>
      <c r="C7152" s="13">
        <v>5</v>
      </c>
    </row>
    <row r="7153" spans="2:3" x14ac:dyDescent="0.3">
      <c r="B7153" s="18" t="s">
        <v>1967</v>
      </c>
      <c r="C7153" s="13">
        <v>6</v>
      </c>
    </row>
    <row r="7154" spans="2:3" x14ac:dyDescent="0.3">
      <c r="B7154" s="18" t="s">
        <v>1965</v>
      </c>
      <c r="C7154" s="13">
        <v>7</v>
      </c>
    </row>
    <row r="7155" spans="2:3" x14ac:dyDescent="0.3">
      <c r="B7155" s="18" t="s">
        <v>1963</v>
      </c>
      <c r="C7155" s="13">
        <v>8</v>
      </c>
    </row>
    <row r="7156" spans="2:3" x14ac:dyDescent="0.3">
      <c r="B7156" s="18" t="s">
        <v>1961</v>
      </c>
      <c r="C7156" s="13">
        <v>9</v>
      </c>
    </row>
    <row r="7157" spans="2:3" x14ac:dyDescent="0.3">
      <c r="B7157" s="18" t="s">
        <v>1959</v>
      </c>
      <c r="C7157" s="13">
        <v>44</v>
      </c>
    </row>
    <row r="7158" spans="2:3" x14ac:dyDescent="0.3">
      <c r="B7158" s="18" t="s">
        <v>1957</v>
      </c>
      <c r="C7158" s="13">
        <v>35</v>
      </c>
    </row>
    <row r="7159" spans="2:3" x14ac:dyDescent="0.3">
      <c r="B7159" s="18" t="s">
        <v>1955</v>
      </c>
      <c r="C7159" s="13">
        <v>34</v>
      </c>
    </row>
    <row r="7160" spans="2:3" x14ac:dyDescent="0.3">
      <c r="B7160" s="18" t="s">
        <v>1953</v>
      </c>
      <c r="C7160" s="13">
        <v>33</v>
      </c>
    </row>
    <row r="7161" spans="2:3" x14ac:dyDescent="0.3">
      <c r="B7161" s="18" t="s">
        <v>1951</v>
      </c>
      <c r="C7161" s="13">
        <v>32</v>
      </c>
    </row>
    <row r="7162" spans="2:3" x14ac:dyDescent="0.3">
      <c r="B7162" s="18" t="s">
        <v>1949</v>
      </c>
      <c r="C7162" s="13">
        <v>31</v>
      </c>
    </row>
    <row r="7163" spans="2:3" x14ac:dyDescent="0.3">
      <c r="B7163" s="18" t="s">
        <v>1947</v>
      </c>
      <c r="C7163" s="13">
        <v>30</v>
      </c>
    </row>
    <row r="7164" spans="2:3" x14ac:dyDescent="0.3">
      <c r="B7164" s="18" t="s">
        <v>1945</v>
      </c>
      <c r="C7164" s="13">
        <v>29</v>
      </c>
    </row>
    <row r="7165" spans="2:3" x14ac:dyDescent="0.3">
      <c r="B7165" s="18" t="s">
        <v>1943</v>
      </c>
      <c r="C7165" s="13">
        <v>28</v>
      </c>
    </row>
    <row r="7166" spans="2:3" x14ac:dyDescent="0.3">
      <c r="B7166" s="18" t="s">
        <v>1941</v>
      </c>
      <c r="C7166" s="13">
        <v>27</v>
      </c>
    </row>
    <row r="7167" spans="2:3" x14ac:dyDescent="0.3">
      <c r="B7167" s="18" t="s">
        <v>1939</v>
      </c>
      <c r="C7167" s="13">
        <v>26</v>
      </c>
    </row>
    <row r="7168" spans="2:3" x14ac:dyDescent="0.3">
      <c r="B7168" s="18" t="s">
        <v>1937</v>
      </c>
      <c r="C7168" s="13">
        <v>43</v>
      </c>
    </row>
    <row r="7169" spans="2:3" x14ac:dyDescent="0.3">
      <c r="B7169" s="18" t="s">
        <v>1935</v>
      </c>
      <c r="C7169" s="13">
        <v>25</v>
      </c>
    </row>
    <row r="7170" spans="2:3" x14ac:dyDescent="0.3">
      <c r="B7170" s="18" t="s">
        <v>1933</v>
      </c>
      <c r="C7170" s="13">
        <v>24</v>
      </c>
    </row>
    <row r="7171" spans="2:3" x14ac:dyDescent="0.3">
      <c r="B7171" s="18" t="s">
        <v>1931</v>
      </c>
      <c r="C7171" s="13">
        <v>23</v>
      </c>
    </row>
    <row r="7172" spans="2:3" x14ac:dyDescent="0.3">
      <c r="B7172" s="18" t="s">
        <v>1915</v>
      </c>
      <c r="C7172" s="13">
        <v>42</v>
      </c>
    </row>
    <row r="7173" spans="2:3" x14ac:dyDescent="0.3">
      <c r="B7173" s="18" t="s">
        <v>1911</v>
      </c>
      <c r="C7173" s="13">
        <v>41</v>
      </c>
    </row>
    <row r="7174" spans="2:3" x14ac:dyDescent="0.3">
      <c r="B7174" s="18" t="s">
        <v>1909</v>
      </c>
      <c r="C7174" s="13">
        <v>40</v>
      </c>
    </row>
    <row r="7175" spans="2:3" x14ac:dyDescent="0.3">
      <c r="B7175" s="18" t="s">
        <v>1907</v>
      </c>
      <c r="C7175" s="13">
        <v>39</v>
      </c>
    </row>
    <row r="7176" spans="2:3" x14ac:dyDescent="0.3">
      <c r="B7176" s="18" t="s">
        <v>1905</v>
      </c>
      <c r="C7176" s="13">
        <v>38</v>
      </c>
    </row>
    <row r="7177" spans="2:3" x14ac:dyDescent="0.3">
      <c r="B7177" s="18" t="s">
        <v>1903</v>
      </c>
      <c r="C7177" s="13">
        <v>37</v>
      </c>
    </row>
    <row r="7178" spans="2:3" x14ac:dyDescent="0.3">
      <c r="B7178" s="18" t="s">
        <v>1901</v>
      </c>
      <c r="C7178" s="13">
        <v>36</v>
      </c>
    </row>
    <row r="7179" spans="2:3" x14ac:dyDescent="0.3">
      <c r="B7179" s="18" t="s">
        <v>9232</v>
      </c>
      <c r="C7179" s="13">
        <v>45</v>
      </c>
    </row>
    <row r="7180" spans="2:3" x14ac:dyDescent="0.3">
      <c r="B7180" s="18" t="s">
        <v>1899</v>
      </c>
      <c r="C7180" s="13">
        <v>54</v>
      </c>
    </row>
    <row r="7181" spans="2:3" x14ac:dyDescent="0.3">
      <c r="B7181" s="18" t="s">
        <v>1897</v>
      </c>
      <c r="C7181" s="13">
        <v>55</v>
      </c>
    </row>
    <row r="7182" spans="2:3" x14ac:dyDescent="0.3">
      <c r="B7182" s="18" t="s">
        <v>1895</v>
      </c>
      <c r="C7182" s="13">
        <v>56</v>
      </c>
    </row>
    <row r="7183" spans="2:3" x14ac:dyDescent="0.3">
      <c r="B7183" s="18" t="s">
        <v>1893</v>
      </c>
      <c r="C7183" s="13">
        <v>57</v>
      </c>
    </row>
    <row r="7184" spans="2:3" x14ac:dyDescent="0.3">
      <c r="B7184" s="18" t="s">
        <v>1891</v>
      </c>
      <c r="C7184" s="13">
        <v>58</v>
      </c>
    </row>
    <row r="7185" spans="2:3" x14ac:dyDescent="0.3">
      <c r="B7185" s="18" t="s">
        <v>1889</v>
      </c>
      <c r="C7185" s="13">
        <v>59</v>
      </c>
    </row>
    <row r="7186" spans="2:3" x14ac:dyDescent="0.3">
      <c r="B7186" s="18" t="s">
        <v>1887</v>
      </c>
      <c r="C7186" s="13">
        <v>60</v>
      </c>
    </row>
    <row r="7187" spans="2:3" x14ac:dyDescent="0.3">
      <c r="B7187" s="18" t="s">
        <v>1885</v>
      </c>
      <c r="C7187" s="13">
        <v>61</v>
      </c>
    </row>
    <row r="7188" spans="2:3" x14ac:dyDescent="0.3">
      <c r="B7188" s="18" t="s">
        <v>1883</v>
      </c>
      <c r="C7188" s="13">
        <v>62</v>
      </c>
    </row>
    <row r="7189" spans="2:3" x14ac:dyDescent="0.3">
      <c r="B7189" s="18" t="s">
        <v>1881</v>
      </c>
      <c r="C7189" s="13">
        <v>63</v>
      </c>
    </row>
    <row r="7190" spans="2:3" x14ac:dyDescent="0.3">
      <c r="B7190" s="18" t="s">
        <v>9233</v>
      </c>
      <c r="C7190" s="13">
        <v>46</v>
      </c>
    </row>
    <row r="7191" spans="2:3" x14ac:dyDescent="0.3">
      <c r="B7191" s="18" t="s">
        <v>1879</v>
      </c>
      <c r="C7191" s="13">
        <v>64</v>
      </c>
    </row>
    <row r="7192" spans="2:3" x14ac:dyDescent="0.3">
      <c r="B7192" s="18" t="s">
        <v>1877</v>
      </c>
      <c r="C7192" s="13">
        <v>65</v>
      </c>
    </row>
    <row r="7193" spans="2:3" x14ac:dyDescent="0.3">
      <c r="B7193" s="18" t="s">
        <v>1875</v>
      </c>
      <c r="C7193" s="13">
        <v>66</v>
      </c>
    </row>
    <row r="7194" spans="2:3" x14ac:dyDescent="0.3">
      <c r="B7194" s="18" t="s">
        <v>1859</v>
      </c>
      <c r="C7194" s="13">
        <v>47</v>
      </c>
    </row>
    <row r="7195" spans="2:3" x14ac:dyDescent="0.3">
      <c r="B7195" s="18" t="s">
        <v>1855</v>
      </c>
      <c r="C7195" s="13">
        <v>48</v>
      </c>
    </row>
    <row r="7196" spans="2:3" x14ac:dyDescent="0.3">
      <c r="B7196" s="18" t="s">
        <v>1853</v>
      </c>
      <c r="C7196" s="13">
        <v>49</v>
      </c>
    </row>
    <row r="7197" spans="2:3" x14ac:dyDescent="0.3">
      <c r="B7197" s="18" t="s">
        <v>1851</v>
      </c>
      <c r="C7197" s="13">
        <v>50</v>
      </c>
    </row>
    <row r="7198" spans="2:3" x14ac:dyDescent="0.3">
      <c r="B7198" s="18" t="s">
        <v>1849</v>
      </c>
      <c r="C7198" s="13">
        <v>51</v>
      </c>
    </row>
    <row r="7199" spans="2:3" x14ac:dyDescent="0.3">
      <c r="B7199" s="18" t="s">
        <v>1847</v>
      </c>
      <c r="C7199" s="13">
        <v>52</v>
      </c>
    </row>
    <row r="7200" spans="2:3" x14ac:dyDescent="0.3">
      <c r="B7200" s="18" t="s">
        <v>1845</v>
      </c>
      <c r="C7200" s="13">
        <v>53</v>
      </c>
    </row>
    <row r="7201" spans="2:3" x14ac:dyDescent="0.3">
      <c r="B7201" s="18" t="s">
        <v>9234</v>
      </c>
      <c r="C7201" s="13">
        <v>88</v>
      </c>
    </row>
    <row r="7202" spans="2:3" x14ac:dyDescent="0.3">
      <c r="B7202" s="18" t="s">
        <v>9235</v>
      </c>
      <c r="C7202" s="13">
        <v>79</v>
      </c>
    </row>
    <row r="7203" spans="2:3" x14ac:dyDescent="0.3">
      <c r="B7203" s="18" t="s">
        <v>9236</v>
      </c>
      <c r="C7203" s="13">
        <v>78</v>
      </c>
    </row>
    <row r="7204" spans="2:3" x14ac:dyDescent="0.3">
      <c r="B7204" s="18" t="s">
        <v>9237</v>
      </c>
      <c r="C7204" s="13">
        <v>77</v>
      </c>
    </row>
    <row r="7205" spans="2:3" x14ac:dyDescent="0.3">
      <c r="B7205" s="18" t="s">
        <v>9238</v>
      </c>
      <c r="C7205" s="13">
        <v>76</v>
      </c>
    </row>
    <row r="7206" spans="2:3" x14ac:dyDescent="0.3">
      <c r="B7206" s="18" t="s">
        <v>9239</v>
      </c>
      <c r="C7206" s="13">
        <v>75</v>
      </c>
    </row>
    <row r="7207" spans="2:3" x14ac:dyDescent="0.3">
      <c r="B7207" s="18" t="s">
        <v>9240</v>
      </c>
      <c r="C7207" s="13">
        <v>74</v>
      </c>
    </row>
    <row r="7208" spans="2:3" x14ac:dyDescent="0.3">
      <c r="B7208" s="18" t="s">
        <v>9241</v>
      </c>
      <c r="C7208" s="13">
        <v>73</v>
      </c>
    </row>
    <row r="7209" spans="2:3" x14ac:dyDescent="0.3">
      <c r="B7209" s="18" t="s">
        <v>9242</v>
      </c>
      <c r="C7209" s="13">
        <v>72</v>
      </c>
    </row>
    <row r="7210" spans="2:3" x14ac:dyDescent="0.3">
      <c r="B7210" s="18" t="s">
        <v>9243</v>
      </c>
      <c r="C7210" s="13">
        <v>71</v>
      </c>
    </row>
    <row r="7211" spans="2:3" x14ac:dyDescent="0.3">
      <c r="B7211" s="18" t="s">
        <v>9244</v>
      </c>
      <c r="C7211" s="13">
        <v>70</v>
      </c>
    </row>
    <row r="7212" spans="2:3" x14ac:dyDescent="0.3">
      <c r="B7212" s="18" t="s">
        <v>9245</v>
      </c>
      <c r="C7212" s="13">
        <v>87</v>
      </c>
    </row>
    <row r="7213" spans="2:3" x14ac:dyDescent="0.3">
      <c r="B7213" s="18" t="s">
        <v>9246</v>
      </c>
      <c r="C7213" s="13">
        <v>69</v>
      </c>
    </row>
    <row r="7214" spans="2:3" x14ac:dyDescent="0.3">
      <c r="B7214" s="18" t="s">
        <v>9247</v>
      </c>
      <c r="C7214" s="13">
        <v>68</v>
      </c>
    </row>
    <row r="7215" spans="2:3" x14ac:dyDescent="0.3">
      <c r="B7215" s="18" t="s">
        <v>9248</v>
      </c>
      <c r="C7215" s="13">
        <v>67</v>
      </c>
    </row>
    <row r="7216" spans="2:3" x14ac:dyDescent="0.3">
      <c r="B7216" s="18" t="s">
        <v>9249</v>
      </c>
      <c r="C7216" s="13">
        <v>86</v>
      </c>
    </row>
    <row r="7217" spans="2:3" x14ac:dyDescent="0.3">
      <c r="B7217" s="18" t="s">
        <v>9250</v>
      </c>
      <c r="C7217" s="13">
        <v>85</v>
      </c>
    </row>
    <row r="7218" spans="2:3" x14ac:dyDescent="0.3">
      <c r="B7218" s="18" t="s">
        <v>9251</v>
      </c>
      <c r="C7218" s="13">
        <v>84</v>
      </c>
    </row>
    <row r="7219" spans="2:3" x14ac:dyDescent="0.3">
      <c r="B7219" s="18" t="s">
        <v>9252</v>
      </c>
      <c r="C7219" s="13">
        <v>83</v>
      </c>
    </row>
    <row r="7220" spans="2:3" x14ac:dyDescent="0.3">
      <c r="B7220" s="18" t="s">
        <v>9253</v>
      </c>
      <c r="C7220" s="13">
        <v>82</v>
      </c>
    </row>
    <row r="7221" spans="2:3" x14ac:dyDescent="0.3">
      <c r="B7221" s="18" t="s">
        <v>9254</v>
      </c>
      <c r="C7221" s="13">
        <v>81</v>
      </c>
    </row>
    <row r="7222" spans="2:3" x14ac:dyDescent="0.3">
      <c r="B7222" s="18" t="s">
        <v>9255</v>
      </c>
      <c r="C7222" s="13">
        <v>80</v>
      </c>
    </row>
    <row r="7223" spans="2:3" x14ac:dyDescent="0.3">
      <c r="B7223" s="18" t="s">
        <v>1843</v>
      </c>
      <c r="C7223" s="13">
        <v>1</v>
      </c>
    </row>
    <row r="7224" spans="2:3" x14ac:dyDescent="0.3">
      <c r="B7224" s="18" t="s">
        <v>1841</v>
      </c>
      <c r="C7224" s="13">
        <v>10</v>
      </c>
    </row>
    <row r="7225" spans="2:3" x14ac:dyDescent="0.3">
      <c r="B7225" s="18" t="s">
        <v>1839</v>
      </c>
      <c r="C7225" s="13">
        <v>11</v>
      </c>
    </row>
    <row r="7226" spans="2:3" x14ac:dyDescent="0.3">
      <c r="B7226" s="18" t="s">
        <v>1837</v>
      </c>
      <c r="C7226" s="13">
        <v>12</v>
      </c>
    </row>
    <row r="7227" spans="2:3" x14ac:dyDescent="0.3">
      <c r="B7227" s="18" t="s">
        <v>1835</v>
      </c>
      <c r="C7227" s="13">
        <v>13</v>
      </c>
    </row>
    <row r="7228" spans="2:3" x14ac:dyDescent="0.3">
      <c r="B7228" s="18" t="s">
        <v>1833</v>
      </c>
      <c r="C7228" s="13">
        <v>14</v>
      </c>
    </row>
    <row r="7229" spans="2:3" x14ac:dyDescent="0.3">
      <c r="B7229" s="18" t="s">
        <v>1831</v>
      </c>
      <c r="C7229" s="13">
        <v>15</v>
      </c>
    </row>
    <row r="7230" spans="2:3" x14ac:dyDescent="0.3">
      <c r="B7230" s="18" t="s">
        <v>1829</v>
      </c>
      <c r="C7230" s="13">
        <v>16</v>
      </c>
    </row>
    <row r="7231" spans="2:3" x14ac:dyDescent="0.3">
      <c r="B7231" s="18" t="s">
        <v>1827</v>
      </c>
      <c r="C7231" s="13">
        <v>17</v>
      </c>
    </row>
    <row r="7232" spans="2:3" x14ac:dyDescent="0.3">
      <c r="B7232" s="18" t="s">
        <v>1825</v>
      </c>
      <c r="C7232" s="13">
        <v>18</v>
      </c>
    </row>
    <row r="7233" spans="2:3" x14ac:dyDescent="0.3">
      <c r="B7233" s="18" t="s">
        <v>1823</v>
      </c>
      <c r="C7233" s="13">
        <v>19</v>
      </c>
    </row>
    <row r="7234" spans="2:3" x14ac:dyDescent="0.3">
      <c r="B7234" s="18" t="s">
        <v>1821</v>
      </c>
      <c r="C7234" s="13">
        <v>2</v>
      </c>
    </row>
    <row r="7235" spans="2:3" x14ac:dyDescent="0.3">
      <c r="B7235" s="18" t="s">
        <v>1819</v>
      </c>
      <c r="C7235" s="13">
        <v>20</v>
      </c>
    </row>
    <row r="7236" spans="2:3" x14ac:dyDescent="0.3">
      <c r="B7236" s="18" t="s">
        <v>1817</v>
      </c>
      <c r="C7236" s="13">
        <v>21</v>
      </c>
    </row>
    <row r="7237" spans="2:3" x14ac:dyDescent="0.3">
      <c r="B7237" s="18" t="s">
        <v>1815</v>
      </c>
      <c r="C7237" s="13">
        <v>22</v>
      </c>
    </row>
    <row r="7238" spans="2:3" x14ac:dyDescent="0.3">
      <c r="B7238" s="18" t="s">
        <v>1813</v>
      </c>
      <c r="C7238" s="13">
        <v>23</v>
      </c>
    </row>
    <row r="7239" spans="2:3" x14ac:dyDescent="0.3">
      <c r="B7239" s="18" t="s">
        <v>1799</v>
      </c>
      <c r="C7239" s="13">
        <v>3</v>
      </c>
    </row>
    <row r="7240" spans="2:3" x14ac:dyDescent="0.3">
      <c r="B7240" s="18" t="s">
        <v>1795</v>
      </c>
      <c r="C7240" s="13">
        <v>4</v>
      </c>
    </row>
    <row r="7241" spans="2:3" x14ac:dyDescent="0.3">
      <c r="B7241" s="18" t="s">
        <v>1793</v>
      </c>
      <c r="C7241" s="13">
        <v>5</v>
      </c>
    </row>
    <row r="7242" spans="2:3" x14ac:dyDescent="0.3">
      <c r="B7242" s="18" t="s">
        <v>1791</v>
      </c>
      <c r="C7242" s="13">
        <v>6</v>
      </c>
    </row>
    <row r="7243" spans="2:3" x14ac:dyDescent="0.3">
      <c r="B7243" s="18" t="s">
        <v>1789</v>
      </c>
      <c r="C7243" s="13">
        <v>7</v>
      </c>
    </row>
    <row r="7244" spans="2:3" x14ac:dyDescent="0.3">
      <c r="B7244" s="18" t="s">
        <v>1787</v>
      </c>
      <c r="C7244" s="13">
        <v>8</v>
      </c>
    </row>
    <row r="7245" spans="2:3" x14ac:dyDescent="0.3">
      <c r="B7245" s="18" t="s">
        <v>1785</v>
      </c>
      <c r="C7245" s="13">
        <v>9</v>
      </c>
    </row>
    <row r="7246" spans="2:3" x14ac:dyDescent="0.3">
      <c r="B7246" s="18" t="s">
        <v>1783</v>
      </c>
      <c r="C7246" s="13">
        <v>46</v>
      </c>
    </row>
    <row r="7247" spans="2:3" x14ac:dyDescent="0.3">
      <c r="B7247" s="18" t="s">
        <v>1781</v>
      </c>
      <c r="C7247" s="13">
        <v>37</v>
      </c>
    </row>
    <row r="7248" spans="2:3" x14ac:dyDescent="0.3">
      <c r="B7248" s="18" t="s">
        <v>1779</v>
      </c>
      <c r="C7248" s="13">
        <v>36</v>
      </c>
    </row>
    <row r="7249" spans="2:3" x14ac:dyDescent="0.3">
      <c r="B7249" s="18" t="s">
        <v>1777</v>
      </c>
      <c r="C7249" s="13">
        <v>35</v>
      </c>
    </row>
    <row r="7250" spans="2:3" x14ac:dyDescent="0.3">
      <c r="B7250" s="18" t="s">
        <v>1775</v>
      </c>
      <c r="C7250" s="13">
        <v>34</v>
      </c>
    </row>
    <row r="7251" spans="2:3" x14ac:dyDescent="0.3">
      <c r="B7251" s="18" t="s">
        <v>1773</v>
      </c>
      <c r="C7251" s="13">
        <v>33</v>
      </c>
    </row>
    <row r="7252" spans="2:3" x14ac:dyDescent="0.3">
      <c r="B7252" s="18" t="s">
        <v>1771</v>
      </c>
      <c r="C7252" s="13">
        <v>32</v>
      </c>
    </row>
    <row r="7253" spans="2:3" x14ac:dyDescent="0.3">
      <c r="B7253" s="18" t="s">
        <v>1769</v>
      </c>
      <c r="C7253" s="13">
        <v>31</v>
      </c>
    </row>
    <row r="7254" spans="2:3" x14ac:dyDescent="0.3">
      <c r="B7254" s="18" t="s">
        <v>1767</v>
      </c>
      <c r="C7254" s="13">
        <v>30</v>
      </c>
    </row>
    <row r="7255" spans="2:3" x14ac:dyDescent="0.3">
      <c r="B7255" s="18" t="s">
        <v>1765</v>
      </c>
      <c r="C7255" s="13">
        <v>29</v>
      </c>
    </row>
    <row r="7256" spans="2:3" x14ac:dyDescent="0.3">
      <c r="B7256" s="18" t="s">
        <v>1763</v>
      </c>
      <c r="C7256" s="13">
        <v>28</v>
      </c>
    </row>
    <row r="7257" spans="2:3" x14ac:dyDescent="0.3">
      <c r="B7257" s="18" t="s">
        <v>1761</v>
      </c>
      <c r="C7257" s="13">
        <v>45</v>
      </c>
    </row>
    <row r="7258" spans="2:3" x14ac:dyDescent="0.3">
      <c r="B7258" s="18" t="s">
        <v>1759</v>
      </c>
      <c r="C7258" s="13">
        <v>27</v>
      </c>
    </row>
    <row r="7259" spans="2:3" x14ac:dyDescent="0.3">
      <c r="B7259" s="18" t="s">
        <v>1757</v>
      </c>
      <c r="C7259" s="13">
        <v>26</v>
      </c>
    </row>
    <row r="7260" spans="2:3" x14ac:dyDescent="0.3">
      <c r="B7260" s="18" t="s">
        <v>1755</v>
      </c>
      <c r="C7260" s="13">
        <v>25</v>
      </c>
    </row>
    <row r="7261" spans="2:3" x14ac:dyDescent="0.3">
      <c r="B7261" s="18" t="s">
        <v>1753</v>
      </c>
      <c r="C7261" s="13">
        <v>24</v>
      </c>
    </row>
    <row r="7262" spans="2:3" x14ac:dyDescent="0.3">
      <c r="B7262" s="18" t="s">
        <v>1739</v>
      </c>
      <c r="C7262" s="13">
        <v>44</v>
      </c>
    </row>
    <row r="7263" spans="2:3" x14ac:dyDescent="0.3">
      <c r="B7263" s="18" t="s">
        <v>1735</v>
      </c>
      <c r="C7263" s="13">
        <v>43</v>
      </c>
    </row>
    <row r="7264" spans="2:3" x14ac:dyDescent="0.3">
      <c r="B7264" s="18" t="s">
        <v>1733</v>
      </c>
      <c r="C7264" s="13">
        <v>42</v>
      </c>
    </row>
    <row r="7265" spans="2:3" x14ac:dyDescent="0.3">
      <c r="B7265" s="18" t="s">
        <v>1731</v>
      </c>
      <c r="C7265" s="13">
        <v>41</v>
      </c>
    </row>
    <row r="7266" spans="2:3" x14ac:dyDescent="0.3">
      <c r="B7266" s="18" t="s">
        <v>1729</v>
      </c>
      <c r="C7266" s="13">
        <v>40</v>
      </c>
    </row>
    <row r="7267" spans="2:3" x14ac:dyDescent="0.3">
      <c r="B7267" s="18" t="s">
        <v>1727</v>
      </c>
      <c r="C7267" s="13">
        <v>39</v>
      </c>
    </row>
    <row r="7268" spans="2:3" x14ac:dyDescent="0.3">
      <c r="B7268" s="18" t="s">
        <v>1725</v>
      </c>
      <c r="C7268" s="13">
        <v>38</v>
      </c>
    </row>
    <row r="7269" spans="2:3" x14ac:dyDescent="0.3">
      <c r="B7269" s="18" t="s">
        <v>9256</v>
      </c>
      <c r="C7269" s="13">
        <v>47</v>
      </c>
    </row>
    <row r="7270" spans="2:3" x14ac:dyDescent="0.3">
      <c r="B7270" s="18" t="s">
        <v>1723</v>
      </c>
      <c r="C7270" s="13">
        <v>56</v>
      </c>
    </row>
    <row r="7271" spans="2:3" x14ac:dyDescent="0.3">
      <c r="B7271" s="18" t="s">
        <v>1721</v>
      </c>
      <c r="C7271" s="13">
        <v>57</v>
      </c>
    </row>
    <row r="7272" spans="2:3" x14ac:dyDescent="0.3">
      <c r="B7272" s="18" t="s">
        <v>1719</v>
      </c>
      <c r="C7272" s="13">
        <v>58</v>
      </c>
    </row>
    <row r="7273" spans="2:3" x14ac:dyDescent="0.3">
      <c r="B7273" s="18" t="s">
        <v>1717</v>
      </c>
      <c r="C7273" s="13">
        <v>59</v>
      </c>
    </row>
    <row r="7274" spans="2:3" x14ac:dyDescent="0.3">
      <c r="B7274" s="18" t="s">
        <v>1715</v>
      </c>
      <c r="C7274" s="13">
        <v>60</v>
      </c>
    </row>
    <row r="7275" spans="2:3" x14ac:dyDescent="0.3">
      <c r="B7275" s="18" t="s">
        <v>1713</v>
      </c>
      <c r="C7275" s="13">
        <v>61</v>
      </c>
    </row>
    <row r="7276" spans="2:3" x14ac:dyDescent="0.3">
      <c r="B7276" s="18" t="s">
        <v>1711</v>
      </c>
      <c r="C7276" s="13">
        <v>62</v>
      </c>
    </row>
    <row r="7277" spans="2:3" x14ac:dyDescent="0.3">
      <c r="B7277" s="18" t="s">
        <v>1709</v>
      </c>
      <c r="C7277" s="13">
        <v>63</v>
      </c>
    </row>
    <row r="7278" spans="2:3" x14ac:dyDescent="0.3">
      <c r="B7278" s="18" t="s">
        <v>1707</v>
      </c>
      <c r="C7278" s="13">
        <v>64</v>
      </c>
    </row>
    <row r="7279" spans="2:3" x14ac:dyDescent="0.3">
      <c r="B7279" s="18" t="s">
        <v>1705</v>
      </c>
      <c r="C7279" s="13">
        <v>65</v>
      </c>
    </row>
    <row r="7280" spans="2:3" x14ac:dyDescent="0.3">
      <c r="B7280" s="18" t="s">
        <v>1703</v>
      </c>
      <c r="C7280" s="13">
        <v>48</v>
      </c>
    </row>
    <row r="7281" spans="2:3" x14ac:dyDescent="0.3">
      <c r="B7281" s="18" t="s">
        <v>1701</v>
      </c>
      <c r="C7281" s="13">
        <v>66</v>
      </c>
    </row>
    <row r="7282" spans="2:3" x14ac:dyDescent="0.3">
      <c r="B7282" s="18" t="s">
        <v>1699</v>
      </c>
      <c r="C7282" s="13">
        <v>67</v>
      </c>
    </row>
    <row r="7283" spans="2:3" x14ac:dyDescent="0.3">
      <c r="B7283" s="18" t="s">
        <v>1697</v>
      </c>
      <c r="C7283" s="13">
        <v>68</v>
      </c>
    </row>
    <row r="7284" spans="2:3" x14ac:dyDescent="0.3">
      <c r="B7284" s="18" t="s">
        <v>1695</v>
      </c>
      <c r="C7284" s="13">
        <v>69</v>
      </c>
    </row>
    <row r="7285" spans="2:3" x14ac:dyDescent="0.3">
      <c r="B7285" s="18" t="s">
        <v>1681</v>
      </c>
      <c r="C7285" s="13">
        <v>49</v>
      </c>
    </row>
    <row r="7286" spans="2:3" x14ac:dyDescent="0.3">
      <c r="B7286" s="18" t="s">
        <v>1677</v>
      </c>
      <c r="C7286" s="13">
        <v>50</v>
      </c>
    </row>
    <row r="7287" spans="2:3" x14ac:dyDescent="0.3">
      <c r="B7287" s="18" t="s">
        <v>1675</v>
      </c>
      <c r="C7287" s="13">
        <v>51</v>
      </c>
    </row>
    <row r="7288" spans="2:3" x14ac:dyDescent="0.3">
      <c r="B7288" s="18" t="s">
        <v>1673</v>
      </c>
      <c r="C7288" s="13">
        <v>52</v>
      </c>
    </row>
    <row r="7289" spans="2:3" x14ac:dyDescent="0.3">
      <c r="B7289" s="18" t="s">
        <v>1671</v>
      </c>
      <c r="C7289" s="13">
        <v>53</v>
      </c>
    </row>
    <row r="7290" spans="2:3" x14ac:dyDescent="0.3">
      <c r="B7290" s="18" t="s">
        <v>1669</v>
      </c>
      <c r="C7290" s="13">
        <v>54</v>
      </c>
    </row>
    <row r="7291" spans="2:3" x14ac:dyDescent="0.3">
      <c r="B7291" s="18" t="s">
        <v>1667</v>
      </c>
      <c r="C7291" s="13">
        <v>55</v>
      </c>
    </row>
    <row r="7292" spans="2:3" x14ac:dyDescent="0.3">
      <c r="B7292" s="18" t="s">
        <v>9257</v>
      </c>
      <c r="C7292" s="13">
        <v>83</v>
      </c>
    </row>
    <row r="7293" spans="2:3" x14ac:dyDescent="0.3">
      <c r="B7293" s="18" t="s">
        <v>9258</v>
      </c>
      <c r="C7293" s="13">
        <v>82</v>
      </c>
    </row>
    <row r="7294" spans="2:3" x14ac:dyDescent="0.3">
      <c r="B7294" s="18" t="s">
        <v>9259</v>
      </c>
      <c r="C7294" s="13">
        <v>81</v>
      </c>
    </row>
    <row r="7295" spans="2:3" x14ac:dyDescent="0.3">
      <c r="B7295" s="18" t="s">
        <v>9260</v>
      </c>
      <c r="C7295" s="13">
        <v>80</v>
      </c>
    </row>
    <row r="7296" spans="2:3" x14ac:dyDescent="0.3">
      <c r="B7296" s="18" t="s">
        <v>9261</v>
      </c>
      <c r="C7296" s="13">
        <v>79</v>
      </c>
    </row>
    <row r="7297" spans="2:3" x14ac:dyDescent="0.3">
      <c r="B7297" s="18" t="s">
        <v>9262</v>
      </c>
      <c r="C7297" s="13">
        <v>78</v>
      </c>
    </row>
    <row r="7298" spans="2:3" x14ac:dyDescent="0.3">
      <c r="B7298" s="18" t="s">
        <v>9263</v>
      </c>
      <c r="C7298" s="13">
        <v>77</v>
      </c>
    </row>
    <row r="7299" spans="2:3" x14ac:dyDescent="0.3">
      <c r="B7299" s="18" t="s">
        <v>9264</v>
      </c>
      <c r="C7299" s="13">
        <v>76</v>
      </c>
    </row>
    <row r="7300" spans="2:3" x14ac:dyDescent="0.3">
      <c r="B7300" s="18" t="s">
        <v>9265</v>
      </c>
      <c r="C7300" s="13">
        <v>75</v>
      </c>
    </row>
    <row r="7301" spans="2:3" x14ac:dyDescent="0.3">
      <c r="B7301" s="18" t="s">
        <v>9266</v>
      </c>
      <c r="C7301" s="13">
        <v>74</v>
      </c>
    </row>
    <row r="7302" spans="2:3" x14ac:dyDescent="0.3">
      <c r="B7302" s="18" t="s">
        <v>9267</v>
      </c>
      <c r="C7302" s="13">
        <v>73</v>
      </c>
    </row>
    <row r="7303" spans="2:3" x14ac:dyDescent="0.3">
      <c r="B7303" s="18" t="s">
        <v>9268</v>
      </c>
      <c r="C7303" s="13">
        <v>72</v>
      </c>
    </row>
    <row r="7304" spans="2:3" x14ac:dyDescent="0.3">
      <c r="B7304" s="18" t="s">
        <v>9269</v>
      </c>
      <c r="C7304" s="13">
        <v>71</v>
      </c>
    </row>
    <row r="7305" spans="2:3" x14ac:dyDescent="0.3">
      <c r="B7305" s="18" t="s">
        <v>9270</v>
      </c>
      <c r="C7305" s="13">
        <v>70</v>
      </c>
    </row>
    <row r="7306" spans="2:3" x14ac:dyDescent="0.3">
      <c r="B7306" s="18" t="s">
        <v>9271</v>
      </c>
      <c r="C7306" s="13">
        <v>89</v>
      </c>
    </row>
    <row r="7307" spans="2:3" x14ac:dyDescent="0.3">
      <c r="B7307" s="18" t="s">
        <v>9272</v>
      </c>
      <c r="C7307" s="13">
        <v>88</v>
      </c>
    </row>
    <row r="7308" spans="2:3" x14ac:dyDescent="0.3">
      <c r="B7308" s="18" t="s">
        <v>9273</v>
      </c>
      <c r="C7308" s="13">
        <v>87</v>
      </c>
    </row>
    <row r="7309" spans="2:3" x14ac:dyDescent="0.3">
      <c r="B7309" s="18" t="s">
        <v>9274</v>
      </c>
      <c r="C7309" s="13">
        <v>86</v>
      </c>
    </row>
    <row r="7310" spans="2:3" x14ac:dyDescent="0.3">
      <c r="B7310" s="18" t="s">
        <v>9275</v>
      </c>
      <c r="C7310" s="13">
        <v>85</v>
      </c>
    </row>
    <row r="7311" spans="2:3" x14ac:dyDescent="0.3">
      <c r="B7311" s="18" t="s">
        <v>9276</v>
      </c>
      <c r="C7311" s="13">
        <v>84</v>
      </c>
    </row>
    <row r="7312" spans="2:3" x14ac:dyDescent="0.3">
      <c r="B7312" s="18" t="s">
        <v>1665</v>
      </c>
      <c r="C7312" s="13">
        <v>1</v>
      </c>
    </row>
    <row r="7313" spans="2:3" x14ac:dyDescent="0.3">
      <c r="B7313" s="18" t="s">
        <v>1663</v>
      </c>
      <c r="C7313" s="13">
        <v>2</v>
      </c>
    </row>
    <row r="7314" spans="2:3" x14ac:dyDescent="0.3">
      <c r="B7314" s="18" t="s">
        <v>1659</v>
      </c>
      <c r="C7314" s="13">
        <v>4</v>
      </c>
    </row>
    <row r="7315" spans="2:3" x14ac:dyDescent="0.3">
      <c r="B7315" s="18" t="s">
        <v>1657</v>
      </c>
      <c r="C7315" s="13">
        <v>3</v>
      </c>
    </row>
    <row r="7316" spans="2:3" x14ac:dyDescent="0.3">
      <c r="B7316" s="18" t="s">
        <v>9277</v>
      </c>
      <c r="C7316" s="13">
        <v>5</v>
      </c>
    </row>
    <row r="7317" spans="2:3" x14ac:dyDescent="0.3">
      <c r="B7317" s="18" t="s">
        <v>1653</v>
      </c>
      <c r="C7317" s="13">
        <v>6</v>
      </c>
    </row>
    <row r="7318" spans="2:3" x14ac:dyDescent="0.3">
      <c r="B7318" s="18" t="s">
        <v>9278</v>
      </c>
      <c r="C7318" s="13">
        <v>8</v>
      </c>
    </row>
    <row r="7319" spans="2:3" x14ac:dyDescent="0.3">
      <c r="B7319" s="18" t="s">
        <v>9279</v>
      </c>
      <c r="C7319" s="13">
        <v>7</v>
      </c>
    </row>
    <row r="7320" spans="2:3" x14ac:dyDescent="0.3">
      <c r="B7320" s="18" t="s">
        <v>1649</v>
      </c>
      <c r="C7320" s="13">
        <v>1</v>
      </c>
    </row>
    <row r="7321" spans="2:3" x14ac:dyDescent="0.3">
      <c r="B7321" s="18" t="s">
        <v>1647</v>
      </c>
      <c r="C7321" s="13">
        <v>10</v>
      </c>
    </row>
    <row r="7322" spans="2:3" x14ac:dyDescent="0.3">
      <c r="B7322" s="18" t="s">
        <v>1645</v>
      </c>
      <c r="C7322" s="13">
        <v>11</v>
      </c>
    </row>
    <row r="7323" spans="2:3" x14ac:dyDescent="0.3">
      <c r="B7323" s="18" t="s">
        <v>1643</v>
      </c>
      <c r="C7323" s="13">
        <v>12</v>
      </c>
    </row>
    <row r="7324" spans="2:3" x14ac:dyDescent="0.3">
      <c r="B7324" s="18" t="s">
        <v>1641</v>
      </c>
      <c r="C7324" s="13">
        <v>13</v>
      </c>
    </row>
    <row r="7325" spans="2:3" x14ac:dyDescent="0.3">
      <c r="B7325" s="18" t="s">
        <v>1639</v>
      </c>
      <c r="C7325" s="13">
        <v>14</v>
      </c>
    </row>
    <row r="7326" spans="2:3" x14ac:dyDescent="0.3">
      <c r="B7326" s="18" t="s">
        <v>1637</v>
      </c>
      <c r="C7326" s="13">
        <v>15</v>
      </c>
    </row>
    <row r="7327" spans="2:3" x14ac:dyDescent="0.3">
      <c r="B7327" s="18" t="s">
        <v>1635</v>
      </c>
      <c r="C7327" s="13">
        <v>16</v>
      </c>
    </row>
    <row r="7328" spans="2:3" x14ac:dyDescent="0.3">
      <c r="B7328" s="18" t="s">
        <v>1633</v>
      </c>
      <c r="C7328" s="13">
        <v>17</v>
      </c>
    </row>
    <row r="7329" spans="2:3" x14ac:dyDescent="0.3">
      <c r="B7329" s="18" t="s">
        <v>1631</v>
      </c>
      <c r="C7329" s="13">
        <v>18</v>
      </c>
    </row>
    <row r="7330" spans="2:3" x14ac:dyDescent="0.3">
      <c r="B7330" s="18" t="s">
        <v>1629</v>
      </c>
      <c r="C7330" s="13">
        <v>19</v>
      </c>
    </row>
    <row r="7331" spans="2:3" x14ac:dyDescent="0.3">
      <c r="B7331" s="18" t="s">
        <v>1627</v>
      </c>
      <c r="C7331" s="13">
        <v>2</v>
      </c>
    </row>
    <row r="7332" spans="2:3" x14ac:dyDescent="0.3">
      <c r="B7332" s="18" t="s">
        <v>1625</v>
      </c>
      <c r="C7332" s="13">
        <v>20</v>
      </c>
    </row>
    <row r="7333" spans="2:3" x14ac:dyDescent="0.3">
      <c r="B7333" s="18" t="s">
        <v>1623</v>
      </c>
      <c r="C7333" s="13">
        <v>21</v>
      </c>
    </row>
    <row r="7334" spans="2:3" x14ac:dyDescent="0.3">
      <c r="B7334" s="18" t="s">
        <v>1621</v>
      </c>
      <c r="C7334" s="13">
        <v>22</v>
      </c>
    </row>
    <row r="7335" spans="2:3" x14ac:dyDescent="0.3">
      <c r="B7335" s="18" t="s">
        <v>1619</v>
      </c>
      <c r="C7335" s="13">
        <v>23</v>
      </c>
    </row>
    <row r="7336" spans="2:3" x14ac:dyDescent="0.3">
      <c r="B7336" s="18" t="s">
        <v>1605</v>
      </c>
      <c r="C7336" s="13">
        <v>3</v>
      </c>
    </row>
    <row r="7337" spans="2:3" x14ac:dyDescent="0.3">
      <c r="B7337" s="18" t="s">
        <v>1601</v>
      </c>
      <c r="C7337" s="13">
        <v>4</v>
      </c>
    </row>
    <row r="7338" spans="2:3" x14ac:dyDescent="0.3">
      <c r="B7338" s="18" t="s">
        <v>1599</v>
      </c>
      <c r="C7338" s="13">
        <v>5</v>
      </c>
    </row>
    <row r="7339" spans="2:3" x14ac:dyDescent="0.3">
      <c r="B7339" s="18" t="s">
        <v>1597</v>
      </c>
      <c r="C7339" s="13">
        <v>6</v>
      </c>
    </row>
    <row r="7340" spans="2:3" x14ac:dyDescent="0.3">
      <c r="B7340" s="18" t="s">
        <v>1595</v>
      </c>
      <c r="C7340" s="13">
        <v>7</v>
      </c>
    </row>
    <row r="7341" spans="2:3" x14ac:dyDescent="0.3">
      <c r="B7341" s="18" t="s">
        <v>1593</v>
      </c>
      <c r="C7341" s="13">
        <v>8</v>
      </c>
    </row>
    <row r="7342" spans="2:3" x14ac:dyDescent="0.3">
      <c r="B7342" s="18" t="s">
        <v>1591</v>
      </c>
      <c r="C7342" s="13">
        <v>9</v>
      </c>
    </row>
    <row r="7343" spans="2:3" x14ac:dyDescent="0.3">
      <c r="B7343" s="18" t="s">
        <v>1589</v>
      </c>
      <c r="C7343" s="13">
        <v>46</v>
      </c>
    </row>
    <row r="7344" spans="2:3" x14ac:dyDescent="0.3">
      <c r="B7344" s="18" t="s">
        <v>1587</v>
      </c>
      <c r="C7344" s="13">
        <v>37</v>
      </c>
    </row>
    <row r="7345" spans="2:3" x14ac:dyDescent="0.3">
      <c r="B7345" s="18" t="s">
        <v>1585</v>
      </c>
      <c r="C7345" s="13">
        <v>36</v>
      </c>
    </row>
    <row r="7346" spans="2:3" x14ac:dyDescent="0.3">
      <c r="B7346" s="18" t="s">
        <v>1583</v>
      </c>
      <c r="C7346" s="13">
        <v>35</v>
      </c>
    </row>
    <row r="7347" spans="2:3" x14ac:dyDescent="0.3">
      <c r="B7347" s="18" t="s">
        <v>1581</v>
      </c>
      <c r="C7347" s="13">
        <v>34</v>
      </c>
    </row>
    <row r="7348" spans="2:3" x14ac:dyDescent="0.3">
      <c r="B7348" s="18" t="s">
        <v>1579</v>
      </c>
      <c r="C7348" s="13">
        <v>33</v>
      </c>
    </row>
    <row r="7349" spans="2:3" x14ac:dyDescent="0.3">
      <c r="B7349" s="18" t="s">
        <v>1577</v>
      </c>
      <c r="C7349" s="13">
        <v>32</v>
      </c>
    </row>
    <row r="7350" spans="2:3" x14ac:dyDescent="0.3">
      <c r="B7350" s="18" t="s">
        <v>1575</v>
      </c>
      <c r="C7350" s="13">
        <v>31</v>
      </c>
    </row>
    <row r="7351" spans="2:3" x14ac:dyDescent="0.3">
      <c r="B7351" s="18" t="s">
        <v>1573</v>
      </c>
      <c r="C7351" s="13">
        <v>30</v>
      </c>
    </row>
    <row r="7352" spans="2:3" x14ac:dyDescent="0.3">
      <c r="B7352" s="18" t="s">
        <v>1571</v>
      </c>
      <c r="C7352" s="13">
        <v>29</v>
      </c>
    </row>
    <row r="7353" spans="2:3" x14ac:dyDescent="0.3">
      <c r="B7353" s="18" t="s">
        <v>1569</v>
      </c>
      <c r="C7353" s="13">
        <v>28</v>
      </c>
    </row>
    <row r="7354" spans="2:3" x14ac:dyDescent="0.3">
      <c r="B7354" s="18" t="s">
        <v>1567</v>
      </c>
      <c r="C7354" s="13">
        <v>45</v>
      </c>
    </row>
    <row r="7355" spans="2:3" x14ac:dyDescent="0.3">
      <c r="B7355" s="18" t="s">
        <v>1565</v>
      </c>
      <c r="C7355" s="13">
        <v>27</v>
      </c>
    </row>
    <row r="7356" spans="2:3" x14ac:dyDescent="0.3">
      <c r="B7356" s="18" t="s">
        <v>1563</v>
      </c>
      <c r="C7356" s="13">
        <v>26</v>
      </c>
    </row>
    <row r="7357" spans="2:3" x14ac:dyDescent="0.3">
      <c r="B7357" s="18" t="s">
        <v>1561</v>
      </c>
      <c r="C7357" s="13">
        <v>25</v>
      </c>
    </row>
    <row r="7358" spans="2:3" x14ac:dyDescent="0.3">
      <c r="B7358" s="18" t="s">
        <v>1559</v>
      </c>
      <c r="C7358" s="13">
        <v>24</v>
      </c>
    </row>
    <row r="7359" spans="2:3" x14ac:dyDescent="0.3">
      <c r="B7359" s="18" t="s">
        <v>1545</v>
      </c>
      <c r="C7359" s="13">
        <v>44</v>
      </c>
    </row>
    <row r="7360" spans="2:3" x14ac:dyDescent="0.3">
      <c r="B7360" s="18" t="s">
        <v>1541</v>
      </c>
      <c r="C7360" s="13">
        <v>43</v>
      </c>
    </row>
    <row r="7361" spans="2:3" x14ac:dyDescent="0.3">
      <c r="B7361" s="18" t="s">
        <v>1539</v>
      </c>
      <c r="C7361" s="13">
        <v>42</v>
      </c>
    </row>
    <row r="7362" spans="2:3" x14ac:dyDescent="0.3">
      <c r="B7362" s="18" t="s">
        <v>1537</v>
      </c>
      <c r="C7362" s="13">
        <v>41</v>
      </c>
    </row>
    <row r="7363" spans="2:3" x14ac:dyDescent="0.3">
      <c r="B7363" s="18" t="s">
        <v>1535</v>
      </c>
      <c r="C7363" s="13">
        <v>40</v>
      </c>
    </row>
    <row r="7364" spans="2:3" x14ac:dyDescent="0.3">
      <c r="B7364" s="18" t="s">
        <v>1533</v>
      </c>
      <c r="C7364" s="13">
        <v>39</v>
      </c>
    </row>
    <row r="7365" spans="2:3" x14ac:dyDescent="0.3">
      <c r="B7365" s="18" t="s">
        <v>1531</v>
      </c>
      <c r="C7365" s="13">
        <v>38</v>
      </c>
    </row>
    <row r="7366" spans="2:3" x14ac:dyDescent="0.3">
      <c r="B7366" s="18" t="s">
        <v>1529</v>
      </c>
      <c r="C7366" s="13">
        <v>47</v>
      </c>
    </row>
    <row r="7367" spans="2:3" x14ac:dyDescent="0.3">
      <c r="B7367" s="18" t="s">
        <v>1527</v>
      </c>
      <c r="C7367" s="13">
        <v>56</v>
      </c>
    </row>
    <row r="7368" spans="2:3" x14ac:dyDescent="0.3">
      <c r="B7368" s="18" t="s">
        <v>1525</v>
      </c>
      <c r="C7368" s="13">
        <v>57</v>
      </c>
    </row>
    <row r="7369" spans="2:3" x14ac:dyDescent="0.3">
      <c r="B7369" s="18" t="s">
        <v>1523</v>
      </c>
      <c r="C7369" s="13">
        <v>58</v>
      </c>
    </row>
    <row r="7370" spans="2:3" x14ac:dyDescent="0.3">
      <c r="B7370" s="18" t="s">
        <v>1521</v>
      </c>
      <c r="C7370" s="13">
        <v>59</v>
      </c>
    </row>
    <row r="7371" spans="2:3" x14ac:dyDescent="0.3">
      <c r="B7371" s="18" t="s">
        <v>1519</v>
      </c>
      <c r="C7371" s="13">
        <v>60</v>
      </c>
    </row>
    <row r="7372" spans="2:3" x14ac:dyDescent="0.3">
      <c r="B7372" s="18" t="s">
        <v>1517</v>
      </c>
      <c r="C7372" s="13">
        <v>61</v>
      </c>
    </row>
    <row r="7373" spans="2:3" x14ac:dyDescent="0.3">
      <c r="B7373" s="18" t="s">
        <v>1515</v>
      </c>
      <c r="C7373" s="13">
        <v>62</v>
      </c>
    </row>
    <row r="7374" spans="2:3" x14ac:dyDescent="0.3">
      <c r="B7374" s="18" t="s">
        <v>1513</v>
      </c>
      <c r="C7374" s="13">
        <v>63</v>
      </c>
    </row>
    <row r="7375" spans="2:3" x14ac:dyDescent="0.3">
      <c r="B7375" s="18" t="s">
        <v>1511</v>
      </c>
      <c r="C7375" s="13">
        <v>64</v>
      </c>
    </row>
    <row r="7376" spans="2:3" x14ac:dyDescent="0.3">
      <c r="B7376" s="18" t="s">
        <v>1509</v>
      </c>
      <c r="C7376" s="13">
        <v>65</v>
      </c>
    </row>
    <row r="7377" spans="2:3" x14ac:dyDescent="0.3">
      <c r="B7377" s="18" t="s">
        <v>1507</v>
      </c>
      <c r="C7377" s="13">
        <v>48</v>
      </c>
    </row>
    <row r="7378" spans="2:3" x14ac:dyDescent="0.3">
      <c r="B7378" s="18" t="s">
        <v>1505</v>
      </c>
      <c r="C7378" s="13">
        <v>66</v>
      </c>
    </row>
    <row r="7379" spans="2:3" x14ac:dyDescent="0.3">
      <c r="B7379" s="18" t="s">
        <v>1503</v>
      </c>
      <c r="C7379" s="13">
        <v>67</v>
      </c>
    </row>
    <row r="7380" spans="2:3" x14ac:dyDescent="0.3">
      <c r="B7380" s="18" t="s">
        <v>1501</v>
      </c>
      <c r="C7380" s="13">
        <v>68</v>
      </c>
    </row>
    <row r="7381" spans="2:3" x14ac:dyDescent="0.3">
      <c r="B7381" s="18" t="s">
        <v>1499</v>
      </c>
      <c r="C7381" s="13">
        <v>69</v>
      </c>
    </row>
    <row r="7382" spans="2:3" x14ac:dyDescent="0.3">
      <c r="B7382" s="18" t="s">
        <v>1485</v>
      </c>
      <c r="C7382" s="13">
        <v>49</v>
      </c>
    </row>
    <row r="7383" spans="2:3" x14ac:dyDescent="0.3">
      <c r="B7383" s="18" t="s">
        <v>1481</v>
      </c>
      <c r="C7383" s="13">
        <v>50</v>
      </c>
    </row>
    <row r="7384" spans="2:3" x14ac:dyDescent="0.3">
      <c r="B7384" s="18" t="s">
        <v>1479</v>
      </c>
      <c r="C7384" s="13">
        <v>51</v>
      </c>
    </row>
    <row r="7385" spans="2:3" x14ac:dyDescent="0.3">
      <c r="B7385" s="18" t="s">
        <v>1477</v>
      </c>
      <c r="C7385" s="13">
        <v>52</v>
      </c>
    </row>
    <row r="7386" spans="2:3" x14ac:dyDescent="0.3">
      <c r="B7386" s="18" t="s">
        <v>1475</v>
      </c>
      <c r="C7386" s="13">
        <v>53</v>
      </c>
    </row>
    <row r="7387" spans="2:3" x14ac:dyDescent="0.3">
      <c r="B7387" s="18" t="s">
        <v>1473</v>
      </c>
      <c r="C7387" s="13">
        <v>54</v>
      </c>
    </row>
    <row r="7388" spans="2:3" x14ac:dyDescent="0.3">
      <c r="B7388" s="18" t="s">
        <v>1471</v>
      </c>
      <c r="C7388" s="13">
        <v>55</v>
      </c>
    </row>
    <row r="7389" spans="2:3" x14ac:dyDescent="0.3">
      <c r="B7389" s="18" t="s">
        <v>9280</v>
      </c>
      <c r="C7389" s="13">
        <v>83</v>
      </c>
    </row>
    <row r="7390" spans="2:3" x14ac:dyDescent="0.3">
      <c r="B7390" s="18" t="s">
        <v>9281</v>
      </c>
      <c r="C7390" s="13">
        <v>82</v>
      </c>
    </row>
    <row r="7391" spans="2:3" x14ac:dyDescent="0.3">
      <c r="B7391" s="18" t="s">
        <v>9282</v>
      </c>
      <c r="C7391" s="13">
        <v>81</v>
      </c>
    </row>
    <row r="7392" spans="2:3" x14ac:dyDescent="0.3">
      <c r="B7392" s="18" t="s">
        <v>9283</v>
      </c>
      <c r="C7392" s="13">
        <v>80</v>
      </c>
    </row>
    <row r="7393" spans="2:3" x14ac:dyDescent="0.3">
      <c r="B7393" s="18" t="s">
        <v>9284</v>
      </c>
      <c r="C7393" s="13">
        <v>79</v>
      </c>
    </row>
    <row r="7394" spans="2:3" x14ac:dyDescent="0.3">
      <c r="B7394" s="18" t="s">
        <v>9285</v>
      </c>
      <c r="C7394" s="13">
        <v>78</v>
      </c>
    </row>
    <row r="7395" spans="2:3" x14ac:dyDescent="0.3">
      <c r="B7395" s="18" t="s">
        <v>9286</v>
      </c>
      <c r="C7395" s="13">
        <v>77</v>
      </c>
    </row>
    <row r="7396" spans="2:3" x14ac:dyDescent="0.3">
      <c r="B7396" s="18" t="s">
        <v>9287</v>
      </c>
      <c r="C7396" s="13">
        <v>76</v>
      </c>
    </row>
    <row r="7397" spans="2:3" x14ac:dyDescent="0.3">
      <c r="B7397" s="18" t="s">
        <v>9288</v>
      </c>
      <c r="C7397" s="13">
        <v>75</v>
      </c>
    </row>
    <row r="7398" spans="2:3" x14ac:dyDescent="0.3">
      <c r="B7398" s="18" t="s">
        <v>9289</v>
      </c>
      <c r="C7398" s="13">
        <v>74</v>
      </c>
    </row>
    <row r="7399" spans="2:3" x14ac:dyDescent="0.3">
      <c r="B7399" s="18" t="s">
        <v>9290</v>
      </c>
      <c r="C7399" s="13">
        <v>73</v>
      </c>
    </row>
    <row r="7400" spans="2:3" x14ac:dyDescent="0.3">
      <c r="B7400" s="18" t="s">
        <v>9291</v>
      </c>
      <c r="C7400" s="13">
        <v>72</v>
      </c>
    </row>
    <row r="7401" spans="2:3" x14ac:dyDescent="0.3">
      <c r="B7401" s="18" t="s">
        <v>9292</v>
      </c>
      <c r="C7401" s="13">
        <v>71</v>
      </c>
    </row>
    <row r="7402" spans="2:3" x14ac:dyDescent="0.3">
      <c r="B7402" s="18" t="s">
        <v>9293</v>
      </c>
      <c r="C7402" s="13">
        <v>70</v>
      </c>
    </row>
    <row r="7403" spans="2:3" x14ac:dyDescent="0.3">
      <c r="B7403" s="18" t="s">
        <v>9294</v>
      </c>
      <c r="C7403" s="13">
        <v>90</v>
      </c>
    </row>
    <row r="7404" spans="2:3" x14ac:dyDescent="0.3">
      <c r="B7404" s="18" t="s">
        <v>9295</v>
      </c>
      <c r="C7404" s="13">
        <v>89</v>
      </c>
    </row>
    <row r="7405" spans="2:3" x14ac:dyDescent="0.3">
      <c r="B7405" s="18" t="s">
        <v>9296</v>
      </c>
      <c r="C7405" s="13">
        <v>88</v>
      </c>
    </row>
    <row r="7406" spans="2:3" x14ac:dyDescent="0.3">
      <c r="B7406" s="18" t="s">
        <v>9297</v>
      </c>
      <c r="C7406" s="13">
        <v>87</v>
      </c>
    </row>
    <row r="7407" spans="2:3" x14ac:dyDescent="0.3">
      <c r="B7407" s="18" t="s">
        <v>9298</v>
      </c>
      <c r="C7407" s="13">
        <v>86</v>
      </c>
    </row>
    <row r="7408" spans="2:3" x14ac:dyDescent="0.3">
      <c r="B7408" s="18" t="s">
        <v>9299</v>
      </c>
      <c r="C7408" s="13">
        <v>85</v>
      </c>
    </row>
    <row r="7409" spans="2:3" x14ac:dyDescent="0.3">
      <c r="B7409" s="18" t="s">
        <v>9300</v>
      </c>
      <c r="C7409" s="13">
        <v>84</v>
      </c>
    </row>
    <row r="7410" spans="2:3" x14ac:dyDescent="0.3">
      <c r="B7410" s="18" t="s">
        <v>1469</v>
      </c>
      <c r="C7410" s="13">
        <v>1</v>
      </c>
    </row>
    <row r="7411" spans="2:3" x14ac:dyDescent="0.3">
      <c r="B7411" s="18" t="s">
        <v>1467</v>
      </c>
      <c r="C7411" s="13">
        <v>10</v>
      </c>
    </row>
    <row r="7412" spans="2:3" x14ac:dyDescent="0.3">
      <c r="B7412" s="18" t="s">
        <v>1465</v>
      </c>
      <c r="C7412" s="13">
        <v>11</v>
      </c>
    </row>
    <row r="7413" spans="2:3" x14ac:dyDescent="0.3">
      <c r="B7413" s="18" t="s">
        <v>1463</v>
      </c>
      <c r="C7413" s="13">
        <v>12</v>
      </c>
    </row>
    <row r="7414" spans="2:3" x14ac:dyDescent="0.3">
      <c r="B7414" s="18" t="s">
        <v>1461</v>
      </c>
      <c r="C7414" s="13">
        <v>13</v>
      </c>
    </row>
    <row r="7415" spans="2:3" x14ac:dyDescent="0.3">
      <c r="B7415" s="18" t="s">
        <v>1459</v>
      </c>
      <c r="C7415" s="13">
        <v>14</v>
      </c>
    </row>
    <row r="7416" spans="2:3" x14ac:dyDescent="0.3">
      <c r="B7416" s="18" t="s">
        <v>1457</v>
      </c>
      <c r="C7416" s="13">
        <v>15</v>
      </c>
    </row>
    <row r="7417" spans="2:3" x14ac:dyDescent="0.3">
      <c r="B7417" s="18" t="s">
        <v>1455</v>
      </c>
      <c r="C7417" s="13">
        <v>16</v>
      </c>
    </row>
    <row r="7418" spans="2:3" x14ac:dyDescent="0.3">
      <c r="B7418" s="18" t="s">
        <v>1453</v>
      </c>
      <c r="C7418" s="13">
        <v>17</v>
      </c>
    </row>
    <row r="7419" spans="2:3" x14ac:dyDescent="0.3">
      <c r="B7419" s="18" t="s">
        <v>1451</v>
      </c>
      <c r="C7419" s="13">
        <v>18</v>
      </c>
    </row>
    <row r="7420" spans="2:3" x14ac:dyDescent="0.3">
      <c r="B7420" s="18" t="s">
        <v>1449</v>
      </c>
      <c r="C7420" s="13">
        <v>19</v>
      </c>
    </row>
    <row r="7421" spans="2:3" x14ac:dyDescent="0.3">
      <c r="B7421" s="18" t="s">
        <v>1447</v>
      </c>
      <c r="C7421" s="13">
        <v>2</v>
      </c>
    </row>
    <row r="7422" spans="2:3" x14ac:dyDescent="0.3">
      <c r="B7422" s="18" t="s">
        <v>1445</v>
      </c>
      <c r="C7422" s="13">
        <v>20</v>
      </c>
    </row>
    <row r="7423" spans="2:3" x14ac:dyDescent="0.3">
      <c r="B7423" s="18" t="s">
        <v>1443</v>
      </c>
      <c r="C7423" s="13">
        <v>21</v>
      </c>
    </row>
    <row r="7424" spans="2:3" x14ac:dyDescent="0.3">
      <c r="B7424" s="18" t="s">
        <v>1441</v>
      </c>
      <c r="C7424" s="13">
        <v>22</v>
      </c>
    </row>
    <row r="7425" spans="2:3" x14ac:dyDescent="0.3">
      <c r="B7425" s="18" t="s">
        <v>1439</v>
      </c>
      <c r="C7425" s="13">
        <v>23</v>
      </c>
    </row>
    <row r="7426" spans="2:3" x14ac:dyDescent="0.3">
      <c r="B7426" s="18" t="s">
        <v>1425</v>
      </c>
      <c r="C7426" s="13">
        <v>3</v>
      </c>
    </row>
    <row r="7427" spans="2:3" x14ac:dyDescent="0.3">
      <c r="B7427" s="18" t="s">
        <v>1419</v>
      </c>
      <c r="C7427" s="13">
        <v>4</v>
      </c>
    </row>
    <row r="7428" spans="2:3" x14ac:dyDescent="0.3">
      <c r="B7428" s="18" t="s">
        <v>1417</v>
      </c>
      <c r="C7428" s="13">
        <v>5</v>
      </c>
    </row>
    <row r="7429" spans="2:3" x14ac:dyDescent="0.3">
      <c r="B7429" s="18" t="s">
        <v>1415</v>
      </c>
      <c r="C7429" s="13">
        <v>6</v>
      </c>
    </row>
    <row r="7430" spans="2:3" x14ac:dyDescent="0.3">
      <c r="B7430" s="18" t="s">
        <v>1413</v>
      </c>
      <c r="C7430" s="13">
        <v>7</v>
      </c>
    </row>
    <row r="7431" spans="2:3" x14ac:dyDescent="0.3">
      <c r="B7431" s="18" t="s">
        <v>1411</v>
      </c>
      <c r="C7431" s="13">
        <v>8</v>
      </c>
    </row>
    <row r="7432" spans="2:3" x14ac:dyDescent="0.3">
      <c r="B7432" s="18" t="s">
        <v>1409</v>
      </c>
      <c r="C7432" s="13">
        <v>9</v>
      </c>
    </row>
    <row r="7433" spans="2:3" x14ac:dyDescent="0.3">
      <c r="B7433" s="18" t="s">
        <v>1407</v>
      </c>
      <c r="C7433" s="13">
        <v>46</v>
      </c>
    </row>
    <row r="7434" spans="2:3" x14ac:dyDescent="0.3">
      <c r="B7434" s="18" t="s">
        <v>1405</v>
      </c>
      <c r="C7434" s="13">
        <v>37</v>
      </c>
    </row>
    <row r="7435" spans="2:3" x14ac:dyDescent="0.3">
      <c r="B7435" s="18" t="s">
        <v>1403</v>
      </c>
      <c r="C7435" s="13">
        <v>36</v>
      </c>
    </row>
    <row r="7436" spans="2:3" x14ac:dyDescent="0.3">
      <c r="B7436" s="18" t="s">
        <v>1401</v>
      </c>
      <c r="C7436" s="13">
        <v>35</v>
      </c>
    </row>
    <row r="7437" spans="2:3" x14ac:dyDescent="0.3">
      <c r="B7437" s="18" t="s">
        <v>1399</v>
      </c>
      <c r="C7437" s="13">
        <v>34</v>
      </c>
    </row>
    <row r="7438" spans="2:3" x14ac:dyDescent="0.3">
      <c r="B7438" s="18" t="s">
        <v>1397</v>
      </c>
      <c r="C7438" s="13">
        <v>33</v>
      </c>
    </row>
    <row r="7439" spans="2:3" x14ac:dyDescent="0.3">
      <c r="B7439" s="18" t="s">
        <v>1395</v>
      </c>
      <c r="C7439" s="13">
        <v>32</v>
      </c>
    </row>
    <row r="7440" spans="2:3" x14ac:dyDescent="0.3">
      <c r="B7440" s="18" t="s">
        <v>1393</v>
      </c>
      <c r="C7440" s="13">
        <v>31</v>
      </c>
    </row>
    <row r="7441" spans="2:3" x14ac:dyDescent="0.3">
      <c r="B7441" s="18" t="s">
        <v>1391</v>
      </c>
      <c r="C7441" s="13">
        <v>30</v>
      </c>
    </row>
    <row r="7442" spans="2:3" x14ac:dyDescent="0.3">
      <c r="B7442" s="18" t="s">
        <v>1389</v>
      </c>
      <c r="C7442" s="13">
        <v>29</v>
      </c>
    </row>
    <row r="7443" spans="2:3" x14ac:dyDescent="0.3">
      <c r="B7443" s="18" t="s">
        <v>1387</v>
      </c>
      <c r="C7443" s="13">
        <v>28</v>
      </c>
    </row>
    <row r="7444" spans="2:3" x14ac:dyDescent="0.3">
      <c r="B7444" s="18" t="s">
        <v>1385</v>
      </c>
      <c r="C7444" s="13">
        <v>45</v>
      </c>
    </row>
    <row r="7445" spans="2:3" x14ac:dyDescent="0.3">
      <c r="B7445" s="18" t="s">
        <v>1383</v>
      </c>
      <c r="C7445" s="13">
        <v>27</v>
      </c>
    </row>
    <row r="7446" spans="2:3" x14ac:dyDescent="0.3">
      <c r="B7446" s="18" t="s">
        <v>1381</v>
      </c>
      <c r="C7446" s="13">
        <v>26</v>
      </c>
    </row>
    <row r="7447" spans="2:3" x14ac:dyDescent="0.3">
      <c r="B7447" s="18" t="s">
        <v>1379</v>
      </c>
      <c r="C7447" s="13">
        <v>25</v>
      </c>
    </row>
    <row r="7448" spans="2:3" x14ac:dyDescent="0.3">
      <c r="B7448" s="18" t="s">
        <v>1377</v>
      </c>
      <c r="C7448" s="13">
        <v>24</v>
      </c>
    </row>
    <row r="7449" spans="2:3" x14ac:dyDescent="0.3">
      <c r="B7449" s="18" t="s">
        <v>1363</v>
      </c>
      <c r="C7449" s="13">
        <v>44</v>
      </c>
    </row>
    <row r="7450" spans="2:3" x14ac:dyDescent="0.3">
      <c r="B7450" s="18" t="s">
        <v>1357</v>
      </c>
      <c r="C7450" s="13">
        <v>43</v>
      </c>
    </row>
    <row r="7451" spans="2:3" x14ac:dyDescent="0.3">
      <c r="B7451" s="18" t="s">
        <v>1355</v>
      </c>
      <c r="C7451" s="13">
        <v>42</v>
      </c>
    </row>
    <row r="7452" spans="2:3" x14ac:dyDescent="0.3">
      <c r="B7452" s="18" t="s">
        <v>1353</v>
      </c>
      <c r="C7452" s="13">
        <v>41</v>
      </c>
    </row>
    <row r="7453" spans="2:3" x14ac:dyDescent="0.3">
      <c r="B7453" s="18" t="s">
        <v>1351</v>
      </c>
      <c r="C7453" s="13">
        <v>40</v>
      </c>
    </row>
    <row r="7454" spans="2:3" x14ac:dyDescent="0.3">
      <c r="B7454" s="18" t="s">
        <v>1349</v>
      </c>
      <c r="C7454" s="13">
        <v>39</v>
      </c>
    </row>
    <row r="7455" spans="2:3" x14ac:dyDescent="0.3">
      <c r="B7455" s="18" t="s">
        <v>1347</v>
      </c>
      <c r="C7455" s="13">
        <v>38</v>
      </c>
    </row>
    <row r="7456" spans="2:3" x14ac:dyDescent="0.3">
      <c r="B7456" s="18" t="s">
        <v>9301</v>
      </c>
      <c r="C7456" s="13">
        <v>47</v>
      </c>
    </row>
    <row r="7457" spans="2:3" x14ac:dyDescent="0.3">
      <c r="B7457" s="18" t="s">
        <v>1345</v>
      </c>
      <c r="C7457" s="13">
        <v>56</v>
      </c>
    </row>
    <row r="7458" spans="2:3" x14ac:dyDescent="0.3">
      <c r="B7458" s="18" t="s">
        <v>1343</v>
      </c>
      <c r="C7458" s="13">
        <v>57</v>
      </c>
    </row>
    <row r="7459" spans="2:3" x14ac:dyDescent="0.3">
      <c r="B7459" s="18" t="s">
        <v>1341</v>
      </c>
      <c r="C7459" s="13">
        <v>58</v>
      </c>
    </row>
    <row r="7460" spans="2:3" x14ac:dyDescent="0.3">
      <c r="B7460" s="18" t="s">
        <v>1339</v>
      </c>
      <c r="C7460" s="13">
        <v>59</v>
      </c>
    </row>
    <row r="7461" spans="2:3" x14ac:dyDescent="0.3">
      <c r="B7461" s="18" t="s">
        <v>1337</v>
      </c>
      <c r="C7461" s="13">
        <v>60</v>
      </c>
    </row>
    <row r="7462" spans="2:3" x14ac:dyDescent="0.3">
      <c r="B7462" s="18" t="s">
        <v>1335</v>
      </c>
      <c r="C7462" s="13">
        <v>61</v>
      </c>
    </row>
    <row r="7463" spans="2:3" x14ac:dyDescent="0.3">
      <c r="B7463" s="18" t="s">
        <v>1333</v>
      </c>
      <c r="C7463" s="13">
        <v>62</v>
      </c>
    </row>
    <row r="7464" spans="2:3" x14ac:dyDescent="0.3">
      <c r="B7464" s="18" t="s">
        <v>1331</v>
      </c>
      <c r="C7464" s="13">
        <v>63</v>
      </c>
    </row>
    <row r="7465" spans="2:3" x14ac:dyDescent="0.3">
      <c r="B7465" s="18" t="s">
        <v>1329</v>
      </c>
      <c r="C7465" s="13">
        <v>64</v>
      </c>
    </row>
    <row r="7466" spans="2:3" x14ac:dyDescent="0.3">
      <c r="B7466" s="18" t="s">
        <v>1327</v>
      </c>
      <c r="C7466" s="13">
        <v>65</v>
      </c>
    </row>
    <row r="7467" spans="2:3" x14ac:dyDescent="0.3">
      <c r="B7467" s="18" t="s">
        <v>9302</v>
      </c>
      <c r="C7467" s="13">
        <v>48</v>
      </c>
    </row>
    <row r="7468" spans="2:3" x14ac:dyDescent="0.3">
      <c r="B7468" s="18" t="s">
        <v>1325</v>
      </c>
      <c r="C7468" s="13">
        <v>66</v>
      </c>
    </row>
    <row r="7469" spans="2:3" x14ac:dyDescent="0.3">
      <c r="B7469" s="18" t="s">
        <v>1323</v>
      </c>
      <c r="C7469" s="13">
        <v>67</v>
      </c>
    </row>
    <row r="7470" spans="2:3" x14ac:dyDescent="0.3">
      <c r="B7470" s="18" t="s">
        <v>1321</v>
      </c>
      <c r="C7470" s="13">
        <v>68</v>
      </c>
    </row>
    <row r="7471" spans="2:3" x14ac:dyDescent="0.3">
      <c r="B7471" s="18" t="s">
        <v>1319</v>
      </c>
      <c r="C7471" s="13">
        <v>69</v>
      </c>
    </row>
    <row r="7472" spans="2:3" x14ac:dyDescent="0.3">
      <c r="B7472" s="18" t="s">
        <v>1305</v>
      </c>
      <c r="C7472" s="13">
        <v>49</v>
      </c>
    </row>
    <row r="7473" spans="2:3" x14ac:dyDescent="0.3">
      <c r="B7473" s="18" t="s">
        <v>1299</v>
      </c>
      <c r="C7473" s="13">
        <v>50</v>
      </c>
    </row>
    <row r="7474" spans="2:3" x14ac:dyDescent="0.3">
      <c r="B7474" s="18" t="s">
        <v>1297</v>
      </c>
      <c r="C7474" s="13">
        <v>51</v>
      </c>
    </row>
    <row r="7475" spans="2:3" x14ac:dyDescent="0.3">
      <c r="B7475" s="18" t="s">
        <v>1295</v>
      </c>
      <c r="C7475" s="13">
        <v>52</v>
      </c>
    </row>
    <row r="7476" spans="2:3" x14ac:dyDescent="0.3">
      <c r="B7476" s="18" t="s">
        <v>1293</v>
      </c>
      <c r="C7476" s="13">
        <v>53</v>
      </c>
    </row>
    <row r="7477" spans="2:3" x14ac:dyDescent="0.3">
      <c r="B7477" s="18" t="s">
        <v>1291</v>
      </c>
      <c r="C7477" s="13">
        <v>54</v>
      </c>
    </row>
    <row r="7478" spans="2:3" x14ac:dyDescent="0.3">
      <c r="B7478" s="18" t="s">
        <v>1289</v>
      </c>
      <c r="C7478" s="13">
        <v>55</v>
      </c>
    </row>
    <row r="7479" spans="2:3" x14ac:dyDescent="0.3">
      <c r="B7479" s="18" t="s">
        <v>9303</v>
      </c>
      <c r="C7479" s="13">
        <v>83</v>
      </c>
    </row>
    <row r="7480" spans="2:3" x14ac:dyDescent="0.3">
      <c r="B7480" s="18" t="s">
        <v>9304</v>
      </c>
      <c r="C7480" s="13">
        <v>82</v>
      </c>
    </row>
    <row r="7481" spans="2:3" x14ac:dyDescent="0.3">
      <c r="B7481" s="18" t="s">
        <v>9305</v>
      </c>
      <c r="C7481" s="13">
        <v>81</v>
      </c>
    </row>
    <row r="7482" spans="2:3" x14ac:dyDescent="0.3">
      <c r="B7482" s="18" t="s">
        <v>9306</v>
      </c>
      <c r="C7482" s="13">
        <v>80</v>
      </c>
    </row>
    <row r="7483" spans="2:3" x14ac:dyDescent="0.3">
      <c r="B7483" s="18" t="s">
        <v>9307</v>
      </c>
      <c r="C7483" s="13">
        <v>79</v>
      </c>
    </row>
    <row r="7484" spans="2:3" x14ac:dyDescent="0.3">
      <c r="B7484" s="18" t="s">
        <v>9308</v>
      </c>
      <c r="C7484" s="13">
        <v>78</v>
      </c>
    </row>
    <row r="7485" spans="2:3" x14ac:dyDescent="0.3">
      <c r="B7485" s="18" t="s">
        <v>9309</v>
      </c>
      <c r="C7485" s="13">
        <v>77</v>
      </c>
    </row>
    <row r="7486" spans="2:3" x14ac:dyDescent="0.3">
      <c r="B7486" s="18" t="s">
        <v>9310</v>
      </c>
      <c r="C7486" s="13">
        <v>76</v>
      </c>
    </row>
    <row r="7487" spans="2:3" x14ac:dyDescent="0.3">
      <c r="B7487" s="18" t="s">
        <v>9311</v>
      </c>
      <c r="C7487" s="13">
        <v>75</v>
      </c>
    </row>
    <row r="7488" spans="2:3" x14ac:dyDescent="0.3">
      <c r="B7488" s="18" t="s">
        <v>9312</v>
      </c>
      <c r="C7488" s="13">
        <v>74</v>
      </c>
    </row>
    <row r="7489" spans="2:3" x14ac:dyDescent="0.3">
      <c r="B7489" s="18" t="s">
        <v>9313</v>
      </c>
      <c r="C7489" s="13">
        <v>91</v>
      </c>
    </row>
    <row r="7490" spans="2:3" x14ac:dyDescent="0.3">
      <c r="B7490" s="18" t="s">
        <v>9314</v>
      </c>
      <c r="C7490" s="13">
        <v>73</v>
      </c>
    </row>
    <row r="7491" spans="2:3" x14ac:dyDescent="0.3">
      <c r="B7491" s="18" t="s">
        <v>9315</v>
      </c>
      <c r="C7491" s="13">
        <v>72</v>
      </c>
    </row>
    <row r="7492" spans="2:3" x14ac:dyDescent="0.3">
      <c r="B7492" s="18" t="s">
        <v>9316</v>
      </c>
      <c r="C7492" s="13">
        <v>71</v>
      </c>
    </row>
    <row r="7493" spans="2:3" x14ac:dyDescent="0.3">
      <c r="B7493" s="18" t="s">
        <v>9317</v>
      </c>
      <c r="C7493" s="13">
        <v>70</v>
      </c>
    </row>
    <row r="7494" spans="2:3" x14ac:dyDescent="0.3">
      <c r="B7494" s="18" t="s">
        <v>9318</v>
      </c>
      <c r="C7494" s="13">
        <v>90</v>
      </c>
    </row>
    <row r="7495" spans="2:3" x14ac:dyDescent="0.3">
      <c r="B7495" s="18" t="s">
        <v>9319</v>
      </c>
      <c r="C7495" s="13">
        <v>89</v>
      </c>
    </row>
    <row r="7496" spans="2:3" x14ac:dyDescent="0.3">
      <c r="B7496" s="18" t="s">
        <v>9320</v>
      </c>
      <c r="C7496" s="13">
        <v>88</v>
      </c>
    </row>
    <row r="7497" spans="2:3" x14ac:dyDescent="0.3">
      <c r="B7497" s="18" t="s">
        <v>9321</v>
      </c>
      <c r="C7497" s="13">
        <v>87</v>
      </c>
    </row>
    <row r="7498" spans="2:3" x14ac:dyDescent="0.3">
      <c r="B7498" s="18" t="s">
        <v>9322</v>
      </c>
      <c r="C7498" s="13">
        <v>86</v>
      </c>
    </row>
    <row r="7499" spans="2:3" x14ac:dyDescent="0.3">
      <c r="B7499" s="18" t="s">
        <v>9323</v>
      </c>
      <c r="C7499" s="13">
        <v>85</v>
      </c>
    </row>
    <row r="7500" spans="2:3" x14ac:dyDescent="0.3">
      <c r="B7500" s="18" t="s">
        <v>9324</v>
      </c>
      <c r="C7500" s="13">
        <v>84</v>
      </c>
    </row>
    <row r="7501" spans="2:3" x14ac:dyDescent="0.3">
      <c r="B7501" s="18" t="s">
        <v>1287</v>
      </c>
      <c r="C7501" s="13">
        <v>1</v>
      </c>
    </row>
    <row r="7502" spans="2:3" x14ac:dyDescent="0.3">
      <c r="B7502" s="18" t="s">
        <v>1285</v>
      </c>
      <c r="C7502" s="13">
        <v>10</v>
      </c>
    </row>
    <row r="7503" spans="2:3" x14ac:dyDescent="0.3">
      <c r="B7503" s="18" t="s">
        <v>1283</v>
      </c>
      <c r="C7503" s="13">
        <v>11</v>
      </c>
    </row>
    <row r="7504" spans="2:3" x14ac:dyDescent="0.3">
      <c r="B7504" s="18" t="s">
        <v>1281</v>
      </c>
      <c r="C7504" s="13">
        <v>12</v>
      </c>
    </row>
    <row r="7505" spans="2:3" x14ac:dyDescent="0.3">
      <c r="B7505" s="18" t="s">
        <v>1279</v>
      </c>
      <c r="C7505" s="13">
        <v>13</v>
      </c>
    </row>
    <row r="7506" spans="2:3" x14ac:dyDescent="0.3">
      <c r="B7506" s="18" t="s">
        <v>1277</v>
      </c>
      <c r="C7506" s="13">
        <v>14</v>
      </c>
    </row>
    <row r="7507" spans="2:3" x14ac:dyDescent="0.3">
      <c r="B7507" s="18" t="s">
        <v>1275</v>
      </c>
      <c r="C7507" s="13">
        <v>15</v>
      </c>
    </row>
    <row r="7508" spans="2:3" x14ac:dyDescent="0.3">
      <c r="B7508" s="18" t="s">
        <v>1273</v>
      </c>
      <c r="C7508" s="13">
        <v>16</v>
      </c>
    </row>
    <row r="7509" spans="2:3" x14ac:dyDescent="0.3">
      <c r="B7509" s="18" t="s">
        <v>1271</v>
      </c>
      <c r="C7509" s="13">
        <v>17</v>
      </c>
    </row>
    <row r="7510" spans="2:3" x14ac:dyDescent="0.3">
      <c r="B7510" s="18" t="s">
        <v>1269</v>
      </c>
      <c r="C7510" s="13">
        <v>18</v>
      </c>
    </row>
    <row r="7511" spans="2:3" x14ac:dyDescent="0.3">
      <c r="B7511" s="18" t="s">
        <v>1267</v>
      </c>
      <c r="C7511" s="13">
        <v>19</v>
      </c>
    </row>
    <row r="7512" spans="2:3" x14ac:dyDescent="0.3">
      <c r="B7512" s="18" t="s">
        <v>1265</v>
      </c>
      <c r="C7512" s="13">
        <v>2</v>
      </c>
    </row>
    <row r="7513" spans="2:3" x14ac:dyDescent="0.3">
      <c r="B7513" s="18" t="s">
        <v>1263</v>
      </c>
      <c r="C7513" s="13">
        <v>20</v>
      </c>
    </row>
    <row r="7514" spans="2:3" x14ac:dyDescent="0.3">
      <c r="B7514" s="18" t="s">
        <v>1261</v>
      </c>
      <c r="C7514" s="13">
        <v>21</v>
      </c>
    </row>
    <row r="7515" spans="2:3" x14ac:dyDescent="0.3">
      <c r="B7515" s="18" t="s">
        <v>1259</v>
      </c>
      <c r="C7515" s="13">
        <v>22</v>
      </c>
    </row>
    <row r="7516" spans="2:3" x14ac:dyDescent="0.3">
      <c r="B7516" s="18" t="s">
        <v>1257</v>
      </c>
      <c r="C7516" s="13">
        <v>23</v>
      </c>
    </row>
    <row r="7517" spans="2:3" x14ac:dyDescent="0.3">
      <c r="B7517" s="18" t="s">
        <v>1243</v>
      </c>
      <c r="C7517" s="13">
        <v>3</v>
      </c>
    </row>
    <row r="7518" spans="2:3" x14ac:dyDescent="0.3">
      <c r="B7518" s="18" t="s">
        <v>1237</v>
      </c>
      <c r="C7518" s="13">
        <v>4</v>
      </c>
    </row>
    <row r="7519" spans="2:3" x14ac:dyDescent="0.3">
      <c r="B7519" s="18" t="s">
        <v>1235</v>
      </c>
      <c r="C7519" s="13">
        <v>5</v>
      </c>
    </row>
    <row r="7520" spans="2:3" x14ac:dyDescent="0.3">
      <c r="B7520" s="18" t="s">
        <v>1233</v>
      </c>
      <c r="C7520" s="13">
        <v>6</v>
      </c>
    </row>
    <row r="7521" spans="2:3" x14ac:dyDescent="0.3">
      <c r="B7521" s="18" t="s">
        <v>1231</v>
      </c>
      <c r="C7521" s="13">
        <v>7</v>
      </c>
    </row>
    <row r="7522" spans="2:3" x14ac:dyDescent="0.3">
      <c r="B7522" s="18" t="s">
        <v>1229</v>
      </c>
      <c r="C7522" s="13">
        <v>8</v>
      </c>
    </row>
    <row r="7523" spans="2:3" x14ac:dyDescent="0.3">
      <c r="B7523" s="18" t="s">
        <v>1227</v>
      </c>
      <c r="C7523" s="13">
        <v>9</v>
      </c>
    </row>
    <row r="7524" spans="2:3" x14ac:dyDescent="0.3">
      <c r="B7524" s="18" t="s">
        <v>1225</v>
      </c>
      <c r="C7524" s="13">
        <v>46</v>
      </c>
    </row>
    <row r="7525" spans="2:3" x14ac:dyDescent="0.3">
      <c r="B7525" s="18" t="s">
        <v>1223</v>
      </c>
      <c r="C7525" s="13">
        <v>37</v>
      </c>
    </row>
    <row r="7526" spans="2:3" x14ac:dyDescent="0.3">
      <c r="B7526" s="18" t="s">
        <v>1221</v>
      </c>
      <c r="C7526" s="13">
        <v>36</v>
      </c>
    </row>
    <row r="7527" spans="2:3" x14ac:dyDescent="0.3">
      <c r="B7527" s="18" t="s">
        <v>1219</v>
      </c>
      <c r="C7527" s="13">
        <v>35</v>
      </c>
    </row>
    <row r="7528" spans="2:3" x14ac:dyDescent="0.3">
      <c r="B7528" s="18" t="s">
        <v>1217</v>
      </c>
      <c r="C7528" s="13">
        <v>34</v>
      </c>
    </row>
    <row r="7529" spans="2:3" x14ac:dyDescent="0.3">
      <c r="B7529" s="18" t="s">
        <v>1215</v>
      </c>
      <c r="C7529" s="13">
        <v>33</v>
      </c>
    </row>
    <row r="7530" spans="2:3" x14ac:dyDescent="0.3">
      <c r="B7530" s="18" t="s">
        <v>1213</v>
      </c>
      <c r="C7530" s="13">
        <v>32</v>
      </c>
    </row>
    <row r="7531" spans="2:3" x14ac:dyDescent="0.3">
      <c r="B7531" s="18" t="s">
        <v>1211</v>
      </c>
      <c r="C7531" s="13">
        <v>31</v>
      </c>
    </row>
    <row r="7532" spans="2:3" x14ac:dyDescent="0.3">
      <c r="B7532" s="18" t="s">
        <v>1209</v>
      </c>
      <c r="C7532" s="13">
        <v>30</v>
      </c>
    </row>
    <row r="7533" spans="2:3" x14ac:dyDescent="0.3">
      <c r="B7533" s="18" t="s">
        <v>1207</v>
      </c>
      <c r="C7533" s="13">
        <v>29</v>
      </c>
    </row>
    <row r="7534" spans="2:3" x14ac:dyDescent="0.3">
      <c r="B7534" s="18" t="s">
        <v>1205</v>
      </c>
      <c r="C7534" s="13">
        <v>28</v>
      </c>
    </row>
    <row r="7535" spans="2:3" x14ac:dyDescent="0.3">
      <c r="B7535" s="18" t="s">
        <v>1203</v>
      </c>
      <c r="C7535" s="13">
        <v>45</v>
      </c>
    </row>
    <row r="7536" spans="2:3" x14ac:dyDescent="0.3">
      <c r="B7536" s="18" t="s">
        <v>1201</v>
      </c>
      <c r="C7536" s="13">
        <v>27</v>
      </c>
    </row>
    <row r="7537" spans="2:3" x14ac:dyDescent="0.3">
      <c r="B7537" s="18" t="s">
        <v>1199</v>
      </c>
      <c r="C7537" s="13">
        <v>26</v>
      </c>
    </row>
    <row r="7538" spans="2:3" x14ac:dyDescent="0.3">
      <c r="B7538" s="18" t="s">
        <v>1197</v>
      </c>
      <c r="C7538" s="13">
        <v>25</v>
      </c>
    </row>
    <row r="7539" spans="2:3" x14ac:dyDescent="0.3">
      <c r="B7539" s="18" t="s">
        <v>1195</v>
      </c>
      <c r="C7539" s="13">
        <v>24</v>
      </c>
    </row>
    <row r="7540" spans="2:3" x14ac:dyDescent="0.3">
      <c r="B7540" s="18" t="s">
        <v>1181</v>
      </c>
      <c r="C7540" s="13">
        <v>44</v>
      </c>
    </row>
    <row r="7541" spans="2:3" x14ac:dyDescent="0.3">
      <c r="B7541" s="18" t="s">
        <v>1175</v>
      </c>
      <c r="C7541" s="13">
        <v>43</v>
      </c>
    </row>
    <row r="7542" spans="2:3" x14ac:dyDescent="0.3">
      <c r="B7542" s="18" t="s">
        <v>1173</v>
      </c>
      <c r="C7542" s="13">
        <v>42</v>
      </c>
    </row>
    <row r="7543" spans="2:3" x14ac:dyDescent="0.3">
      <c r="B7543" s="18" t="s">
        <v>1171</v>
      </c>
      <c r="C7543" s="13">
        <v>41</v>
      </c>
    </row>
    <row r="7544" spans="2:3" x14ac:dyDescent="0.3">
      <c r="B7544" s="18" t="s">
        <v>1169</v>
      </c>
      <c r="C7544" s="13">
        <v>40</v>
      </c>
    </row>
    <row r="7545" spans="2:3" x14ac:dyDescent="0.3">
      <c r="B7545" s="18" t="s">
        <v>1167</v>
      </c>
      <c r="C7545" s="13">
        <v>39</v>
      </c>
    </row>
    <row r="7546" spans="2:3" x14ac:dyDescent="0.3">
      <c r="B7546" s="18" t="s">
        <v>1165</v>
      </c>
      <c r="C7546" s="13">
        <v>38</v>
      </c>
    </row>
    <row r="7547" spans="2:3" x14ac:dyDescent="0.3">
      <c r="B7547" s="18" t="s">
        <v>9325</v>
      </c>
      <c r="C7547" s="13">
        <v>47</v>
      </c>
    </row>
    <row r="7548" spans="2:3" x14ac:dyDescent="0.3">
      <c r="B7548" s="18" t="s">
        <v>1163</v>
      </c>
      <c r="C7548" s="13">
        <v>56</v>
      </c>
    </row>
    <row r="7549" spans="2:3" x14ac:dyDescent="0.3">
      <c r="B7549" s="18" t="s">
        <v>1161</v>
      </c>
      <c r="C7549" s="13">
        <v>57</v>
      </c>
    </row>
    <row r="7550" spans="2:3" x14ac:dyDescent="0.3">
      <c r="B7550" s="18" t="s">
        <v>1159</v>
      </c>
      <c r="C7550" s="13">
        <v>58</v>
      </c>
    </row>
    <row r="7551" spans="2:3" x14ac:dyDescent="0.3">
      <c r="B7551" s="18" t="s">
        <v>1157</v>
      </c>
      <c r="C7551" s="13">
        <v>59</v>
      </c>
    </row>
    <row r="7552" spans="2:3" x14ac:dyDescent="0.3">
      <c r="B7552" s="18" t="s">
        <v>1155</v>
      </c>
      <c r="C7552" s="13">
        <v>60</v>
      </c>
    </row>
    <row r="7553" spans="2:3" x14ac:dyDescent="0.3">
      <c r="B7553" s="18" t="s">
        <v>1153</v>
      </c>
      <c r="C7553" s="13">
        <v>61</v>
      </c>
    </row>
    <row r="7554" spans="2:3" x14ac:dyDescent="0.3">
      <c r="B7554" s="18" t="s">
        <v>1151</v>
      </c>
      <c r="C7554" s="13">
        <v>62</v>
      </c>
    </row>
    <row r="7555" spans="2:3" x14ac:dyDescent="0.3">
      <c r="B7555" s="18" t="s">
        <v>1149</v>
      </c>
      <c r="C7555" s="13">
        <v>63</v>
      </c>
    </row>
    <row r="7556" spans="2:3" x14ac:dyDescent="0.3">
      <c r="B7556" s="18" t="s">
        <v>1147</v>
      </c>
      <c r="C7556" s="13">
        <v>64</v>
      </c>
    </row>
    <row r="7557" spans="2:3" x14ac:dyDescent="0.3">
      <c r="B7557" s="18" t="s">
        <v>1145</v>
      </c>
      <c r="C7557" s="13">
        <v>65</v>
      </c>
    </row>
    <row r="7558" spans="2:3" x14ac:dyDescent="0.3">
      <c r="B7558" s="18" t="s">
        <v>1143</v>
      </c>
      <c r="C7558" s="13">
        <v>48</v>
      </c>
    </row>
    <row r="7559" spans="2:3" x14ac:dyDescent="0.3">
      <c r="B7559" s="18" t="s">
        <v>1141</v>
      </c>
      <c r="C7559" s="13">
        <v>66</v>
      </c>
    </row>
    <row r="7560" spans="2:3" x14ac:dyDescent="0.3">
      <c r="B7560" s="18" t="s">
        <v>1139</v>
      </c>
      <c r="C7560" s="13">
        <v>67</v>
      </c>
    </row>
    <row r="7561" spans="2:3" x14ac:dyDescent="0.3">
      <c r="B7561" s="18" t="s">
        <v>1137</v>
      </c>
      <c r="C7561" s="13">
        <v>68</v>
      </c>
    </row>
    <row r="7562" spans="2:3" x14ac:dyDescent="0.3">
      <c r="B7562" s="18" t="s">
        <v>1135</v>
      </c>
      <c r="C7562" s="13">
        <v>69</v>
      </c>
    </row>
    <row r="7563" spans="2:3" x14ac:dyDescent="0.3">
      <c r="B7563" s="18" t="s">
        <v>1121</v>
      </c>
      <c r="C7563" s="13">
        <v>49</v>
      </c>
    </row>
    <row r="7564" spans="2:3" x14ac:dyDescent="0.3">
      <c r="B7564" s="18" t="s">
        <v>1115</v>
      </c>
      <c r="C7564" s="13">
        <v>50</v>
      </c>
    </row>
    <row r="7565" spans="2:3" x14ac:dyDescent="0.3">
      <c r="B7565" s="18" t="s">
        <v>1113</v>
      </c>
      <c r="C7565" s="13">
        <v>51</v>
      </c>
    </row>
    <row r="7566" spans="2:3" x14ac:dyDescent="0.3">
      <c r="B7566" s="18" t="s">
        <v>1111</v>
      </c>
      <c r="C7566" s="13">
        <v>52</v>
      </c>
    </row>
    <row r="7567" spans="2:3" x14ac:dyDescent="0.3">
      <c r="B7567" s="18" t="s">
        <v>1109</v>
      </c>
      <c r="C7567" s="13">
        <v>53</v>
      </c>
    </row>
    <row r="7568" spans="2:3" x14ac:dyDescent="0.3">
      <c r="B7568" s="18" t="s">
        <v>1107</v>
      </c>
      <c r="C7568" s="13">
        <v>54</v>
      </c>
    </row>
    <row r="7569" spans="2:3" x14ac:dyDescent="0.3">
      <c r="B7569" s="18" t="s">
        <v>1105</v>
      </c>
      <c r="C7569" s="13">
        <v>55</v>
      </c>
    </row>
    <row r="7570" spans="2:3" x14ac:dyDescent="0.3">
      <c r="B7570" s="18" t="s">
        <v>9326</v>
      </c>
      <c r="C7570" s="13">
        <v>92</v>
      </c>
    </row>
    <row r="7571" spans="2:3" x14ac:dyDescent="0.3">
      <c r="B7571" s="18" t="s">
        <v>9327</v>
      </c>
      <c r="C7571" s="13">
        <v>83</v>
      </c>
    </row>
    <row r="7572" spans="2:3" x14ac:dyDescent="0.3">
      <c r="B7572" s="18" t="s">
        <v>9328</v>
      </c>
      <c r="C7572" s="13">
        <v>82</v>
      </c>
    </row>
    <row r="7573" spans="2:3" x14ac:dyDescent="0.3">
      <c r="B7573" s="18" t="s">
        <v>9329</v>
      </c>
      <c r="C7573" s="13">
        <v>81</v>
      </c>
    </row>
    <row r="7574" spans="2:3" x14ac:dyDescent="0.3">
      <c r="B7574" s="18" t="s">
        <v>9330</v>
      </c>
      <c r="C7574" s="13">
        <v>80</v>
      </c>
    </row>
    <row r="7575" spans="2:3" x14ac:dyDescent="0.3">
      <c r="B7575" s="18" t="s">
        <v>9331</v>
      </c>
      <c r="C7575" s="13">
        <v>79</v>
      </c>
    </row>
    <row r="7576" spans="2:3" x14ac:dyDescent="0.3">
      <c r="B7576" s="18" t="s">
        <v>9332</v>
      </c>
      <c r="C7576" s="13">
        <v>78</v>
      </c>
    </row>
    <row r="7577" spans="2:3" x14ac:dyDescent="0.3">
      <c r="B7577" s="18" t="s">
        <v>9333</v>
      </c>
      <c r="C7577" s="13">
        <v>77</v>
      </c>
    </row>
    <row r="7578" spans="2:3" x14ac:dyDescent="0.3">
      <c r="B7578" s="18" t="s">
        <v>9334</v>
      </c>
      <c r="C7578" s="13">
        <v>76</v>
      </c>
    </row>
    <row r="7579" spans="2:3" x14ac:dyDescent="0.3">
      <c r="B7579" s="18" t="s">
        <v>9335</v>
      </c>
      <c r="C7579" s="13">
        <v>75</v>
      </c>
    </row>
    <row r="7580" spans="2:3" x14ac:dyDescent="0.3">
      <c r="B7580" s="18" t="s">
        <v>9336</v>
      </c>
      <c r="C7580" s="13">
        <v>74</v>
      </c>
    </row>
    <row r="7581" spans="2:3" x14ac:dyDescent="0.3">
      <c r="B7581" s="18" t="s">
        <v>9337</v>
      </c>
      <c r="C7581" s="13">
        <v>91</v>
      </c>
    </row>
    <row r="7582" spans="2:3" x14ac:dyDescent="0.3">
      <c r="B7582" s="18" t="s">
        <v>9338</v>
      </c>
      <c r="C7582" s="13">
        <v>73</v>
      </c>
    </row>
    <row r="7583" spans="2:3" x14ac:dyDescent="0.3">
      <c r="B7583" s="18" t="s">
        <v>9339</v>
      </c>
      <c r="C7583" s="13">
        <v>72</v>
      </c>
    </row>
    <row r="7584" spans="2:3" x14ac:dyDescent="0.3">
      <c r="B7584" s="18" t="s">
        <v>9340</v>
      </c>
      <c r="C7584" s="13">
        <v>71</v>
      </c>
    </row>
    <row r="7585" spans="2:3" x14ac:dyDescent="0.3">
      <c r="B7585" s="18" t="s">
        <v>9341</v>
      </c>
      <c r="C7585" s="13">
        <v>70</v>
      </c>
    </row>
    <row r="7586" spans="2:3" x14ac:dyDescent="0.3">
      <c r="B7586" s="18" t="s">
        <v>9342</v>
      </c>
      <c r="C7586" s="13">
        <v>90</v>
      </c>
    </row>
    <row r="7587" spans="2:3" x14ac:dyDescent="0.3">
      <c r="B7587" s="18" t="s">
        <v>9343</v>
      </c>
      <c r="C7587" s="13">
        <v>89</v>
      </c>
    </row>
    <row r="7588" spans="2:3" x14ac:dyDescent="0.3">
      <c r="B7588" s="18" t="s">
        <v>9344</v>
      </c>
      <c r="C7588" s="13">
        <v>88</v>
      </c>
    </row>
    <row r="7589" spans="2:3" x14ac:dyDescent="0.3">
      <c r="B7589" s="18" t="s">
        <v>9345</v>
      </c>
      <c r="C7589" s="13">
        <v>87</v>
      </c>
    </row>
    <row r="7590" spans="2:3" x14ac:dyDescent="0.3">
      <c r="B7590" s="18" t="s">
        <v>9346</v>
      </c>
      <c r="C7590" s="13">
        <v>86</v>
      </c>
    </row>
    <row r="7591" spans="2:3" x14ac:dyDescent="0.3">
      <c r="B7591" s="18" t="s">
        <v>9347</v>
      </c>
      <c r="C7591" s="13">
        <v>85</v>
      </c>
    </row>
    <row r="7592" spans="2:3" x14ac:dyDescent="0.3">
      <c r="B7592" s="18" t="s">
        <v>9348</v>
      </c>
      <c r="C7592" s="13">
        <v>84</v>
      </c>
    </row>
    <row r="7593" spans="2:3" x14ac:dyDescent="0.3">
      <c r="B7593" s="18" t="s">
        <v>1103</v>
      </c>
      <c r="C7593" s="13">
        <v>1</v>
      </c>
    </row>
    <row r="7594" spans="2:3" x14ac:dyDescent="0.3">
      <c r="B7594" s="18" t="s">
        <v>1101</v>
      </c>
      <c r="C7594" s="13">
        <v>10</v>
      </c>
    </row>
    <row r="7595" spans="2:3" x14ac:dyDescent="0.3">
      <c r="B7595" s="18" t="s">
        <v>1099</v>
      </c>
      <c r="C7595" s="13">
        <v>11</v>
      </c>
    </row>
    <row r="7596" spans="2:3" x14ac:dyDescent="0.3">
      <c r="B7596" s="18" t="s">
        <v>1097</v>
      </c>
      <c r="C7596" s="13">
        <v>12</v>
      </c>
    </row>
    <row r="7597" spans="2:3" x14ac:dyDescent="0.3">
      <c r="B7597" s="18" t="s">
        <v>1095</v>
      </c>
      <c r="C7597" s="13">
        <v>13</v>
      </c>
    </row>
    <row r="7598" spans="2:3" x14ac:dyDescent="0.3">
      <c r="B7598" s="18" t="s">
        <v>1093</v>
      </c>
      <c r="C7598" s="13">
        <v>14</v>
      </c>
    </row>
    <row r="7599" spans="2:3" x14ac:dyDescent="0.3">
      <c r="B7599" s="18" t="s">
        <v>1091</v>
      </c>
      <c r="C7599" s="13">
        <v>15</v>
      </c>
    </row>
    <row r="7600" spans="2:3" x14ac:dyDescent="0.3">
      <c r="B7600" s="18" t="s">
        <v>1089</v>
      </c>
      <c r="C7600" s="13">
        <v>16</v>
      </c>
    </row>
    <row r="7601" spans="2:3" x14ac:dyDescent="0.3">
      <c r="B7601" s="18" t="s">
        <v>1087</v>
      </c>
      <c r="C7601" s="13">
        <v>17</v>
      </c>
    </row>
    <row r="7602" spans="2:3" x14ac:dyDescent="0.3">
      <c r="B7602" s="18" t="s">
        <v>1085</v>
      </c>
      <c r="C7602" s="13">
        <v>18</v>
      </c>
    </row>
    <row r="7603" spans="2:3" x14ac:dyDescent="0.3">
      <c r="B7603" s="18" t="s">
        <v>1083</v>
      </c>
      <c r="C7603" s="13">
        <v>19</v>
      </c>
    </row>
    <row r="7604" spans="2:3" x14ac:dyDescent="0.3">
      <c r="B7604" s="18" t="s">
        <v>1081</v>
      </c>
      <c r="C7604" s="13">
        <v>2</v>
      </c>
    </row>
    <row r="7605" spans="2:3" x14ac:dyDescent="0.3">
      <c r="B7605" s="18" t="s">
        <v>1079</v>
      </c>
      <c r="C7605" s="13">
        <v>20</v>
      </c>
    </row>
    <row r="7606" spans="2:3" x14ac:dyDescent="0.3">
      <c r="B7606" s="18" t="s">
        <v>1077</v>
      </c>
      <c r="C7606" s="13">
        <v>21</v>
      </c>
    </row>
    <row r="7607" spans="2:3" x14ac:dyDescent="0.3">
      <c r="B7607" s="18" t="s">
        <v>1075</v>
      </c>
      <c r="C7607" s="13">
        <v>22</v>
      </c>
    </row>
    <row r="7608" spans="2:3" x14ac:dyDescent="0.3">
      <c r="B7608" s="18" t="s">
        <v>1073</v>
      </c>
      <c r="C7608" s="13">
        <v>23</v>
      </c>
    </row>
    <row r="7609" spans="2:3" x14ac:dyDescent="0.3">
      <c r="B7609" s="18" t="s">
        <v>1071</v>
      </c>
      <c r="C7609" s="13">
        <v>24</v>
      </c>
    </row>
    <row r="7610" spans="2:3" x14ac:dyDescent="0.3">
      <c r="B7610" s="18" t="s">
        <v>1059</v>
      </c>
      <c r="C7610" s="13">
        <v>3</v>
      </c>
    </row>
    <row r="7611" spans="2:3" x14ac:dyDescent="0.3">
      <c r="B7611" s="18" t="s">
        <v>1053</v>
      </c>
      <c r="C7611" s="13">
        <v>4</v>
      </c>
    </row>
    <row r="7612" spans="2:3" x14ac:dyDescent="0.3">
      <c r="B7612" s="18" t="s">
        <v>1051</v>
      </c>
      <c r="C7612" s="13">
        <v>5</v>
      </c>
    </row>
    <row r="7613" spans="2:3" x14ac:dyDescent="0.3">
      <c r="B7613" s="18" t="s">
        <v>1049</v>
      </c>
      <c r="C7613" s="13">
        <v>6</v>
      </c>
    </row>
    <row r="7614" spans="2:3" x14ac:dyDescent="0.3">
      <c r="B7614" s="18" t="s">
        <v>1047</v>
      </c>
      <c r="C7614" s="13">
        <v>7</v>
      </c>
    </row>
    <row r="7615" spans="2:3" x14ac:dyDescent="0.3">
      <c r="B7615" s="18" t="s">
        <v>1045</v>
      </c>
      <c r="C7615" s="13">
        <v>8</v>
      </c>
    </row>
    <row r="7616" spans="2:3" x14ac:dyDescent="0.3">
      <c r="B7616" s="18" t="s">
        <v>1043</v>
      </c>
      <c r="C7616" s="13">
        <v>9</v>
      </c>
    </row>
    <row r="7617" spans="2:3" x14ac:dyDescent="0.3">
      <c r="B7617" s="18" t="s">
        <v>1041</v>
      </c>
      <c r="C7617" s="13">
        <v>48</v>
      </c>
    </row>
    <row r="7618" spans="2:3" x14ac:dyDescent="0.3">
      <c r="B7618" s="18" t="s">
        <v>1039</v>
      </c>
      <c r="C7618" s="13">
        <v>39</v>
      </c>
    </row>
    <row r="7619" spans="2:3" x14ac:dyDescent="0.3">
      <c r="B7619" s="18" t="s">
        <v>1037</v>
      </c>
      <c r="C7619" s="13">
        <v>38</v>
      </c>
    </row>
    <row r="7620" spans="2:3" x14ac:dyDescent="0.3">
      <c r="B7620" s="18" t="s">
        <v>1035</v>
      </c>
      <c r="C7620" s="13">
        <v>37</v>
      </c>
    </row>
    <row r="7621" spans="2:3" x14ac:dyDescent="0.3">
      <c r="B7621" s="18" t="s">
        <v>1033</v>
      </c>
      <c r="C7621" s="13">
        <v>36</v>
      </c>
    </row>
    <row r="7622" spans="2:3" x14ac:dyDescent="0.3">
      <c r="B7622" s="18" t="s">
        <v>1031</v>
      </c>
      <c r="C7622" s="13">
        <v>35</v>
      </c>
    </row>
    <row r="7623" spans="2:3" x14ac:dyDescent="0.3">
      <c r="B7623" s="18" t="s">
        <v>1029</v>
      </c>
      <c r="C7623" s="13">
        <v>34</v>
      </c>
    </row>
    <row r="7624" spans="2:3" x14ac:dyDescent="0.3">
      <c r="B7624" s="18" t="s">
        <v>1027</v>
      </c>
      <c r="C7624" s="13">
        <v>33</v>
      </c>
    </row>
    <row r="7625" spans="2:3" x14ac:dyDescent="0.3">
      <c r="B7625" s="18" t="s">
        <v>1025</v>
      </c>
      <c r="C7625" s="13">
        <v>32</v>
      </c>
    </row>
    <row r="7626" spans="2:3" x14ac:dyDescent="0.3">
      <c r="B7626" s="18" t="s">
        <v>1023</v>
      </c>
      <c r="C7626" s="13">
        <v>31</v>
      </c>
    </row>
    <row r="7627" spans="2:3" x14ac:dyDescent="0.3">
      <c r="B7627" s="18" t="s">
        <v>1021</v>
      </c>
      <c r="C7627" s="13">
        <v>30</v>
      </c>
    </row>
    <row r="7628" spans="2:3" x14ac:dyDescent="0.3">
      <c r="B7628" s="18" t="s">
        <v>1019</v>
      </c>
      <c r="C7628" s="13">
        <v>47</v>
      </c>
    </row>
    <row r="7629" spans="2:3" x14ac:dyDescent="0.3">
      <c r="B7629" s="18" t="s">
        <v>1017</v>
      </c>
      <c r="C7629" s="13">
        <v>29</v>
      </c>
    </row>
    <row r="7630" spans="2:3" x14ac:dyDescent="0.3">
      <c r="B7630" s="18" t="s">
        <v>1015</v>
      </c>
      <c r="C7630" s="13">
        <v>28</v>
      </c>
    </row>
    <row r="7631" spans="2:3" x14ac:dyDescent="0.3">
      <c r="B7631" s="18" t="s">
        <v>1013</v>
      </c>
      <c r="C7631" s="13">
        <v>27</v>
      </c>
    </row>
    <row r="7632" spans="2:3" x14ac:dyDescent="0.3">
      <c r="B7632" s="18" t="s">
        <v>1011</v>
      </c>
      <c r="C7632" s="13">
        <v>26</v>
      </c>
    </row>
    <row r="7633" spans="2:3" x14ac:dyDescent="0.3">
      <c r="B7633" s="18" t="s">
        <v>1009</v>
      </c>
      <c r="C7633" s="13">
        <v>25</v>
      </c>
    </row>
    <row r="7634" spans="2:3" x14ac:dyDescent="0.3">
      <c r="B7634" s="18" t="s">
        <v>997</v>
      </c>
      <c r="C7634" s="13">
        <v>46</v>
      </c>
    </row>
    <row r="7635" spans="2:3" x14ac:dyDescent="0.3">
      <c r="B7635" s="18" t="s">
        <v>991</v>
      </c>
      <c r="C7635" s="13">
        <v>45</v>
      </c>
    </row>
    <row r="7636" spans="2:3" x14ac:dyDescent="0.3">
      <c r="B7636" s="18" t="s">
        <v>989</v>
      </c>
      <c r="C7636" s="13">
        <v>44</v>
      </c>
    </row>
    <row r="7637" spans="2:3" x14ac:dyDescent="0.3">
      <c r="B7637" s="18" t="s">
        <v>987</v>
      </c>
      <c r="C7637" s="13">
        <v>43</v>
      </c>
    </row>
    <row r="7638" spans="2:3" x14ac:dyDescent="0.3">
      <c r="B7638" s="18" t="s">
        <v>985</v>
      </c>
      <c r="C7638" s="13">
        <v>42</v>
      </c>
    </row>
    <row r="7639" spans="2:3" x14ac:dyDescent="0.3">
      <c r="B7639" s="18" t="s">
        <v>983</v>
      </c>
      <c r="C7639" s="13">
        <v>41</v>
      </c>
    </row>
    <row r="7640" spans="2:3" x14ac:dyDescent="0.3">
      <c r="B7640" s="18" t="s">
        <v>981</v>
      </c>
      <c r="C7640" s="13">
        <v>40</v>
      </c>
    </row>
    <row r="7641" spans="2:3" x14ac:dyDescent="0.3">
      <c r="B7641" s="18" t="s">
        <v>979</v>
      </c>
      <c r="C7641" s="13">
        <v>49</v>
      </c>
    </row>
    <row r="7642" spans="2:3" x14ac:dyDescent="0.3">
      <c r="B7642" s="18" t="s">
        <v>977</v>
      </c>
      <c r="C7642" s="13">
        <v>58</v>
      </c>
    </row>
    <row r="7643" spans="2:3" x14ac:dyDescent="0.3">
      <c r="B7643" s="18" t="s">
        <v>975</v>
      </c>
      <c r="C7643" s="13">
        <v>59</v>
      </c>
    </row>
    <row r="7644" spans="2:3" x14ac:dyDescent="0.3">
      <c r="B7644" s="18" t="s">
        <v>973</v>
      </c>
      <c r="C7644" s="13">
        <v>60</v>
      </c>
    </row>
    <row r="7645" spans="2:3" x14ac:dyDescent="0.3">
      <c r="B7645" s="18" t="s">
        <v>971</v>
      </c>
      <c r="C7645" s="13">
        <v>61</v>
      </c>
    </row>
    <row r="7646" spans="2:3" x14ac:dyDescent="0.3">
      <c r="B7646" s="18" t="s">
        <v>969</v>
      </c>
      <c r="C7646" s="13">
        <v>62</v>
      </c>
    </row>
    <row r="7647" spans="2:3" x14ac:dyDescent="0.3">
      <c r="B7647" s="18" t="s">
        <v>967</v>
      </c>
      <c r="C7647" s="13">
        <v>63</v>
      </c>
    </row>
    <row r="7648" spans="2:3" x14ac:dyDescent="0.3">
      <c r="B7648" s="18" t="s">
        <v>965</v>
      </c>
      <c r="C7648" s="13">
        <v>64</v>
      </c>
    </row>
    <row r="7649" spans="2:3" x14ac:dyDescent="0.3">
      <c r="B7649" s="18" t="s">
        <v>963</v>
      </c>
      <c r="C7649" s="13">
        <v>65</v>
      </c>
    </row>
    <row r="7650" spans="2:3" x14ac:dyDescent="0.3">
      <c r="B7650" s="18" t="s">
        <v>961</v>
      </c>
      <c r="C7650" s="13">
        <v>66</v>
      </c>
    </row>
    <row r="7651" spans="2:3" x14ac:dyDescent="0.3">
      <c r="B7651" s="18" t="s">
        <v>959</v>
      </c>
      <c r="C7651" s="13">
        <v>67</v>
      </c>
    </row>
    <row r="7652" spans="2:3" x14ac:dyDescent="0.3">
      <c r="B7652" s="18" t="s">
        <v>957</v>
      </c>
      <c r="C7652" s="13">
        <v>50</v>
      </c>
    </row>
    <row r="7653" spans="2:3" x14ac:dyDescent="0.3">
      <c r="B7653" s="18" t="s">
        <v>955</v>
      </c>
      <c r="C7653" s="13">
        <v>68</v>
      </c>
    </row>
    <row r="7654" spans="2:3" x14ac:dyDescent="0.3">
      <c r="B7654" s="18" t="s">
        <v>953</v>
      </c>
      <c r="C7654" s="13">
        <v>69</v>
      </c>
    </row>
    <row r="7655" spans="2:3" x14ac:dyDescent="0.3">
      <c r="B7655" s="18" t="s">
        <v>951</v>
      </c>
      <c r="C7655" s="13">
        <v>70</v>
      </c>
    </row>
    <row r="7656" spans="2:3" x14ac:dyDescent="0.3">
      <c r="B7656" s="18" t="s">
        <v>949</v>
      </c>
      <c r="C7656" s="13">
        <v>71</v>
      </c>
    </row>
    <row r="7657" spans="2:3" x14ac:dyDescent="0.3">
      <c r="B7657" s="18" t="s">
        <v>947</v>
      </c>
      <c r="C7657" s="13">
        <v>72</v>
      </c>
    </row>
    <row r="7658" spans="2:3" x14ac:dyDescent="0.3">
      <c r="B7658" s="18" t="s">
        <v>935</v>
      </c>
      <c r="C7658" s="13">
        <v>51</v>
      </c>
    </row>
    <row r="7659" spans="2:3" x14ac:dyDescent="0.3">
      <c r="B7659" s="18" t="s">
        <v>929</v>
      </c>
      <c r="C7659" s="13">
        <v>52</v>
      </c>
    </row>
    <row r="7660" spans="2:3" x14ac:dyDescent="0.3">
      <c r="B7660" s="18" t="s">
        <v>927</v>
      </c>
      <c r="C7660" s="13">
        <v>53</v>
      </c>
    </row>
    <row r="7661" spans="2:3" x14ac:dyDescent="0.3">
      <c r="B7661" s="18" t="s">
        <v>925</v>
      </c>
      <c r="C7661" s="13">
        <v>54</v>
      </c>
    </row>
    <row r="7662" spans="2:3" x14ac:dyDescent="0.3">
      <c r="B7662" s="18" t="s">
        <v>923</v>
      </c>
      <c r="C7662" s="13">
        <v>55</v>
      </c>
    </row>
    <row r="7663" spans="2:3" x14ac:dyDescent="0.3">
      <c r="B7663" s="18" t="s">
        <v>921</v>
      </c>
      <c r="C7663" s="13">
        <v>56</v>
      </c>
    </row>
    <row r="7664" spans="2:3" x14ac:dyDescent="0.3">
      <c r="B7664" s="18" t="s">
        <v>919</v>
      </c>
      <c r="C7664" s="13">
        <v>57</v>
      </c>
    </row>
    <row r="7665" spans="2:3" x14ac:dyDescent="0.3">
      <c r="B7665" s="18" t="s">
        <v>9349</v>
      </c>
      <c r="C7665" s="13">
        <v>87</v>
      </c>
    </row>
    <row r="7666" spans="2:3" x14ac:dyDescent="0.3">
      <c r="B7666" s="18" t="s">
        <v>9350</v>
      </c>
      <c r="C7666" s="13">
        <v>86</v>
      </c>
    </row>
    <row r="7667" spans="2:3" x14ac:dyDescent="0.3">
      <c r="B7667" s="18" t="s">
        <v>9351</v>
      </c>
      <c r="C7667" s="13">
        <v>85</v>
      </c>
    </row>
    <row r="7668" spans="2:3" x14ac:dyDescent="0.3">
      <c r="B7668" s="18" t="s">
        <v>9352</v>
      </c>
      <c r="C7668" s="13">
        <v>84</v>
      </c>
    </row>
    <row r="7669" spans="2:3" x14ac:dyDescent="0.3">
      <c r="B7669" s="18" t="s">
        <v>9353</v>
      </c>
      <c r="C7669" s="13">
        <v>83</v>
      </c>
    </row>
    <row r="7670" spans="2:3" x14ac:dyDescent="0.3">
      <c r="B7670" s="18" t="s">
        <v>9354</v>
      </c>
      <c r="C7670" s="13">
        <v>82</v>
      </c>
    </row>
    <row r="7671" spans="2:3" x14ac:dyDescent="0.3">
      <c r="B7671" s="18" t="s">
        <v>9355</v>
      </c>
      <c r="C7671" s="13">
        <v>81</v>
      </c>
    </row>
    <row r="7672" spans="2:3" x14ac:dyDescent="0.3">
      <c r="B7672" s="18" t="s">
        <v>9356</v>
      </c>
      <c r="C7672" s="13">
        <v>80</v>
      </c>
    </row>
    <row r="7673" spans="2:3" x14ac:dyDescent="0.3">
      <c r="B7673" s="18" t="s">
        <v>9357</v>
      </c>
      <c r="C7673" s="13">
        <v>79</v>
      </c>
    </row>
    <row r="7674" spans="2:3" x14ac:dyDescent="0.3">
      <c r="B7674" s="18" t="s">
        <v>9358</v>
      </c>
      <c r="C7674" s="13">
        <v>78</v>
      </c>
    </row>
    <row r="7675" spans="2:3" x14ac:dyDescent="0.3">
      <c r="B7675" s="18" t="s">
        <v>9359</v>
      </c>
      <c r="C7675" s="13">
        <v>77</v>
      </c>
    </row>
    <row r="7676" spans="2:3" x14ac:dyDescent="0.3">
      <c r="B7676" s="18" t="s">
        <v>9360</v>
      </c>
      <c r="C7676" s="13">
        <v>76</v>
      </c>
    </row>
    <row r="7677" spans="2:3" x14ac:dyDescent="0.3">
      <c r="B7677" s="18" t="s">
        <v>9361</v>
      </c>
      <c r="C7677" s="13">
        <v>75</v>
      </c>
    </row>
    <row r="7678" spans="2:3" x14ac:dyDescent="0.3">
      <c r="B7678" s="18" t="s">
        <v>9362</v>
      </c>
      <c r="C7678" s="13">
        <v>74</v>
      </c>
    </row>
    <row r="7679" spans="2:3" x14ac:dyDescent="0.3">
      <c r="B7679" s="18" t="s">
        <v>9363</v>
      </c>
      <c r="C7679" s="13">
        <v>73</v>
      </c>
    </row>
    <row r="7680" spans="2:3" x14ac:dyDescent="0.3">
      <c r="B7680" s="18" t="s">
        <v>9364</v>
      </c>
      <c r="C7680" s="13">
        <v>93</v>
      </c>
    </row>
    <row r="7681" spans="2:3" x14ac:dyDescent="0.3">
      <c r="B7681" s="18" t="s">
        <v>9365</v>
      </c>
      <c r="C7681" s="13">
        <v>92</v>
      </c>
    </row>
    <row r="7682" spans="2:3" x14ac:dyDescent="0.3">
      <c r="B7682" s="18" t="s">
        <v>9366</v>
      </c>
      <c r="C7682" s="13">
        <v>91</v>
      </c>
    </row>
    <row r="7683" spans="2:3" x14ac:dyDescent="0.3">
      <c r="B7683" s="18" t="s">
        <v>9367</v>
      </c>
      <c r="C7683" s="13">
        <v>90</v>
      </c>
    </row>
    <row r="7684" spans="2:3" x14ac:dyDescent="0.3">
      <c r="B7684" s="18" t="s">
        <v>9368</v>
      </c>
      <c r="C7684" s="13">
        <v>89</v>
      </c>
    </row>
    <row r="7685" spans="2:3" x14ac:dyDescent="0.3">
      <c r="B7685" s="18" t="s">
        <v>9369</v>
      </c>
      <c r="C7685" s="13">
        <v>88</v>
      </c>
    </row>
    <row r="7686" spans="2:3" x14ac:dyDescent="0.3">
      <c r="B7686" s="18" t="s">
        <v>917</v>
      </c>
      <c r="C7686" s="13">
        <v>1</v>
      </c>
    </row>
    <row r="7687" spans="2:3" x14ac:dyDescent="0.3">
      <c r="B7687" s="18" t="s">
        <v>915</v>
      </c>
      <c r="C7687" s="13">
        <v>10</v>
      </c>
    </row>
    <row r="7688" spans="2:3" x14ac:dyDescent="0.3">
      <c r="B7688" s="18" t="s">
        <v>913</v>
      </c>
      <c r="C7688" s="13">
        <v>11</v>
      </c>
    </row>
    <row r="7689" spans="2:3" x14ac:dyDescent="0.3">
      <c r="B7689" s="18" t="s">
        <v>911</v>
      </c>
      <c r="C7689" s="13">
        <v>12</v>
      </c>
    </row>
    <row r="7690" spans="2:3" x14ac:dyDescent="0.3">
      <c r="B7690" s="18" t="s">
        <v>909</v>
      </c>
      <c r="C7690" s="13">
        <v>13</v>
      </c>
    </row>
    <row r="7691" spans="2:3" x14ac:dyDescent="0.3">
      <c r="B7691" s="18" t="s">
        <v>907</v>
      </c>
      <c r="C7691" s="13">
        <v>14</v>
      </c>
    </row>
    <row r="7692" spans="2:3" x14ac:dyDescent="0.3">
      <c r="B7692" s="18" t="s">
        <v>905</v>
      </c>
      <c r="C7692" s="13">
        <v>15</v>
      </c>
    </row>
    <row r="7693" spans="2:3" x14ac:dyDescent="0.3">
      <c r="B7693" s="18" t="s">
        <v>903</v>
      </c>
      <c r="C7693" s="13">
        <v>16</v>
      </c>
    </row>
    <row r="7694" spans="2:3" x14ac:dyDescent="0.3">
      <c r="B7694" s="18" t="s">
        <v>901</v>
      </c>
      <c r="C7694" s="13">
        <v>17</v>
      </c>
    </row>
    <row r="7695" spans="2:3" x14ac:dyDescent="0.3">
      <c r="B7695" s="18" t="s">
        <v>899</v>
      </c>
      <c r="C7695" s="13">
        <v>18</v>
      </c>
    </row>
    <row r="7696" spans="2:3" x14ac:dyDescent="0.3">
      <c r="B7696" s="18" t="s">
        <v>897</v>
      </c>
      <c r="C7696" s="13">
        <v>19</v>
      </c>
    </row>
    <row r="7697" spans="2:3" x14ac:dyDescent="0.3">
      <c r="B7697" s="18" t="s">
        <v>895</v>
      </c>
      <c r="C7697" s="13">
        <v>2</v>
      </c>
    </row>
    <row r="7698" spans="2:3" x14ac:dyDescent="0.3">
      <c r="B7698" s="18" t="s">
        <v>893</v>
      </c>
      <c r="C7698" s="13">
        <v>20</v>
      </c>
    </row>
    <row r="7699" spans="2:3" x14ac:dyDescent="0.3">
      <c r="B7699" s="18" t="s">
        <v>891</v>
      </c>
      <c r="C7699" s="13">
        <v>21</v>
      </c>
    </row>
    <row r="7700" spans="2:3" x14ac:dyDescent="0.3">
      <c r="B7700" s="18" t="s">
        <v>889</v>
      </c>
      <c r="C7700" s="13">
        <v>22</v>
      </c>
    </row>
    <row r="7701" spans="2:3" x14ac:dyDescent="0.3">
      <c r="B7701" s="18" t="s">
        <v>887</v>
      </c>
      <c r="C7701" s="13">
        <v>23</v>
      </c>
    </row>
    <row r="7702" spans="2:3" x14ac:dyDescent="0.3">
      <c r="B7702" s="18" t="s">
        <v>885</v>
      </c>
      <c r="C7702" s="13">
        <v>24</v>
      </c>
    </row>
    <row r="7703" spans="2:3" x14ac:dyDescent="0.3">
      <c r="B7703" s="18" t="s">
        <v>873</v>
      </c>
      <c r="C7703" s="13">
        <v>3</v>
      </c>
    </row>
    <row r="7704" spans="2:3" x14ac:dyDescent="0.3">
      <c r="B7704" s="18" t="s">
        <v>865</v>
      </c>
      <c r="C7704" s="13">
        <v>4</v>
      </c>
    </row>
    <row r="7705" spans="2:3" x14ac:dyDescent="0.3">
      <c r="B7705" s="18" t="s">
        <v>863</v>
      </c>
      <c r="C7705" s="13">
        <v>5</v>
      </c>
    </row>
    <row r="7706" spans="2:3" x14ac:dyDescent="0.3">
      <c r="B7706" s="18" t="s">
        <v>861</v>
      </c>
      <c r="C7706" s="13">
        <v>6</v>
      </c>
    </row>
    <row r="7707" spans="2:3" x14ac:dyDescent="0.3">
      <c r="B7707" s="18" t="s">
        <v>859</v>
      </c>
      <c r="C7707" s="13">
        <v>7</v>
      </c>
    </row>
    <row r="7708" spans="2:3" x14ac:dyDescent="0.3">
      <c r="B7708" s="18" t="s">
        <v>857</v>
      </c>
      <c r="C7708" s="13">
        <v>8</v>
      </c>
    </row>
    <row r="7709" spans="2:3" x14ac:dyDescent="0.3">
      <c r="B7709" s="18" t="s">
        <v>855</v>
      </c>
      <c r="C7709" s="13">
        <v>9</v>
      </c>
    </row>
    <row r="7710" spans="2:3" x14ac:dyDescent="0.3">
      <c r="B7710" s="18" t="s">
        <v>853</v>
      </c>
      <c r="C7710" s="13">
        <v>48</v>
      </c>
    </row>
    <row r="7711" spans="2:3" x14ac:dyDescent="0.3">
      <c r="B7711" s="18" t="s">
        <v>851</v>
      </c>
      <c r="C7711" s="13">
        <v>39</v>
      </c>
    </row>
    <row r="7712" spans="2:3" x14ac:dyDescent="0.3">
      <c r="B7712" s="18" t="s">
        <v>849</v>
      </c>
      <c r="C7712" s="13">
        <v>38</v>
      </c>
    </row>
    <row r="7713" spans="2:3" x14ac:dyDescent="0.3">
      <c r="B7713" s="18" t="s">
        <v>847</v>
      </c>
      <c r="C7713" s="13">
        <v>37</v>
      </c>
    </row>
    <row r="7714" spans="2:3" x14ac:dyDescent="0.3">
      <c r="B7714" s="18" t="s">
        <v>845</v>
      </c>
      <c r="C7714" s="13">
        <v>36</v>
      </c>
    </row>
    <row r="7715" spans="2:3" x14ac:dyDescent="0.3">
      <c r="B7715" s="18" t="s">
        <v>843</v>
      </c>
      <c r="C7715" s="13">
        <v>35</v>
      </c>
    </row>
    <row r="7716" spans="2:3" x14ac:dyDescent="0.3">
      <c r="B7716" s="18" t="s">
        <v>841</v>
      </c>
      <c r="C7716" s="13">
        <v>34</v>
      </c>
    </row>
    <row r="7717" spans="2:3" x14ac:dyDescent="0.3">
      <c r="B7717" s="18" t="s">
        <v>839</v>
      </c>
      <c r="C7717" s="13">
        <v>33</v>
      </c>
    </row>
    <row r="7718" spans="2:3" x14ac:dyDescent="0.3">
      <c r="B7718" s="18" t="s">
        <v>837</v>
      </c>
      <c r="C7718" s="13">
        <v>32</v>
      </c>
    </row>
    <row r="7719" spans="2:3" x14ac:dyDescent="0.3">
      <c r="B7719" s="18" t="s">
        <v>835</v>
      </c>
      <c r="C7719" s="13">
        <v>31</v>
      </c>
    </row>
    <row r="7720" spans="2:3" x14ac:dyDescent="0.3">
      <c r="B7720" s="18" t="s">
        <v>833</v>
      </c>
      <c r="C7720" s="13">
        <v>30</v>
      </c>
    </row>
    <row r="7721" spans="2:3" x14ac:dyDescent="0.3">
      <c r="B7721" s="18" t="s">
        <v>831</v>
      </c>
      <c r="C7721" s="13">
        <v>47</v>
      </c>
    </row>
    <row r="7722" spans="2:3" x14ac:dyDescent="0.3">
      <c r="B7722" s="18" t="s">
        <v>829</v>
      </c>
      <c r="C7722" s="13">
        <v>29</v>
      </c>
    </row>
    <row r="7723" spans="2:3" x14ac:dyDescent="0.3">
      <c r="B7723" s="18" t="s">
        <v>827</v>
      </c>
      <c r="C7723" s="13">
        <v>28</v>
      </c>
    </row>
    <row r="7724" spans="2:3" x14ac:dyDescent="0.3">
      <c r="B7724" s="18" t="s">
        <v>825</v>
      </c>
      <c r="C7724" s="13">
        <v>27</v>
      </c>
    </row>
    <row r="7725" spans="2:3" x14ac:dyDescent="0.3">
      <c r="B7725" s="18" t="s">
        <v>823</v>
      </c>
      <c r="C7725" s="13">
        <v>26</v>
      </c>
    </row>
    <row r="7726" spans="2:3" x14ac:dyDescent="0.3">
      <c r="B7726" s="18" t="s">
        <v>821</v>
      </c>
      <c r="C7726" s="13">
        <v>25</v>
      </c>
    </row>
    <row r="7727" spans="2:3" x14ac:dyDescent="0.3">
      <c r="B7727" s="18" t="s">
        <v>809</v>
      </c>
      <c r="C7727" s="13">
        <v>46</v>
      </c>
    </row>
    <row r="7728" spans="2:3" x14ac:dyDescent="0.3">
      <c r="B7728" s="18" t="s">
        <v>801</v>
      </c>
      <c r="C7728" s="13">
        <v>45</v>
      </c>
    </row>
    <row r="7729" spans="2:3" x14ac:dyDescent="0.3">
      <c r="B7729" s="18" t="s">
        <v>799</v>
      </c>
      <c r="C7729" s="13">
        <v>44</v>
      </c>
    </row>
    <row r="7730" spans="2:3" x14ac:dyDescent="0.3">
      <c r="B7730" s="18" t="s">
        <v>797</v>
      </c>
      <c r="C7730" s="13">
        <v>43</v>
      </c>
    </row>
    <row r="7731" spans="2:3" x14ac:dyDescent="0.3">
      <c r="B7731" s="18" t="s">
        <v>795</v>
      </c>
      <c r="C7731" s="13">
        <v>42</v>
      </c>
    </row>
    <row r="7732" spans="2:3" x14ac:dyDescent="0.3">
      <c r="B7732" s="18" t="s">
        <v>793</v>
      </c>
      <c r="C7732" s="13">
        <v>41</v>
      </c>
    </row>
    <row r="7733" spans="2:3" x14ac:dyDescent="0.3">
      <c r="B7733" s="18" t="s">
        <v>791</v>
      </c>
      <c r="C7733" s="13">
        <v>40</v>
      </c>
    </row>
    <row r="7734" spans="2:3" x14ac:dyDescent="0.3">
      <c r="B7734" s="18" t="s">
        <v>9370</v>
      </c>
      <c r="C7734" s="13">
        <v>49</v>
      </c>
    </row>
    <row r="7735" spans="2:3" x14ac:dyDescent="0.3">
      <c r="B7735" s="18" t="s">
        <v>789</v>
      </c>
      <c r="C7735" s="13">
        <v>58</v>
      </c>
    </row>
    <row r="7736" spans="2:3" x14ac:dyDescent="0.3">
      <c r="B7736" s="18" t="s">
        <v>787</v>
      </c>
      <c r="C7736" s="13">
        <v>59</v>
      </c>
    </row>
    <row r="7737" spans="2:3" x14ac:dyDescent="0.3">
      <c r="B7737" s="18" t="s">
        <v>785</v>
      </c>
      <c r="C7737" s="13">
        <v>60</v>
      </c>
    </row>
    <row r="7738" spans="2:3" x14ac:dyDescent="0.3">
      <c r="B7738" s="18" t="s">
        <v>783</v>
      </c>
      <c r="C7738" s="13">
        <v>61</v>
      </c>
    </row>
    <row r="7739" spans="2:3" x14ac:dyDescent="0.3">
      <c r="B7739" s="18" t="s">
        <v>781</v>
      </c>
      <c r="C7739" s="13">
        <v>62</v>
      </c>
    </row>
    <row r="7740" spans="2:3" x14ac:dyDescent="0.3">
      <c r="B7740" s="18" t="s">
        <v>779</v>
      </c>
      <c r="C7740" s="13">
        <v>63</v>
      </c>
    </row>
    <row r="7741" spans="2:3" x14ac:dyDescent="0.3">
      <c r="B7741" s="18" t="s">
        <v>777</v>
      </c>
      <c r="C7741" s="13">
        <v>64</v>
      </c>
    </row>
    <row r="7742" spans="2:3" x14ac:dyDescent="0.3">
      <c r="B7742" s="18" t="s">
        <v>775</v>
      </c>
      <c r="C7742" s="13">
        <v>65</v>
      </c>
    </row>
    <row r="7743" spans="2:3" x14ac:dyDescent="0.3">
      <c r="B7743" s="18" t="s">
        <v>773</v>
      </c>
      <c r="C7743" s="13">
        <v>66</v>
      </c>
    </row>
    <row r="7744" spans="2:3" x14ac:dyDescent="0.3">
      <c r="B7744" s="18" t="s">
        <v>771</v>
      </c>
      <c r="C7744" s="13">
        <v>67</v>
      </c>
    </row>
    <row r="7745" spans="2:3" x14ac:dyDescent="0.3">
      <c r="B7745" s="18" t="s">
        <v>9371</v>
      </c>
      <c r="C7745" s="13">
        <v>50</v>
      </c>
    </row>
    <row r="7746" spans="2:3" x14ac:dyDescent="0.3">
      <c r="B7746" s="18" t="s">
        <v>769</v>
      </c>
      <c r="C7746" s="13">
        <v>68</v>
      </c>
    </row>
    <row r="7747" spans="2:3" x14ac:dyDescent="0.3">
      <c r="B7747" s="18" t="s">
        <v>767</v>
      </c>
      <c r="C7747" s="13">
        <v>69</v>
      </c>
    </row>
    <row r="7748" spans="2:3" x14ac:dyDescent="0.3">
      <c r="B7748" s="18" t="s">
        <v>765</v>
      </c>
      <c r="C7748" s="13">
        <v>70</v>
      </c>
    </row>
    <row r="7749" spans="2:3" x14ac:dyDescent="0.3">
      <c r="B7749" s="18" t="s">
        <v>763</v>
      </c>
      <c r="C7749" s="13">
        <v>71</v>
      </c>
    </row>
    <row r="7750" spans="2:3" x14ac:dyDescent="0.3">
      <c r="B7750" s="18" t="s">
        <v>761</v>
      </c>
      <c r="C7750" s="13">
        <v>72</v>
      </c>
    </row>
    <row r="7751" spans="2:3" x14ac:dyDescent="0.3">
      <c r="B7751" s="18" t="s">
        <v>749</v>
      </c>
      <c r="C7751" s="13">
        <v>51</v>
      </c>
    </row>
    <row r="7752" spans="2:3" x14ac:dyDescent="0.3">
      <c r="B7752" s="18" t="s">
        <v>741</v>
      </c>
      <c r="C7752" s="13">
        <v>52</v>
      </c>
    </row>
    <row r="7753" spans="2:3" x14ac:dyDescent="0.3">
      <c r="B7753" s="18" t="s">
        <v>739</v>
      </c>
      <c r="C7753" s="13">
        <v>53</v>
      </c>
    </row>
    <row r="7754" spans="2:3" x14ac:dyDescent="0.3">
      <c r="B7754" s="18" t="s">
        <v>737</v>
      </c>
      <c r="C7754" s="13">
        <v>54</v>
      </c>
    </row>
    <row r="7755" spans="2:3" x14ac:dyDescent="0.3">
      <c r="B7755" s="18" t="s">
        <v>735</v>
      </c>
      <c r="C7755" s="13">
        <v>55</v>
      </c>
    </row>
    <row r="7756" spans="2:3" x14ac:dyDescent="0.3">
      <c r="B7756" s="18" t="s">
        <v>733</v>
      </c>
      <c r="C7756" s="13">
        <v>56</v>
      </c>
    </row>
    <row r="7757" spans="2:3" x14ac:dyDescent="0.3">
      <c r="B7757" s="18" t="s">
        <v>731</v>
      </c>
      <c r="C7757" s="13">
        <v>57</v>
      </c>
    </row>
    <row r="7758" spans="2:3" x14ac:dyDescent="0.3">
      <c r="B7758" s="18" t="s">
        <v>9372</v>
      </c>
      <c r="C7758" s="13">
        <v>87</v>
      </c>
    </row>
    <row r="7759" spans="2:3" x14ac:dyDescent="0.3">
      <c r="B7759" s="18" t="s">
        <v>9373</v>
      </c>
      <c r="C7759" s="13">
        <v>86</v>
      </c>
    </row>
    <row r="7760" spans="2:3" x14ac:dyDescent="0.3">
      <c r="B7760" s="18" t="s">
        <v>9374</v>
      </c>
      <c r="C7760" s="13">
        <v>85</v>
      </c>
    </row>
    <row r="7761" spans="2:3" x14ac:dyDescent="0.3">
      <c r="B7761" s="18" t="s">
        <v>9375</v>
      </c>
      <c r="C7761" s="13">
        <v>84</v>
      </c>
    </row>
    <row r="7762" spans="2:3" x14ac:dyDescent="0.3">
      <c r="B7762" s="18" t="s">
        <v>9376</v>
      </c>
      <c r="C7762" s="13">
        <v>83</v>
      </c>
    </row>
    <row r="7763" spans="2:3" x14ac:dyDescent="0.3">
      <c r="B7763" s="18" t="s">
        <v>9377</v>
      </c>
      <c r="C7763" s="13">
        <v>82</v>
      </c>
    </row>
    <row r="7764" spans="2:3" x14ac:dyDescent="0.3">
      <c r="B7764" s="18" t="s">
        <v>9378</v>
      </c>
      <c r="C7764" s="13">
        <v>81</v>
      </c>
    </row>
    <row r="7765" spans="2:3" x14ac:dyDescent="0.3">
      <c r="B7765" s="18" t="s">
        <v>9379</v>
      </c>
      <c r="C7765" s="13">
        <v>80</v>
      </c>
    </row>
    <row r="7766" spans="2:3" x14ac:dyDescent="0.3">
      <c r="B7766" s="18" t="s">
        <v>9380</v>
      </c>
      <c r="C7766" s="13">
        <v>79</v>
      </c>
    </row>
    <row r="7767" spans="2:3" x14ac:dyDescent="0.3">
      <c r="B7767" s="18" t="s">
        <v>9381</v>
      </c>
      <c r="C7767" s="13">
        <v>78</v>
      </c>
    </row>
    <row r="7768" spans="2:3" x14ac:dyDescent="0.3">
      <c r="B7768" s="18" t="s">
        <v>9382</v>
      </c>
      <c r="C7768" s="13">
        <v>77</v>
      </c>
    </row>
    <row r="7769" spans="2:3" x14ac:dyDescent="0.3">
      <c r="B7769" s="18" t="s">
        <v>9383</v>
      </c>
      <c r="C7769" s="13">
        <v>76</v>
      </c>
    </row>
    <row r="7770" spans="2:3" x14ac:dyDescent="0.3">
      <c r="B7770" s="18" t="s">
        <v>9384</v>
      </c>
      <c r="C7770" s="13">
        <v>75</v>
      </c>
    </row>
    <row r="7771" spans="2:3" x14ac:dyDescent="0.3">
      <c r="B7771" s="18" t="s">
        <v>9385</v>
      </c>
      <c r="C7771" s="13">
        <v>74</v>
      </c>
    </row>
    <row r="7772" spans="2:3" x14ac:dyDescent="0.3">
      <c r="B7772" s="18" t="s">
        <v>9386</v>
      </c>
      <c r="C7772" s="13">
        <v>73</v>
      </c>
    </row>
    <row r="7773" spans="2:3" x14ac:dyDescent="0.3">
      <c r="B7773" s="18" t="s">
        <v>9387</v>
      </c>
      <c r="C7773" s="13">
        <v>94</v>
      </c>
    </row>
    <row r="7774" spans="2:3" x14ac:dyDescent="0.3">
      <c r="B7774" s="18" t="s">
        <v>9388</v>
      </c>
      <c r="C7774" s="13">
        <v>93</v>
      </c>
    </row>
    <row r="7775" spans="2:3" x14ac:dyDescent="0.3">
      <c r="B7775" s="18" t="s">
        <v>9389</v>
      </c>
      <c r="C7775" s="13">
        <v>92</v>
      </c>
    </row>
    <row r="7776" spans="2:3" x14ac:dyDescent="0.3">
      <c r="B7776" s="18" t="s">
        <v>9390</v>
      </c>
      <c r="C7776" s="13">
        <v>91</v>
      </c>
    </row>
    <row r="7777" spans="2:3" x14ac:dyDescent="0.3">
      <c r="B7777" s="18" t="s">
        <v>9391</v>
      </c>
      <c r="C7777" s="13">
        <v>90</v>
      </c>
    </row>
    <row r="7778" spans="2:3" x14ac:dyDescent="0.3">
      <c r="B7778" s="18" t="s">
        <v>9392</v>
      </c>
      <c r="C7778" s="13">
        <v>89</v>
      </c>
    </row>
    <row r="7779" spans="2:3" x14ac:dyDescent="0.3">
      <c r="B7779" s="18" t="s">
        <v>9393</v>
      </c>
      <c r="C7779" s="13">
        <v>88</v>
      </c>
    </row>
    <row r="7780" spans="2:3" x14ac:dyDescent="0.3">
      <c r="B7780" s="18" t="s">
        <v>729</v>
      </c>
      <c r="C7780" s="13">
        <v>1</v>
      </c>
    </row>
    <row r="7781" spans="2:3" x14ac:dyDescent="0.3">
      <c r="B7781" s="18" t="s">
        <v>727</v>
      </c>
      <c r="C7781" s="13">
        <v>10</v>
      </c>
    </row>
    <row r="7782" spans="2:3" x14ac:dyDescent="0.3">
      <c r="B7782" s="18" t="s">
        <v>725</v>
      </c>
      <c r="C7782" s="13">
        <v>11</v>
      </c>
    </row>
    <row r="7783" spans="2:3" x14ac:dyDescent="0.3">
      <c r="B7783" s="18" t="s">
        <v>723</v>
      </c>
      <c r="C7783" s="13">
        <v>12</v>
      </c>
    </row>
    <row r="7784" spans="2:3" x14ac:dyDescent="0.3">
      <c r="B7784" s="18" t="s">
        <v>721</v>
      </c>
      <c r="C7784" s="13">
        <v>13</v>
      </c>
    </row>
    <row r="7785" spans="2:3" x14ac:dyDescent="0.3">
      <c r="B7785" s="18" t="s">
        <v>719</v>
      </c>
      <c r="C7785" s="13">
        <v>14</v>
      </c>
    </row>
    <row r="7786" spans="2:3" x14ac:dyDescent="0.3">
      <c r="B7786" s="18" t="s">
        <v>717</v>
      </c>
      <c r="C7786" s="13">
        <v>15</v>
      </c>
    </row>
    <row r="7787" spans="2:3" x14ac:dyDescent="0.3">
      <c r="B7787" s="18" t="s">
        <v>715</v>
      </c>
      <c r="C7787" s="13">
        <v>16</v>
      </c>
    </row>
    <row r="7788" spans="2:3" x14ac:dyDescent="0.3">
      <c r="B7788" s="18" t="s">
        <v>713</v>
      </c>
      <c r="C7788" s="13">
        <v>17</v>
      </c>
    </row>
    <row r="7789" spans="2:3" x14ac:dyDescent="0.3">
      <c r="B7789" s="18" t="s">
        <v>711</v>
      </c>
      <c r="C7789" s="13">
        <v>18</v>
      </c>
    </row>
    <row r="7790" spans="2:3" x14ac:dyDescent="0.3">
      <c r="B7790" s="18" t="s">
        <v>709</v>
      </c>
      <c r="C7790" s="13">
        <v>19</v>
      </c>
    </row>
    <row r="7791" spans="2:3" x14ac:dyDescent="0.3">
      <c r="B7791" s="18" t="s">
        <v>707</v>
      </c>
      <c r="C7791" s="13">
        <v>2</v>
      </c>
    </row>
    <row r="7792" spans="2:3" x14ac:dyDescent="0.3">
      <c r="B7792" s="18" t="s">
        <v>705</v>
      </c>
      <c r="C7792" s="13">
        <v>20</v>
      </c>
    </row>
    <row r="7793" spans="2:3" x14ac:dyDescent="0.3">
      <c r="B7793" s="18" t="s">
        <v>703</v>
      </c>
      <c r="C7793" s="13">
        <v>21</v>
      </c>
    </row>
    <row r="7794" spans="2:3" x14ac:dyDescent="0.3">
      <c r="B7794" s="18" t="s">
        <v>701</v>
      </c>
      <c r="C7794" s="13">
        <v>22</v>
      </c>
    </row>
    <row r="7795" spans="2:3" x14ac:dyDescent="0.3">
      <c r="B7795" s="18" t="s">
        <v>699</v>
      </c>
      <c r="C7795" s="13">
        <v>23</v>
      </c>
    </row>
    <row r="7796" spans="2:3" x14ac:dyDescent="0.3">
      <c r="B7796" s="18" t="s">
        <v>697</v>
      </c>
      <c r="C7796" s="13">
        <v>24</v>
      </c>
    </row>
    <row r="7797" spans="2:3" x14ac:dyDescent="0.3">
      <c r="B7797" s="18" t="s">
        <v>685</v>
      </c>
      <c r="C7797" s="13">
        <v>3</v>
      </c>
    </row>
    <row r="7798" spans="2:3" x14ac:dyDescent="0.3">
      <c r="B7798" s="18" t="s">
        <v>677</v>
      </c>
      <c r="C7798" s="13">
        <v>4</v>
      </c>
    </row>
    <row r="7799" spans="2:3" x14ac:dyDescent="0.3">
      <c r="B7799" s="18" t="s">
        <v>675</v>
      </c>
      <c r="C7799" s="13">
        <v>5</v>
      </c>
    </row>
    <row r="7800" spans="2:3" x14ac:dyDescent="0.3">
      <c r="B7800" s="18" t="s">
        <v>673</v>
      </c>
      <c r="C7800" s="13">
        <v>6</v>
      </c>
    </row>
    <row r="7801" spans="2:3" x14ac:dyDescent="0.3">
      <c r="B7801" s="18" t="s">
        <v>671</v>
      </c>
      <c r="C7801" s="13">
        <v>7</v>
      </c>
    </row>
    <row r="7802" spans="2:3" x14ac:dyDescent="0.3">
      <c r="B7802" s="18" t="s">
        <v>669</v>
      </c>
      <c r="C7802" s="13">
        <v>8</v>
      </c>
    </row>
    <row r="7803" spans="2:3" x14ac:dyDescent="0.3">
      <c r="B7803" s="18" t="s">
        <v>667</v>
      </c>
      <c r="C7803" s="13">
        <v>9</v>
      </c>
    </row>
    <row r="7804" spans="2:3" x14ac:dyDescent="0.3">
      <c r="B7804" s="18" t="s">
        <v>665</v>
      </c>
      <c r="C7804" s="13">
        <v>48</v>
      </c>
    </row>
    <row r="7805" spans="2:3" x14ac:dyDescent="0.3">
      <c r="B7805" s="18" t="s">
        <v>663</v>
      </c>
      <c r="C7805" s="13">
        <v>39</v>
      </c>
    </row>
    <row r="7806" spans="2:3" x14ac:dyDescent="0.3">
      <c r="B7806" s="18" t="s">
        <v>661</v>
      </c>
      <c r="C7806" s="13">
        <v>38</v>
      </c>
    </row>
    <row r="7807" spans="2:3" x14ac:dyDescent="0.3">
      <c r="B7807" s="18" t="s">
        <v>659</v>
      </c>
      <c r="C7807" s="13">
        <v>37</v>
      </c>
    </row>
    <row r="7808" spans="2:3" x14ac:dyDescent="0.3">
      <c r="B7808" s="18" t="s">
        <v>657</v>
      </c>
      <c r="C7808" s="13">
        <v>36</v>
      </c>
    </row>
    <row r="7809" spans="2:3" x14ac:dyDescent="0.3">
      <c r="B7809" s="18" t="s">
        <v>655</v>
      </c>
      <c r="C7809" s="13">
        <v>35</v>
      </c>
    </row>
    <row r="7810" spans="2:3" x14ac:dyDescent="0.3">
      <c r="B7810" s="18" t="s">
        <v>653</v>
      </c>
      <c r="C7810" s="13">
        <v>34</v>
      </c>
    </row>
    <row r="7811" spans="2:3" x14ac:dyDescent="0.3">
      <c r="B7811" s="18" t="s">
        <v>651</v>
      </c>
      <c r="C7811" s="13">
        <v>33</v>
      </c>
    </row>
    <row r="7812" spans="2:3" x14ac:dyDescent="0.3">
      <c r="B7812" s="18" t="s">
        <v>649</v>
      </c>
      <c r="C7812" s="13">
        <v>32</v>
      </c>
    </row>
    <row r="7813" spans="2:3" x14ac:dyDescent="0.3">
      <c r="B7813" s="18" t="s">
        <v>647</v>
      </c>
      <c r="C7813" s="13">
        <v>31</v>
      </c>
    </row>
    <row r="7814" spans="2:3" x14ac:dyDescent="0.3">
      <c r="B7814" s="18" t="s">
        <v>645</v>
      </c>
      <c r="C7814" s="13">
        <v>30</v>
      </c>
    </row>
    <row r="7815" spans="2:3" x14ac:dyDescent="0.3">
      <c r="B7815" s="18" t="s">
        <v>643</v>
      </c>
      <c r="C7815" s="13">
        <v>47</v>
      </c>
    </row>
    <row r="7816" spans="2:3" x14ac:dyDescent="0.3">
      <c r="B7816" s="18" t="s">
        <v>641</v>
      </c>
      <c r="C7816" s="13">
        <v>29</v>
      </c>
    </row>
    <row r="7817" spans="2:3" x14ac:dyDescent="0.3">
      <c r="B7817" s="18" t="s">
        <v>639</v>
      </c>
      <c r="C7817" s="13">
        <v>28</v>
      </c>
    </row>
    <row r="7818" spans="2:3" x14ac:dyDescent="0.3">
      <c r="B7818" s="18" t="s">
        <v>637</v>
      </c>
      <c r="C7818" s="13">
        <v>27</v>
      </c>
    </row>
    <row r="7819" spans="2:3" x14ac:dyDescent="0.3">
      <c r="B7819" s="18" t="s">
        <v>635</v>
      </c>
      <c r="C7819" s="13">
        <v>26</v>
      </c>
    </row>
    <row r="7820" spans="2:3" x14ac:dyDescent="0.3">
      <c r="B7820" s="18" t="s">
        <v>633</v>
      </c>
      <c r="C7820" s="13">
        <v>25</v>
      </c>
    </row>
    <row r="7821" spans="2:3" x14ac:dyDescent="0.3">
      <c r="B7821" s="18" t="s">
        <v>620</v>
      </c>
      <c r="C7821" s="13">
        <v>46</v>
      </c>
    </row>
    <row r="7822" spans="2:3" x14ac:dyDescent="0.3">
      <c r="B7822" s="18" t="s">
        <v>612</v>
      </c>
      <c r="C7822" s="13">
        <v>45</v>
      </c>
    </row>
    <row r="7823" spans="2:3" x14ac:dyDescent="0.3">
      <c r="B7823" s="18" t="s">
        <v>610</v>
      </c>
      <c r="C7823" s="13">
        <v>44</v>
      </c>
    </row>
    <row r="7824" spans="2:3" x14ac:dyDescent="0.3">
      <c r="B7824" s="18" t="s">
        <v>608</v>
      </c>
      <c r="C7824" s="13">
        <v>43</v>
      </c>
    </row>
    <row r="7825" spans="2:3" x14ac:dyDescent="0.3">
      <c r="B7825" s="18" t="s">
        <v>606</v>
      </c>
      <c r="C7825" s="13">
        <v>42</v>
      </c>
    </row>
    <row r="7826" spans="2:3" x14ac:dyDescent="0.3">
      <c r="B7826" s="18" t="s">
        <v>604</v>
      </c>
      <c r="C7826" s="13">
        <v>41</v>
      </c>
    </row>
    <row r="7827" spans="2:3" x14ac:dyDescent="0.3">
      <c r="B7827" s="18" t="s">
        <v>602</v>
      </c>
      <c r="C7827" s="13">
        <v>40</v>
      </c>
    </row>
    <row r="7828" spans="2:3" x14ac:dyDescent="0.3">
      <c r="B7828" s="18" t="s">
        <v>9394</v>
      </c>
      <c r="C7828" s="13">
        <v>49</v>
      </c>
    </row>
    <row r="7829" spans="2:3" x14ac:dyDescent="0.3">
      <c r="B7829" s="18" t="s">
        <v>597</v>
      </c>
      <c r="C7829" s="13">
        <v>58</v>
      </c>
    </row>
    <row r="7830" spans="2:3" x14ac:dyDescent="0.3">
      <c r="B7830" s="18" t="s">
        <v>592</v>
      </c>
      <c r="C7830" s="13">
        <v>59</v>
      </c>
    </row>
    <row r="7831" spans="2:3" x14ac:dyDescent="0.3">
      <c r="B7831" s="18" t="s">
        <v>590</v>
      </c>
      <c r="C7831" s="13">
        <v>60</v>
      </c>
    </row>
    <row r="7832" spans="2:3" x14ac:dyDescent="0.3">
      <c r="B7832" s="18" t="s">
        <v>588</v>
      </c>
      <c r="C7832" s="13">
        <v>61</v>
      </c>
    </row>
    <row r="7833" spans="2:3" x14ac:dyDescent="0.3">
      <c r="B7833" s="18" t="s">
        <v>586</v>
      </c>
      <c r="C7833" s="13">
        <v>62</v>
      </c>
    </row>
    <row r="7834" spans="2:3" x14ac:dyDescent="0.3">
      <c r="B7834" s="18" t="s">
        <v>583</v>
      </c>
      <c r="C7834" s="13">
        <v>63</v>
      </c>
    </row>
    <row r="7835" spans="2:3" x14ac:dyDescent="0.3">
      <c r="B7835" s="18" t="s">
        <v>580</v>
      </c>
      <c r="C7835" s="13">
        <v>64</v>
      </c>
    </row>
    <row r="7836" spans="2:3" x14ac:dyDescent="0.3">
      <c r="B7836" s="18" t="s">
        <v>577</v>
      </c>
      <c r="C7836" s="13">
        <v>65</v>
      </c>
    </row>
    <row r="7837" spans="2:3" x14ac:dyDescent="0.3">
      <c r="B7837" s="18" t="s">
        <v>574</v>
      </c>
      <c r="C7837" s="13">
        <v>66</v>
      </c>
    </row>
    <row r="7838" spans="2:3" x14ac:dyDescent="0.3">
      <c r="B7838" s="18" t="s">
        <v>571</v>
      </c>
      <c r="C7838" s="13">
        <v>67</v>
      </c>
    </row>
    <row r="7839" spans="2:3" x14ac:dyDescent="0.3">
      <c r="B7839" s="18" t="s">
        <v>569</v>
      </c>
      <c r="C7839" s="13">
        <v>50</v>
      </c>
    </row>
    <row r="7840" spans="2:3" x14ac:dyDescent="0.3">
      <c r="B7840" s="18" t="s">
        <v>567</v>
      </c>
      <c r="C7840" s="13">
        <v>68</v>
      </c>
    </row>
    <row r="7841" spans="2:3" x14ac:dyDescent="0.3">
      <c r="B7841" s="18" t="s">
        <v>565</v>
      </c>
      <c r="C7841" s="13">
        <v>69</v>
      </c>
    </row>
    <row r="7842" spans="2:3" x14ac:dyDescent="0.3">
      <c r="B7842" s="18" t="s">
        <v>563</v>
      </c>
      <c r="C7842" s="13">
        <v>70</v>
      </c>
    </row>
    <row r="7843" spans="2:3" x14ac:dyDescent="0.3">
      <c r="B7843" s="18" t="s">
        <v>561</v>
      </c>
      <c r="C7843" s="13">
        <v>71</v>
      </c>
    </row>
    <row r="7844" spans="2:3" x14ac:dyDescent="0.3">
      <c r="B7844" s="18" t="s">
        <v>559</v>
      </c>
      <c r="C7844" s="13">
        <v>72</v>
      </c>
    </row>
    <row r="7845" spans="2:3" x14ac:dyDescent="0.3">
      <c r="B7845" s="18" t="s">
        <v>547</v>
      </c>
      <c r="C7845" s="13">
        <v>51</v>
      </c>
    </row>
    <row r="7846" spans="2:3" x14ac:dyDescent="0.3">
      <c r="B7846" s="18" t="s">
        <v>539</v>
      </c>
      <c r="C7846" s="13">
        <v>52</v>
      </c>
    </row>
    <row r="7847" spans="2:3" x14ac:dyDescent="0.3">
      <c r="B7847" s="18" t="s">
        <v>537</v>
      </c>
      <c r="C7847" s="13">
        <v>53</v>
      </c>
    </row>
    <row r="7848" spans="2:3" x14ac:dyDescent="0.3">
      <c r="B7848" s="18" t="s">
        <v>535</v>
      </c>
      <c r="C7848" s="13">
        <v>54</v>
      </c>
    </row>
    <row r="7849" spans="2:3" x14ac:dyDescent="0.3">
      <c r="B7849" s="18" t="s">
        <v>533</v>
      </c>
      <c r="C7849" s="13">
        <v>55</v>
      </c>
    </row>
    <row r="7850" spans="2:3" x14ac:dyDescent="0.3">
      <c r="B7850" s="18" t="s">
        <v>531</v>
      </c>
      <c r="C7850" s="13">
        <v>56</v>
      </c>
    </row>
    <row r="7851" spans="2:3" x14ac:dyDescent="0.3">
      <c r="B7851" s="18" t="s">
        <v>529</v>
      </c>
      <c r="C7851" s="13">
        <v>57</v>
      </c>
    </row>
    <row r="7852" spans="2:3" x14ac:dyDescent="0.3">
      <c r="B7852" s="18" t="s">
        <v>9395</v>
      </c>
      <c r="C7852" s="13">
        <v>87</v>
      </c>
    </row>
    <row r="7853" spans="2:3" x14ac:dyDescent="0.3">
      <c r="B7853" s="18" t="s">
        <v>9396</v>
      </c>
      <c r="C7853" s="13">
        <v>86</v>
      </c>
    </row>
    <row r="7854" spans="2:3" x14ac:dyDescent="0.3">
      <c r="B7854" s="18" t="s">
        <v>9397</v>
      </c>
      <c r="C7854" s="13">
        <v>85</v>
      </c>
    </row>
    <row r="7855" spans="2:3" x14ac:dyDescent="0.3">
      <c r="B7855" s="18" t="s">
        <v>9398</v>
      </c>
      <c r="C7855" s="13">
        <v>84</v>
      </c>
    </row>
    <row r="7856" spans="2:3" x14ac:dyDescent="0.3">
      <c r="B7856" s="18" t="s">
        <v>9399</v>
      </c>
      <c r="C7856" s="13">
        <v>83</v>
      </c>
    </row>
    <row r="7857" spans="2:3" x14ac:dyDescent="0.3">
      <c r="B7857" s="18" t="s">
        <v>9400</v>
      </c>
      <c r="C7857" s="13">
        <v>82</v>
      </c>
    </row>
    <row r="7858" spans="2:3" x14ac:dyDescent="0.3">
      <c r="B7858" s="18" t="s">
        <v>9401</v>
      </c>
      <c r="C7858" s="13">
        <v>81</v>
      </c>
    </row>
    <row r="7859" spans="2:3" x14ac:dyDescent="0.3">
      <c r="B7859" s="18" t="s">
        <v>9402</v>
      </c>
      <c r="C7859" s="13">
        <v>80</v>
      </c>
    </row>
    <row r="7860" spans="2:3" x14ac:dyDescent="0.3">
      <c r="B7860" s="18" t="s">
        <v>9403</v>
      </c>
      <c r="C7860" s="13">
        <v>79</v>
      </c>
    </row>
    <row r="7861" spans="2:3" x14ac:dyDescent="0.3">
      <c r="B7861" s="18" t="s">
        <v>9404</v>
      </c>
      <c r="C7861" s="13">
        <v>78</v>
      </c>
    </row>
    <row r="7862" spans="2:3" x14ac:dyDescent="0.3">
      <c r="B7862" s="18" t="s">
        <v>9405</v>
      </c>
      <c r="C7862" s="13">
        <v>95</v>
      </c>
    </row>
    <row r="7863" spans="2:3" x14ac:dyDescent="0.3">
      <c r="B7863" s="18" t="s">
        <v>9406</v>
      </c>
      <c r="C7863" s="13">
        <v>77</v>
      </c>
    </row>
    <row r="7864" spans="2:3" x14ac:dyDescent="0.3">
      <c r="B7864" s="18" t="s">
        <v>9407</v>
      </c>
      <c r="C7864" s="13">
        <v>76</v>
      </c>
    </row>
    <row r="7865" spans="2:3" x14ac:dyDescent="0.3">
      <c r="B7865" s="18" t="s">
        <v>9408</v>
      </c>
      <c r="C7865" s="13">
        <v>75</v>
      </c>
    </row>
    <row r="7866" spans="2:3" x14ac:dyDescent="0.3">
      <c r="B7866" s="18" t="s">
        <v>9409</v>
      </c>
      <c r="C7866" s="13">
        <v>74</v>
      </c>
    </row>
    <row r="7867" spans="2:3" x14ac:dyDescent="0.3">
      <c r="B7867" s="18" t="s">
        <v>9410</v>
      </c>
      <c r="C7867" s="13">
        <v>73</v>
      </c>
    </row>
    <row r="7868" spans="2:3" x14ac:dyDescent="0.3">
      <c r="B7868" s="18" t="s">
        <v>9411</v>
      </c>
      <c r="C7868" s="13">
        <v>94</v>
      </c>
    </row>
    <row r="7869" spans="2:3" x14ac:dyDescent="0.3">
      <c r="B7869" s="18" t="s">
        <v>9412</v>
      </c>
      <c r="C7869" s="13">
        <v>93</v>
      </c>
    </row>
    <row r="7870" spans="2:3" x14ac:dyDescent="0.3">
      <c r="B7870" s="18" t="s">
        <v>9413</v>
      </c>
      <c r="C7870" s="13">
        <v>92</v>
      </c>
    </row>
    <row r="7871" spans="2:3" x14ac:dyDescent="0.3">
      <c r="B7871" s="18" t="s">
        <v>9414</v>
      </c>
      <c r="C7871" s="13">
        <v>91</v>
      </c>
    </row>
    <row r="7872" spans="2:3" x14ac:dyDescent="0.3">
      <c r="B7872" s="18" t="s">
        <v>9415</v>
      </c>
      <c r="C7872" s="13">
        <v>90</v>
      </c>
    </row>
    <row r="7873" spans="2:3" x14ac:dyDescent="0.3">
      <c r="B7873" s="18" t="s">
        <v>9416</v>
      </c>
      <c r="C7873" s="13">
        <v>89</v>
      </c>
    </row>
    <row r="7874" spans="2:3" x14ac:dyDescent="0.3">
      <c r="B7874" s="18" t="s">
        <v>9417</v>
      </c>
      <c r="C7874" s="13">
        <v>88</v>
      </c>
    </row>
    <row r="7875" spans="2:3" x14ac:dyDescent="0.3">
      <c r="B7875" s="18" t="s">
        <v>527</v>
      </c>
      <c r="C7875" s="13">
        <v>1</v>
      </c>
    </row>
    <row r="7876" spans="2:3" x14ac:dyDescent="0.3">
      <c r="B7876" s="18" t="s">
        <v>525</v>
      </c>
      <c r="C7876" s="13">
        <v>10</v>
      </c>
    </row>
    <row r="7877" spans="2:3" x14ac:dyDescent="0.3">
      <c r="B7877" s="18" t="s">
        <v>523</v>
      </c>
      <c r="C7877" s="13">
        <v>11</v>
      </c>
    </row>
    <row r="7878" spans="2:3" x14ac:dyDescent="0.3">
      <c r="B7878" s="18" t="s">
        <v>521</v>
      </c>
      <c r="C7878" s="13">
        <v>12</v>
      </c>
    </row>
    <row r="7879" spans="2:3" x14ac:dyDescent="0.3">
      <c r="B7879" s="18" t="s">
        <v>519</v>
      </c>
      <c r="C7879" s="13">
        <v>13</v>
      </c>
    </row>
    <row r="7880" spans="2:3" x14ac:dyDescent="0.3">
      <c r="B7880" s="18" t="s">
        <v>517</v>
      </c>
      <c r="C7880" s="13">
        <v>14</v>
      </c>
    </row>
    <row r="7881" spans="2:3" x14ac:dyDescent="0.3">
      <c r="B7881" s="18" t="s">
        <v>515</v>
      </c>
      <c r="C7881" s="13">
        <v>15</v>
      </c>
    </row>
    <row r="7882" spans="2:3" x14ac:dyDescent="0.3">
      <c r="B7882" s="18" t="s">
        <v>513</v>
      </c>
      <c r="C7882" s="13">
        <v>16</v>
      </c>
    </row>
    <row r="7883" spans="2:3" x14ac:dyDescent="0.3">
      <c r="B7883" s="18" t="s">
        <v>511</v>
      </c>
      <c r="C7883" s="13">
        <v>17</v>
      </c>
    </row>
    <row r="7884" spans="2:3" x14ac:dyDescent="0.3">
      <c r="B7884" s="18" t="s">
        <v>509</v>
      </c>
      <c r="C7884" s="13">
        <v>18</v>
      </c>
    </row>
    <row r="7885" spans="2:3" x14ac:dyDescent="0.3">
      <c r="B7885" s="18" t="s">
        <v>507</v>
      </c>
      <c r="C7885" s="13">
        <v>19</v>
      </c>
    </row>
    <row r="7886" spans="2:3" x14ac:dyDescent="0.3">
      <c r="B7886" s="18" t="s">
        <v>505</v>
      </c>
      <c r="C7886" s="13">
        <v>2</v>
      </c>
    </row>
    <row r="7887" spans="2:3" x14ac:dyDescent="0.3">
      <c r="B7887" s="18" t="s">
        <v>503</v>
      </c>
      <c r="C7887" s="13">
        <v>20</v>
      </c>
    </row>
    <row r="7888" spans="2:3" x14ac:dyDescent="0.3">
      <c r="B7888" s="18" t="s">
        <v>501</v>
      </c>
      <c r="C7888" s="13">
        <v>21</v>
      </c>
    </row>
    <row r="7889" spans="2:3" x14ac:dyDescent="0.3">
      <c r="B7889" s="18" t="s">
        <v>499</v>
      </c>
      <c r="C7889" s="13">
        <v>22</v>
      </c>
    </row>
    <row r="7890" spans="2:3" x14ac:dyDescent="0.3">
      <c r="B7890" s="18" t="s">
        <v>497</v>
      </c>
      <c r="C7890" s="13">
        <v>23</v>
      </c>
    </row>
    <row r="7891" spans="2:3" x14ac:dyDescent="0.3">
      <c r="B7891" s="18" t="s">
        <v>495</v>
      </c>
      <c r="C7891" s="13">
        <v>24</v>
      </c>
    </row>
    <row r="7892" spans="2:3" x14ac:dyDescent="0.3">
      <c r="B7892" s="18" t="s">
        <v>483</v>
      </c>
      <c r="C7892" s="13">
        <v>3</v>
      </c>
    </row>
    <row r="7893" spans="2:3" x14ac:dyDescent="0.3">
      <c r="B7893" s="18" t="s">
        <v>475</v>
      </c>
      <c r="C7893" s="13">
        <v>4</v>
      </c>
    </row>
    <row r="7894" spans="2:3" x14ac:dyDescent="0.3">
      <c r="B7894" s="18" t="s">
        <v>473</v>
      </c>
      <c r="C7894" s="13">
        <v>5</v>
      </c>
    </row>
    <row r="7895" spans="2:3" x14ac:dyDescent="0.3">
      <c r="B7895" s="18" t="s">
        <v>471</v>
      </c>
      <c r="C7895" s="13">
        <v>6</v>
      </c>
    </row>
    <row r="7896" spans="2:3" x14ac:dyDescent="0.3">
      <c r="B7896" s="18" t="s">
        <v>469</v>
      </c>
      <c r="C7896" s="13">
        <v>7</v>
      </c>
    </row>
    <row r="7897" spans="2:3" x14ac:dyDescent="0.3">
      <c r="B7897" s="18" t="s">
        <v>467</v>
      </c>
      <c r="C7897" s="13">
        <v>8</v>
      </c>
    </row>
    <row r="7898" spans="2:3" x14ac:dyDescent="0.3">
      <c r="B7898" s="18" t="s">
        <v>465</v>
      </c>
      <c r="C7898" s="13">
        <v>9</v>
      </c>
    </row>
    <row r="7899" spans="2:3" x14ac:dyDescent="0.3">
      <c r="B7899" s="18" t="s">
        <v>463</v>
      </c>
      <c r="C7899" s="13">
        <v>48</v>
      </c>
    </row>
    <row r="7900" spans="2:3" x14ac:dyDescent="0.3">
      <c r="B7900" s="18" t="s">
        <v>461</v>
      </c>
      <c r="C7900" s="13">
        <v>39</v>
      </c>
    </row>
    <row r="7901" spans="2:3" x14ac:dyDescent="0.3">
      <c r="B7901" s="18" t="s">
        <v>459</v>
      </c>
      <c r="C7901" s="13">
        <v>38</v>
      </c>
    </row>
    <row r="7902" spans="2:3" x14ac:dyDescent="0.3">
      <c r="B7902" s="18" t="s">
        <v>457</v>
      </c>
      <c r="C7902" s="13">
        <v>37</v>
      </c>
    </row>
    <row r="7903" spans="2:3" x14ac:dyDescent="0.3">
      <c r="B7903" s="18" t="s">
        <v>455</v>
      </c>
      <c r="C7903" s="13">
        <v>36</v>
      </c>
    </row>
    <row r="7904" spans="2:3" x14ac:dyDescent="0.3">
      <c r="B7904" s="18" t="s">
        <v>453</v>
      </c>
      <c r="C7904" s="13">
        <v>35</v>
      </c>
    </row>
    <row r="7905" spans="2:3" x14ac:dyDescent="0.3">
      <c r="B7905" s="18" t="s">
        <v>451</v>
      </c>
      <c r="C7905" s="13">
        <v>34</v>
      </c>
    </row>
    <row r="7906" spans="2:3" x14ac:dyDescent="0.3">
      <c r="B7906" s="18" t="s">
        <v>449</v>
      </c>
      <c r="C7906" s="13">
        <v>33</v>
      </c>
    </row>
    <row r="7907" spans="2:3" x14ac:dyDescent="0.3">
      <c r="B7907" s="18" t="s">
        <v>447</v>
      </c>
      <c r="C7907" s="13">
        <v>32</v>
      </c>
    </row>
    <row r="7908" spans="2:3" x14ac:dyDescent="0.3">
      <c r="B7908" s="18" t="s">
        <v>445</v>
      </c>
      <c r="C7908" s="13">
        <v>31</v>
      </c>
    </row>
    <row r="7909" spans="2:3" x14ac:dyDescent="0.3">
      <c r="B7909" s="18" t="s">
        <v>443</v>
      </c>
      <c r="C7909" s="13">
        <v>30</v>
      </c>
    </row>
    <row r="7910" spans="2:3" x14ac:dyDescent="0.3">
      <c r="B7910" s="18" t="s">
        <v>441</v>
      </c>
      <c r="C7910" s="13">
        <v>47</v>
      </c>
    </row>
    <row r="7911" spans="2:3" x14ac:dyDescent="0.3">
      <c r="B7911" s="18" t="s">
        <v>439</v>
      </c>
      <c r="C7911" s="13">
        <v>29</v>
      </c>
    </row>
    <row r="7912" spans="2:3" x14ac:dyDescent="0.3">
      <c r="B7912" s="18" t="s">
        <v>437</v>
      </c>
      <c r="C7912" s="13">
        <v>28</v>
      </c>
    </row>
    <row r="7913" spans="2:3" x14ac:dyDescent="0.3">
      <c r="B7913" s="18" t="s">
        <v>435</v>
      </c>
      <c r="C7913" s="13">
        <v>27</v>
      </c>
    </row>
    <row r="7914" spans="2:3" x14ac:dyDescent="0.3">
      <c r="B7914" s="18" t="s">
        <v>433</v>
      </c>
      <c r="C7914" s="13">
        <v>26</v>
      </c>
    </row>
    <row r="7915" spans="2:3" x14ac:dyDescent="0.3">
      <c r="B7915" s="18" t="s">
        <v>431</v>
      </c>
      <c r="C7915" s="13">
        <v>25</v>
      </c>
    </row>
    <row r="7916" spans="2:3" x14ac:dyDescent="0.3">
      <c r="B7916" s="18" t="s">
        <v>419</v>
      </c>
      <c r="C7916" s="13">
        <v>46</v>
      </c>
    </row>
    <row r="7917" spans="2:3" x14ac:dyDescent="0.3">
      <c r="B7917" s="18" t="s">
        <v>411</v>
      </c>
      <c r="C7917" s="13">
        <v>45</v>
      </c>
    </row>
    <row r="7918" spans="2:3" x14ac:dyDescent="0.3">
      <c r="B7918" s="18" t="s">
        <v>409</v>
      </c>
      <c r="C7918" s="13">
        <v>44</v>
      </c>
    </row>
    <row r="7919" spans="2:3" x14ac:dyDescent="0.3">
      <c r="B7919" s="18" t="s">
        <v>407</v>
      </c>
      <c r="C7919" s="13">
        <v>43</v>
      </c>
    </row>
    <row r="7920" spans="2:3" x14ac:dyDescent="0.3">
      <c r="B7920" s="18" t="s">
        <v>405</v>
      </c>
      <c r="C7920" s="13">
        <v>42</v>
      </c>
    </row>
    <row r="7921" spans="2:3" x14ac:dyDescent="0.3">
      <c r="B7921" s="18" t="s">
        <v>403</v>
      </c>
      <c r="C7921" s="13">
        <v>41</v>
      </c>
    </row>
    <row r="7922" spans="2:3" x14ac:dyDescent="0.3">
      <c r="B7922" s="18" t="s">
        <v>401</v>
      </c>
      <c r="C7922" s="13">
        <v>40</v>
      </c>
    </row>
    <row r="7923" spans="2:3" x14ac:dyDescent="0.3">
      <c r="B7923" s="18" t="s">
        <v>399</v>
      </c>
      <c r="C7923" s="13">
        <v>49</v>
      </c>
    </row>
    <row r="7924" spans="2:3" x14ac:dyDescent="0.3">
      <c r="B7924" s="18" t="s">
        <v>397</v>
      </c>
      <c r="C7924" s="13">
        <v>58</v>
      </c>
    </row>
    <row r="7925" spans="2:3" x14ac:dyDescent="0.3">
      <c r="B7925" s="18" t="s">
        <v>395</v>
      </c>
      <c r="C7925" s="13">
        <v>59</v>
      </c>
    </row>
    <row r="7926" spans="2:3" x14ac:dyDescent="0.3">
      <c r="B7926" s="18" t="s">
        <v>393</v>
      </c>
      <c r="C7926" s="13">
        <v>60</v>
      </c>
    </row>
    <row r="7927" spans="2:3" x14ac:dyDescent="0.3">
      <c r="B7927" s="18" t="s">
        <v>391</v>
      </c>
      <c r="C7927" s="13">
        <v>61</v>
      </c>
    </row>
    <row r="7928" spans="2:3" x14ac:dyDescent="0.3">
      <c r="B7928" s="18" t="s">
        <v>389</v>
      </c>
      <c r="C7928" s="13">
        <v>62</v>
      </c>
    </row>
    <row r="7929" spans="2:3" x14ac:dyDescent="0.3">
      <c r="B7929" s="18" t="s">
        <v>387</v>
      </c>
      <c r="C7929" s="13">
        <v>63</v>
      </c>
    </row>
    <row r="7930" spans="2:3" x14ac:dyDescent="0.3">
      <c r="B7930" s="18" t="s">
        <v>385</v>
      </c>
      <c r="C7930" s="13">
        <v>64</v>
      </c>
    </row>
    <row r="7931" spans="2:3" x14ac:dyDescent="0.3">
      <c r="B7931" s="18" t="s">
        <v>383</v>
      </c>
      <c r="C7931" s="13">
        <v>65</v>
      </c>
    </row>
    <row r="7932" spans="2:3" x14ac:dyDescent="0.3">
      <c r="B7932" s="18" t="s">
        <v>381</v>
      </c>
      <c r="C7932" s="13">
        <v>66</v>
      </c>
    </row>
    <row r="7933" spans="2:3" x14ac:dyDescent="0.3">
      <c r="B7933" s="18" t="s">
        <v>379</v>
      </c>
      <c r="C7933" s="13">
        <v>67</v>
      </c>
    </row>
    <row r="7934" spans="2:3" x14ac:dyDescent="0.3">
      <c r="B7934" s="18" t="s">
        <v>377</v>
      </c>
      <c r="C7934" s="13">
        <v>50</v>
      </c>
    </row>
    <row r="7935" spans="2:3" x14ac:dyDescent="0.3">
      <c r="B7935" s="18" t="s">
        <v>375</v>
      </c>
      <c r="C7935" s="13">
        <v>68</v>
      </c>
    </row>
    <row r="7936" spans="2:3" x14ac:dyDescent="0.3">
      <c r="B7936" s="18" t="s">
        <v>373</v>
      </c>
      <c r="C7936" s="13">
        <v>69</v>
      </c>
    </row>
    <row r="7937" spans="2:3" x14ac:dyDescent="0.3">
      <c r="B7937" s="18" t="s">
        <v>371</v>
      </c>
      <c r="C7937" s="13">
        <v>70</v>
      </c>
    </row>
    <row r="7938" spans="2:3" x14ac:dyDescent="0.3">
      <c r="B7938" s="18" t="s">
        <v>369</v>
      </c>
      <c r="C7938" s="13">
        <v>71</v>
      </c>
    </row>
    <row r="7939" spans="2:3" x14ac:dyDescent="0.3">
      <c r="B7939" s="18" t="s">
        <v>367</v>
      </c>
      <c r="C7939" s="13">
        <v>72</v>
      </c>
    </row>
    <row r="7940" spans="2:3" x14ac:dyDescent="0.3">
      <c r="B7940" s="18" t="s">
        <v>355</v>
      </c>
      <c r="C7940" s="13">
        <v>51</v>
      </c>
    </row>
    <row r="7941" spans="2:3" x14ac:dyDescent="0.3">
      <c r="B7941" s="18" t="s">
        <v>347</v>
      </c>
      <c r="C7941" s="13">
        <v>52</v>
      </c>
    </row>
    <row r="7942" spans="2:3" x14ac:dyDescent="0.3">
      <c r="B7942" s="18" t="s">
        <v>345</v>
      </c>
      <c r="C7942" s="13">
        <v>53</v>
      </c>
    </row>
    <row r="7943" spans="2:3" x14ac:dyDescent="0.3">
      <c r="B7943" s="18" t="s">
        <v>343</v>
      </c>
      <c r="C7943" s="13">
        <v>54</v>
      </c>
    </row>
    <row r="7944" spans="2:3" x14ac:dyDescent="0.3">
      <c r="B7944" s="18" t="s">
        <v>341</v>
      </c>
      <c r="C7944" s="13">
        <v>55</v>
      </c>
    </row>
    <row r="7945" spans="2:3" x14ac:dyDescent="0.3">
      <c r="B7945" s="18" t="s">
        <v>339</v>
      </c>
      <c r="C7945" s="13">
        <v>56</v>
      </c>
    </row>
    <row r="7946" spans="2:3" x14ac:dyDescent="0.3">
      <c r="B7946" s="18" t="s">
        <v>337</v>
      </c>
      <c r="C7946" s="13">
        <v>57</v>
      </c>
    </row>
    <row r="7947" spans="2:3" x14ac:dyDescent="0.3">
      <c r="B7947" s="18" t="s">
        <v>9418</v>
      </c>
      <c r="C7947" s="13">
        <v>96</v>
      </c>
    </row>
    <row r="7948" spans="2:3" x14ac:dyDescent="0.3">
      <c r="B7948" s="18" t="s">
        <v>9419</v>
      </c>
      <c r="C7948" s="13">
        <v>87</v>
      </c>
    </row>
    <row r="7949" spans="2:3" x14ac:dyDescent="0.3">
      <c r="B7949" s="18" t="s">
        <v>9420</v>
      </c>
      <c r="C7949" s="13">
        <v>86</v>
      </c>
    </row>
    <row r="7950" spans="2:3" x14ac:dyDescent="0.3">
      <c r="B7950" s="18" t="s">
        <v>9421</v>
      </c>
      <c r="C7950" s="13">
        <v>85</v>
      </c>
    </row>
    <row r="7951" spans="2:3" x14ac:dyDescent="0.3">
      <c r="B7951" s="18" t="s">
        <v>9422</v>
      </c>
      <c r="C7951" s="13">
        <v>84</v>
      </c>
    </row>
    <row r="7952" spans="2:3" x14ac:dyDescent="0.3">
      <c r="B7952" s="18" t="s">
        <v>9423</v>
      </c>
      <c r="C7952" s="13">
        <v>83</v>
      </c>
    </row>
    <row r="7953" spans="2:3" x14ac:dyDescent="0.3">
      <c r="B7953" s="18" t="s">
        <v>9424</v>
      </c>
      <c r="C7953" s="13">
        <v>82</v>
      </c>
    </row>
    <row r="7954" spans="2:3" x14ac:dyDescent="0.3">
      <c r="B7954" s="18" t="s">
        <v>9425</v>
      </c>
      <c r="C7954" s="13">
        <v>81</v>
      </c>
    </row>
    <row r="7955" spans="2:3" x14ac:dyDescent="0.3">
      <c r="B7955" s="18" t="s">
        <v>9426</v>
      </c>
      <c r="C7955" s="13">
        <v>80</v>
      </c>
    </row>
    <row r="7956" spans="2:3" x14ac:dyDescent="0.3">
      <c r="B7956" s="18" t="s">
        <v>9427</v>
      </c>
      <c r="C7956" s="13">
        <v>79</v>
      </c>
    </row>
    <row r="7957" spans="2:3" x14ac:dyDescent="0.3">
      <c r="B7957" s="18" t="s">
        <v>9428</v>
      </c>
      <c r="C7957" s="13">
        <v>78</v>
      </c>
    </row>
    <row r="7958" spans="2:3" x14ac:dyDescent="0.3">
      <c r="B7958" s="18" t="s">
        <v>9429</v>
      </c>
      <c r="C7958" s="13">
        <v>95</v>
      </c>
    </row>
    <row r="7959" spans="2:3" x14ac:dyDescent="0.3">
      <c r="B7959" s="18" t="s">
        <v>9430</v>
      </c>
      <c r="C7959" s="13">
        <v>77</v>
      </c>
    </row>
    <row r="7960" spans="2:3" x14ac:dyDescent="0.3">
      <c r="B7960" s="18" t="s">
        <v>9431</v>
      </c>
      <c r="C7960" s="13">
        <v>76</v>
      </c>
    </row>
    <row r="7961" spans="2:3" x14ac:dyDescent="0.3">
      <c r="B7961" s="18" t="s">
        <v>9432</v>
      </c>
      <c r="C7961" s="13">
        <v>75</v>
      </c>
    </row>
    <row r="7962" spans="2:3" x14ac:dyDescent="0.3">
      <c r="B7962" s="18" t="s">
        <v>9433</v>
      </c>
      <c r="C7962" s="13">
        <v>74</v>
      </c>
    </row>
    <row r="7963" spans="2:3" x14ac:dyDescent="0.3">
      <c r="B7963" s="18" t="s">
        <v>9434</v>
      </c>
      <c r="C7963" s="13">
        <v>73</v>
      </c>
    </row>
    <row r="7964" spans="2:3" x14ac:dyDescent="0.3">
      <c r="B7964" s="18" t="s">
        <v>9435</v>
      </c>
      <c r="C7964" s="13">
        <v>94</v>
      </c>
    </row>
    <row r="7965" spans="2:3" x14ac:dyDescent="0.3">
      <c r="B7965" s="18" t="s">
        <v>9436</v>
      </c>
      <c r="C7965" s="13">
        <v>93</v>
      </c>
    </row>
    <row r="7966" spans="2:3" x14ac:dyDescent="0.3">
      <c r="B7966" s="18" t="s">
        <v>9437</v>
      </c>
      <c r="C7966" s="13">
        <v>92</v>
      </c>
    </row>
    <row r="7967" spans="2:3" x14ac:dyDescent="0.3">
      <c r="B7967" s="18" t="s">
        <v>9438</v>
      </c>
      <c r="C7967" s="13">
        <v>91</v>
      </c>
    </row>
    <row r="7968" spans="2:3" x14ac:dyDescent="0.3">
      <c r="B7968" s="18" t="s">
        <v>9439</v>
      </c>
      <c r="C7968" s="13">
        <v>90</v>
      </c>
    </row>
    <row r="7969" spans="2:3" x14ac:dyDescent="0.3">
      <c r="B7969" s="18" t="s">
        <v>9440</v>
      </c>
      <c r="C7969" s="13">
        <v>89</v>
      </c>
    </row>
    <row r="7970" spans="2:3" x14ac:dyDescent="0.3">
      <c r="B7970" s="18" t="s">
        <v>9441</v>
      </c>
      <c r="C7970" s="13">
        <v>88</v>
      </c>
    </row>
    <row r="7971" spans="2:3" x14ac:dyDescent="0.3">
      <c r="B7971" s="18" t="s">
        <v>9442</v>
      </c>
      <c r="C7971" s="13">
        <v>1</v>
      </c>
    </row>
    <row r="7972" spans="2:3" x14ac:dyDescent="0.3">
      <c r="B7972" s="18" t="s">
        <v>9443</v>
      </c>
      <c r="C7972" s="13">
        <v>10</v>
      </c>
    </row>
    <row r="7973" spans="2:3" x14ac:dyDescent="0.3">
      <c r="B7973" s="18" t="s">
        <v>9444</v>
      </c>
      <c r="C7973" s="13">
        <v>11</v>
      </c>
    </row>
    <row r="7974" spans="2:3" x14ac:dyDescent="0.3">
      <c r="B7974" s="18" t="s">
        <v>9445</v>
      </c>
      <c r="C7974" s="13">
        <v>12</v>
      </c>
    </row>
    <row r="7975" spans="2:3" x14ac:dyDescent="0.3">
      <c r="B7975" s="18" t="s">
        <v>9446</v>
      </c>
      <c r="C7975" s="13">
        <v>13</v>
      </c>
    </row>
    <row r="7976" spans="2:3" x14ac:dyDescent="0.3">
      <c r="B7976" s="18" t="s">
        <v>9447</v>
      </c>
      <c r="C7976" s="13">
        <v>14</v>
      </c>
    </row>
    <row r="7977" spans="2:3" x14ac:dyDescent="0.3">
      <c r="B7977" s="18" t="s">
        <v>9448</v>
      </c>
      <c r="C7977" s="13">
        <v>15</v>
      </c>
    </row>
    <row r="7978" spans="2:3" x14ac:dyDescent="0.3">
      <c r="B7978" s="18" t="s">
        <v>9449</v>
      </c>
      <c r="C7978" s="13">
        <v>16</v>
      </c>
    </row>
    <row r="7979" spans="2:3" x14ac:dyDescent="0.3">
      <c r="B7979" s="18" t="s">
        <v>9450</v>
      </c>
      <c r="C7979" s="13">
        <v>17</v>
      </c>
    </row>
    <row r="7980" spans="2:3" x14ac:dyDescent="0.3">
      <c r="B7980" s="18" t="s">
        <v>9451</v>
      </c>
      <c r="C7980" s="13">
        <v>18</v>
      </c>
    </row>
    <row r="7981" spans="2:3" x14ac:dyDescent="0.3">
      <c r="B7981" s="18" t="s">
        <v>9452</v>
      </c>
      <c r="C7981" s="13">
        <v>19</v>
      </c>
    </row>
    <row r="7982" spans="2:3" x14ac:dyDescent="0.3">
      <c r="B7982" s="18" t="s">
        <v>9453</v>
      </c>
      <c r="C7982" s="13">
        <v>2</v>
      </c>
    </row>
    <row r="7983" spans="2:3" x14ac:dyDescent="0.3">
      <c r="B7983" s="18" t="s">
        <v>9454</v>
      </c>
      <c r="C7983" s="13">
        <v>20</v>
      </c>
    </row>
    <row r="7984" spans="2:3" x14ac:dyDescent="0.3">
      <c r="B7984" s="18" t="s">
        <v>9455</v>
      </c>
      <c r="C7984" s="13">
        <v>21</v>
      </c>
    </row>
    <row r="7985" spans="2:3" x14ac:dyDescent="0.3">
      <c r="B7985" s="18" t="s">
        <v>9456</v>
      </c>
      <c r="C7985" s="13">
        <v>22</v>
      </c>
    </row>
    <row r="7986" spans="2:3" x14ac:dyDescent="0.3">
      <c r="B7986" s="18" t="s">
        <v>9457</v>
      </c>
      <c r="C7986" s="13">
        <v>23</v>
      </c>
    </row>
    <row r="7987" spans="2:3" x14ac:dyDescent="0.3">
      <c r="B7987" s="18" t="s">
        <v>9458</v>
      </c>
      <c r="C7987" s="13">
        <v>24</v>
      </c>
    </row>
    <row r="7988" spans="2:3" x14ac:dyDescent="0.3">
      <c r="B7988" s="18" t="s">
        <v>9459</v>
      </c>
      <c r="C7988" s="13">
        <v>25</v>
      </c>
    </row>
    <row r="7989" spans="2:3" x14ac:dyDescent="0.3">
      <c r="B7989" s="18" t="s">
        <v>9460</v>
      </c>
      <c r="C7989" s="13">
        <v>3</v>
      </c>
    </row>
    <row r="7990" spans="2:3" x14ac:dyDescent="0.3">
      <c r="B7990" s="18" t="s">
        <v>9461</v>
      </c>
      <c r="C7990" s="13">
        <v>4</v>
      </c>
    </row>
    <row r="7991" spans="2:3" x14ac:dyDescent="0.3">
      <c r="B7991" s="18" t="s">
        <v>9462</v>
      </c>
      <c r="C7991" s="13">
        <v>5</v>
      </c>
    </row>
    <row r="7992" spans="2:3" x14ac:dyDescent="0.3">
      <c r="B7992" s="18" t="s">
        <v>9463</v>
      </c>
      <c r="C7992" s="13">
        <v>6</v>
      </c>
    </row>
    <row r="7993" spans="2:3" x14ac:dyDescent="0.3">
      <c r="B7993" s="18" t="s">
        <v>9464</v>
      </c>
      <c r="C7993" s="13">
        <v>7</v>
      </c>
    </row>
    <row r="7994" spans="2:3" x14ac:dyDescent="0.3">
      <c r="B7994" s="18" t="s">
        <v>9465</v>
      </c>
      <c r="C7994" s="13">
        <v>8</v>
      </c>
    </row>
    <row r="7995" spans="2:3" x14ac:dyDescent="0.3">
      <c r="B7995" s="18" t="s">
        <v>9466</v>
      </c>
      <c r="C7995" s="13">
        <v>9</v>
      </c>
    </row>
    <row r="7996" spans="2:3" x14ac:dyDescent="0.3">
      <c r="B7996" s="18" t="s">
        <v>9467</v>
      </c>
      <c r="C7996" s="13">
        <v>50</v>
      </c>
    </row>
    <row r="7997" spans="2:3" x14ac:dyDescent="0.3">
      <c r="B7997" s="18" t="s">
        <v>9468</v>
      </c>
      <c r="C7997" s="13">
        <v>41</v>
      </c>
    </row>
    <row r="7998" spans="2:3" x14ac:dyDescent="0.3">
      <c r="B7998" s="18" t="s">
        <v>9469</v>
      </c>
      <c r="C7998" s="13">
        <v>40</v>
      </c>
    </row>
    <row r="7999" spans="2:3" x14ac:dyDescent="0.3">
      <c r="B7999" s="18" t="s">
        <v>9470</v>
      </c>
      <c r="C7999" s="13">
        <v>39</v>
      </c>
    </row>
    <row r="8000" spans="2:3" x14ac:dyDescent="0.3">
      <c r="B8000" s="18" t="s">
        <v>9471</v>
      </c>
      <c r="C8000" s="13">
        <v>38</v>
      </c>
    </row>
    <row r="8001" spans="2:3" x14ac:dyDescent="0.3">
      <c r="B8001" s="18" t="s">
        <v>9472</v>
      </c>
      <c r="C8001" s="13">
        <v>37</v>
      </c>
    </row>
    <row r="8002" spans="2:3" x14ac:dyDescent="0.3">
      <c r="B8002" s="18" t="s">
        <v>9473</v>
      </c>
      <c r="C8002" s="13">
        <v>36</v>
      </c>
    </row>
    <row r="8003" spans="2:3" x14ac:dyDescent="0.3">
      <c r="B8003" s="18" t="s">
        <v>9474</v>
      </c>
      <c r="C8003" s="13">
        <v>35</v>
      </c>
    </row>
    <row r="8004" spans="2:3" x14ac:dyDescent="0.3">
      <c r="B8004" s="18" t="s">
        <v>9475</v>
      </c>
      <c r="C8004" s="13">
        <v>34</v>
      </c>
    </row>
    <row r="8005" spans="2:3" x14ac:dyDescent="0.3">
      <c r="B8005" s="18" t="s">
        <v>9476</v>
      </c>
      <c r="C8005" s="13">
        <v>33</v>
      </c>
    </row>
    <row r="8006" spans="2:3" x14ac:dyDescent="0.3">
      <c r="B8006" s="18" t="s">
        <v>9477</v>
      </c>
      <c r="C8006" s="13">
        <v>32</v>
      </c>
    </row>
    <row r="8007" spans="2:3" x14ac:dyDescent="0.3">
      <c r="B8007" s="18" t="s">
        <v>9478</v>
      </c>
      <c r="C8007" s="13">
        <v>49</v>
      </c>
    </row>
    <row r="8008" spans="2:3" x14ac:dyDescent="0.3">
      <c r="B8008" s="18" t="s">
        <v>9479</v>
      </c>
      <c r="C8008" s="13">
        <v>31</v>
      </c>
    </row>
    <row r="8009" spans="2:3" x14ac:dyDescent="0.3">
      <c r="B8009" s="18" t="s">
        <v>9480</v>
      </c>
      <c r="C8009" s="13">
        <v>30</v>
      </c>
    </row>
    <row r="8010" spans="2:3" x14ac:dyDescent="0.3">
      <c r="B8010" s="18" t="s">
        <v>9481</v>
      </c>
      <c r="C8010" s="13">
        <v>29</v>
      </c>
    </row>
    <row r="8011" spans="2:3" x14ac:dyDescent="0.3">
      <c r="B8011" s="18" t="s">
        <v>9482</v>
      </c>
      <c r="C8011" s="13">
        <v>28</v>
      </c>
    </row>
    <row r="8012" spans="2:3" x14ac:dyDescent="0.3">
      <c r="B8012" s="18" t="s">
        <v>9483</v>
      </c>
      <c r="C8012" s="13">
        <v>27</v>
      </c>
    </row>
    <row r="8013" spans="2:3" x14ac:dyDescent="0.3">
      <c r="B8013" s="18" t="s">
        <v>9484</v>
      </c>
      <c r="C8013" s="13">
        <v>26</v>
      </c>
    </row>
    <row r="8014" spans="2:3" x14ac:dyDescent="0.3">
      <c r="B8014" s="18" t="s">
        <v>9485</v>
      </c>
      <c r="C8014" s="13">
        <v>48</v>
      </c>
    </row>
    <row r="8015" spans="2:3" x14ac:dyDescent="0.3">
      <c r="B8015" s="18" t="s">
        <v>9486</v>
      </c>
      <c r="C8015" s="13">
        <v>47</v>
      </c>
    </row>
    <row r="8016" spans="2:3" x14ac:dyDescent="0.3">
      <c r="B8016" s="18" t="s">
        <v>9487</v>
      </c>
      <c r="C8016" s="13">
        <v>46</v>
      </c>
    </row>
    <row r="8017" spans="2:3" x14ac:dyDescent="0.3">
      <c r="B8017" s="18" t="s">
        <v>9488</v>
      </c>
      <c r="C8017" s="13">
        <v>45</v>
      </c>
    </row>
    <row r="8018" spans="2:3" x14ac:dyDescent="0.3">
      <c r="B8018" s="18" t="s">
        <v>9489</v>
      </c>
      <c r="C8018" s="13">
        <v>44</v>
      </c>
    </row>
    <row r="8019" spans="2:3" x14ac:dyDescent="0.3">
      <c r="B8019" s="18" t="s">
        <v>9490</v>
      </c>
      <c r="C8019" s="13">
        <v>43</v>
      </c>
    </row>
    <row r="8020" spans="2:3" x14ac:dyDescent="0.3">
      <c r="B8020" s="18" t="s">
        <v>9491</v>
      </c>
      <c r="C8020" s="13">
        <v>42</v>
      </c>
    </row>
    <row r="8021" spans="2:3" x14ac:dyDescent="0.3">
      <c r="B8021" s="18" t="s">
        <v>9492</v>
      </c>
      <c r="C8021" s="13">
        <v>51</v>
      </c>
    </row>
    <row r="8022" spans="2:3" x14ac:dyDescent="0.3">
      <c r="B8022" s="18" t="s">
        <v>9493</v>
      </c>
      <c r="C8022" s="13">
        <v>60</v>
      </c>
    </row>
    <row r="8023" spans="2:3" x14ac:dyDescent="0.3">
      <c r="B8023" s="18" t="s">
        <v>9494</v>
      </c>
      <c r="C8023" s="13">
        <v>61</v>
      </c>
    </row>
    <row r="8024" spans="2:3" x14ac:dyDescent="0.3">
      <c r="B8024" s="18" t="s">
        <v>9495</v>
      </c>
      <c r="C8024" s="13">
        <v>62</v>
      </c>
    </row>
    <row r="8025" spans="2:3" x14ac:dyDescent="0.3">
      <c r="B8025" s="18" t="s">
        <v>9496</v>
      </c>
      <c r="C8025" s="13">
        <v>63</v>
      </c>
    </row>
    <row r="8026" spans="2:3" x14ac:dyDescent="0.3">
      <c r="B8026" s="18" t="s">
        <v>9497</v>
      </c>
      <c r="C8026" s="13">
        <v>64</v>
      </c>
    </row>
    <row r="8027" spans="2:3" x14ac:dyDescent="0.3">
      <c r="B8027" s="18" t="s">
        <v>9498</v>
      </c>
      <c r="C8027" s="13">
        <v>65</v>
      </c>
    </row>
    <row r="8028" spans="2:3" x14ac:dyDescent="0.3">
      <c r="B8028" s="18" t="s">
        <v>9499</v>
      </c>
      <c r="C8028" s="13">
        <v>66</v>
      </c>
    </row>
    <row r="8029" spans="2:3" x14ac:dyDescent="0.3">
      <c r="B8029" s="18" t="s">
        <v>9500</v>
      </c>
      <c r="C8029" s="13">
        <v>67</v>
      </c>
    </row>
    <row r="8030" spans="2:3" x14ac:dyDescent="0.3">
      <c r="B8030" s="18" t="s">
        <v>9501</v>
      </c>
      <c r="C8030" s="13">
        <v>68</v>
      </c>
    </row>
    <row r="8031" spans="2:3" x14ac:dyDescent="0.3">
      <c r="B8031" s="18" t="s">
        <v>9502</v>
      </c>
      <c r="C8031" s="13">
        <v>69</v>
      </c>
    </row>
    <row r="8032" spans="2:3" x14ac:dyDescent="0.3">
      <c r="B8032" s="18" t="s">
        <v>9503</v>
      </c>
      <c r="C8032" s="13">
        <v>52</v>
      </c>
    </row>
    <row r="8033" spans="2:3" x14ac:dyDescent="0.3">
      <c r="B8033" s="18" t="s">
        <v>9504</v>
      </c>
      <c r="C8033" s="13">
        <v>70</v>
      </c>
    </row>
    <row r="8034" spans="2:3" x14ac:dyDescent="0.3">
      <c r="B8034" s="18" t="s">
        <v>9505</v>
      </c>
      <c r="C8034" s="13">
        <v>71</v>
      </c>
    </row>
    <row r="8035" spans="2:3" x14ac:dyDescent="0.3">
      <c r="B8035" s="18" t="s">
        <v>9506</v>
      </c>
      <c r="C8035" s="13">
        <v>72</v>
      </c>
    </row>
    <row r="8036" spans="2:3" x14ac:dyDescent="0.3">
      <c r="B8036" s="18" t="s">
        <v>9507</v>
      </c>
      <c r="C8036" s="13">
        <v>73</v>
      </c>
    </row>
    <row r="8037" spans="2:3" x14ac:dyDescent="0.3">
      <c r="B8037" s="18" t="s">
        <v>9508</v>
      </c>
      <c r="C8037" s="13">
        <v>74</v>
      </c>
    </row>
    <row r="8038" spans="2:3" x14ac:dyDescent="0.3">
      <c r="B8038" s="18" t="s">
        <v>9509</v>
      </c>
      <c r="C8038" s="13">
        <v>75</v>
      </c>
    </row>
    <row r="8039" spans="2:3" x14ac:dyDescent="0.3">
      <c r="B8039" s="18" t="s">
        <v>9510</v>
      </c>
      <c r="C8039" s="13">
        <v>53</v>
      </c>
    </row>
    <row r="8040" spans="2:3" x14ac:dyDescent="0.3">
      <c r="B8040" s="18" t="s">
        <v>9511</v>
      </c>
      <c r="C8040" s="13">
        <v>54</v>
      </c>
    </row>
    <row r="8041" spans="2:3" x14ac:dyDescent="0.3">
      <c r="B8041" s="18" t="s">
        <v>9512</v>
      </c>
      <c r="C8041" s="13">
        <v>55</v>
      </c>
    </row>
    <row r="8042" spans="2:3" x14ac:dyDescent="0.3">
      <c r="B8042" s="18" t="s">
        <v>9513</v>
      </c>
      <c r="C8042" s="13">
        <v>56</v>
      </c>
    </row>
    <row r="8043" spans="2:3" x14ac:dyDescent="0.3">
      <c r="B8043" s="18" t="s">
        <v>9514</v>
      </c>
      <c r="C8043" s="13">
        <v>57</v>
      </c>
    </row>
    <row r="8044" spans="2:3" x14ac:dyDescent="0.3">
      <c r="B8044" s="18" t="s">
        <v>9515</v>
      </c>
      <c r="C8044" s="13">
        <v>58</v>
      </c>
    </row>
    <row r="8045" spans="2:3" x14ac:dyDescent="0.3">
      <c r="B8045" s="18" t="s">
        <v>9516</v>
      </c>
      <c r="C8045" s="13">
        <v>59</v>
      </c>
    </row>
    <row r="8046" spans="2:3" x14ac:dyDescent="0.3">
      <c r="B8046" s="18" t="s">
        <v>9517</v>
      </c>
      <c r="C8046" s="13">
        <v>91</v>
      </c>
    </row>
    <row r="8047" spans="2:3" x14ac:dyDescent="0.3">
      <c r="B8047" s="18" t="s">
        <v>9518</v>
      </c>
      <c r="C8047" s="13">
        <v>90</v>
      </c>
    </row>
    <row r="8048" spans="2:3" x14ac:dyDescent="0.3">
      <c r="B8048" s="18" t="s">
        <v>9519</v>
      </c>
      <c r="C8048" s="13">
        <v>89</v>
      </c>
    </row>
    <row r="8049" spans="2:3" x14ac:dyDescent="0.3">
      <c r="B8049" s="18" t="s">
        <v>9520</v>
      </c>
      <c r="C8049" s="13">
        <v>88</v>
      </c>
    </row>
    <row r="8050" spans="2:3" x14ac:dyDescent="0.3">
      <c r="B8050" s="18" t="s">
        <v>9521</v>
      </c>
      <c r="C8050" s="13">
        <v>87</v>
      </c>
    </row>
    <row r="8051" spans="2:3" x14ac:dyDescent="0.3">
      <c r="B8051" s="18" t="s">
        <v>9522</v>
      </c>
      <c r="C8051" s="13">
        <v>86</v>
      </c>
    </row>
    <row r="8052" spans="2:3" x14ac:dyDescent="0.3">
      <c r="B8052" s="18" t="s">
        <v>9523</v>
      </c>
      <c r="C8052" s="13">
        <v>85</v>
      </c>
    </row>
    <row r="8053" spans="2:3" x14ac:dyDescent="0.3">
      <c r="B8053" s="18" t="s">
        <v>9524</v>
      </c>
      <c r="C8053" s="13">
        <v>84</v>
      </c>
    </row>
    <row r="8054" spans="2:3" x14ac:dyDescent="0.3">
      <c r="B8054" s="18" t="s">
        <v>9525</v>
      </c>
      <c r="C8054" s="13">
        <v>83</v>
      </c>
    </row>
    <row r="8055" spans="2:3" x14ac:dyDescent="0.3">
      <c r="B8055" s="18" t="s">
        <v>9526</v>
      </c>
      <c r="C8055" s="13">
        <v>82</v>
      </c>
    </row>
    <row r="8056" spans="2:3" x14ac:dyDescent="0.3">
      <c r="B8056" s="18" t="s">
        <v>9527</v>
      </c>
      <c r="C8056" s="13">
        <v>81</v>
      </c>
    </row>
    <row r="8057" spans="2:3" x14ac:dyDescent="0.3">
      <c r="B8057" s="18" t="s">
        <v>9528</v>
      </c>
      <c r="C8057" s="13">
        <v>80</v>
      </c>
    </row>
    <row r="8058" spans="2:3" x14ac:dyDescent="0.3">
      <c r="B8058" s="18" t="s">
        <v>9529</v>
      </c>
      <c r="C8058" s="13">
        <v>79</v>
      </c>
    </row>
    <row r="8059" spans="2:3" x14ac:dyDescent="0.3">
      <c r="B8059" s="18" t="s">
        <v>9530</v>
      </c>
      <c r="C8059" s="13">
        <v>78</v>
      </c>
    </row>
    <row r="8060" spans="2:3" x14ac:dyDescent="0.3">
      <c r="B8060" s="18" t="s">
        <v>9531</v>
      </c>
      <c r="C8060" s="13">
        <v>77</v>
      </c>
    </row>
    <row r="8061" spans="2:3" x14ac:dyDescent="0.3">
      <c r="B8061" s="18" t="s">
        <v>9532</v>
      </c>
      <c r="C8061" s="13">
        <v>76</v>
      </c>
    </row>
    <row r="8062" spans="2:3" x14ac:dyDescent="0.3">
      <c r="B8062" s="18" t="s">
        <v>9533</v>
      </c>
      <c r="C8062" s="13">
        <v>97</v>
      </c>
    </row>
    <row r="8063" spans="2:3" x14ac:dyDescent="0.3">
      <c r="B8063" s="18" t="s">
        <v>9534</v>
      </c>
      <c r="C8063" s="13">
        <v>96</v>
      </c>
    </row>
    <row r="8064" spans="2:3" x14ac:dyDescent="0.3">
      <c r="B8064" s="18" t="s">
        <v>9535</v>
      </c>
      <c r="C8064" s="13">
        <v>95</v>
      </c>
    </row>
    <row r="8065" spans="2:3" x14ac:dyDescent="0.3">
      <c r="B8065" s="18" t="s">
        <v>9536</v>
      </c>
      <c r="C8065" s="13">
        <v>94</v>
      </c>
    </row>
    <row r="8066" spans="2:3" x14ac:dyDescent="0.3">
      <c r="B8066" s="18" t="s">
        <v>9537</v>
      </c>
      <c r="C8066" s="13">
        <v>93</v>
      </c>
    </row>
    <row r="8067" spans="2:3" x14ac:dyDescent="0.3">
      <c r="B8067" s="18" t="s">
        <v>9538</v>
      </c>
      <c r="C8067" s="13">
        <v>92</v>
      </c>
    </row>
    <row r="8068" spans="2:3" x14ac:dyDescent="0.3">
      <c r="B8068" s="18" t="s">
        <v>9539</v>
      </c>
      <c r="C8068" s="13">
        <v>1</v>
      </c>
    </row>
    <row r="8069" spans="2:3" x14ac:dyDescent="0.3">
      <c r="B8069" s="18" t="s">
        <v>9540</v>
      </c>
      <c r="C8069" s="13">
        <v>10</v>
      </c>
    </row>
    <row r="8070" spans="2:3" x14ac:dyDescent="0.3">
      <c r="B8070" s="18" t="s">
        <v>9541</v>
      </c>
      <c r="C8070" s="13">
        <v>11</v>
      </c>
    </row>
    <row r="8071" spans="2:3" x14ac:dyDescent="0.3">
      <c r="B8071" s="18" t="s">
        <v>9542</v>
      </c>
      <c r="C8071" s="13">
        <v>12</v>
      </c>
    </row>
    <row r="8072" spans="2:3" x14ac:dyDescent="0.3">
      <c r="B8072" s="18" t="s">
        <v>9543</v>
      </c>
      <c r="C8072" s="13">
        <v>13</v>
      </c>
    </row>
    <row r="8073" spans="2:3" x14ac:dyDescent="0.3">
      <c r="B8073" s="18" t="s">
        <v>9544</v>
      </c>
      <c r="C8073" s="13">
        <v>14</v>
      </c>
    </row>
    <row r="8074" spans="2:3" x14ac:dyDescent="0.3">
      <c r="B8074" s="18" t="s">
        <v>9545</v>
      </c>
      <c r="C8074" s="13">
        <v>15</v>
      </c>
    </row>
    <row r="8075" spans="2:3" x14ac:dyDescent="0.3">
      <c r="B8075" s="18" t="s">
        <v>9546</v>
      </c>
      <c r="C8075" s="13">
        <v>16</v>
      </c>
    </row>
    <row r="8076" spans="2:3" x14ac:dyDescent="0.3">
      <c r="B8076" s="18" t="s">
        <v>9547</v>
      </c>
      <c r="C8076" s="13">
        <v>17</v>
      </c>
    </row>
    <row r="8077" spans="2:3" x14ac:dyDescent="0.3">
      <c r="B8077" s="18" t="s">
        <v>9548</v>
      </c>
      <c r="C8077" s="13">
        <v>18</v>
      </c>
    </row>
    <row r="8078" spans="2:3" x14ac:dyDescent="0.3">
      <c r="B8078" s="18" t="s">
        <v>9549</v>
      </c>
      <c r="C8078" s="13">
        <v>19</v>
      </c>
    </row>
    <row r="8079" spans="2:3" x14ac:dyDescent="0.3">
      <c r="B8079" s="18" t="s">
        <v>9550</v>
      </c>
      <c r="C8079" s="13">
        <v>2</v>
      </c>
    </row>
    <row r="8080" spans="2:3" x14ac:dyDescent="0.3">
      <c r="B8080" s="18" t="s">
        <v>9551</v>
      </c>
      <c r="C8080" s="13">
        <v>20</v>
      </c>
    </row>
    <row r="8081" spans="2:3" x14ac:dyDescent="0.3">
      <c r="B8081" s="18" t="s">
        <v>9552</v>
      </c>
      <c r="C8081" s="13">
        <v>21</v>
      </c>
    </row>
    <row r="8082" spans="2:3" x14ac:dyDescent="0.3">
      <c r="B8082" s="18" t="s">
        <v>9553</v>
      </c>
      <c r="C8082" s="13">
        <v>22</v>
      </c>
    </row>
    <row r="8083" spans="2:3" x14ac:dyDescent="0.3">
      <c r="B8083" s="18" t="s">
        <v>9554</v>
      </c>
      <c r="C8083" s="13">
        <v>23</v>
      </c>
    </row>
    <row r="8084" spans="2:3" x14ac:dyDescent="0.3">
      <c r="B8084" s="18" t="s">
        <v>9555</v>
      </c>
      <c r="C8084" s="13">
        <v>24</v>
      </c>
    </row>
    <row r="8085" spans="2:3" x14ac:dyDescent="0.3">
      <c r="B8085" s="18" t="s">
        <v>9556</v>
      </c>
      <c r="C8085" s="13">
        <v>25</v>
      </c>
    </row>
    <row r="8086" spans="2:3" x14ac:dyDescent="0.3">
      <c r="B8086" s="18" t="s">
        <v>9557</v>
      </c>
      <c r="C8086" s="13">
        <v>3</v>
      </c>
    </row>
    <row r="8087" spans="2:3" x14ac:dyDescent="0.3">
      <c r="B8087" s="18" t="s">
        <v>9558</v>
      </c>
      <c r="C8087" s="13">
        <v>4</v>
      </c>
    </row>
    <row r="8088" spans="2:3" x14ac:dyDescent="0.3">
      <c r="B8088" s="18" t="s">
        <v>9559</v>
      </c>
      <c r="C8088" s="13">
        <v>5</v>
      </c>
    </row>
    <row r="8089" spans="2:3" x14ac:dyDescent="0.3">
      <c r="B8089" s="18" t="s">
        <v>9560</v>
      </c>
      <c r="C8089" s="13">
        <v>6</v>
      </c>
    </row>
    <row r="8090" spans="2:3" x14ac:dyDescent="0.3">
      <c r="B8090" s="18" t="s">
        <v>9561</v>
      </c>
      <c r="C8090" s="13">
        <v>7</v>
      </c>
    </row>
    <row r="8091" spans="2:3" x14ac:dyDescent="0.3">
      <c r="B8091" s="18" t="s">
        <v>9562</v>
      </c>
      <c r="C8091" s="13">
        <v>8</v>
      </c>
    </row>
    <row r="8092" spans="2:3" x14ac:dyDescent="0.3">
      <c r="B8092" s="18" t="s">
        <v>9563</v>
      </c>
      <c r="C8092" s="13">
        <v>9</v>
      </c>
    </row>
    <row r="8093" spans="2:3" x14ac:dyDescent="0.3">
      <c r="B8093" s="18" t="s">
        <v>9564</v>
      </c>
      <c r="C8093" s="13">
        <v>50</v>
      </c>
    </row>
    <row r="8094" spans="2:3" x14ac:dyDescent="0.3">
      <c r="B8094" s="18" t="s">
        <v>9565</v>
      </c>
      <c r="C8094" s="13">
        <v>41</v>
      </c>
    </row>
    <row r="8095" spans="2:3" x14ac:dyDescent="0.3">
      <c r="B8095" s="18" t="s">
        <v>9566</v>
      </c>
      <c r="C8095" s="13">
        <v>40</v>
      </c>
    </row>
    <row r="8096" spans="2:3" x14ac:dyDescent="0.3">
      <c r="B8096" s="18" t="s">
        <v>9567</v>
      </c>
      <c r="C8096" s="13">
        <v>39</v>
      </c>
    </row>
    <row r="8097" spans="2:3" x14ac:dyDescent="0.3">
      <c r="B8097" s="18" t="s">
        <v>9568</v>
      </c>
      <c r="C8097" s="13">
        <v>38</v>
      </c>
    </row>
    <row r="8098" spans="2:3" x14ac:dyDescent="0.3">
      <c r="B8098" s="18" t="s">
        <v>9569</v>
      </c>
      <c r="C8098" s="13">
        <v>37</v>
      </c>
    </row>
    <row r="8099" spans="2:3" x14ac:dyDescent="0.3">
      <c r="B8099" s="18" t="s">
        <v>9570</v>
      </c>
      <c r="C8099" s="13">
        <v>36</v>
      </c>
    </row>
    <row r="8100" spans="2:3" x14ac:dyDescent="0.3">
      <c r="B8100" s="18" t="s">
        <v>9571</v>
      </c>
      <c r="C8100" s="13">
        <v>35</v>
      </c>
    </row>
    <row r="8101" spans="2:3" x14ac:dyDescent="0.3">
      <c r="B8101" s="18" t="s">
        <v>9572</v>
      </c>
      <c r="C8101" s="13">
        <v>34</v>
      </c>
    </row>
    <row r="8102" spans="2:3" x14ac:dyDescent="0.3">
      <c r="B8102" s="18" t="s">
        <v>9573</v>
      </c>
      <c r="C8102" s="13">
        <v>33</v>
      </c>
    </row>
    <row r="8103" spans="2:3" x14ac:dyDescent="0.3">
      <c r="B8103" s="18" t="s">
        <v>9574</v>
      </c>
      <c r="C8103" s="13">
        <v>32</v>
      </c>
    </row>
    <row r="8104" spans="2:3" x14ac:dyDescent="0.3">
      <c r="B8104" s="18" t="s">
        <v>9575</v>
      </c>
      <c r="C8104" s="13">
        <v>49</v>
      </c>
    </row>
    <row r="8105" spans="2:3" x14ac:dyDescent="0.3">
      <c r="B8105" s="18" t="s">
        <v>9576</v>
      </c>
      <c r="C8105" s="13">
        <v>31</v>
      </c>
    </row>
    <row r="8106" spans="2:3" x14ac:dyDescent="0.3">
      <c r="B8106" s="18" t="s">
        <v>9577</v>
      </c>
      <c r="C8106" s="13">
        <v>30</v>
      </c>
    </row>
    <row r="8107" spans="2:3" x14ac:dyDescent="0.3">
      <c r="B8107" s="18" t="s">
        <v>9578</v>
      </c>
      <c r="C8107" s="13">
        <v>29</v>
      </c>
    </row>
    <row r="8108" spans="2:3" x14ac:dyDescent="0.3">
      <c r="B8108" s="18" t="s">
        <v>9579</v>
      </c>
      <c r="C8108" s="13">
        <v>28</v>
      </c>
    </row>
    <row r="8109" spans="2:3" x14ac:dyDescent="0.3">
      <c r="B8109" s="18" t="s">
        <v>9580</v>
      </c>
      <c r="C8109" s="13">
        <v>27</v>
      </c>
    </row>
    <row r="8110" spans="2:3" x14ac:dyDescent="0.3">
      <c r="B8110" s="18" t="s">
        <v>9581</v>
      </c>
      <c r="C8110" s="13">
        <v>26</v>
      </c>
    </row>
    <row r="8111" spans="2:3" x14ac:dyDescent="0.3">
      <c r="B8111" s="18" t="s">
        <v>9582</v>
      </c>
      <c r="C8111" s="13">
        <v>48</v>
      </c>
    </row>
    <row r="8112" spans="2:3" x14ac:dyDescent="0.3">
      <c r="B8112" s="18" t="s">
        <v>9583</v>
      </c>
      <c r="C8112" s="13">
        <v>47</v>
      </c>
    </row>
    <row r="8113" spans="2:3" x14ac:dyDescent="0.3">
      <c r="B8113" s="18" t="s">
        <v>9584</v>
      </c>
      <c r="C8113" s="13">
        <v>46</v>
      </c>
    </row>
    <row r="8114" spans="2:3" x14ac:dyDescent="0.3">
      <c r="B8114" s="18" t="s">
        <v>9585</v>
      </c>
      <c r="C8114" s="13">
        <v>45</v>
      </c>
    </row>
    <row r="8115" spans="2:3" x14ac:dyDescent="0.3">
      <c r="B8115" s="18" t="s">
        <v>9586</v>
      </c>
      <c r="C8115" s="13">
        <v>44</v>
      </c>
    </row>
    <row r="8116" spans="2:3" x14ac:dyDescent="0.3">
      <c r="B8116" s="18" t="s">
        <v>9587</v>
      </c>
      <c r="C8116" s="13">
        <v>43</v>
      </c>
    </row>
    <row r="8117" spans="2:3" x14ac:dyDescent="0.3">
      <c r="B8117" s="18" t="s">
        <v>9588</v>
      </c>
      <c r="C8117" s="13">
        <v>42</v>
      </c>
    </row>
    <row r="8118" spans="2:3" x14ac:dyDescent="0.3">
      <c r="B8118" s="18" t="s">
        <v>9589</v>
      </c>
      <c r="C8118" s="13">
        <v>51</v>
      </c>
    </row>
    <row r="8119" spans="2:3" x14ac:dyDescent="0.3">
      <c r="B8119" s="18" t="s">
        <v>9590</v>
      </c>
      <c r="C8119" s="13">
        <v>60</v>
      </c>
    </row>
    <row r="8120" spans="2:3" x14ac:dyDescent="0.3">
      <c r="B8120" s="18" t="s">
        <v>9591</v>
      </c>
      <c r="C8120" s="13">
        <v>61</v>
      </c>
    </row>
    <row r="8121" spans="2:3" x14ac:dyDescent="0.3">
      <c r="B8121" s="18" t="s">
        <v>9592</v>
      </c>
      <c r="C8121" s="13">
        <v>62</v>
      </c>
    </row>
    <row r="8122" spans="2:3" x14ac:dyDescent="0.3">
      <c r="B8122" s="18" t="s">
        <v>9593</v>
      </c>
      <c r="C8122" s="13">
        <v>63</v>
      </c>
    </row>
    <row r="8123" spans="2:3" x14ac:dyDescent="0.3">
      <c r="B8123" s="18" t="s">
        <v>9594</v>
      </c>
      <c r="C8123" s="13">
        <v>64</v>
      </c>
    </row>
    <row r="8124" spans="2:3" x14ac:dyDescent="0.3">
      <c r="B8124" s="18" t="s">
        <v>9595</v>
      </c>
      <c r="C8124" s="13">
        <v>65</v>
      </c>
    </row>
    <row r="8125" spans="2:3" x14ac:dyDescent="0.3">
      <c r="B8125" s="18" t="s">
        <v>9596</v>
      </c>
      <c r="C8125" s="13">
        <v>66</v>
      </c>
    </row>
    <row r="8126" spans="2:3" x14ac:dyDescent="0.3">
      <c r="B8126" s="18" t="s">
        <v>9597</v>
      </c>
      <c r="C8126" s="13">
        <v>67</v>
      </c>
    </row>
    <row r="8127" spans="2:3" x14ac:dyDescent="0.3">
      <c r="B8127" s="18" t="s">
        <v>9598</v>
      </c>
      <c r="C8127" s="13">
        <v>68</v>
      </c>
    </row>
    <row r="8128" spans="2:3" x14ac:dyDescent="0.3">
      <c r="B8128" s="18" t="s">
        <v>9599</v>
      </c>
      <c r="C8128" s="13">
        <v>69</v>
      </c>
    </row>
    <row r="8129" spans="2:3" x14ac:dyDescent="0.3">
      <c r="B8129" s="18" t="s">
        <v>9600</v>
      </c>
      <c r="C8129" s="13">
        <v>52</v>
      </c>
    </row>
    <row r="8130" spans="2:3" x14ac:dyDescent="0.3">
      <c r="B8130" s="18" t="s">
        <v>9601</v>
      </c>
      <c r="C8130" s="13">
        <v>70</v>
      </c>
    </row>
    <row r="8131" spans="2:3" x14ac:dyDescent="0.3">
      <c r="B8131" s="18" t="s">
        <v>9602</v>
      </c>
      <c r="C8131" s="13">
        <v>71</v>
      </c>
    </row>
    <row r="8132" spans="2:3" x14ac:dyDescent="0.3">
      <c r="B8132" s="18" t="s">
        <v>9603</v>
      </c>
      <c r="C8132" s="13">
        <v>72</v>
      </c>
    </row>
    <row r="8133" spans="2:3" x14ac:dyDescent="0.3">
      <c r="B8133" s="18" t="s">
        <v>9604</v>
      </c>
      <c r="C8133" s="13">
        <v>73</v>
      </c>
    </row>
    <row r="8134" spans="2:3" x14ac:dyDescent="0.3">
      <c r="B8134" s="18" t="s">
        <v>9605</v>
      </c>
      <c r="C8134" s="13">
        <v>74</v>
      </c>
    </row>
    <row r="8135" spans="2:3" x14ac:dyDescent="0.3">
      <c r="B8135" s="18" t="s">
        <v>9606</v>
      </c>
      <c r="C8135" s="13">
        <v>75</v>
      </c>
    </row>
    <row r="8136" spans="2:3" x14ac:dyDescent="0.3">
      <c r="B8136" s="18" t="s">
        <v>9607</v>
      </c>
      <c r="C8136" s="13">
        <v>53</v>
      </c>
    </row>
    <row r="8137" spans="2:3" x14ac:dyDescent="0.3">
      <c r="B8137" s="18" t="s">
        <v>9608</v>
      </c>
      <c r="C8137" s="13">
        <v>54</v>
      </c>
    </row>
    <row r="8138" spans="2:3" x14ac:dyDescent="0.3">
      <c r="B8138" s="18" t="s">
        <v>9609</v>
      </c>
      <c r="C8138" s="13">
        <v>55</v>
      </c>
    </row>
    <row r="8139" spans="2:3" x14ac:dyDescent="0.3">
      <c r="B8139" s="18" t="s">
        <v>9610</v>
      </c>
      <c r="C8139" s="13">
        <v>56</v>
      </c>
    </row>
    <row r="8140" spans="2:3" x14ac:dyDescent="0.3">
      <c r="B8140" s="18" t="s">
        <v>9611</v>
      </c>
      <c r="C8140" s="13">
        <v>57</v>
      </c>
    </row>
    <row r="8141" spans="2:3" x14ac:dyDescent="0.3">
      <c r="B8141" s="18" t="s">
        <v>9612</v>
      </c>
      <c r="C8141" s="13">
        <v>58</v>
      </c>
    </row>
    <row r="8142" spans="2:3" x14ac:dyDescent="0.3">
      <c r="B8142" s="18" t="s">
        <v>9613</v>
      </c>
      <c r="C8142" s="13">
        <v>59</v>
      </c>
    </row>
    <row r="8143" spans="2:3" x14ac:dyDescent="0.3">
      <c r="B8143" s="18" t="s">
        <v>9614</v>
      </c>
      <c r="C8143" s="13">
        <v>91</v>
      </c>
    </row>
    <row r="8144" spans="2:3" x14ac:dyDescent="0.3">
      <c r="B8144" s="18" t="s">
        <v>9615</v>
      </c>
      <c r="C8144" s="13">
        <v>90</v>
      </c>
    </row>
    <row r="8145" spans="2:3" x14ac:dyDescent="0.3">
      <c r="B8145" s="18" t="s">
        <v>9616</v>
      </c>
      <c r="C8145" s="13">
        <v>89</v>
      </c>
    </row>
    <row r="8146" spans="2:3" x14ac:dyDescent="0.3">
      <c r="B8146" s="18" t="s">
        <v>9617</v>
      </c>
      <c r="C8146" s="13">
        <v>88</v>
      </c>
    </row>
    <row r="8147" spans="2:3" x14ac:dyDescent="0.3">
      <c r="B8147" s="18" t="s">
        <v>9618</v>
      </c>
      <c r="C8147" s="13">
        <v>87</v>
      </c>
    </row>
    <row r="8148" spans="2:3" x14ac:dyDescent="0.3">
      <c r="B8148" s="18" t="s">
        <v>9619</v>
      </c>
      <c r="C8148" s="13">
        <v>86</v>
      </c>
    </row>
    <row r="8149" spans="2:3" x14ac:dyDescent="0.3">
      <c r="B8149" s="18" t="s">
        <v>9620</v>
      </c>
      <c r="C8149" s="13">
        <v>85</v>
      </c>
    </row>
    <row r="8150" spans="2:3" x14ac:dyDescent="0.3">
      <c r="B8150" s="18" t="s">
        <v>9621</v>
      </c>
      <c r="C8150" s="13">
        <v>84</v>
      </c>
    </row>
    <row r="8151" spans="2:3" x14ac:dyDescent="0.3">
      <c r="B8151" s="18" t="s">
        <v>9622</v>
      </c>
      <c r="C8151" s="13">
        <v>83</v>
      </c>
    </row>
    <row r="8152" spans="2:3" x14ac:dyDescent="0.3">
      <c r="B8152" s="18" t="s">
        <v>9623</v>
      </c>
      <c r="C8152" s="13">
        <v>82</v>
      </c>
    </row>
    <row r="8153" spans="2:3" x14ac:dyDescent="0.3">
      <c r="B8153" s="18" t="s">
        <v>9624</v>
      </c>
      <c r="C8153" s="13">
        <v>81</v>
      </c>
    </row>
    <row r="8154" spans="2:3" x14ac:dyDescent="0.3">
      <c r="B8154" s="18" t="s">
        <v>9625</v>
      </c>
      <c r="C8154" s="13">
        <v>80</v>
      </c>
    </row>
    <row r="8155" spans="2:3" x14ac:dyDescent="0.3">
      <c r="B8155" s="18" t="s">
        <v>9626</v>
      </c>
      <c r="C8155" s="13">
        <v>79</v>
      </c>
    </row>
    <row r="8156" spans="2:3" x14ac:dyDescent="0.3">
      <c r="B8156" s="18" t="s">
        <v>9627</v>
      </c>
      <c r="C8156" s="13">
        <v>78</v>
      </c>
    </row>
    <row r="8157" spans="2:3" x14ac:dyDescent="0.3">
      <c r="B8157" s="18" t="s">
        <v>9628</v>
      </c>
      <c r="C8157" s="13">
        <v>77</v>
      </c>
    </row>
    <row r="8158" spans="2:3" x14ac:dyDescent="0.3">
      <c r="B8158" s="18" t="s">
        <v>9629</v>
      </c>
      <c r="C8158" s="13">
        <v>76</v>
      </c>
    </row>
    <row r="8159" spans="2:3" x14ac:dyDescent="0.3">
      <c r="B8159" s="18" t="s">
        <v>9630</v>
      </c>
      <c r="C8159" s="13">
        <v>98</v>
      </c>
    </row>
    <row r="8160" spans="2:3" x14ac:dyDescent="0.3">
      <c r="B8160" s="18" t="s">
        <v>9631</v>
      </c>
      <c r="C8160" s="13">
        <v>97</v>
      </c>
    </row>
    <row r="8161" spans="2:3" x14ac:dyDescent="0.3">
      <c r="B8161" s="18" t="s">
        <v>9632</v>
      </c>
      <c r="C8161" s="13">
        <v>96</v>
      </c>
    </row>
    <row r="8162" spans="2:3" x14ac:dyDescent="0.3">
      <c r="B8162" s="18" t="s">
        <v>9633</v>
      </c>
      <c r="C8162" s="13">
        <v>95</v>
      </c>
    </row>
    <row r="8163" spans="2:3" x14ac:dyDescent="0.3">
      <c r="B8163" s="18" t="s">
        <v>9634</v>
      </c>
      <c r="C8163" s="13">
        <v>94</v>
      </c>
    </row>
    <row r="8164" spans="2:3" x14ac:dyDescent="0.3">
      <c r="B8164" s="18" t="s">
        <v>9635</v>
      </c>
      <c r="C8164" s="13">
        <v>93</v>
      </c>
    </row>
    <row r="8165" spans="2:3" x14ac:dyDescent="0.3">
      <c r="B8165" s="18" t="s">
        <v>9636</v>
      </c>
      <c r="C8165" s="13">
        <v>92</v>
      </c>
    </row>
    <row r="8166" spans="2:3" x14ac:dyDescent="0.3">
      <c r="B8166" s="18" t="s">
        <v>9637</v>
      </c>
      <c r="C8166" s="13">
        <v>1</v>
      </c>
    </row>
    <row r="8167" spans="2:3" x14ac:dyDescent="0.3">
      <c r="B8167" s="18" t="s">
        <v>9638</v>
      </c>
      <c r="C8167" s="13">
        <v>10</v>
      </c>
    </row>
    <row r="8168" spans="2:3" x14ac:dyDescent="0.3">
      <c r="B8168" s="18" t="s">
        <v>9639</v>
      </c>
      <c r="C8168" s="13">
        <v>11</v>
      </c>
    </row>
    <row r="8169" spans="2:3" x14ac:dyDescent="0.3">
      <c r="B8169" s="18" t="s">
        <v>9640</v>
      </c>
      <c r="C8169" s="13">
        <v>12</v>
      </c>
    </row>
    <row r="8170" spans="2:3" x14ac:dyDescent="0.3">
      <c r="B8170" s="18" t="s">
        <v>9641</v>
      </c>
      <c r="C8170" s="13">
        <v>13</v>
      </c>
    </row>
    <row r="8171" spans="2:3" x14ac:dyDescent="0.3">
      <c r="B8171" s="18" t="s">
        <v>9642</v>
      </c>
      <c r="C8171" s="13">
        <v>14</v>
      </c>
    </row>
    <row r="8172" spans="2:3" x14ac:dyDescent="0.3">
      <c r="B8172" s="18" t="s">
        <v>9643</v>
      </c>
      <c r="C8172" s="13">
        <v>15</v>
      </c>
    </row>
    <row r="8173" spans="2:3" x14ac:dyDescent="0.3">
      <c r="B8173" s="18" t="s">
        <v>9644</v>
      </c>
      <c r="C8173" s="13">
        <v>16</v>
      </c>
    </row>
    <row r="8174" spans="2:3" x14ac:dyDescent="0.3">
      <c r="B8174" s="18" t="s">
        <v>9645</v>
      </c>
      <c r="C8174" s="13">
        <v>17</v>
      </c>
    </row>
    <row r="8175" spans="2:3" x14ac:dyDescent="0.3">
      <c r="B8175" s="18" t="s">
        <v>9646</v>
      </c>
      <c r="C8175" s="13">
        <v>18</v>
      </c>
    </row>
    <row r="8176" spans="2:3" x14ac:dyDescent="0.3">
      <c r="B8176" s="18" t="s">
        <v>9647</v>
      </c>
      <c r="C8176" s="13">
        <v>19</v>
      </c>
    </row>
    <row r="8177" spans="2:3" x14ac:dyDescent="0.3">
      <c r="B8177" s="18" t="s">
        <v>9648</v>
      </c>
      <c r="C8177" s="13">
        <v>2</v>
      </c>
    </row>
    <row r="8178" spans="2:3" x14ac:dyDescent="0.3">
      <c r="B8178" s="18" t="s">
        <v>9649</v>
      </c>
      <c r="C8178" s="13">
        <v>20</v>
      </c>
    </row>
    <row r="8179" spans="2:3" x14ac:dyDescent="0.3">
      <c r="B8179" s="18" t="s">
        <v>9650</v>
      </c>
      <c r="C8179" s="13">
        <v>21</v>
      </c>
    </row>
    <row r="8180" spans="2:3" x14ac:dyDescent="0.3">
      <c r="B8180" s="18" t="s">
        <v>9651</v>
      </c>
      <c r="C8180" s="13">
        <v>22</v>
      </c>
    </row>
    <row r="8181" spans="2:3" x14ac:dyDescent="0.3">
      <c r="B8181" s="18" t="s">
        <v>9652</v>
      </c>
      <c r="C8181" s="13">
        <v>23</v>
      </c>
    </row>
    <row r="8182" spans="2:3" x14ac:dyDescent="0.3">
      <c r="B8182" s="18" t="s">
        <v>9653</v>
      </c>
      <c r="C8182" s="13">
        <v>24</v>
      </c>
    </row>
    <row r="8183" spans="2:3" x14ac:dyDescent="0.3">
      <c r="B8183" s="18" t="s">
        <v>9654</v>
      </c>
      <c r="C8183" s="13">
        <v>25</v>
      </c>
    </row>
    <row r="8184" spans="2:3" x14ac:dyDescent="0.3">
      <c r="B8184" s="18" t="s">
        <v>9655</v>
      </c>
      <c r="C8184" s="13">
        <v>3</v>
      </c>
    </row>
    <row r="8185" spans="2:3" x14ac:dyDescent="0.3">
      <c r="B8185" s="18" t="s">
        <v>9656</v>
      </c>
      <c r="C8185" s="13">
        <v>4</v>
      </c>
    </row>
    <row r="8186" spans="2:3" x14ac:dyDescent="0.3">
      <c r="B8186" s="18" t="s">
        <v>9657</v>
      </c>
      <c r="C8186" s="13">
        <v>5</v>
      </c>
    </row>
    <row r="8187" spans="2:3" x14ac:dyDescent="0.3">
      <c r="B8187" s="18" t="s">
        <v>9658</v>
      </c>
      <c r="C8187" s="13">
        <v>6</v>
      </c>
    </row>
    <row r="8188" spans="2:3" x14ac:dyDescent="0.3">
      <c r="B8188" s="18" t="s">
        <v>9659</v>
      </c>
      <c r="C8188" s="13">
        <v>7</v>
      </c>
    </row>
    <row r="8189" spans="2:3" x14ac:dyDescent="0.3">
      <c r="B8189" s="18" t="s">
        <v>9660</v>
      </c>
      <c r="C8189" s="13">
        <v>8</v>
      </c>
    </row>
    <row r="8190" spans="2:3" x14ac:dyDescent="0.3">
      <c r="B8190" s="18" t="s">
        <v>9661</v>
      </c>
      <c r="C8190" s="13">
        <v>9</v>
      </c>
    </row>
    <row r="8191" spans="2:3" x14ac:dyDescent="0.3">
      <c r="B8191" s="18" t="s">
        <v>9662</v>
      </c>
      <c r="C8191" s="13">
        <v>50</v>
      </c>
    </row>
    <row r="8192" spans="2:3" x14ac:dyDescent="0.3">
      <c r="B8192" s="18" t="s">
        <v>9663</v>
      </c>
      <c r="C8192" s="13">
        <v>41</v>
      </c>
    </row>
    <row r="8193" spans="2:3" x14ac:dyDescent="0.3">
      <c r="B8193" s="18" t="s">
        <v>9664</v>
      </c>
      <c r="C8193" s="13">
        <v>40</v>
      </c>
    </row>
    <row r="8194" spans="2:3" x14ac:dyDescent="0.3">
      <c r="B8194" s="18" t="s">
        <v>9665</v>
      </c>
      <c r="C8194" s="13">
        <v>39</v>
      </c>
    </row>
    <row r="8195" spans="2:3" x14ac:dyDescent="0.3">
      <c r="B8195" s="18" t="s">
        <v>9666</v>
      </c>
      <c r="C8195" s="13">
        <v>38</v>
      </c>
    </row>
    <row r="8196" spans="2:3" x14ac:dyDescent="0.3">
      <c r="B8196" s="18" t="s">
        <v>9667</v>
      </c>
      <c r="C8196" s="13">
        <v>37</v>
      </c>
    </row>
    <row r="8197" spans="2:3" x14ac:dyDescent="0.3">
      <c r="B8197" s="18" t="s">
        <v>9668</v>
      </c>
      <c r="C8197" s="13">
        <v>36</v>
      </c>
    </row>
    <row r="8198" spans="2:3" x14ac:dyDescent="0.3">
      <c r="B8198" s="18" t="s">
        <v>9669</v>
      </c>
      <c r="C8198" s="13">
        <v>35</v>
      </c>
    </row>
    <row r="8199" spans="2:3" x14ac:dyDescent="0.3">
      <c r="B8199" s="18" t="s">
        <v>9670</v>
      </c>
      <c r="C8199" s="13">
        <v>34</v>
      </c>
    </row>
    <row r="8200" spans="2:3" x14ac:dyDescent="0.3">
      <c r="B8200" s="18" t="s">
        <v>9671</v>
      </c>
      <c r="C8200" s="13">
        <v>33</v>
      </c>
    </row>
    <row r="8201" spans="2:3" x14ac:dyDescent="0.3">
      <c r="B8201" s="18" t="s">
        <v>9672</v>
      </c>
      <c r="C8201" s="13">
        <v>32</v>
      </c>
    </row>
    <row r="8202" spans="2:3" x14ac:dyDescent="0.3">
      <c r="B8202" s="18" t="s">
        <v>9673</v>
      </c>
      <c r="C8202" s="13">
        <v>49</v>
      </c>
    </row>
    <row r="8203" spans="2:3" x14ac:dyDescent="0.3">
      <c r="B8203" s="18" t="s">
        <v>9674</v>
      </c>
      <c r="C8203" s="13">
        <v>31</v>
      </c>
    </row>
    <row r="8204" spans="2:3" x14ac:dyDescent="0.3">
      <c r="B8204" s="18" t="s">
        <v>9675</v>
      </c>
      <c r="C8204" s="13">
        <v>30</v>
      </c>
    </row>
    <row r="8205" spans="2:3" x14ac:dyDescent="0.3">
      <c r="B8205" s="18" t="s">
        <v>9676</v>
      </c>
      <c r="C8205" s="13">
        <v>29</v>
      </c>
    </row>
    <row r="8206" spans="2:3" x14ac:dyDescent="0.3">
      <c r="B8206" s="18" t="s">
        <v>9677</v>
      </c>
      <c r="C8206" s="13">
        <v>28</v>
      </c>
    </row>
    <row r="8207" spans="2:3" x14ac:dyDescent="0.3">
      <c r="B8207" s="18" t="s">
        <v>9678</v>
      </c>
      <c r="C8207" s="13">
        <v>27</v>
      </c>
    </row>
    <row r="8208" spans="2:3" x14ac:dyDescent="0.3">
      <c r="B8208" s="18" t="s">
        <v>9679</v>
      </c>
      <c r="C8208" s="13">
        <v>26</v>
      </c>
    </row>
    <row r="8209" spans="2:3" x14ac:dyDescent="0.3">
      <c r="B8209" s="18" t="s">
        <v>9680</v>
      </c>
      <c r="C8209" s="13">
        <v>48</v>
      </c>
    </row>
    <row r="8210" spans="2:3" x14ac:dyDescent="0.3">
      <c r="B8210" s="18" t="s">
        <v>9681</v>
      </c>
      <c r="C8210" s="13">
        <v>47</v>
      </c>
    </row>
    <row r="8211" spans="2:3" x14ac:dyDescent="0.3">
      <c r="B8211" s="18" t="s">
        <v>9682</v>
      </c>
      <c r="C8211" s="13">
        <v>46</v>
      </c>
    </row>
    <row r="8212" spans="2:3" x14ac:dyDescent="0.3">
      <c r="B8212" s="18" t="s">
        <v>9683</v>
      </c>
      <c r="C8212" s="13">
        <v>45</v>
      </c>
    </row>
    <row r="8213" spans="2:3" x14ac:dyDescent="0.3">
      <c r="B8213" s="18" t="s">
        <v>9684</v>
      </c>
      <c r="C8213" s="13">
        <v>44</v>
      </c>
    </row>
    <row r="8214" spans="2:3" x14ac:dyDescent="0.3">
      <c r="B8214" s="18" t="s">
        <v>9685</v>
      </c>
      <c r="C8214" s="13">
        <v>43</v>
      </c>
    </row>
    <row r="8215" spans="2:3" x14ac:dyDescent="0.3">
      <c r="B8215" s="18" t="s">
        <v>9686</v>
      </c>
      <c r="C8215" s="13">
        <v>42</v>
      </c>
    </row>
    <row r="8216" spans="2:3" x14ac:dyDescent="0.3">
      <c r="B8216" s="18" t="s">
        <v>9687</v>
      </c>
      <c r="C8216" s="13">
        <v>51</v>
      </c>
    </row>
    <row r="8217" spans="2:3" x14ac:dyDescent="0.3">
      <c r="B8217" s="18" t="s">
        <v>9688</v>
      </c>
      <c r="C8217" s="13">
        <v>60</v>
      </c>
    </row>
    <row r="8218" spans="2:3" x14ac:dyDescent="0.3">
      <c r="B8218" s="18" t="s">
        <v>9689</v>
      </c>
      <c r="C8218" s="13">
        <v>61</v>
      </c>
    </row>
    <row r="8219" spans="2:3" x14ac:dyDescent="0.3">
      <c r="B8219" s="18" t="s">
        <v>9690</v>
      </c>
      <c r="C8219" s="13">
        <v>62</v>
      </c>
    </row>
    <row r="8220" spans="2:3" x14ac:dyDescent="0.3">
      <c r="B8220" s="18" t="s">
        <v>9691</v>
      </c>
      <c r="C8220" s="13">
        <v>63</v>
      </c>
    </row>
    <row r="8221" spans="2:3" x14ac:dyDescent="0.3">
      <c r="B8221" s="18" t="s">
        <v>9692</v>
      </c>
      <c r="C8221" s="13">
        <v>64</v>
      </c>
    </row>
    <row r="8222" spans="2:3" x14ac:dyDescent="0.3">
      <c r="B8222" s="18" t="s">
        <v>9693</v>
      </c>
      <c r="C8222" s="13">
        <v>65</v>
      </c>
    </row>
    <row r="8223" spans="2:3" x14ac:dyDescent="0.3">
      <c r="B8223" s="18" t="s">
        <v>9694</v>
      </c>
      <c r="C8223" s="13">
        <v>66</v>
      </c>
    </row>
    <row r="8224" spans="2:3" x14ac:dyDescent="0.3">
      <c r="B8224" s="18" t="s">
        <v>9695</v>
      </c>
      <c r="C8224" s="13">
        <v>67</v>
      </c>
    </row>
    <row r="8225" spans="2:3" x14ac:dyDescent="0.3">
      <c r="B8225" s="18" t="s">
        <v>9696</v>
      </c>
      <c r="C8225" s="13">
        <v>68</v>
      </c>
    </row>
    <row r="8226" spans="2:3" x14ac:dyDescent="0.3">
      <c r="B8226" s="18" t="s">
        <v>9697</v>
      </c>
      <c r="C8226" s="13">
        <v>69</v>
      </c>
    </row>
    <row r="8227" spans="2:3" x14ac:dyDescent="0.3">
      <c r="B8227" s="18" t="s">
        <v>9698</v>
      </c>
      <c r="C8227" s="13">
        <v>52</v>
      </c>
    </row>
    <row r="8228" spans="2:3" x14ac:dyDescent="0.3">
      <c r="B8228" s="18" t="s">
        <v>9699</v>
      </c>
      <c r="C8228" s="13">
        <v>70</v>
      </c>
    </row>
    <row r="8229" spans="2:3" x14ac:dyDescent="0.3">
      <c r="B8229" s="18" t="s">
        <v>9700</v>
      </c>
      <c r="C8229" s="13">
        <v>71</v>
      </c>
    </row>
    <row r="8230" spans="2:3" x14ac:dyDescent="0.3">
      <c r="B8230" s="18" t="s">
        <v>9701</v>
      </c>
      <c r="C8230" s="13">
        <v>72</v>
      </c>
    </row>
    <row r="8231" spans="2:3" x14ac:dyDescent="0.3">
      <c r="B8231" s="18" t="s">
        <v>9702</v>
      </c>
      <c r="C8231" s="13">
        <v>73</v>
      </c>
    </row>
    <row r="8232" spans="2:3" x14ac:dyDescent="0.3">
      <c r="B8232" s="18" t="s">
        <v>9703</v>
      </c>
      <c r="C8232" s="13">
        <v>74</v>
      </c>
    </row>
    <row r="8233" spans="2:3" x14ac:dyDescent="0.3">
      <c r="B8233" s="18" t="s">
        <v>9704</v>
      </c>
      <c r="C8233" s="13">
        <v>75</v>
      </c>
    </row>
    <row r="8234" spans="2:3" x14ac:dyDescent="0.3">
      <c r="B8234" s="18" t="s">
        <v>9705</v>
      </c>
      <c r="C8234" s="13">
        <v>53</v>
      </c>
    </row>
    <row r="8235" spans="2:3" x14ac:dyDescent="0.3">
      <c r="B8235" s="18" t="s">
        <v>9706</v>
      </c>
      <c r="C8235" s="13">
        <v>54</v>
      </c>
    </row>
    <row r="8236" spans="2:3" x14ac:dyDescent="0.3">
      <c r="B8236" s="18" t="s">
        <v>9707</v>
      </c>
      <c r="C8236" s="13">
        <v>55</v>
      </c>
    </row>
    <row r="8237" spans="2:3" x14ac:dyDescent="0.3">
      <c r="B8237" s="18" t="s">
        <v>9708</v>
      </c>
      <c r="C8237" s="13">
        <v>56</v>
      </c>
    </row>
    <row r="8238" spans="2:3" x14ac:dyDescent="0.3">
      <c r="B8238" s="18" t="s">
        <v>9709</v>
      </c>
      <c r="C8238" s="13">
        <v>57</v>
      </c>
    </row>
    <row r="8239" spans="2:3" x14ac:dyDescent="0.3">
      <c r="B8239" s="18" t="s">
        <v>9710</v>
      </c>
      <c r="C8239" s="13">
        <v>58</v>
      </c>
    </row>
    <row r="8240" spans="2:3" x14ac:dyDescent="0.3">
      <c r="B8240" s="18" t="s">
        <v>9711</v>
      </c>
      <c r="C8240" s="13">
        <v>59</v>
      </c>
    </row>
    <row r="8241" spans="2:3" x14ac:dyDescent="0.3">
      <c r="B8241" s="18" t="s">
        <v>9712</v>
      </c>
      <c r="C8241" s="13">
        <v>91</v>
      </c>
    </row>
    <row r="8242" spans="2:3" x14ac:dyDescent="0.3">
      <c r="B8242" s="18" t="s">
        <v>9713</v>
      </c>
      <c r="C8242" s="13">
        <v>90</v>
      </c>
    </row>
    <row r="8243" spans="2:3" x14ac:dyDescent="0.3">
      <c r="B8243" s="18" t="s">
        <v>9714</v>
      </c>
      <c r="C8243" s="13">
        <v>89</v>
      </c>
    </row>
    <row r="8244" spans="2:3" x14ac:dyDescent="0.3">
      <c r="B8244" s="18" t="s">
        <v>9715</v>
      </c>
      <c r="C8244" s="13">
        <v>88</v>
      </c>
    </row>
    <row r="8245" spans="2:3" x14ac:dyDescent="0.3">
      <c r="B8245" s="18" t="s">
        <v>9716</v>
      </c>
      <c r="C8245" s="13">
        <v>87</v>
      </c>
    </row>
    <row r="8246" spans="2:3" x14ac:dyDescent="0.3">
      <c r="B8246" s="18" t="s">
        <v>9717</v>
      </c>
      <c r="C8246" s="13">
        <v>86</v>
      </c>
    </row>
    <row r="8247" spans="2:3" x14ac:dyDescent="0.3">
      <c r="B8247" s="18" t="s">
        <v>9718</v>
      </c>
      <c r="C8247" s="13">
        <v>85</v>
      </c>
    </row>
    <row r="8248" spans="2:3" x14ac:dyDescent="0.3">
      <c r="B8248" s="18" t="s">
        <v>9719</v>
      </c>
      <c r="C8248" s="13">
        <v>84</v>
      </c>
    </row>
    <row r="8249" spans="2:3" x14ac:dyDescent="0.3">
      <c r="B8249" s="18" t="s">
        <v>9720</v>
      </c>
      <c r="C8249" s="13">
        <v>83</v>
      </c>
    </row>
    <row r="8250" spans="2:3" x14ac:dyDescent="0.3">
      <c r="B8250" s="18" t="s">
        <v>9721</v>
      </c>
      <c r="C8250" s="13">
        <v>82</v>
      </c>
    </row>
    <row r="8251" spans="2:3" x14ac:dyDescent="0.3">
      <c r="B8251" s="18" t="s">
        <v>9722</v>
      </c>
      <c r="C8251" s="13">
        <v>99</v>
      </c>
    </row>
    <row r="8252" spans="2:3" x14ac:dyDescent="0.3">
      <c r="B8252" s="18" t="s">
        <v>9723</v>
      </c>
      <c r="C8252" s="13">
        <v>81</v>
      </c>
    </row>
    <row r="8253" spans="2:3" x14ac:dyDescent="0.3">
      <c r="B8253" s="18" t="s">
        <v>9724</v>
      </c>
      <c r="C8253" s="13">
        <v>80</v>
      </c>
    </row>
    <row r="8254" spans="2:3" x14ac:dyDescent="0.3">
      <c r="B8254" s="18" t="s">
        <v>9725</v>
      </c>
      <c r="C8254" s="13">
        <v>79</v>
      </c>
    </row>
    <row r="8255" spans="2:3" x14ac:dyDescent="0.3">
      <c r="B8255" s="18" t="s">
        <v>9726</v>
      </c>
      <c r="C8255" s="13">
        <v>78</v>
      </c>
    </row>
    <row r="8256" spans="2:3" x14ac:dyDescent="0.3">
      <c r="B8256" s="18" t="s">
        <v>9727</v>
      </c>
      <c r="C8256" s="13">
        <v>77</v>
      </c>
    </row>
    <row r="8257" spans="2:3" x14ac:dyDescent="0.3">
      <c r="B8257" s="18" t="s">
        <v>9728</v>
      </c>
      <c r="C8257" s="13">
        <v>76</v>
      </c>
    </row>
    <row r="8258" spans="2:3" x14ac:dyDescent="0.3">
      <c r="B8258" s="18" t="s">
        <v>9729</v>
      </c>
      <c r="C8258" s="13">
        <v>98</v>
      </c>
    </row>
    <row r="8259" spans="2:3" x14ac:dyDescent="0.3">
      <c r="B8259" s="18" t="s">
        <v>9730</v>
      </c>
      <c r="C8259" s="13">
        <v>97</v>
      </c>
    </row>
    <row r="8260" spans="2:3" x14ac:dyDescent="0.3">
      <c r="B8260" s="18" t="s">
        <v>9731</v>
      </c>
      <c r="C8260" s="13">
        <v>96</v>
      </c>
    </row>
    <row r="8261" spans="2:3" x14ac:dyDescent="0.3">
      <c r="B8261" s="18" t="s">
        <v>9732</v>
      </c>
      <c r="C8261" s="13">
        <v>95</v>
      </c>
    </row>
    <row r="8262" spans="2:3" x14ac:dyDescent="0.3">
      <c r="B8262" s="18" t="s">
        <v>9733</v>
      </c>
      <c r="C8262" s="13">
        <v>94</v>
      </c>
    </row>
    <row r="8263" spans="2:3" x14ac:dyDescent="0.3">
      <c r="B8263" s="18" t="s">
        <v>9734</v>
      </c>
      <c r="C8263" s="13">
        <v>93</v>
      </c>
    </row>
    <row r="8264" spans="2:3" x14ac:dyDescent="0.3">
      <c r="B8264" s="18" t="s">
        <v>9735</v>
      </c>
      <c r="C8264" s="13">
        <v>92</v>
      </c>
    </row>
    <row r="8265" spans="2:3" x14ac:dyDescent="0.3">
      <c r="B8265" s="18" t="s">
        <v>335</v>
      </c>
      <c r="C8265" s="13">
        <v>1</v>
      </c>
    </row>
    <row r="8266" spans="2:3" x14ac:dyDescent="0.3">
      <c r="B8266" s="18" t="s">
        <v>333</v>
      </c>
      <c r="C8266" s="13">
        <v>2</v>
      </c>
    </row>
    <row r="8267" spans="2:3" x14ac:dyDescent="0.3">
      <c r="B8267" s="18" t="s">
        <v>331</v>
      </c>
      <c r="C8267" s="13">
        <v>3</v>
      </c>
    </row>
    <row r="8268" spans="2:3" x14ac:dyDescent="0.3">
      <c r="B8268" s="18" t="s">
        <v>329</v>
      </c>
      <c r="C8268" s="13">
        <v>6</v>
      </c>
    </row>
    <row r="8269" spans="2:3" x14ac:dyDescent="0.3">
      <c r="B8269" s="18" t="s">
        <v>325</v>
      </c>
      <c r="C8269" s="13">
        <v>5</v>
      </c>
    </row>
    <row r="8270" spans="2:3" x14ac:dyDescent="0.3">
      <c r="B8270" s="18" t="s">
        <v>323</v>
      </c>
      <c r="C8270" s="13">
        <v>4</v>
      </c>
    </row>
    <row r="8271" spans="2:3" x14ac:dyDescent="0.3">
      <c r="B8271" s="18" t="s">
        <v>9736</v>
      </c>
      <c r="C8271" s="13">
        <v>7</v>
      </c>
    </row>
    <row r="8272" spans="2:3" x14ac:dyDescent="0.3">
      <c r="B8272" s="18" t="s">
        <v>321</v>
      </c>
      <c r="C8272" s="13">
        <v>8</v>
      </c>
    </row>
    <row r="8273" spans="2:3" ht="15" thickBot="1" x14ac:dyDescent="0.35">
      <c r="B8273" s="19" t="s">
        <v>317</v>
      </c>
      <c r="C8273" s="15">
        <v>9</v>
      </c>
    </row>
    <row r="8274" spans="2:3" ht="15" thickTop="1" x14ac:dyDescent="0.3"/>
  </sheetData>
  <sheetProtection algorithmName="SHA-512" hashValue="q9bta/LJjPn7pLjSv1JrbzfkXHB4WK7Bj3qDhTwaENmEHf+HeHhkeIgpG4pM1GDCMvtK0M+un9x/UlG/wow9wQ==" saltValue="DB4gGF7qsiUBQiGBJOOeKw==" spinCount="100000" sheet="1" objects="1" scenarios="1"/>
  <sortState xmlns:xlrd2="http://schemas.microsoft.com/office/spreadsheetml/2017/richdata2" ref="EY93:EY155">
    <sortCondition ref="EY92"/>
  </sortState>
  <customSheetViews>
    <customSheetView guid="{38F6D2D9-C407-4ECC-89E8-8F1090CBE836}" state="hidden">
      <pageMargins left="0" right="0" top="0" bottom="0" header="0" footer="0"/>
      <pageSetup orientation="portrait" r:id="rId1"/>
    </customSheetView>
  </customSheetViews>
  <mergeCells count="11">
    <mergeCell ref="B10:E14"/>
    <mergeCell ref="B15:C15"/>
    <mergeCell ref="D15:E15"/>
    <mergeCell ref="B16:B18"/>
    <mergeCell ref="C16:C18"/>
    <mergeCell ref="BC150:BC151"/>
    <mergeCell ref="BG16:BG17"/>
    <mergeCell ref="BB150:BB151"/>
    <mergeCell ref="BI153:BI154"/>
    <mergeCell ref="D16:D18"/>
    <mergeCell ref="E16:E18"/>
  </mergeCells>
  <conditionalFormatting sqref="DT21:DT84">
    <cfRule type="duplicateValues" dxfId="169" priority="170"/>
  </conditionalFormatting>
  <conditionalFormatting sqref="DU21:DU84">
    <cfRule type="duplicateValues" dxfId="168" priority="169"/>
  </conditionalFormatting>
  <conditionalFormatting sqref="DV21:DV84">
    <cfRule type="duplicateValues" dxfId="167" priority="163"/>
    <cfRule type="duplicateValues" dxfId="166" priority="168"/>
  </conditionalFormatting>
  <conditionalFormatting sqref="DW21:DW84">
    <cfRule type="duplicateValues" dxfId="165" priority="167"/>
  </conditionalFormatting>
  <conditionalFormatting sqref="DX21:DX84">
    <cfRule type="duplicateValues" dxfId="164" priority="166"/>
  </conditionalFormatting>
  <conditionalFormatting sqref="DY21:DY84">
    <cfRule type="duplicateValues" dxfId="163" priority="165"/>
  </conditionalFormatting>
  <conditionalFormatting sqref="DZ21:DZ84">
    <cfRule type="duplicateValues" dxfId="162" priority="164"/>
  </conditionalFormatting>
  <conditionalFormatting sqref="EA21:EA84">
    <cfRule type="duplicateValues" dxfId="161" priority="162"/>
  </conditionalFormatting>
  <conditionalFormatting sqref="EB21:EB84">
    <cfRule type="duplicateValues" dxfId="160" priority="161"/>
  </conditionalFormatting>
  <conditionalFormatting sqref="EC21:EC84">
    <cfRule type="duplicateValues" dxfId="159" priority="160"/>
  </conditionalFormatting>
  <conditionalFormatting sqref="ED21:ED84">
    <cfRule type="duplicateValues" dxfId="158" priority="159"/>
  </conditionalFormatting>
  <conditionalFormatting sqref="EE21:EE84">
    <cfRule type="duplicateValues" dxfId="157" priority="158"/>
  </conditionalFormatting>
  <conditionalFormatting sqref="EF21:EF84">
    <cfRule type="duplicateValues" dxfId="156" priority="157"/>
  </conditionalFormatting>
  <conditionalFormatting sqref="EG21:EG84">
    <cfRule type="duplicateValues" dxfId="155" priority="156"/>
  </conditionalFormatting>
  <conditionalFormatting sqref="EH21:EH84">
    <cfRule type="duplicateValues" dxfId="154" priority="155"/>
  </conditionalFormatting>
  <conditionalFormatting sqref="EI21:EI84">
    <cfRule type="duplicateValues" dxfId="153" priority="154"/>
  </conditionalFormatting>
  <conditionalFormatting sqref="EJ21:EJ84">
    <cfRule type="duplicateValues" dxfId="152" priority="153"/>
  </conditionalFormatting>
  <conditionalFormatting sqref="EK21:EK84">
    <cfRule type="duplicateValues" dxfId="151" priority="152"/>
  </conditionalFormatting>
  <conditionalFormatting sqref="EL21:EL84">
    <cfRule type="duplicateValues" dxfId="150" priority="151"/>
  </conditionalFormatting>
  <conditionalFormatting sqref="EM21:EM84">
    <cfRule type="duplicateValues" dxfId="149" priority="150"/>
  </conditionalFormatting>
  <conditionalFormatting sqref="EN21:EN84">
    <cfRule type="duplicateValues" dxfId="148" priority="149"/>
  </conditionalFormatting>
  <conditionalFormatting sqref="EO21:EO84">
    <cfRule type="duplicateValues" dxfId="147" priority="148"/>
  </conditionalFormatting>
  <conditionalFormatting sqref="EP21:EP84">
    <cfRule type="duplicateValues" dxfId="146" priority="147"/>
  </conditionalFormatting>
  <conditionalFormatting sqref="EQ21:EQ84">
    <cfRule type="duplicateValues" dxfId="145" priority="146"/>
  </conditionalFormatting>
  <conditionalFormatting sqref="ER21:ER84">
    <cfRule type="duplicateValues" dxfId="144" priority="145"/>
  </conditionalFormatting>
  <conditionalFormatting sqref="ES21:ES84">
    <cfRule type="duplicateValues" dxfId="143" priority="144"/>
  </conditionalFormatting>
  <conditionalFormatting sqref="ET21:ET84">
    <cfRule type="duplicateValues" dxfId="142" priority="143"/>
  </conditionalFormatting>
  <conditionalFormatting sqref="EU21:EU84">
    <cfRule type="duplicateValues" dxfId="141" priority="142"/>
  </conditionalFormatting>
  <conditionalFormatting sqref="EW21:EW84">
    <cfRule type="duplicateValues" dxfId="140" priority="141"/>
  </conditionalFormatting>
  <conditionalFormatting sqref="EX21:EX84">
    <cfRule type="duplicateValues" dxfId="139" priority="140"/>
  </conditionalFormatting>
  <conditionalFormatting sqref="EY21:EY84">
    <cfRule type="duplicateValues" dxfId="138" priority="139"/>
  </conditionalFormatting>
  <conditionalFormatting sqref="FA21:FA52">
    <cfRule type="duplicateValues" dxfId="137" priority="138"/>
  </conditionalFormatting>
  <conditionalFormatting sqref="FG21:FG52">
    <cfRule type="duplicateValues" dxfId="136" priority="137"/>
  </conditionalFormatting>
  <conditionalFormatting sqref="FJ21:FJ52">
    <cfRule type="duplicateValues" dxfId="135" priority="136"/>
  </conditionalFormatting>
  <conditionalFormatting sqref="FM21:FM52">
    <cfRule type="duplicateValues" dxfId="134" priority="135"/>
  </conditionalFormatting>
  <conditionalFormatting sqref="FN21:FN52">
    <cfRule type="duplicateValues" dxfId="133" priority="134"/>
  </conditionalFormatting>
  <conditionalFormatting sqref="FO21:FO52">
    <cfRule type="duplicateValues" dxfId="132" priority="133"/>
  </conditionalFormatting>
  <conditionalFormatting sqref="FP21:FP36">
    <cfRule type="duplicateValues" dxfId="131" priority="132"/>
  </conditionalFormatting>
  <conditionalFormatting sqref="FQ21:FQ36">
    <cfRule type="duplicateValues" dxfId="130" priority="131"/>
  </conditionalFormatting>
  <conditionalFormatting sqref="FR21:FR36">
    <cfRule type="duplicateValues" dxfId="129" priority="130"/>
  </conditionalFormatting>
  <conditionalFormatting sqref="FS21:FS36">
    <cfRule type="duplicateValues" dxfId="128" priority="129"/>
  </conditionalFormatting>
  <conditionalFormatting sqref="FT21:FT36">
    <cfRule type="duplicateValues" dxfId="127" priority="128"/>
  </conditionalFormatting>
  <conditionalFormatting sqref="FU21:FU36">
    <cfRule type="duplicateValues" dxfId="126" priority="127"/>
  </conditionalFormatting>
  <conditionalFormatting sqref="FV21:FV36">
    <cfRule type="duplicateValues" dxfId="125" priority="126"/>
  </conditionalFormatting>
  <conditionalFormatting sqref="FW21:FW36">
    <cfRule type="duplicateValues" dxfId="124" priority="125"/>
  </conditionalFormatting>
  <conditionalFormatting sqref="FX21:FX28">
    <cfRule type="duplicateValues" dxfId="123" priority="124"/>
  </conditionalFormatting>
  <conditionalFormatting sqref="FY21:FY28">
    <cfRule type="duplicateValues" dxfId="122" priority="123"/>
  </conditionalFormatting>
  <conditionalFormatting sqref="FZ21:FZ28">
    <cfRule type="duplicateValues" dxfId="121" priority="122"/>
  </conditionalFormatting>
  <conditionalFormatting sqref="GA21:GA28">
    <cfRule type="duplicateValues" dxfId="120" priority="121"/>
  </conditionalFormatting>
  <conditionalFormatting sqref="FL21:FL52">
    <cfRule type="duplicateValues" dxfId="119" priority="120"/>
  </conditionalFormatting>
  <conditionalFormatting sqref="FK21:FK52">
    <cfRule type="duplicateValues" dxfId="118" priority="119"/>
  </conditionalFormatting>
  <conditionalFormatting sqref="FI21:FI52">
    <cfRule type="duplicateValues" dxfId="117" priority="118"/>
  </conditionalFormatting>
  <conditionalFormatting sqref="FH21:FH52">
    <cfRule type="duplicateValues" dxfId="116" priority="117"/>
  </conditionalFormatting>
  <conditionalFormatting sqref="FF21:FF52">
    <cfRule type="duplicateValues" dxfId="115" priority="116"/>
  </conditionalFormatting>
  <conditionalFormatting sqref="FE21:FE52">
    <cfRule type="duplicateValues" dxfId="114" priority="115"/>
  </conditionalFormatting>
  <conditionalFormatting sqref="FD21:FD52">
    <cfRule type="duplicateValues" dxfId="113" priority="114"/>
  </conditionalFormatting>
  <conditionalFormatting sqref="FC21:FC52">
    <cfRule type="duplicateValues" dxfId="112" priority="113"/>
  </conditionalFormatting>
  <conditionalFormatting sqref="FB21:FB52">
    <cfRule type="duplicateValues" dxfId="111" priority="112"/>
  </conditionalFormatting>
  <conditionalFormatting sqref="EZ21:EZ52">
    <cfRule type="duplicateValues" dxfId="110" priority="111"/>
  </conditionalFormatting>
  <conditionalFormatting sqref="BH21:BH27 BH29:BH148">
    <cfRule type="duplicateValues" dxfId="109" priority="110"/>
  </conditionalFormatting>
  <conditionalFormatting sqref="BI21:BI27 BI29:BI148">
    <cfRule type="duplicateValues" dxfId="108" priority="109"/>
  </conditionalFormatting>
  <conditionalFormatting sqref="BJ21:BJ27 BJ29:BJ148">
    <cfRule type="duplicateValues" dxfId="107" priority="108"/>
  </conditionalFormatting>
  <conditionalFormatting sqref="BK21:BK27 BK29:BK148">
    <cfRule type="duplicateValues" dxfId="106" priority="107"/>
  </conditionalFormatting>
  <conditionalFormatting sqref="BL21:BL27 BL29:BL148">
    <cfRule type="duplicateValues" dxfId="105" priority="106"/>
  </conditionalFormatting>
  <conditionalFormatting sqref="BM21:BM148">
    <cfRule type="duplicateValues" dxfId="104" priority="105"/>
  </conditionalFormatting>
  <conditionalFormatting sqref="BN21:BN148">
    <cfRule type="duplicateValues" dxfId="103" priority="104"/>
  </conditionalFormatting>
  <conditionalFormatting sqref="BO21:BO148">
    <cfRule type="duplicateValues" dxfId="102" priority="103"/>
  </conditionalFormatting>
  <conditionalFormatting sqref="BP21:BP148">
    <cfRule type="duplicateValues" dxfId="101" priority="102"/>
  </conditionalFormatting>
  <conditionalFormatting sqref="BQ21:BQ148">
    <cfRule type="duplicateValues" dxfId="100" priority="101"/>
  </conditionalFormatting>
  <conditionalFormatting sqref="BR21:BR148">
    <cfRule type="duplicateValues" dxfId="99" priority="100"/>
  </conditionalFormatting>
  <conditionalFormatting sqref="BS21:BS148">
    <cfRule type="duplicateValues" dxfId="98" priority="99"/>
  </conditionalFormatting>
  <conditionalFormatting sqref="BT21:BT148">
    <cfRule type="duplicateValues" dxfId="97" priority="98"/>
  </conditionalFormatting>
  <conditionalFormatting sqref="BU21:BU148">
    <cfRule type="duplicateValues" dxfId="96" priority="97"/>
  </conditionalFormatting>
  <conditionalFormatting sqref="BV21:BV148">
    <cfRule type="duplicateValues" dxfId="95" priority="96"/>
  </conditionalFormatting>
  <conditionalFormatting sqref="BX21:BX148">
    <cfRule type="duplicateValues" dxfId="94" priority="95"/>
  </conditionalFormatting>
  <conditionalFormatting sqref="BW21:BW148">
    <cfRule type="duplicateValues" dxfId="93" priority="94"/>
  </conditionalFormatting>
  <conditionalFormatting sqref="BY21:BY148">
    <cfRule type="duplicateValues" dxfId="92" priority="93"/>
  </conditionalFormatting>
  <conditionalFormatting sqref="BZ21:BZ148">
    <cfRule type="duplicateValues" dxfId="91" priority="92"/>
  </conditionalFormatting>
  <conditionalFormatting sqref="CA21:CA148">
    <cfRule type="duplicateValues" dxfId="90" priority="91"/>
  </conditionalFormatting>
  <conditionalFormatting sqref="CB21:CB148">
    <cfRule type="duplicateValues" dxfId="89" priority="90"/>
  </conditionalFormatting>
  <conditionalFormatting sqref="CC21:CC27 CC29:CC148">
    <cfRule type="duplicateValues" dxfId="88" priority="89"/>
  </conditionalFormatting>
  <conditionalFormatting sqref="CD21:CD148">
    <cfRule type="duplicateValues" dxfId="87" priority="88"/>
  </conditionalFormatting>
  <conditionalFormatting sqref="CE21:CE27 CE29:CE148">
    <cfRule type="duplicateValues" dxfId="86" priority="87"/>
  </conditionalFormatting>
  <conditionalFormatting sqref="CF21:CF27 CF29:CF148">
    <cfRule type="duplicateValues" dxfId="85" priority="86"/>
  </conditionalFormatting>
  <conditionalFormatting sqref="CG21:CG27 CG29:CG148">
    <cfRule type="duplicateValues" dxfId="84" priority="85"/>
  </conditionalFormatting>
  <conditionalFormatting sqref="CH21:CH148">
    <cfRule type="duplicateValues" dxfId="83" priority="84"/>
  </conditionalFormatting>
  <conditionalFormatting sqref="CI21:CI148">
    <cfRule type="duplicateValues" dxfId="82" priority="83"/>
  </conditionalFormatting>
  <conditionalFormatting sqref="CJ21:CJ148">
    <cfRule type="duplicateValues" dxfId="81" priority="82"/>
  </conditionalFormatting>
  <conditionalFormatting sqref="CK21:CK148">
    <cfRule type="duplicateValues" dxfId="80" priority="81"/>
  </conditionalFormatting>
  <conditionalFormatting sqref="CL21:CL148">
    <cfRule type="duplicateValues" dxfId="79" priority="80"/>
  </conditionalFormatting>
  <conditionalFormatting sqref="CM21:CM148">
    <cfRule type="duplicateValues" dxfId="78" priority="79"/>
  </conditionalFormatting>
  <conditionalFormatting sqref="CN21:CN148">
    <cfRule type="duplicateValues" dxfId="77" priority="78"/>
  </conditionalFormatting>
  <conditionalFormatting sqref="CO21:CO148">
    <cfRule type="duplicateValues" dxfId="76" priority="77"/>
  </conditionalFormatting>
  <conditionalFormatting sqref="CP21:CP148">
    <cfRule type="duplicateValues" dxfId="75" priority="76"/>
  </conditionalFormatting>
  <conditionalFormatting sqref="CQ21:CQ26 CQ28:CQ148">
    <cfRule type="duplicateValues" dxfId="74" priority="75"/>
  </conditionalFormatting>
  <conditionalFormatting sqref="CR21:CR148">
    <cfRule type="duplicateValues" dxfId="73" priority="74"/>
  </conditionalFormatting>
  <conditionalFormatting sqref="CS21:CS148">
    <cfRule type="duplicateValues" dxfId="72" priority="73"/>
  </conditionalFormatting>
  <conditionalFormatting sqref="CT21:CT148">
    <cfRule type="duplicateValues" dxfId="71" priority="72"/>
  </conditionalFormatting>
  <conditionalFormatting sqref="CU21:CU148">
    <cfRule type="duplicateValues" dxfId="70" priority="71"/>
  </conditionalFormatting>
  <conditionalFormatting sqref="CV21:CV148">
    <cfRule type="duplicateValues" dxfId="69" priority="70"/>
  </conditionalFormatting>
  <conditionalFormatting sqref="CW21:CW148">
    <cfRule type="duplicateValues" dxfId="68" priority="69"/>
  </conditionalFormatting>
  <conditionalFormatting sqref="CX21:CX148">
    <cfRule type="duplicateValues" dxfId="67" priority="67"/>
    <cfRule type="timePeriod" dxfId="66" priority="68" timePeriod="yesterday">
      <formula>FLOOR(CX21,1)=TODAY()-1</formula>
    </cfRule>
  </conditionalFormatting>
  <conditionalFormatting sqref="CY21:CY148">
    <cfRule type="duplicateValues" dxfId="65" priority="66"/>
  </conditionalFormatting>
  <conditionalFormatting sqref="CZ21:CZ148">
    <cfRule type="duplicateValues" dxfId="64" priority="65"/>
  </conditionalFormatting>
  <conditionalFormatting sqref="DA21:DA148">
    <cfRule type="duplicateValues" dxfId="63" priority="64"/>
  </conditionalFormatting>
  <conditionalFormatting sqref="DB21:DB148">
    <cfRule type="duplicateValues" dxfId="62" priority="63"/>
  </conditionalFormatting>
  <conditionalFormatting sqref="DE21:DE148">
    <cfRule type="cellIs" dxfId="61" priority="10" operator="equal">
      <formula>"Bye"</formula>
    </cfRule>
    <cfRule type="cellIs" dxfId="60" priority="11" operator="greaterThan">
      <formula>54</formula>
    </cfRule>
    <cfRule type="cellIs" dxfId="59" priority="12" operator="between">
      <formula>28</formula>
      <formula>54</formula>
    </cfRule>
    <cfRule type="duplicateValues" dxfId="58" priority="62"/>
  </conditionalFormatting>
  <conditionalFormatting sqref="DH21:DH148">
    <cfRule type="cellIs" dxfId="57" priority="20" operator="equal">
      <formula>"Bye"</formula>
    </cfRule>
    <cfRule type="cellIs" dxfId="56" priority="21" operator="greaterThan">
      <formula>52</formula>
    </cfRule>
    <cfRule type="cellIs" dxfId="55" priority="22" operator="between">
      <formula>27</formula>
      <formula>52</formula>
    </cfRule>
    <cfRule type="duplicateValues" dxfId="54" priority="61"/>
  </conditionalFormatting>
  <conditionalFormatting sqref="DK21:DK148">
    <cfRule type="cellIs" dxfId="53" priority="25" operator="equal">
      <formula>"Bye"</formula>
    </cfRule>
    <cfRule type="cellIs" dxfId="52" priority="26" operator="greaterThan">
      <formula>50</formula>
    </cfRule>
    <cfRule type="cellIs" dxfId="51" priority="27" operator="between">
      <formula>26</formula>
      <formula>50</formula>
    </cfRule>
    <cfRule type="duplicateValues" dxfId="50" priority="60"/>
  </conditionalFormatting>
  <conditionalFormatting sqref="DM21:DM148">
    <cfRule type="duplicateValues" dxfId="49" priority="59"/>
  </conditionalFormatting>
  <conditionalFormatting sqref="DN21:DN148">
    <cfRule type="duplicateValues" dxfId="48" priority="58"/>
  </conditionalFormatting>
  <conditionalFormatting sqref="DR21:DR148">
    <cfRule type="cellIs" dxfId="47" priority="40" operator="equal">
      <formula>"Bye"</formula>
    </cfRule>
    <cfRule type="cellIs" dxfId="46" priority="41" operator="greaterThan">
      <formula>44</formula>
    </cfRule>
    <cfRule type="cellIs" dxfId="45" priority="42" operator="between">
      <formula>23</formula>
      <formula>44</formula>
    </cfRule>
    <cfRule type="duplicateValues" dxfId="44" priority="47"/>
    <cfRule type="duplicateValues" dxfId="43" priority="57"/>
  </conditionalFormatting>
  <conditionalFormatting sqref="BI28">
    <cfRule type="duplicateValues" dxfId="42" priority="56"/>
  </conditionalFormatting>
  <conditionalFormatting sqref="BK28">
    <cfRule type="duplicateValues" dxfId="41" priority="55"/>
  </conditionalFormatting>
  <conditionalFormatting sqref="BL28">
    <cfRule type="duplicateValues" dxfId="40" priority="54"/>
  </conditionalFormatting>
  <conditionalFormatting sqref="CC28">
    <cfRule type="duplicateValues" dxfId="39" priority="53"/>
  </conditionalFormatting>
  <conditionalFormatting sqref="CC21:CC148">
    <cfRule type="duplicateValues" dxfId="38" priority="52"/>
  </conditionalFormatting>
  <conditionalFormatting sqref="CE28">
    <cfRule type="duplicateValues" dxfId="37" priority="51"/>
  </conditionalFormatting>
  <conditionalFormatting sqref="CF28">
    <cfRule type="duplicateValues" dxfId="36" priority="50"/>
  </conditionalFormatting>
  <conditionalFormatting sqref="CG28">
    <cfRule type="duplicateValues" dxfId="35" priority="49"/>
  </conditionalFormatting>
  <conditionalFormatting sqref="CQ27">
    <cfRule type="duplicateValues" dxfId="34" priority="48"/>
  </conditionalFormatting>
  <conditionalFormatting sqref="BH21:BH148">
    <cfRule type="cellIs" dxfId="33" priority="45" operator="greaterThan">
      <formula>86</formula>
    </cfRule>
    <cfRule type="cellIs" dxfId="32" priority="46" operator="lessThan">
      <formula>44</formula>
    </cfRule>
  </conditionalFormatting>
  <conditionalFormatting sqref="BJ21:BJ148">
    <cfRule type="cellIs" dxfId="31" priority="43" operator="greaterThan">
      <formula>84</formula>
    </cfRule>
    <cfRule type="cellIs" dxfId="30" priority="44" operator="lessThan">
      <formula>43</formula>
    </cfRule>
  </conditionalFormatting>
  <conditionalFormatting sqref="DQ21:DQ148">
    <cfRule type="cellIs" dxfId="29" priority="35" operator="equal">
      <formula>"Bye"</formula>
    </cfRule>
    <cfRule type="cellIs" dxfId="28" priority="36" operator="greaterThan">
      <formula>44</formula>
    </cfRule>
    <cfRule type="cellIs" dxfId="27" priority="37" operator="between">
      <formula>23</formula>
      <formula>44</formula>
    </cfRule>
    <cfRule type="duplicateValues" dxfId="26" priority="38"/>
    <cfRule type="duplicateValues" dxfId="25" priority="39"/>
  </conditionalFormatting>
  <conditionalFormatting sqref="DP21:DP148">
    <cfRule type="cellIs" dxfId="24" priority="30" operator="equal">
      <formula>"Bye"</formula>
    </cfRule>
    <cfRule type="cellIs" dxfId="23" priority="31" operator="greaterThan">
      <formula>44</formula>
    </cfRule>
    <cfRule type="cellIs" dxfId="22" priority="32" operator="between">
      <formula>23</formula>
      <formula>44</formula>
    </cfRule>
    <cfRule type="duplicateValues" dxfId="21" priority="33"/>
    <cfRule type="duplicateValues" dxfId="20" priority="34"/>
  </conditionalFormatting>
  <conditionalFormatting sqref="DO21:DO148">
    <cfRule type="duplicateValues" dxfId="19" priority="28"/>
    <cfRule type="duplicateValues" dxfId="18" priority="29"/>
  </conditionalFormatting>
  <conditionalFormatting sqref="DL21:DL148">
    <cfRule type="duplicateValues" dxfId="17" priority="24"/>
  </conditionalFormatting>
  <conditionalFormatting sqref="DJ21:DJ148">
    <cfRule type="duplicateValues" dxfId="16" priority="23"/>
  </conditionalFormatting>
  <conditionalFormatting sqref="DI21:DI148">
    <cfRule type="cellIs" dxfId="15" priority="18" operator="equal">
      <formula>"Bye"</formula>
    </cfRule>
    <cfRule type="duplicateValues" dxfId="14" priority="19"/>
  </conditionalFormatting>
  <conditionalFormatting sqref="DG21:DG148">
    <cfRule type="cellIs" dxfId="13" priority="14" operator="equal">
      <formula>"Bye"</formula>
    </cfRule>
    <cfRule type="cellIs" dxfId="12" priority="15" operator="greaterThan">
      <formula>52</formula>
    </cfRule>
    <cfRule type="cellIs" dxfId="11" priority="16" operator="between">
      <formula>27</formula>
      <formula>52</formula>
    </cfRule>
    <cfRule type="duplicateValues" dxfId="10" priority="17"/>
  </conditionalFormatting>
  <conditionalFormatting sqref="DF21:DF148">
    <cfRule type="duplicateValues" dxfId="9" priority="13"/>
  </conditionalFormatting>
  <conditionalFormatting sqref="DD21:DD148">
    <cfRule type="cellIs" dxfId="8" priority="6" operator="equal">
      <formula>"Bye"</formula>
    </cfRule>
    <cfRule type="cellIs" dxfId="7" priority="7" operator="greaterThan">
      <formula>54</formula>
    </cfRule>
    <cfRule type="cellIs" dxfId="6" priority="8" operator="between">
      <formula>28</formula>
      <formula>54</formula>
    </cfRule>
    <cfRule type="duplicateValues" dxfId="5" priority="9"/>
  </conditionalFormatting>
  <conditionalFormatting sqref="DC21:DC148">
    <cfRule type="cellIs" dxfId="4" priority="2" operator="equal">
      <formula>"Bye"</formula>
    </cfRule>
    <cfRule type="cellIs" dxfId="3" priority="3" operator="greaterThan">
      <formula>54</formula>
    </cfRule>
    <cfRule type="cellIs" dxfId="2" priority="4" operator="between">
      <formula>28</formula>
      <formula>54</formula>
    </cfRule>
    <cfRule type="duplicateValues" dxfId="1" priority="5"/>
  </conditionalFormatting>
  <conditionalFormatting sqref="EV21:EV84">
    <cfRule type="duplicateValues" dxfId="0" priority="1"/>
  </conditionalFormatting>
  <pageMargins left="0.7" right="0.7" top="0.75" bottom="0.75" header="0.3" footer="0.3"/>
  <pageSetup scale="10"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N90"/>
  <sheetViews>
    <sheetView workbookViewId="0"/>
  </sheetViews>
  <sheetFormatPr defaultRowHeight="14.4" x14ac:dyDescent="0.3"/>
  <cols>
    <col min="2" max="2" width="28.109375" customWidth="1"/>
    <col min="3" max="3" width="14.109375" customWidth="1"/>
    <col min="4" max="4" width="5.88671875" customWidth="1"/>
    <col min="6" max="6" width="26.44140625" customWidth="1"/>
    <col min="7" max="7" width="14.109375" customWidth="1"/>
    <col min="8" max="8" width="5.88671875" customWidth="1"/>
    <col min="9" max="9" width="10.88671875" customWidth="1"/>
    <col min="11" max="11" width="26.44140625" customWidth="1"/>
    <col min="12" max="12" width="11.5546875" customWidth="1"/>
    <col min="13" max="13" width="5.88671875" customWidth="1"/>
  </cols>
  <sheetData>
    <row r="1" spans="2:14" ht="23.4" x14ac:dyDescent="0.45">
      <c r="B1" s="112" t="str">
        <f>Sorteo!C5</f>
        <v>Dobles Mixtos</v>
      </c>
    </row>
    <row r="2" spans="2:14" ht="18" x14ac:dyDescent="0.35">
      <c r="B2" s="114" t="s">
        <v>9737</v>
      </c>
      <c r="C2" s="114" t="s">
        <v>15</v>
      </c>
      <c r="D2" s="114" t="s">
        <v>9738</v>
      </c>
      <c r="E2" s="114">
        <v>1</v>
      </c>
      <c r="F2" s="114" t="s">
        <v>9739</v>
      </c>
      <c r="G2" s="114" t="s">
        <v>15</v>
      </c>
      <c r="H2" s="114" t="s">
        <v>9738</v>
      </c>
      <c r="I2" s="115">
        <v>2</v>
      </c>
      <c r="J2" s="114"/>
      <c r="K2" s="114" t="s">
        <v>9740</v>
      </c>
      <c r="L2" s="114" t="s">
        <v>15</v>
      </c>
      <c r="M2" s="114" t="s">
        <v>9738</v>
      </c>
      <c r="N2" s="114">
        <v>3</v>
      </c>
    </row>
    <row r="3" spans="2:14" ht="18" x14ac:dyDescent="0.35">
      <c r="B3" s="115" t="str">
        <f>Grupos!I9</f>
        <v/>
      </c>
      <c r="C3" s="115" t="str">
        <f>IF(B3&lt;&gt;"",VLOOKUP(B3,Sorteo!$B$17:$G$143,2,FALSE),"")</f>
        <v/>
      </c>
      <c r="D3" s="115" t="str">
        <f>Grupos!G9</f>
        <v/>
      </c>
      <c r="E3" s="115"/>
      <c r="F3" s="115" t="str">
        <f>Grupos!I46</f>
        <v/>
      </c>
      <c r="G3" s="115" t="str">
        <f>IF(F3&lt;&gt;"",VLOOKUP(F3,Sorteo!$B$17:$G$143,2,FALSE),"")</f>
        <v/>
      </c>
      <c r="H3" s="115" t="str">
        <f>Grupos!G46</f>
        <v/>
      </c>
      <c r="I3" s="115"/>
      <c r="J3" s="115"/>
      <c r="K3" s="115" t="str">
        <f>Grupos!I83</f>
        <v/>
      </c>
      <c r="L3" s="115" t="str">
        <f>IF(K3&lt;&gt;"",VLOOKUP(K3,Sorteo!$B$17:$G$143,2,FALSE),"")</f>
        <v/>
      </c>
      <c r="M3" s="115" t="str">
        <f>Grupos!G83</f>
        <v/>
      </c>
    </row>
    <row r="4" spans="2:14" ht="18" x14ac:dyDescent="0.35">
      <c r="B4" s="115" t="str">
        <f>Grupos!I10</f>
        <v/>
      </c>
      <c r="C4" s="115" t="str">
        <f>IF(B4&lt;&gt;"",VLOOKUP(B4,Sorteo!$B$17:$G$143,2,FALSE),"")</f>
        <v/>
      </c>
      <c r="D4" s="115" t="str">
        <f>Grupos!G10</f>
        <v/>
      </c>
      <c r="E4" s="115"/>
      <c r="F4" s="115" t="str">
        <f>Grupos!I47</f>
        <v/>
      </c>
      <c r="G4" s="115" t="str">
        <f>IF(F4&lt;&gt;"",VLOOKUP(F4,Sorteo!$B$17:$G$143,2,FALSE),"")</f>
        <v/>
      </c>
      <c r="H4" s="115" t="str">
        <f>Grupos!G47</f>
        <v/>
      </c>
      <c r="I4" s="115"/>
      <c r="J4" s="115"/>
      <c r="K4" s="115" t="str">
        <f>Grupos!I84</f>
        <v/>
      </c>
      <c r="L4" s="115" t="str">
        <f>IF(K4&lt;&gt;"",VLOOKUP(K4,Sorteo!$B$17:$G$143,2,FALSE),"")</f>
        <v/>
      </c>
      <c r="M4" s="115" t="str">
        <f>Grupos!G84</f>
        <v/>
      </c>
    </row>
    <row r="5" spans="2:14" ht="18" x14ac:dyDescent="0.35">
      <c r="B5" s="115" t="str">
        <f>Grupos!I11</f>
        <v/>
      </c>
      <c r="C5" s="115" t="str">
        <f>IF(B5&lt;&gt;"",VLOOKUP(B5,Sorteo!$B$17:$G$143,2,FALSE),"")</f>
        <v/>
      </c>
      <c r="D5" s="115" t="str">
        <f>Grupos!G11</f>
        <v/>
      </c>
      <c r="E5" s="115"/>
      <c r="F5" s="115" t="str">
        <f>Grupos!I48</f>
        <v/>
      </c>
      <c r="G5" s="115" t="str">
        <f>IF(F5&lt;&gt;"",VLOOKUP(F5,Sorteo!$B$17:$G$143,2,FALSE),"")</f>
        <v/>
      </c>
      <c r="H5" s="115" t="str">
        <f>Grupos!G48</f>
        <v/>
      </c>
      <c r="I5" s="115"/>
      <c r="J5" s="115"/>
      <c r="K5" s="115" t="str">
        <f>Grupos!I85</f>
        <v/>
      </c>
      <c r="L5" s="115" t="str">
        <f>IF(K5&lt;&gt;"",VLOOKUP(K5,Sorteo!$B$17:$G$143,2,FALSE),"")</f>
        <v/>
      </c>
      <c r="M5" s="115" t="str">
        <f>Grupos!G85</f>
        <v/>
      </c>
    </row>
    <row r="6" spans="2:14" ht="18" x14ac:dyDescent="0.35">
      <c r="B6" s="115" t="str">
        <f>Grupos!I12</f>
        <v/>
      </c>
      <c r="C6" s="115"/>
      <c r="D6" s="115" t="str">
        <f>Grupos!G12</f>
        <v/>
      </c>
      <c r="E6" s="115"/>
      <c r="F6" s="115" t="str">
        <f>Grupos!I49</f>
        <v/>
      </c>
      <c r="G6" s="115"/>
      <c r="H6" s="115" t="str">
        <f>Grupos!G49</f>
        <v/>
      </c>
      <c r="I6" s="115"/>
      <c r="J6" s="115"/>
      <c r="K6" s="115" t="str">
        <f>Grupos!I86</f>
        <v/>
      </c>
      <c r="L6" s="115"/>
      <c r="M6" s="115" t="str">
        <f>Grupos!G86</f>
        <v/>
      </c>
    </row>
    <row r="7" spans="2:14" ht="18" x14ac:dyDescent="0.35">
      <c r="B7" s="115"/>
      <c r="C7" s="115"/>
      <c r="D7" s="115"/>
      <c r="E7" s="115"/>
      <c r="F7" s="115"/>
      <c r="G7" s="115"/>
      <c r="H7" s="115"/>
      <c r="I7" s="115"/>
      <c r="J7" s="115"/>
      <c r="K7" s="115"/>
      <c r="L7" s="115"/>
      <c r="M7" s="115"/>
    </row>
    <row r="8" spans="2:14" ht="18" x14ac:dyDescent="0.35">
      <c r="B8" s="114" t="s">
        <v>9741</v>
      </c>
      <c r="C8" s="114" t="s">
        <v>15</v>
      </c>
      <c r="D8" s="114" t="s">
        <v>9738</v>
      </c>
      <c r="E8" s="114">
        <v>4</v>
      </c>
      <c r="F8" s="114" t="s">
        <v>9742</v>
      </c>
      <c r="G8" s="114" t="s">
        <v>15</v>
      </c>
      <c r="H8" s="114" t="s">
        <v>9738</v>
      </c>
      <c r="I8" s="114">
        <v>5</v>
      </c>
      <c r="J8" s="114"/>
      <c r="K8" s="114" t="s">
        <v>9743</v>
      </c>
      <c r="L8" s="114" t="s">
        <v>15</v>
      </c>
      <c r="M8" s="114" t="s">
        <v>9738</v>
      </c>
      <c r="N8" s="114">
        <v>6</v>
      </c>
    </row>
    <row r="9" spans="2:14" ht="18" x14ac:dyDescent="0.35">
      <c r="B9" s="115" t="str">
        <f>Grupos!I120</f>
        <v/>
      </c>
      <c r="C9" s="115" t="str">
        <f>IF(B9&lt;&gt;"",VLOOKUP(B9,Sorteo!$B$17:$G$143,2,FALSE),"")</f>
        <v/>
      </c>
      <c r="D9" s="115" t="str">
        <f>Grupos!G120</f>
        <v/>
      </c>
      <c r="E9" s="115"/>
      <c r="F9" s="115" t="str">
        <f>Grupos!I157</f>
        <v/>
      </c>
      <c r="G9" s="115" t="str">
        <f>IF(F9&lt;&gt;"",VLOOKUP(F9,Sorteo!$B$17:$G$143,2,FALSE),"")</f>
        <v/>
      </c>
      <c r="H9" s="115" t="str">
        <f>Grupos!G157</f>
        <v/>
      </c>
      <c r="I9" s="115"/>
      <c r="J9" s="115"/>
      <c r="K9" s="115" t="str">
        <f>Grupos!I194</f>
        <v/>
      </c>
      <c r="L9" s="115" t="str">
        <f>IF(K9&lt;&gt;"",VLOOKUP(K9,Sorteo!$B$17:$G$143,2,FALSE),"")</f>
        <v/>
      </c>
      <c r="M9" s="115" t="str">
        <f>Grupos!G194</f>
        <v/>
      </c>
    </row>
    <row r="10" spans="2:14" ht="18" x14ac:dyDescent="0.35">
      <c r="B10" s="115" t="str">
        <f>Grupos!I121</f>
        <v/>
      </c>
      <c r="C10" s="115" t="str">
        <f>IF(B10&lt;&gt;"",VLOOKUP(B10,Sorteo!$B$17:$G$143,2,FALSE),"")</f>
        <v/>
      </c>
      <c r="D10" s="115" t="str">
        <f>Grupos!G121</f>
        <v/>
      </c>
      <c r="E10" s="115"/>
      <c r="F10" s="115" t="str">
        <f>Grupos!I158</f>
        <v/>
      </c>
      <c r="G10" s="115" t="str">
        <f>IF(F10&lt;&gt;"",VLOOKUP(F10,Sorteo!$B$17:$G$143,2,FALSE),"")</f>
        <v/>
      </c>
      <c r="H10" s="115" t="str">
        <f>Grupos!G158</f>
        <v/>
      </c>
      <c r="I10" s="115"/>
      <c r="J10" s="115"/>
      <c r="K10" s="115" t="str">
        <f>Grupos!I195</f>
        <v/>
      </c>
      <c r="L10" s="115" t="str">
        <f>IF(K10&lt;&gt;"",VLOOKUP(K10,Sorteo!$B$17:$G$143,2,FALSE),"")</f>
        <v/>
      </c>
      <c r="M10" s="115" t="str">
        <f>Grupos!G195</f>
        <v/>
      </c>
    </row>
    <row r="11" spans="2:14" ht="18" x14ac:dyDescent="0.35">
      <c r="B11" s="115" t="str">
        <f>Grupos!I122</f>
        <v/>
      </c>
      <c r="C11" s="115" t="str">
        <f>IF(B11&lt;&gt;"",VLOOKUP(B11,Sorteo!$B$17:$G$143,2,FALSE),"")</f>
        <v/>
      </c>
      <c r="D11" s="115" t="str">
        <f>Grupos!G122</f>
        <v/>
      </c>
      <c r="E11" s="115"/>
      <c r="F11" s="115" t="str">
        <f>Grupos!I159</f>
        <v/>
      </c>
      <c r="G11" s="115" t="str">
        <f>IF(F11&lt;&gt;"",VLOOKUP(F11,Sorteo!$B$17:$G$143,2,FALSE),"")</f>
        <v/>
      </c>
      <c r="H11" s="115" t="str">
        <f>Grupos!G159</f>
        <v/>
      </c>
      <c r="I11" s="115"/>
      <c r="J11" s="115"/>
      <c r="K11" s="115" t="str">
        <f>Grupos!I196</f>
        <v/>
      </c>
      <c r="L11" s="115" t="str">
        <f>IF(K11&lt;&gt;"",VLOOKUP(K11,Sorteo!$B$17:$G$143,2,FALSE),"")</f>
        <v/>
      </c>
      <c r="M11" s="115" t="str">
        <f>Grupos!G196</f>
        <v/>
      </c>
    </row>
    <row r="12" spans="2:14" ht="18" x14ac:dyDescent="0.35">
      <c r="B12" s="115" t="str">
        <f>Grupos!I123</f>
        <v/>
      </c>
      <c r="C12" s="115"/>
      <c r="D12" s="115" t="str">
        <f>Grupos!G123</f>
        <v/>
      </c>
      <c r="E12" s="115"/>
      <c r="F12" s="115" t="str">
        <f>Grupos!I160</f>
        <v/>
      </c>
      <c r="G12" s="115"/>
      <c r="H12" s="115" t="str">
        <f>Grupos!G160</f>
        <v/>
      </c>
      <c r="I12" s="115"/>
      <c r="J12" s="115"/>
      <c r="K12" s="115" t="str">
        <f>Grupos!I197</f>
        <v/>
      </c>
      <c r="L12" s="115"/>
      <c r="M12" s="115" t="str">
        <f>Grupos!G197</f>
        <v/>
      </c>
    </row>
    <row r="13" spans="2:14" ht="18" x14ac:dyDescent="0.35">
      <c r="B13" s="115"/>
      <c r="C13" s="115"/>
      <c r="D13" s="115"/>
      <c r="E13" s="115"/>
      <c r="F13" s="115"/>
      <c r="G13" s="115"/>
      <c r="H13" s="115"/>
      <c r="I13" s="115"/>
      <c r="J13" s="115"/>
      <c r="K13" s="115"/>
      <c r="L13" s="115"/>
      <c r="M13" s="115"/>
    </row>
    <row r="14" spans="2:14" ht="18" x14ac:dyDescent="0.35">
      <c r="B14" s="114" t="s">
        <v>9744</v>
      </c>
      <c r="C14" s="114" t="s">
        <v>15</v>
      </c>
      <c r="D14" s="114" t="s">
        <v>9738</v>
      </c>
      <c r="E14" s="114">
        <v>7</v>
      </c>
      <c r="F14" s="114" t="s">
        <v>9745</v>
      </c>
      <c r="G14" s="114" t="s">
        <v>15</v>
      </c>
      <c r="H14" s="114" t="s">
        <v>9738</v>
      </c>
      <c r="I14" s="114"/>
      <c r="J14" s="114"/>
      <c r="K14" s="114" t="s">
        <v>9746</v>
      </c>
      <c r="L14" s="114" t="s">
        <v>15</v>
      </c>
      <c r="M14" s="114" t="s">
        <v>9738</v>
      </c>
    </row>
    <row r="15" spans="2:14" ht="18" x14ac:dyDescent="0.35">
      <c r="B15" s="115" t="str">
        <f>Grupos!I231</f>
        <v/>
      </c>
      <c r="C15" s="115" t="str">
        <f>IF(B15&lt;&gt;"",VLOOKUP(B15,Sorteo!$B$17:$G$143,2,FALSE),"")</f>
        <v/>
      </c>
      <c r="D15" s="115" t="str">
        <f>Grupos!G231</f>
        <v/>
      </c>
      <c r="E15" s="115"/>
      <c r="F15" s="115" t="str">
        <f>Grupos!I268</f>
        <v/>
      </c>
      <c r="G15" s="115" t="str">
        <f>IF(F15&lt;&gt;"",VLOOKUP(F15,Sorteo!$B$17:$G$143,2,FALSE),"")</f>
        <v/>
      </c>
      <c r="H15" s="115" t="str">
        <f>Grupos!G268</f>
        <v/>
      </c>
      <c r="I15" s="115"/>
      <c r="J15" s="115"/>
      <c r="K15" s="115" t="str">
        <f>Grupos!I305</f>
        <v/>
      </c>
      <c r="L15" s="115" t="str">
        <f>IF(K15&lt;&gt;"",VLOOKUP(K15,Sorteo!$B$17:$G$143,2,FALSE),"")</f>
        <v/>
      </c>
      <c r="M15" s="115" t="str">
        <f>Grupos!G305</f>
        <v/>
      </c>
    </row>
    <row r="16" spans="2:14" ht="18" x14ac:dyDescent="0.35">
      <c r="B16" s="115" t="str">
        <f>Grupos!I232</f>
        <v/>
      </c>
      <c r="C16" s="115" t="str">
        <f>IF(B16&lt;&gt;"",VLOOKUP(B16,Sorteo!$B$17:$G$143,2,FALSE),"")</f>
        <v/>
      </c>
      <c r="D16" s="115" t="str">
        <f>Grupos!G232</f>
        <v/>
      </c>
      <c r="E16" s="115"/>
      <c r="F16" s="115" t="str">
        <f>Grupos!I269</f>
        <v/>
      </c>
      <c r="G16" s="115" t="str">
        <f>IF(F16&lt;&gt;"",VLOOKUP(F16,Sorteo!$B$17:$G$143,2,FALSE),"")</f>
        <v/>
      </c>
      <c r="H16" s="115" t="str">
        <f>Grupos!G269</f>
        <v/>
      </c>
      <c r="I16" s="115"/>
      <c r="J16" s="115"/>
      <c r="K16" s="115" t="str">
        <f>Grupos!I306</f>
        <v/>
      </c>
      <c r="L16" s="115" t="str">
        <f>IF(K16&lt;&gt;"",VLOOKUP(K16,Sorteo!$B$17:$G$143,2,FALSE),"")</f>
        <v/>
      </c>
      <c r="M16" s="115" t="str">
        <f>Grupos!G306</f>
        <v/>
      </c>
    </row>
    <row r="17" spans="2:13" ht="18" x14ac:dyDescent="0.35">
      <c r="B17" s="115" t="str">
        <f>Grupos!I233</f>
        <v/>
      </c>
      <c r="C17" s="115" t="str">
        <f>IF(B17&lt;&gt;"",VLOOKUP(B17,Sorteo!$B$17:$G$143,2,FALSE),"")</f>
        <v/>
      </c>
      <c r="D17" s="115" t="str">
        <f>Grupos!G233</f>
        <v/>
      </c>
      <c r="E17" s="115"/>
      <c r="F17" s="115" t="str">
        <f>Grupos!I270</f>
        <v/>
      </c>
      <c r="G17" s="115" t="str">
        <f>IF(F17&lt;&gt;"",VLOOKUP(F17,Sorteo!$B$17:$G$143,2,FALSE),"")</f>
        <v/>
      </c>
      <c r="H17" s="115" t="str">
        <f>Grupos!G270</f>
        <v/>
      </c>
      <c r="I17" s="115"/>
      <c r="J17" s="115"/>
      <c r="K17" s="115" t="str">
        <f>Grupos!I307</f>
        <v/>
      </c>
      <c r="L17" s="115" t="str">
        <f>IF(K17&lt;&gt;"",VLOOKUP(K17,Sorteo!$B$17:$G$143,2,FALSE),"")</f>
        <v/>
      </c>
      <c r="M17" s="115" t="str">
        <f>Grupos!G307</f>
        <v/>
      </c>
    </row>
    <row r="18" spans="2:13" ht="18" x14ac:dyDescent="0.35">
      <c r="B18" s="115" t="str">
        <f>Grupos!I234</f>
        <v/>
      </c>
      <c r="C18" s="115"/>
      <c r="D18" s="115" t="str">
        <f>Grupos!G234</f>
        <v/>
      </c>
      <c r="E18" s="115"/>
      <c r="F18" s="115" t="str">
        <f>Grupos!I271</f>
        <v/>
      </c>
      <c r="G18" s="115"/>
      <c r="H18" s="115" t="str">
        <f>Grupos!G271</f>
        <v/>
      </c>
      <c r="I18" s="115"/>
      <c r="J18" s="115"/>
      <c r="K18" s="115" t="str">
        <f>Grupos!I308</f>
        <v/>
      </c>
      <c r="L18" s="115"/>
      <c r="M18" s="115" t="str">
        <f>Grupos!G308</f>
        <v/>
      </c>
    </row>
    <row r="19" spans="2:13" ht="18" x14ac:dyDescent="0.35">
      <c r="B19" s="115"/>
      <c r="C19" s="115"/>
      <c r="D19" s="115"/>
      <c r="E19" s="115"/>
      <c r="F19" s="115"/>
      <c r="G19" s="115"/>
      <c r="H19" s="115"/>
      <c r="I19" s="115"/>
      <c r="J19" s="115"/>
      <c r="K19" s="115"/>
      <c r="L19" s="115"/>
      <c r="M19" s="115"/>
    </row>
    <row r="20" spans="2:13" ht="18" x14ac:dyDescent="0.35">
      <c r="B20" s="114" t="s">
        <v>9747</v>
      </c>
      <c r="C20" s="114" t="s">
        <v>15</v>
      </c>
      <c r="D20" s="114" t="s">
        <v>9738</v>
      </c>
      <c r="E20" s="114"/>
      <c r="F20" s="114" t="s">
        <v>9748</v>
      </c>
      <c r="G20" s="114" t="s">
        <v>15</v>
      </c>
      <c r="H20" s="114" t="s">
        <v>9738</v>
      </c>
      <c r="I20" s="114"/>
      <c r="J20" s="114"/>
      <c r="K20" s="114" t="s">
        <v>9749</v>
      </c>
      <c r="L20" s="114" t="s">
        <v>15</v>
      </c>
      <c r="M20" s="114" t="s">
        <v>9738</v>
      </c>
    </row>
    <row r="21" spans="2:13" ht="18" x14ac:dyDescent="0.35">
      <c r="B21" s="115" t="str">
        <f>Grupos!I342</f>
        <v/>
      </c>
      <c r="C21" s="115" t="str">
        <f>IF(B21&lt;&gt;"",VLOOKUP(B21,Sorteo!$B$17:$G$143,2,FALSE),"")</f>
        <v/>
      </c>
      <c r="D21" s="115" t="str">
        <f>Grupos!G342</f>
        <v/>
      </c>
      <c r="E21" s="115"/>
      <c r="F21" s="115" t="str">
        <f>Grupos!I379</f>
        <v/>
      </c>
      <c r="G21" s="115" t="str">
        <f>IF(F21&lt;&gt;"",VLOOKUP(F21,Sorteo!$B$17:$G$143,2,FALSE),"")</f>
        <v/>
      </c>
      <c r="H21" s="115" t="str">
        <f>Grupos!G379</f>
        <v/>
      </c>
      <c r="I21" s="115"/>
      <c r="J21" s="115"/>
      <c r="K21" s="115" t="str">
        <f>Grupos!I416</f>
        <v/>
      </c>
      <c r="L21" s="115" t="str">
        <f>IF(K21&lt;&gt;"",VLOOKUP(K21,Sorteo!$B$17:$G$143,2,FALSE),"")</f>
        <v/>
      </c>
      <c r="M21" s="115" t="str">
        <f>Grupos!G416</f>
        <v/>
      </c>
    </row>
    <row r="22" spans="2:13" ht="18" x14ac:dyDescent="0.35">
      <c r="B22" s="115" t="str">
        <f>Grupos!I343</f>
        <v/>
      </c>
      <c r="C22" s="115" t="str">
        <f>IF(B22&lt;&gt;"",VLOOKUP(B22,Sorteo!$B$17:$G$143,2,FALSE),"")</f>
        <v/>
      </c>
      <c r="D22" s="115" t="str">
        <f>Grupos!G343</f>
        <v/>
      </c>
      <c r="E22" s="115"/>
      <c r="F22" s="115" t="str">
        <f>Grupos!I380</f>
        <v/>
      </c>
      <c r="G22" s="115" t="str">
        <f>IF(F22&lt;&gt;"",VLOOKUP(F22,Sorteo!$B$17:$G$143,2,FALSE),"")</f>
        <v/>
      </c>
      <c r="H22" s="115" t="str">
        <f>Grupos!G380</f>
        <v/>
      </c>
      <c r="I22" s="115"/>
      <c r="J22" s="115"/>
      <c r="K22" s="115" t="str">
        <f>Grupos!I417</f>
        <v/>
      </c>
      <c r="L22" s="115" t="str">
        <f>IF(K22&lt;&gt;"",VLOOKUP(K22,Sorteo!$B$17:$G$143,2,FALSE),"")</f>
        <v/>
      </c>
      <c r="M22" s="115" t="str">
        <f>Grupos!G417</f>
        <v/>
      </c>
    </row>
    <row r="23" spans="2:13" ht="18" x14ac:dyDescent="0.35">
      <c r="B23" s="115" t="str">
        <f>Grupos!I344</f>
        <v/>
      </c>
      <c r="C23" s="115" t="str">
        <f>IF(B23&lt;&gt;"",VLOOKUP(B23,Sorteo!$B$17:$G$143,2,FALSE),"")</f>
        <v/>
      </c>
      <c r="D23" s="115" t="str">
        <f>Grupos!G344</f>
        <v/>
      </c>
      <c r="E23" s="115"/>
      <c r="F23" s="115" t="str">
        <f>Grupos!I381</f>
        <v/>
      </c>
      <c r="G23" s="115" t="str">
        <f>IF(F23&lt;&gt;"",VLOOKUP(F23,Sorteo!$B$17:$G$143,2,FALSE),"")</f>
        <v/>
      </c>
      <c r="H23" s="115" t="str">
        <f>Grupos!G381</f>
        <v/>
      </c>
      <c r="I23" s="115"/>
      <c r="J23" s="115"/>
      <c r="K23" s="115" t="str">
        <f>Grupos!I418</f>
        <v/>
      </c>
      <c r="L23" s="115" t="str">
        <f>IF(K23&lt;&gt;"",VLOOKUP(K23,Sorteo!$B$17:$G$143,2,FALSE),"")</f>
        <v/>
      </c>
      <c r="M23" s="115" t="str">
        <f>Grupos!G418</f>
        <v/>
      </c>
    </row>
    <row r="24" spans="2:13" ht="18" x14ac:dyDescent="0.35">
      <c r="B24" s="115" t="str">
        <f>Grupos!I345</f>
        <v/>
      </c>
      <c r="C24" s="115"/>
      <c r="D24" s="115" t="str">
        <f>Grupos!G345</f>
        <v/>
      </c>
      <c r="E24" s="115"/>
      <c r="F24" s="115" t="str">
        <f>Grupos!I382</f>
        <v/>
      </c>
      <c r="G24" s="115"/>
      <c r="H24" s="115" t="str">
        <f>Grupos!G382</f>
        <v/>
      </c>
      <c r="I24" s="115"/>
      <c r="J24" s="115"/>
      <c r="K24" s="115" t="str">
        <f>Grupos!I419</f>
        <v/>
      </c>
      <c r="L24" s="115"/>
      <c r="M24" s="115" t="str">
        <f>Grupos!G419</f>
        <v/>
      </c>
    </row>
    <row r="25" spans="2:13" ht="18" x14ac:dyDescent="0.35">
      <c r="B25" s="115"/>
      <c r="C25" s="115"/>
      <c r="D25" s="115"/>
      <c r="E25" s="115"/>
      <c r="F25" s="115"/>
      <c r="G25" s="115"/>
      <c r="H25" s="115"/>
      <c r="I25" s="115"/>
      <c r="J25" s="115"/>
      <c r="K25" s="115"/>
      <c r="L25" s="115"/>
      <c r="M25" s="115"/>
    </row>
    <row r="26" spans="2:13" ht="18" x14ac:dyDescent="0.35">
      <c r="B26" s="114" t="s">
        <v>9750</v>
      </c>
      <c r="C26" s="114" t="s">
        <v>15</v>
      </c>
      <c r="D26" s="114" t="s">
        <v>9738</v>
      </c>
      <c r="E26" s="114"/>
      <c r="F26" s="114" t="s">
        <v>9751</v>
      </c>
      <c r="G26" s="114" t="s">
        <v>15</v>
      </c>
      <c r="H26" s="114" t="s">
        <v>9738</v>
      </c>
      <c r="I26" s="114"/>
      <c r="J26" s="114"/>
      <c r="K26" s="114" t="s">
        <v>9752</v>
      </c>
      <c r="L26" s="114" t="s">
        <v>15</v>
      </c>
      <c r="M26" s="114" t="s">
        <v>9738</v>
      </c>
    </row>
    <row r="27" spans="2:13" ht="18" x14ac:dyDescent="0.35">
      <c r="B27" s="115" t="str">
        <f>Grupos!I453</f>
        <v/>
      </c>
      <c r="C27" s="115" t="str">
        <f>IF(B27&lt;&gt;"",VLOOKUP(B27,Sorteo!$B$17:$G$143,2,FALSE),"")</f>
        <v/>
      </c>
      <c r="D27" s="115" t="str">
        <f>Grupos!G453</f>
        <v/>
      </c>
      <c r="E27" s="115"/>
      <c r="F27" s="115" t="str">
        <f>Grupos!I490</f>
        <v/>
      </c>
      <c r="G27" s="115" t="str">
        <f>IF(F27&lt;&gt;"",VLOOKUP(F27,Sorteo!$B$17:$G$143,2,FALSE),"")</f>
        <v/>
      </c>
      <c r="H27" s="115" t="str">
        <f>Grupos!G490</f>
        <v/>
      </c>
      <c r="I27" s="115"/>
      <c r="J27" s="115"/>
      <c r="K27" s="115" t="str">
        <f>Grupos!I527</f>
        <v/>
      </c>
      <c r="L27" s="115" t="str">
        <f>IF(K27&lt;&gt;"",VLOOKUP(K27,Sorteo!$B$17:$G$143,2,FALSE),"")</f>
        <v/>
      </c>
      <c r="M27" s="115" t="str">
        <f>Grupos!G527</f>
        <v/>
      </c>
    </row>
    <row r="28" spans="2:13" ht="18" x14ac:dyDescent="0.35">
      <c r="B28" s="115" t="str">
        <f>Grupos!I454</f>
        <v/>
      </c>
      <c r="C28" s="115" t="str">
        <f>IF(B28&lt;&gt;"",VLOOKUP(B28,Sorteo!$B$17:$G$143,2,FALSE),"")</f>
        <v/>
      </c>
      <c r="D28" s="115" t="str">
        <f>Grupos!G454</f>
        <v/>
      </c>
      <c r="E28" s="115"/>
      <c r="F28" s="115" t="str">
        <f>Grupos!I491</f>
        <v/>
      </c>
      <c r="G28" s="115" t="str">
        <f>IF(F28&lt;&gt;"",VLOOKUP(F28,Sorteo!$B$17:$G$143,2,FALSE),"")</f>
        <v/>
      </c>
      <c r="H28" s="115" t="str">
        <f>Grupos!G491</f>
        <v/>
      </c>
      <c r="I28" s="115"/>
      <c r="J28" s="115"/>
      <c r="K28" s="115" t="str">
        <f>Grupos!I528</f>
        <v/>
      </c>
      <c r="L28" s="115" t="str">
        <f>IF(K28&lt;&gt;"",VLOOKUP(K28,Sorteo!$B$17:$G$143,2,FALSE),"")</f>
        <v/>
      </c>
      <c r="M28" s="115" t="str">
        <f>Grupos!G528</f>
        <v/>
      </c>
    </row>
    <row r="29" spans="2:13" ht="18" x14ac:dyDescent="0.35">
      <c r="B29" s="115" t="str">
        <f>Grupos!I455</f>
        <v/>
      </c>
      <c r="C29" s="115" t="str">
        <f>IF(B29&lt;&gt;"",VLOOKUP(B29,Sorteo!$B$17:$G$143,2,FALSE),"")</f>
        <v/>
      </c>
      <c r="D29" s="115" t="str">
        <f>Grupos!G455</f>
        <v/>
      </c>
      <c r="E29" s="115"/>
      <c r="F29" s="115" t="str">
        <f>Grupos!I492</f>
        <v/>
      </c>
      <c r="G29" s="115" t="str">
        <f>IF(F29&lt;&gt;"",VLOOKUP(F29,Sorteo!$B$17:$G$143,2,FALSE),"")</f>
        <v/>
      </c>
      <c r="H29" s="115" t="str">
        <f>Grupos!G492</f>
        <v/>
      </c>
      <c r="I29" s="115"/>
      <c r="J29" s="115"/>
      <c r="K29" s="115" t="str">
        <f>Grupos!I529</f>
        <v/>
      </c>
      <c r="L29" s="115" t="str">
        <f>IF(K29&lt;&gt;"",VLOOKUP(K29,Sorteo!$B$17:$G$143,2,FALSE),"")</f>
        <v/>
      </c>
      <c r="M29" s="115" t="str">
        <f>Grupos!G529</f>
        <v/>
      </c>
    </row>
    <row r="30" spans="2:13" ht="18" x14ac:dyDescent="0.35">
      <c r="B30" s="115" t="str">
        <f>Grupos!I456</f>
        <v/>
      </c>
      <c r="C30" s="115"/>
      <c r="D30" s="115" t="str">
        <f>Grupos!G456</f>
        <v/>
      </c>
      <c r="E30" s="115"/>
      <c r="F30" s="115" t="str">
        <f>Grupos!I493</f>
        <v/>
      </c>
      <c r="G30" s="115"/>
      <c r="H30" s="115" t="str">
        <f>Grupos!G493</f>
        <v/>
      </c>
      <c r="I30" s="115"/>
      <c r="J30" s="115"/>
      <c r="K30" s="115" t="str">
        <f>Grupos!I530</f>
        <v/>
      </c>
      <c r="L30" s="115"/>
      <c r="M30" s="115" t="str">
        <f>Grupos!G530</f>
        <v/>
      </c>
    </row>
    <row r="31" spans="2:13" ht="18" x14ac:dyDescent="0.35">
      <c r="B31" s="115"/>
      <c r="C31" s="115"/>
      <c r="D31" s="115"/>
      <c r="E31" s="115"/>
      <c r="F31" s="115"/>
      <c r="G31" s="115"/>
      <c r="H31" s="115"/>
      <c r="I31" s="115"/>
      <c r="J31" s="115"/>
      <c r="K31" s="115"/>
      <c r="L31" s="115"/>
      <c r="M31" s="115"/>
    </row>
    <row r="32" spans="2:13" ht="18" x14ac:dyDescent="0.35">
      <c r="B32" s="114" t="s">
        <v>9753</v>
      </c>
      <c r="C32" s="114" t="s">
        <v>15</v>
      </c>
      <c r="D32" s="114" t="s">
        <v>9738</v>
      </c>
      <c r="E32" s="114"/>
      <c r="F32" s="114" t="s">
        <v>9754</v>
      </c>
      <c r="G32" s="114" t="s">
        <v>15</v>
      </c>
      <c r="H32" s="114" t="s">
        <v>9738</v>
      </c>
      <c r="I32" s="114"/>
      <c r="J32" s="114"/>
      <c r="K32" s="114" t="s">
        <v>9755</v>
      </c>
      <c r="L32" s="114" t="s">
        <v>15</v>
      </c>
      <c r="M32" s="114" t="s">
        <v>9738</v>
      </c>
    </row>
    <row r="33" spans="2:13" ht="18" x14ac:dyDescent="0.35">
      <c r="B33" s="115" t="str">
        <f>Grupos!I564</f>
        <v/>
      </c>
      <c r="C33" s="115" t="str">
        <f>IF(B33&lt;&gt;"",VLOOKUP(B33,Sorteo!$B$17:$G$143,2,FALSE),"")</f>
        <v/>
      </c>
      <c r="D33" s="115" t="str">
        <f>Grupos!G564</f>
        <v/>
      </c>
      <c r="E33" s="115"/>
      <c r="F33" s="115" t="str">
        <f>Grupos!I602</f>
        <v/>
      </c>
      <c r="G33" s="115" t="str">
        <f>IF(F33&lt;&gt;"",VLOOKUP(F33,Sorteo!$B$17:$G$143,2,FALSE),"")</f>
        <v/>
      </c>
      <c r="H33" s="115" t="str">
        <f>Grupos!G602</f>
        <v/>
      </c>
      <c r="I33" s="115"/>
      <c r="J33" s="115"/>
      <c r="K33" s="115" t="str">
        <f>Grupos!I639</f>
        <v/>
      </c>
      <c r="L33" s="115" t="str">
        <f>IF(K33&lt;&gt;"",VLOOKUP(K33,Sorteo!$B$17:$G$143,2,FALSE),"")</f>
        <v/>
      </c>
      <c r="M33" s="115" t="str">
        <f>Grupos!G639</f>
        <v/>
      </c>
    </row>
    <row r="34" spans="2:13" ht="18" x14ac:dyDescent="0.35">
      <c r="B34" s="115" t="str">
        <f>Grupos!I565</f>
        <v/>
      </c>
      <c r="C34" s="115" t="str">
        <f>IF(B34&lt;&gt;"",VLOOKUP(B34,Sorteo!$B$17:$G$143,2,FALSE),"")</f>
        <v/>
      </c>
      <c r="D34" s="115" t="str">
        <f>Grupos!G565</f>
        <v/>
      </c>
      <c r="E34" s="115"/>
      <c r="F34" s="115" t="str">
        <f>Grupos!I603</f>
        <v/>
      </c>
      <c r="G34" s="115" t="str">
        <f>IF(F34&lt;&gt;"",VLOOKUP(F34,Sorteo!$B$17:$G$143,2,FALSE),"")</f>
        <v/>
      </c>
      <c r="H34" s="115" t="str">
        <f>Grupos!G603</f>
        <v/>
      </c>
      <c r="I34" s="115"/>
      <c r="J34" s="115"/>
      <c r="K34" s="115" t="str">
        <f>Grupos!I640</f>
        <v/>
      </c>
      <c r="L34" s="115" t="str">
        <f>IF(K34&lt;&gt;"",VLOOKUP(K34,Sorteo!$B$17:$G$143,2,FALSE),"")</f>
        <v/>
      </c>
      <c r="M34" s="115" t="str">
        <f>Grupos!G640</f>
        <v/>
      </c>
    </row>
    <row r="35" spans="2:13" ht="18" x14ac:dyDescent="0.35">
      <c r="B35" s="115" t="str">
        <f>Grupos!I566</f>
        <v/>
      </c>
      <c r="C35" s="115" t="str">
        <f>IF(B35&lt;&gt;"",VLOOKUP(B35,Sorteo!$B$17:$G$143,2,FALSE),"")</f>
        <v/>
      </c>
      <c r="D35" s="115" t="str">
        <f>Grupos!G566</f>
        <v/>
      </c>
      <c r="E35" s="115"/>
      <c r="F35" s="115" t="str">
        <f>Grupos!I604</f>
        <v/>
      </c>
      <c r="G35" s="115" t="str">
        <f>IF(F35&lt;&gt;"",VLOOKUP(F35,Sorteo!$B$17:$G$143,2,FALSE),"")</f>
        <v/>
      </c>
      <c r="H35" s="115" t="str">
        <f>Grupos!G604</f>
        <v/>
      </c>
      <c r="I35" s="115"/>
      <c r="J35" s="115"/>
      <c r="K35" s="115" t="str">
        <f>Grupos!I641</f>
        <v/>
      </c>
      <c r="L35" s="115" t="str">
        <f>IF(K35&lt;&gt;"",VLOOKUP(K35,Sorteo!$B$17:$G$143,2,FALSE),"")</f>
        <v/>
      </c>
      <c r="M35" s="115" t="str">
        <f>Grupos!G641</f>
        <v/>
      </c>
    </row>
    <row r="36" spans="2:13" ht="18" x14ac:dyDescent="0.35">
      <c r="B36" s="115" t="str">
        <f>Grupos!I567</f>
        <v/>
      </c>
      <c r="C36" s="115"/>
      <c r="D36" s="115" t="str">
        <f>Grupos!G567</f>
        <v/>
      </c>
      <c r="E36" s="115"/>
      <c r="F36" s="115" t="str">
        <f>Grupos!I605</f>
        <v/>
      </c>
      <c r="G36" s="115"/>
      <c r="H36" s="115" t="str">
        <f>Grupos!G605</f>
        <v/>
      </c>
      <c r="I36" s="115"/>
      <c r="J36" s="115"/>
      <c r="K36" s="115" t="str">
        <f>Grupos!I642</f>
        <v/>
      </c>
      <c r="L36" s="115"/>
      <c r="M36" s="115" t="str">
        <f>Grupos!G642</f>
        <v/>
      </c>
    </row>
    <row r="37" spans="2:13" ht="18" x14ac:dyDescent="0.35">
      <c r="B37" s="115"/>
      <c r="C37" s="115"/>
      <c r="D37" s="115"/>
      <c r="E37" s="115"/>
      <c r="F37" s="115"/>
      <c r="G37" s="115"/>
      <c r="H37" s="115"/>
      <c r="I37" s="115"/>
      <c r="J37" s="115"/>
      <c r="K37" s="115"/>
      <c r="L37" s="115"/>
      <c r="M37" s="115"/>
    </row>
    <row r="38" spans="2:13" ht="18" x14ac:dyDescent="0.35">
      <c r="B38" s="114" t="s">
        <v>9756</v>
      </c>
      <c r="C38" s="114" t="s">
        <v>15</v>
      </c>
      <c r="D38" s="114" t="s">
        <v>9738</v>
      </c>
      <c r="E38" s="114"/>
      <c r="F38" s="114" t="s">
        <v>9757</v>
      </c>
      <c r="G38" s="114" t="s">
        <v>15</v>
      </c>
      <c r="H38" s="114" t="s">
        <v>9738</v>
      </c>
      <c r="I38" s="114"/>
      <c r="J38" s="114"/>
      <c r="K38" s="114" t="s">
        <v>9758</v>
      </c>
      <c r="L38" s="114" t="s">
        <v>15</v>
      </c>
      <c r="M38" s="114" t="s">
        <v>9738</v>
      </c>
    </row>
    <row r="39" spans="2:13" ht="18" x14ac:dyDescent="0.35">
      <c r="B39" s="115" t="str">
        <f>Grupos!I676</f>
        <v/>
      </c>
      <c r="C39" s="115" t="str">
        <f>IF(B39&lt;&gt;"",VLOOKUP(B39,Sorteo!$B$17:$G$143,2,FALSE),"")</f>
        <v/>
      </c>
      <c r="D39" s="115" t="str">
        <f>Grupos!G676</f>
        <v/>
      </c>
      <c r="E39" s="115"/>
      <c r="F39" s="115" t="str">
        <f>Grupos!I713</f>
        <v/>
      </c>
      <c r="G39" s="115" t="str">
        <f>IF(F39&lt;&gt;"",VLOOKUP(F39,Sorteo!$B$17:$G$143,2,FALSE),"")</f>
        <v/>
      </c>
      <c r="H39" s="115" t="str">
        <f>Grupos!G713</f>
        <v/>
      </c>
      <c r="I39" s="115"/>
      <c r="J39" s="115"/>
      <c r="K39" s="115" t="str">
        <f>Grupos!I750</f>
        <v/>
      </c>
      <c r="L39" s="115" t="str">
        <f>IF(K39&lt;&gt;"",VLOOKUP(K39,Sorteo!$B$17:$G$143,2,FALSE),"")</f>
        <v/>
      </c>
      <c r="M39" s="115" t="str">
        <f>Grupos!G750</f>
        <v/>
      </c>
    </row>
    <row r="40" spans="2:13" ht="18" x14ac:dyDescent="0.35">
      <c r="B40" s="115" t="str">
        <f>Grupos!I677</f>
        <v/>
      </c>
      <c r="C40" s="115" t="str">
        <f>IF(B40&lt;&gt;"",VLOOKUP(B40,Sorteo!$B$17:$G$143,2,FALSE),"")</f>
        <v/>
      </c>
      <c r="D40" s="115" t="str">
        <f>Grupos!G677</f>
        <v/>
      </c>
      <c r="E40" s="115"/>
      <c r="F40" s="115" t="str">
        <f>Grupos!I714</f>
        <v/>
      </c>
      <c r="G40" s="115" t="str">
        <f>IF(F40&lt;&gt;"",VLOOKUP(F40,Sorteo!$B$17:$G$143,2,FALSE),"")</f>
        <v/>
      </c>
      <c r="H40" s="115" t="str">
        <f>Grupos!G714</f>
        <v/>
      </c>
      <c r="I40" s="115"/>
      <c r="J40" s="115"/>
      <c r="K40" s="115" t="str">
        <f>Grupos!I751</f>
        <v/>
      </c>
      <c r="L40" s="115" t="str">
        <f>IF(K40&lt;&gt;"",VLOOKUP(K40,Sorteo!$B$17:$G$143,2,FALSE),"")</f>
        <v/>
      </c>
      <c r="M40" s="115" t="str">
        <f>Grupos!G751</f>
        <v/>
      </c>
    </row>
    <row r="41" spans="2:13" ht="18" x14ac:dyDescent="0.35">
      <c r="B41" s="115" t="str">
        <f>Grupos!I678</f>
        <v/>
      </c>
      <c r="C41" s="115" t="str">
        <f>IF(B41&lt;&gt;"",VLOOKUP(B41,Sorteo!$B$17:$G$143,2,FALSE),"")</f>
        <v/>
      </c>
      <c r="D41" s="115" t="str">
        <f>Grupos!G678</f>
        <v/>
      </c>
      <c r="E41" s="115"/>
      <c r="F41" s="115" t="str">
        <f>Grupos!I715</f>
        <v/>
      </c>
      <c r="G41" s="115" t="str">
        <f>IF(F41&lt;&gt;"",VLOOKUP(F41,Sorteo!$B$17:$G$143,2,FALSE),"")</f>
        <v/>
      </c>
      <c r="H41" s="115" t="str">
        <f>Grupos!G715</f>
        <v/>
      </c>
      <c r="I41" s="115"/>
      <c r="J41" s="115"/>
      <c r="K41" s="115" t="str">
        <f>Grupos!I752</f>
        <v/>
      </c>
      <c r="L41" s="115" t="str">
        <f>IF(K41&lt;&gt;"",VLOOKUP(K41,Sorteo!$B$17:$G$143,2,FALSE),"")</f>
        <v/>
      </c>
      <c r="M41" s="115" t="str">
        <f>Grupos!G752</f>
        <v/>
      </c>
    </row>
    <row r="42" spans="2:13" ht="18" x14ac:dyDescent="0.35">
      <c r="B42" s="115" t="str">
        <f>Grupos!I679</f>
        <v/>
      </c>
      <c r="C42" s="115"/>
      <c r="D42" s="115" t="str">
        <f>Grupos!G679</f>
        <v/>
      </c>
      <c r="E42" s="115"/>
      <c r="F42" s="115" t="str">
        <f>Grupos!I716</f>
        <v/>
      </c>
      <c r="G42" s="115"/>
      <c r="H42" s="115" t="str">
        <f>Grupos!G716</f>
        <v/>
      </c>
      <c r="I42" s="115"/>
      <c r="J42" s="115"/>
      <c r="K42" s="115" t="str">
        <f>Grupos!I753</f>
        <v/>
      </c>
      <c r="L42" s="115"/>
      <c r="M42" s="115" t="str">
        <f>Grupos!G753</f>
        <v/>
      </c>
    </row>
    <row r="43" spans="2:13" ht="18" x14ac:dyDescent="0.35">
      <c r="B43" s="115"/>
      <c r="C43" s="115"/>
      <c r="D43" s="115"/>
      <c r="E43" s="115"/>
      <c r="F43" s="115"/>
      <c r="G43" s="115"/>
      <c r="H43" s="115"/>
      <c r="I43" s="115"/>
      <c r="J43" s="115"/>
      <c r="K43" s="115"/>
      <c r="L43" s="115"/>
      <c r="M43" s="115"/>
    </row>
    <row r="44" spans="2:13" ht="18" x14ac:dyDescent="0.35">
      <c r="B44" s="114" t="s">
        <v>9759</v>
      </c>
      <c r="C44" s="114" t="s">
        <v>15</v>
      </c>
      <c r="D44" s="114" t="s">
        <v>9738</v>
      </c>
      <c r="E44" s="114"/>
      <c r="F44" s="114" t="s">
        <v>9760</v>
      </c>
      <c r="G44" s="114" t="s">
        <v>15</v>
      </c>
      <c r="H44" s="114" t="s">
        <v>9738</v>
      </c>
      <c r="I44" s="114"/>
      <c r="J44" s="114"/>
      <c r="K44" s="114" t="s">
        <v>9761</v>
      </c>
      <c r="L44" s="114" t="s">
        <v>15</v>
      </c>
      <c r="M44" s="114" t="s">
        <v>9738</v>
      </c>
    </row>
    <row r="45" spans="2:13" ht="18" x14ac:dyDescent="0.35">
      <c r="B45" s="115" t="str">
        <f>Grupos!I787</f>
        <v/>
      </c>
      <c r="C45" s="115" t="str">
        <f>IF(B45&lt;&gt;"",VLOOKUP(B45,Sorteo!$B$17:$G$143,2,FALSE),"")</f>
        <v/>
      </c>
      <c r="D45" s="115" t="str">
        <f>Grupos!G787</f>
        <v/>
      </c>
      <c r="E45" s="115"/>
      <c r="F45" s="115" t="str">
        <f>Grupos!I824</f>
        <v/>
      </c>
      <c r="G45" s="115" t="str">
        <f>IF(F45&lt;&gt;"",VLOOKUP(F45,Sorteo!$B$17:$G$143,2,FALSE),"")</f>
        <v/>
      </c>
      <c r="H45" s="115" t="str">
        <f>Grupos!G824</f>
        <v/>
      </c>
      <c r="I45" s="115"/>
      <c r="J45" s="115"/>
      <c r="K45" s="115" t="str">
        <f>Grupos!I861</f>
        <v/>
      </c>
      <c r="L45" s="115" t="str">
        <f>IF(K45&lt;&gt;"",VLOOKUP(K45,Sorteo!$B$17:$G$143,2,FALSE),"")</f>
        <v/>
      </c>
      <c r="M45" s="115" t="str">
        <f>Grupos!G861</f>
        <v/>
      </c>
    </row>
    <row r="46" spans="2:13" ht="18" x14ac:dyDescent="0.35">
      <c r="B46" s="115" t="str">
        <f>Grupos!I788</f>
        <v/>
      </c>
      <c r="C46" s="115" t="str">
        <f>IF(B46&lt;&gt;"",VLOOKUP(B46,Sorteo!$B$17:$G$143,2,FALSE),"")</f>
        <v/>
      </c>
      <c r="D46" s="115" t="str">
        <f>Grupos!G788</f>
        <v/>
      </c>
      <c r="E46" s="115"/>
      <c r="F46" s="115" t="str">
        <f>Grupos!I825</f>
        <v/>
      </c>
      <c r="G46" s="115" t="str">
        <f>IF(F46&lt;&gt;"",VLOOKUP(F46,Sorteo!$B$17:$G$143,2,FALSE),"")</f>
        <v/>
      </c>
      <c r="H46" s="115" t="str">
        <f>Grupos!G825</f>
        <v/>
      </c>
      <c r="I46" s="115"/>
      <c r="J46" s="115"/>
      <c r="K46" s="115" t="str">
        <f>Grupos!I862</f>
        <v/>
      </c>
      <c r="L46" s="115" t="str">
        <f>IF(K46&lt;&gt;"",VLOOKUP(K46,Sorteo!$B$17:$G$143,2,FALSE),"")</f>
        <v/>
      </c>
      <c r="M46" s="115" t="str">
        <f>Grupos!G862</f>
        <v/>
      </c>
    </row>
    <row r="47" spans="2:13" ht="18" x14ac:dyDescent="0.35">
      <c r="B47" s="115" t="str">
        <f>Grupos!I789</f>
        <v/>
      </c>
      <c r="C47" s="115" t="str">
        <f>IF(B47&lt;&gt;"",VLOOKUP(B47,Sorteo!$B$17:$G$143,2,FALSE),"")</f>
        <v/>
      </c>
      <c r="D47" s="115" t="str">
        <f>Grupos!G789</f>
        <v/>
      </c>
      <c r="E47" s="115"/>
      <c r="F47" s="115" t="str">
        <f>Grupos!I826</f>
        <v/>
      </c>
      <c r="G47" s="115" t="str">
        <f>IF(F47&lt;&gt;"",VLOOKUP(F47,Sorteo!$B$17:$G$143,2,FALSE),"")</f>
        <v/>
      </c>
      <c r="H47" s="115" t="str">
        <f>Grupos!G826</f>
        <v/>
      </c>
      <c r="I47" s="115"/>
      <c r="J47" s="115"/>
      <c r="K47" s="115" t="str">
        <f>Grupos!I863</f>
        <v/>
      </c>
      <c r="L47" s="115" t="str">
        <f>IF(K47&lt;&gt;"",VLOOKUP(K47,Sorteo!$B$17:$G$143,2,FALSE),"")</f>
        <v/>
      </c>
      <c r="M47" s="115" t="str">
        <f>Grupos!G863</f>
        <v/>
      </c>
    </row>
    <row r="48" spans="2:13" ht="18" x14ac:dyDescent="0.35">
      <c r="B48" s="115" t="str">
        <f>Grupos!I790</f>
        <v/>
      </c>
      <c r="C48" s="115"/>
      <c r="D48" s="115" t="str">
        <f>Grupos!G790</f>
        <v/>
      </c>
      <c r="E48" s="115"/>
      <c r="F48" s="115" t="str">
        <f>Grupos!I827</f>
        <v/>
      </c>
      <c r="G48" s="115"/>
      <c r="H48" s="115" t="str">
        <f>Grupos!G827</f>
        <v/>
      </c>
      <c r="I48" s="115"/>
      <c r="J48" s="115"/>
      <c r="K48" s="115" t="str">
        <f>Grupos!I864</f>
        <v/>
      </c>
      <c r="L48" s="115"/>
      <c r="M48" s="115" t="str">
        <f>Grupos!G864</f>
        <v/>
      </c>
    </row>
    <row r="49" spans="2:13" ht="18" x14ac:dyDescent="0.35">
      <c r="B49" s="115"/>
      <c r="C49" s="115"/>
      <c r="D49" s="115"/>
      <c r="E49" s="115"/>
      <c r="F49" s="115"/>
      <c r="G49" s="115"/>
      <c r="H49" s="115"/>
      <c r="I49" s="115"/>
      <c r="J49" s="115"/>
      <c r="K49" s="115"/>
      <c r="L49" s="115"/>
      <c r="M49" s="115"/>
    </row>
    <row r="50" spans="2:13" ht="18" x14ac:dyDescent="0.35">
      <c r="B50" s="114" t="s">
        <v>9762</v>
      </c>
      <c r="C50" s="115"/>
      <c r="D50" s="114" t="s">
        <v>9738</v>
      </c>
      <c r="E50" s="114"/>
      <c r="F50" s="114" t="s">
        <v>9763</v>
      </c>
      <c r="G50" s="114"/>
      <c r="H50" s="114" t="s">
        <v>9738</v>
      </c>
      <c r="I50" s="114"/>
      <c r="J50" s="114"/>
      <c r="K50" s="114" t="s">
        <v>9764</v>
      </c>
      <c r="L50" s="114"/>
      <c r="M50" s="114" t="s">
        <v>9738</v>
      </c>
    </row>
    <row r="51" spans="2:13" ht="18" x14ac:dyDescent="0.35">
      <c r="B51" s="115" t="str">
        <f>Grupos!I898</f>
        <v/>
      </c>
      <c r="C51" s="115" t="str">
        <f>IF(B51&lt;&gt;"",VLOOKUP(B51,Sorteo!$B$17:$G$143,2,FALSE),"")</f>
        <v/>
      </c>
      <c r="D51" s="115" t="str">
        <f>Grupos!G898</f>
        <v/>
      </c>
      <c r="E51" s="115"/>
      <c r="F51" s="115" t="str">
        <f>Grupos!I935</f>
        <v/>
      </c>
      <c r="G51" s="115" t="str">
        <f>IF(F51&lt;&gt;"",VLOOKUP(F51,Sorteo!$B$17:$G$143,2,FALSE),"")</f>
        <v/>
      </c>
      <c r="H51" s="115" t="str">
        <f>Grupos!G935</f>
        <v/>
      </c>
      <c r="I51" s="115"/>
      <c r="J51" s="115"/>
      <c r="K51" s="115" t="str">
        <f>Grupos!I972</f>
        <v/>
      </c>
      <c r="L51" s="115" t="str">
        <f>IF(K51&lt;&gt;"",VLOOKUP(K51,Sorteo!$B$17:$G$143,2,FALSE),"")</f>
        <v/>
      </c>
      <c r="M51" s="115" t="str">
        <f>Grupos!G972</f>
        <v/>
      </c>
    </row>
    <row r="52" spans="2:13" ht="18" x14ac:dyDescent="0.35">
      <c r="B52" s="115" t="str">
        <f>Grupos!I899</f>
        <v/>
      </c>
      <c r="C52" s="115" t="str">
        <f>IF(B52&lt;&gt;"",VLOOKUP(B52,Sorteo!$B$17:$G$143,2,FALSE),"")</f>
        <v/>
      </c>
      <c r="D52" s="115" t="str">
        <f>Grupos!G899</f>
        <v/>
      </c>
      <c r="E52" s="115"/>
      <c r="F52" s="115" t="str">
        <f>Grupos!I936</f>
        <v/>
      </c>
      <c r="G52" s="115" t="str">
        <f>IF(F52&lt;&gt;"",VLOOKUP(F52,Sorteo!$B$17:$G$143,2,FALSE),"")</f>
        <v/>
      </c>
      <c r="H52" s="115" t="str">
        <f>Grupos!G936</f>
        <v/>
      </c>
      <c r="I52" s="115"/>
      <c r="J52" s="115"/>
      <c r="K52" s="115" t="str">
        <f>Grupos!I973</f>
        <v/>
      </c>
      <c r="L52" s="115" t="str">
        <f>IF(K52&lt;&gt;"",VLOOKUP(K52,Sorteo!$B$17:$G$143,2,FALSE),"")</f>
        <v/>
      </c>
      <c r="M52" s="115" t="str">
        <f>Grupos!G973</f>
        <v/>
      </c>
    </row>
    <row r="53" spans="2:13" ht="18" x14ac:dyDescent="0.35">
      <c r="B53" s="115" t="str">
        <f>Grupos!I900</f>
        <v/>
      </c>
      <c r="C53" s="115" t="str">
        <f>IF(B53&lt;&gt;"",VLOOKUP(B53,Sorteo!$B$17:$G$143,2,FALSE),"")</f>
        <v/>
      </c>
      <c r="D53" s="115" t="str">
        <f>Grupos!G900</f>
        <v/>
      </c>
      <c r="E53" s="115"/>
      <c r="F53" s="115" t="str">
        <f>Grupos!I937</f>
        <v/>
      </c>
      <c r="G53" s="115" t="str">
        <f>IF(F53&lt;&gt;"",VLOOKUP(F53,Sorteo!$B$17:$G$143,2,FALSE),"")</f>
        <v/>
      </c>
      <c r="H53" s="115" t="str">
        <f>Grupos!G937</f>
        <v/>
      </c>
      <c r="I53" s="115"/>
      <c r="J53" s="115"/>
      <c r="K53" s="115" t="str">
        <f>Grupos!I974</f>
        <v/>
      </c>
      <c r="L53" s="115" t="str">
        <f>IF(K53&lt;&gt;"",VLOOKUP(K53,Sorteo!$B$17:$G$143,2,FALSE),"")</f>
        <v/>
      </c>
      <c r="M53" s="115" t="str">
        <f>Grupos!G974</f>
        <v/>
      </c>
    </row>
    <row r="54" spans="2:13" x14ac:dyDescent="0.3">
      <c r="B54" t="str">
        <f>Grupos!I901</f>
        <v/>
      </c>
      <c r="D54" t="str">
        <f>Grupos!G901</f>
        <v/>
      </c>
      <c r="F54" t="str">
        <f>Grupos!I938</f>
        <v/>
      </c>
      <c r="H54" t="str">
        <f>Grupos!G938</f>
        <v/>
      </c>
      <c r="K54" t="str">
        <f>Grupos!I975</f>
        <v/>
      </c>
      <c r="M54" t="str">
        <f>Grupos!G975</f>
        <v/>
      </c>
    </row>
    <row r="56" spans="2:13" x14ac:dyDescent="0.3">
      <c r="B56" s="9" t="s">
        <v>9765</v>
      </c>
      <c r="D56" s="9" t="s">
        <v>9738</v>
      </c>
      <c r="E56" s="9"/>
      <c r="F56" s="9" t="s">
        <v>9766</v>
      </c>
      <c r="G56" s="9"/>
      <c r="H56" s="9" t="s">
        <v>9738</v>
      </c>
      <c r="I56" s="9"/>
      <c r="J56" s="9"/>
      <c r="K56" s="9" t="s">
        <v>9767</v>
      </c>
      <c r="L56" s="9"/>
      <c r="M56" s="9" t="s">
        <v>9738</v>
      </c>
    </row>
    <row r="57" spans="2:13" x14ac:dyDescent="0.3">
      <c r="B57" t="str">
        <f>Grupos!I1009</f>
        <v/>
      </c>
      <c r="C57" t="str">
        <f>IF(B57&lt;&gt;"",VLOOKUP(B57,Sorteo!$B$17:$G$143,2,FALSE),"")</f>
        <v/>
      </c>
      <c r="D57" t="str">
        <f>Grupos!G1009</f>
        <v/>
      </c>
      <c r="F57" t="str">
        <f>Grupos!I1046</f>
        <v/>
      </c>
      <c r="G57" t="str">
        <f>IF(F57&lt;&gt;"",VLOOKUP(F57,Sorteo!$B$17:$G$143,2,FALSE),"")</f>
        <v/>
      </c>
      <c r="H57" t="str">
        <f>Grupos!G1046</f>
        <v/>
      </c>
      <c r="K57" t="str">
        <f>Grupos!I1083</f>
        <v/>
      </c>
      <c r="L57" t="str">
        <f>IF(K57&lt;&gt;"",VLOOKUP(K57,Sorteo!$B$17:$G$143,2,FALSE),"")</f>
        <v/>
      </c>
      <c r="M57" t="str">
        <f>Grupos!G1083</f>
        <v/>
      </c>
    </row>
    <row r="58" spans="2:13" x14ac:dyDescent="0.3">
      <c r="B58" t="str">
        <f>Grupos!I1010</f>
        <v/>
      </c>
      <c r="C58" t="str">
        <f>IF(B58&lt;&gt;"",VLOOKUP(B58,Sorteo!$B$17:$G$143,2,FALSE),"")</f>
        <v/>
      </c>
      <c r="D58" t="str">
        <f>Grupos!G1010</f>
        <v/>
      </c>
      <c r="F58" t="str">
        <f>Grupos!I1047</f>
        <v/>
      </c>
      <c r="G58" t="str">
        <f>IF(F58&lt;&gt;"",VLOOKUP(F58,Sorteo!$B$17:$G$143,2,FALSE),"")</f>
        <v/>
      </c>
      <c r="H58" t="str">
        <f>Grupos!G1047</f>
        <v/>
      </c>
      <c r="K58" t="str">
        <f>Grupos!I1084</f>
        <v/>
      </c>
      <c r="L58" t="str">
        <f>IF(K58&lt;&gt;"",VLOOKUP(K58,Sorteo!$B$17:$G$143,2,FALSE),"")</f>
        <v/>
      </c>
      <c r="M58" t="str">
        <f>Grupos!G1084</f>
        <v/>
      </c>
    </row>
    <row r="59" spans="2:13" x14ac:dyDescent="0.3">
      <c r="B59" t="str">
        <f>Grupos!I1011</f>
        <v/>
      </c>
      <c r="C59" t="str">
        <f>IF(B59&lt;&gt;"",VLOOKUP(B59,Sorteo!$B$17:$G$143,2,FALSE),"")</f>
        <v/>
      </c>
      <c r="D59" t="str">
        <f>Grupos!G1011</f>
        <v/>
      </c>
      <c r="F59" t="str">
        <f>Grupos!I1048</f>
        <v/>
      </c>
      <c r="G59" t="str">
        <f>IF(F59&lt;&gt;"",VLOOKUP(F59,Sorteo!$B$17:$G$143,2,FALSE),"")</f>
        <v/>
      </c>
      <c r="H59" t="str">
        <f>Grupos!G1048</f>
        <v/>
      </c>
      <c r="K59" t="str">
        <f>Grupos!I1085</f>
        <v/>
      </c>
      <c r="L59" t="str">
        <f>IF(K59&lt;&gt;"",VLOOKUP(K59,Sorteo!$B$17:$G$143,2,FALSE),"")</f>
        <v/>
      </c>
      <c r="M59" t="str">
        <f>Grupos!G1085</f>
        <v/>
      </c>
    </row>
    <row r="60" spans="2:13" x14ac:dyDescent="0.3">
      <c r="B60" t="str">
        <f>Grupos!I1012</f>
        <v/>
      </c>
      <c r="D60" t="str">
        <f>Grupos!G1012</f>
        <v/>
      </c>
      <c r="F60" t="str">
        <f>Grupos!I1049</f>
        <v/>
      </c>
      <c r="H60" t="str">
        <f>Grupos!G1049</f>
        <v/>
      </c>
      <c r="K60" t="str">
        <f>Grupos!I1086</f>
        <v/>
      </c>
      <c r="M60" t="str">
        <f>Grupos!G1086</f>
        <v/>
      </c>
    </row>
    <row r="62" spans="2:13" x14ac:dyDescent="0.3">
      <c r="B62" s="9" t="s">
        <v>9768</v>
      </c>
      <c r="D62" s="9" t="s">
        <v>9738</v>
      </c>
      <c r="E62" s="9"/>
      <c r="F62" s="9" t="s">
        <v>9769</v>
      </c>
      <c r="G62" s="9"/>
      <c r="H62" s="9" t="s">
        <v>9738</v>
      </c>
      <c r="I62" s="9"/>
      <c r="J62" s="9"/>
      <c r="K62" s="9" t="s">
        <v>9770</v>
      </c>
      <c r="L62" s="9"/>
      <c r="M62" s="9" t="s">
        <v>9738</v>
      </c>
    </row>
    <row r="63" spans="2:13" x14ac:dyDescent="0.3">
      <c r="B63" t="str">
        <f>Grupos!I1120</f>
        <v/>
      </c>
      <c r="C63" t="str">
        <f>IF(B63&lt;&gt;"",VLOOKUP(B63,Sorteo!$B$17:$G$143,2,FALSE),"")</f>
        <v/>
      </c>
      <c r="D63" t="str">
        <f>Grupos!G1120</f>
        <v/>
      </c>
      <c r="F63" t="str">
        <f>Grupos!I1157</f>
        <v/>
      </c>
      <c r="G63" t="str">
        <f>IF(F63&lt;&gt;"",VLOOKUP(F63,Sorteo!$B$17:$G$143,2,FALSE),"")</f>
        <v/>
      </c>
      <c r="H63" t="str">
        <f>Grupos!G1157</f>
        <v/>
      </c>
      <c r="K63" t="str">
        <f>Grupos!I1194</f>
        <v/>
      </c>
      <c r="L63" t="str">
        <f>IF(K63&lt;&gt;"",VLOOKUP(K63,Sorteo!$B$17:$G$143,2,FALSE),"")</f>
        <v/>
      </c>
      <c r="M63" t="str">
        <f>Grupos!G1194</f>
        <v/>
      </c>
    </row>
    <row r="64" spans="2:13" x14ac:dyDescent="0.3">
      <c r="B64" t="str">
        <f>Grupos!I1121</f>
        <v/>
      </c>
      <c r="C64" t="str">
        <f>IF(B64&lt;&gt;"",VLOOKUP(B64,Sorteo!$B$17:$G$143,2,FALSE),"")</f>
        <v/>
      </c>
      <c r="D64" t="str">
        <f>Grupos!G1121</f>
        <v/>
      </c>
      <c r="F64" t="str">
        <f>Grupos!I1158</f>
        <v/>
      </c>
      <c r="G64" t="str">
        <f>IF(F64&lt;&gt;"",VLOOKUP(F64,Sorteo!$B$17:$G$143,2,FALSE),"")</f>
        <v/>
      </c>
      <c r="H64" t="str">
        <f>Grupos!G1158</f>
        <v/>
      </c>
      <c r="K64" t="str">
        <f>Grupos!I1195</f>
        <v/>
      </c>
      <c r="L64" t="str">
        <f>IF(K64&lt;&gt;"",VLOOKUP(K64,Sorteo!$B$17:$G$143,2,FALSE),"")</f>
        <v/>
      </c>
      <c r="M64" t="str">
        <f>Grupos!G1195</f>
        <v/>
      </c>
    </row>
    <row r="65" spans="2:13" x14ac:dyDescent="0.3">
      <c r="B65" t="str">
        <f>Grupos!I1122</f>
        <v/>
      </c>
      <c r="C65" t="str">
        <f>IF(B65&lt;&gt;"",VLOOKUP(B65,Sorteo!$B$17:$G$143,2,FALSE),"")</f>
        <v/>
      </c>
      <c r="D65" t="str">
        <f>Grupos!G1122</f>
        <v/>
      </c>
      <c r="F65" t="str">
        <f>Grupos!I1159</f>
        <v/>
      </c>
      <c r="G65" t="str">
        <f>IF(F65&lt;&gt;"",VLOOKUP(F65,Sorteo!$B$17:$G$143,2,FALSE),"")</f>
        <v/>
      </c>
      <c r="H65" t="str">
        <f>Grupos!G1159</f>
        <v/>
      </c>
      <c r="K65" t="str">
        <f>Grupos!I1196</f>
        <v/>
      </c>
      <c r="L65" t="str">
        <f>IF(K65&lt;&gt;"",VLOOKUP(K65,Sorteo!$B$17:$G$143,2,FALSE),"")</f>
        <v/>
      </c>
      <c r="M65" t="str">
        <f>Grupos!G1196</f>
        <v/>
      </c>
    </row>
    <row r="66" spans="2:13" x14ac:dyDescent="0.3">
      <c r="B66" t="str">
        <f>Grupos!I1123</f>
        <v/>
      </c>
      <c r="D66" t="str">
        <f>Grupos!G1123</f>
        <v/>
      </c>
      <c r="F66" t="str">
        <f>Grupos!I1160</f>
        <v/>
      </c>
      <c r="H66" t="str">
        <f>Grupos!G1160</f>
        <v/>
      </c>
      <c r="K66" t="str">
        <f>Grupos!I1197</f>
        <v/>
      </c>
      <c r="M66" t="str">
        <f>Grupos!G1197</f>
        <v/>
      </c>
    </row>
    <row r="68" spans="2:13" x14ac:dyDescent="0.3">
      <c r="B68" s="9" t="s">
        <v>9771</v>
      </c>
      <c r="D68" s="9" t="s">
        <v>9738</v>
      </c>
      <c r="E68" s="9"/>
      <c r="F68" s="9" t="s">
        <v>9772</v>
      </c>
      <c r="G68" s="9"/>
      <c r="H68" s="9" t="s">
        <v>9738</v>
      </c>
      <c r="I68" s="9"/>
      <c r="J68" s="9"/>
      <c r="K68" s="9" t="s">
        <v>9773</v>
      </c>
      <c r="L68" s="9"/>
      <c r="M68" s="9" t="s">
        <v>9738</v>
      </c>
    </row>
    <row r="69" spans="2:13" x14ac:dyDescent="0.3">
      <c r="B69" t="str">
        <f>Grupos!I1231</f>
        <v/>
      </c>
      <c r="C69" t="str">
        <f>IF(B69&lt;&gt;"",VLOOKUP(B69,Sorteo!$B$17:$G$143,2,FALSE),"")</f>
        <v/>
      </c>
      <c r="D69" t="str">
        <f>Grupos!G1231</f>
        <v/>
      </c>
      <c r="F69" t="str">
        <f>Grupos!I1268</f>
        <v/>
      </c>
      <c r="G69" t="str">
        <f>IF(F69&lt;&gt;"",VLOOKUP(F69,Sorteo!$B$17:$G$143,2,FALSE),"")</f>
        <v/>
      </c>
      <c r="H69" t="str">
        <f>Grupos!G1268</f>
        <v/>
      </c>
      <c r="K69" t="str">
        <f>Grupos!I1305</f>
        <v/>
      </c>
      <c r="L69" t="str">
        <f>IF(K69&lt;&gt;"",VLOOKUP(K69,Sorteo!$B$17:$G$143,2,FALSE),"")</f>
        <v/>
      </c>
      <c r="M69" t="str">
        <f>Grupos!G1305</f>
        <v/>
      </c>
    </row>
    <row r="70" spans="2:13" x14ac:dyDescent="0.3">
      <c r="B70" t="str">
        <f>Grupos!I1232</f>
        <v/>
      </c>
      <c r="C70" t="str">
        <f>IF(B70&lt;&gt;"",VLOOKUP(B70,Sorteo!$B$17:$G$143,2,FALSE),"")</f>
        <v/>
      </c>
      <c r="D70" t="str">
        <f>Grupos!G1232</f>
        <v/>
      </c>
      <c r="F70" t="str">
        <f>Grupos!I1269</f>
        <v/>
      </c>
      <c r="G70" t="str">
        <f>IF(F70&lt;&gt;"",VLOOKUP(F70,Sorteo!$B$17:$G$143,2,FALSE),"")</f>
        <v/>
      </c>
      <c r="H70" t="str">
        <f>Grupos!G1269</f>
        <v/>
      </c>
      <c r="K70" t="str">
        <f>Grupos!I1306</f>
        <v/>
      </c>
      <c r="L70" t="str">
        <f>IF(K70&lt;&gt;"",VLOOKUP(K70,Sorteo!$B$17:$G$143,2,FALSE),"")</f>
        <v/>
      </c>
      <c r="M70" t="str">
        <f>Grupos!G1306</f>
        <v/>
      </c>
    </row>
    <row r="71" spans="2:13" x14ac:dyDescent="0.3">
      <c r="B71" t="str">
        <f>Grupos!I1233</f>
        <v/>
      </c>
      <c r="C71" t="str">
        <f>IF(B71&lt;&gt;"",VLOOKUP(B71,Sorteo!$B$17:$G$143,2,FALSE),"")</f>
        <v/>
      </c>
      <c r="D71" t="str">
        <f>Grupos!G1233</f>
        <v/>
      </c>
      <c r="F71" t="str">
        <f>Grupos!I1270</f>
        <v/>
      </c>
      <c r="G71" t="str">
        <f>IF(F71&lt;&gt;"",VLOOKUP(F71,Sorteo!$B$17:$G$143,2,FALSE),"")</f>
        <v/>
      </c>
      <c r="H71" t="str">
        <f>Grupos!G1270</f>
        <v/>
      </c>
      <c r="K71" t="str">
        <f>Grupos!I1307</f>
        <v/>
      </c>
      <c r="L71" t="str">
        <f>IF(K71&lt;&gt;"",VLOOKUP(K71,Sorteo!$B$17:$G$143,2,FALSE),"")</f>
        <v/>
      </c>
      <c r="M71" t="str">
        <f>Grupos!G1307</f>
        <v/>
      </c>
    </row>
    <row r="72" spans="2:13" x14ac:dyDescent="0.3">
      <c r="B72" t="str">
        <f>Grupos!I1234</f>
        <v/>
      </c>
      <c r="D72" t="str">
        <f>Grupos!G1234</f>
        <v/>
      </c>
      <c r="F72" t="str">
        <f>Grupos!I1271</f>
        <v/>
      </c>
      <c r="H72" t="str">
        <f>Grupos!G1271</f>
        <v/>
      </c>
      <c r="K72" t="str">
        <f>Grupos!I1308</f>
        <v/>
      </c>
      <c r="M72" t="str">
        <f>Grupos!G1308</f>
        <v/>
      </c>
    </row>
    <row r="74" spans="2:13" x14ac:dyDescent="0.3">
      <c r="B74" s="9" t="s">
        <v>9774</v>
      </c>
      <c r="D74" s="9" t="s">
        <v>9738</v>
      </c>
      <c r="E74" s="9"/>
      <c r="F74" s="9" t="s">
        <v>9775</v>
      </c>
      <c r="G74" s="9"/>
      <c r="H74" s="9" t="s">
        <v>9738</v>
      </c>
      <c r="I74" s="9"/>
      <c r="J74" s="9"/>
      <c r="K74" s="9" t="s">
        <v>9776</v>
      </c>
      <c r="L74" s="9"/>
      <c r="M74" s="9" t="s">
        <v>9738</v>
      </c>
    </row>
    <row r="75" spans="2:13" x14ac:dyDescent="0.3">
      <c r="B75" t="str">
        <f>Grupos!I1342</f>
        <v/>
      </c>
      <c r="C75" t="str">
        <f>IF(B75&lt;&gt;"",VLOOKUP(B75,Sorteo!$B$17:$G$143,2,FALSE),"")</f>
        <v/>
      </c>
      <c r="D75" t="str">
        <f>Grupos!G1342</f>
        <v/>
      </c>
      <c r="F75" t="str">
        <f>Grupos!I1379</f>
        <v/>
      </c>
      <c r="G75" t="str">
        <f>IF(F75&lt;&gt;"",VLOOKUP(F75,Sorteo!$B$17:$G$143,2,FALSE),"")</f>
        <v/>
      </c>
      <c r="H75" t="str">
        <f>Grupos!G1379</f>
        <v/>
      </c>
      <c r="K75" t="str">
        <f>Grupos!I1416</f>
        <v/>
      </c>
      <c r="L75" t="str">
        <f>IF(K75&lt;&gt;"",VLOOKUP(K75,Sorteo!$B$17:$G$143,2,FALSE),"")</f>
        <v/>
      </c>
      <c r="M75" t="str">
        <f>Grupos!G1416</f>
        <v/>
      </c>
    </row>
    <row r="76" spans="2:13" x14ac:dyDescent="0.3">
      <c r="B76" t="str">
        <f>Grupos!I1343</f>
        <v/>
      </c>
      <c r="C76" t="str">
        <f>IF(B76&lt;&gt;"",VLOOKUP(B76,Sorteo!$B$17:$G$143,2,FALSE),"")</f>
        <v/>
      </c>
      <c r="D76" t="str">
        <f>Grupos!G1343</f>
        <v/>
      </c>
      <c r="F76" t="str">
        <f>Grupos!I1380</f>
        <v/>
      </c>
      <c r="G76" t="str">
        <f>IF(F76&lt;&gt;"",VLOOKUP(F76,Sorteo!$B$17:$G$143,2,FALSE),"")</f>
        <v/>
      </c>
      <c r="H76" t="str">
        <f>Grupos!G1380</f>
        <v/>
      </c>
      <c r="K76" t="str">
        <f>Grupos!I1417</f>
        <v/>
      </c>
      <c r="L76" t="str">
        <f>IF(K76&lt;&gt;"",VLOOKUP(K76,Sorteo!$B$17:$G$143,2,FALSE),"")</f>
        <v/>
      </c>
      <c r="M76" t="str">
        <f>Grupos!G1417</f>
        <v/>
      </c>
    </row>
    <row r="77" spans="2:13" x14ac:dyDescent="0.3">
      <c r="B77" t="str">
        <f>Grupos!I1344</f>
        <v/>
      </c>
      <c r="C77" t="str">
        <f>IF(B77&lt;&gt;"",VLOOKUP(B77,Sorteo!$B$17:$G$143,2,FALSE),"")</f>
        <v/>
      </c>
      <c r="D77" t="str">
        <f>Grupos!G1344</f>
        <v/>
      </c>
      <c r="F77" t="str">
        <f>Grupos!I1381</f>
        <v/>
      </c>
      <c r="G77" t="str">
        <f>IF(F77&lt;&gt;"",VLOOKUP(F77,Sorteo!$B$17:$G$143,2,FALSE),"")</f>
        <v/>
      </c>
      <c r="H77" t="str">
        <f>Grupos!G1381</f>
        <v/>
      </c>
      <c r="K77" t="str">
        <f>Grupos!I1418</f>
        <v/>
      </c>
      <c r="L77" t="str">
        <f>IF(K77&lt;&gt;"",VLOOKUP(K77,Sorteo!$B$17:$G$143,2,FALSE),"")</f>
        <v/>
      </c>
      <c r="M77" t="str">
        <f>Grupos!G1418</f>
        <v/>
      </c>
    </row>
    <row r="78" spans="2:13" x14ac:dyDescent="0.3">
      <c r="B78" t="str">
        <f>Grupos!I1345</f>
        <v/>
      </c>
      <c r="D78" t="str">
        <f>Grupos!G1345</f>
        <v/>
      </c>
      <c r="F78" t="str">
        <f>Grupos!I1382</f>
        <v/>
      </c>
      <c r="H78" t="str">
        <f>Grupos!G1382</f>
        <v/>
      </c>
      <c r="K78" t="str">
        <f>Grupos!I1419</f>
        <v/>
      </c>
      <c r="M78" t="str">
        <f>Grupos!G1419</f>
        <v/>
      </c>
    </row>
    <row r="80" spans="2:13" x14ac:dyDescent="0.3">
      <c r="B80" s="9" t="s">
        <v>9777</v>
      </c>
      <c r="D80" s="9" t="s">
        <v>9738</v>
      </c>
      <c r="E80" s="9"/>
      <c r="F80" s="9" t="s">
        <v>9778</v>
      </c>
      <c r="G80" s="9"/>
      <c r="H80" s="9" t="s">
        <v>9738</v>
      </c>
      <c r="I80" s="9"/>
      <c r="J80" s="9"/>
      <c r="K80" s="9" t="s">
        <v>9779</v>
      </c>
      <c r="L80" s="9"/>
      <c r="M80" s="9" t="s">
        <v>9738</v>
      </c>
    </row>
    <row r="81" spans="2:13" x14ac:dyDescent="0.3">
      <c r="B81" t="str">
        <f>Grupos!I1453</f>
        <v/>
      </c>
      <c r="C81" t="str">
        <f>IF(B81&lt;&gt;"",VLOOKUP(B81,Sorteo!$B$17:$G$143,2,FALSE),"")</f>
        <v/>
      </c>
      <c r="D81" t="str">
        <f>Grupos!G1453</f>
        <v/>
      </c>
      <c r="F81" t="str">
        <f>Grupos!I1490</f>
        <v/>
      </c>
      <c r="G81" t="str">
        <f>IF(F81&lt;&gt;"",VLOOKUP(F81,Sorteo!$B$17:$G$143,2,FALSE),"")</f>
        <v/>
      </c>
      <c r="H81" t="str">
        <f>Grupos!G1490</f>
        <v/>
      </c>
      <c r="K81" t="str">
        <f>Grupos!I1527</f>
        <v/>
      </c>
      <c r="L81" t="str">
        <f>IF(K81&lt;&gt;"",VLOOKUP(K81,Sorteo!$B$17:$G$143,2,FALSE),"")</f>
        <v/>
      </c>
      <c r="M81" t="str">
        <f>Grupos!G1527</f>
        <v/>
      </c>
    </row>
    <row r="82" spans="2:13" x14ac:dyDescent="0.3">
      <c r="B82" t="str">
        <f>Grupos!I1454</f>
        <v/>
      </c>
      <c r="C82" t="str">
        <f>IF(B82&lt;&gt;"",VLOOKUP(B82,Sorteo!$B$17:$G$143,2,FALSE),"")</f>
        <v/>
      </c>
      <c r="D82" t="str">
        <f>Grupos!G1454</f>
        <v/>
      </c>
      <c r="F82" t="str">
        <f>Grupos!I1491</f>
        <v/>
      </c>
      <c r="G82" t="str">
        <f>IF(F82&lt;&gt;"",VLOOKUP(F82,Sorteo!$B$17:$G$143,2,FALSE),"")</f>
        <v/>
      </c>
      <c r="H82" t="str">
        <f>Grupos!G1491</f>
        <v/>
      </c>
      <c r="K82" t="str">
        <f>Grupos!I1528</f>
        <v/>
      </c>
      <c r="L82" t="str">
        <f>IF(K82&lt;&gt;"",VLOOKUP(K82,Sorteo!$B$17:$G$143,2,FALSE),"")</f>
        <v/>
      </c>
      <c r="M82" t="str">
        <f>Grupos!G1528</f>
        <v/>
      </c>
    </row>
    <row r="83" spans="2:13" x14ac:dyDescent="0.3">
      <c r="B83" t="str">
        <f>Grupos!I1455</f>
        <v/>
      </c>
      <c r="C83" t="str">
        <f>IF(B83&lt;&gt;"",VLOOKUP(B83,Sorteo!$B$17:$G$143,2,FALSE),"")</f>
        <v/>
      </c>
      <c r="D83" t="str">
        <f>Grupos!G1455</f>
        <v/>
      </c>
      <c r="F83" t="str">
        <f>Grupos!I1492</f>
        <v/>
      </c>
      <c r="G83" t="str">
        <f>IF(F83&lt;&gt;"",VLOOKUP(F83,Sorteo!$B$17:$G$143,2,FALSE),"")</f>
        <v/>
      </c>
      <c r="H83" t="str">
        <f>Grupos!G1492</f>
        <v/>
      </c>
      <c r="K83" t="str">
        <f>Grupos!I1529</f>
        <v/>
      </c>
      <c r="L83" t="str">
        <f>IF(K83&lt;&gt;"",VLOOKUP(K83,Sorteo!$B$17:$G$143,2,FALSE),"")</f>
        <v/>
      </c>
      <c r="M83" t="str">
        <f>Grupos!G1529</f>
        <v/>
      </c>
    </row>
    <row r="84" spans="2:13" x14ac:dyDescent="0.3">
      <c r="B84" t="str">
        <f>Grupos!I1456</f>
        <v/>
      </c>
      <c r="D84" t="str">
        <f>Grupos!G1456</f>
        <v/>
      </c>
      <c r="F84" t="str">
        <f>Grupos!I1493</f>
        <v/>
      </c>
      <c r="H84" t="str">
        <f>Grupos!G1493</f>
        <v/>
      </c>
      <c r="K84" t="str">
        <f>Grupos!I1530</f>
        <v/>
      </c>
      <c r="M84" t="str">
        <f>Grupos!G1530</f>
        <v/>
      </c>
    </row>
    <row r="86" spans="2:13" x14ac:dyDescent="0.3">
      <c r="B86" s="9" t="s">
        <v>9780</v>
      </c>
      <c r="D86" s="9" t="s">
        <v>9738</v>
      </c>
      <c r="E86" s="9"/>
      <c r="F86" s="9"/>
      <c r="G86" s="9"/>
      <c r="H86" s="9"/>
    </row>
    <row r="87" spans="2:13" x14ac:dyDescent="0.3">
      <c r="B87" t="str">
        <f>Grupos!I1564</f>
        <v/>
      </c>
      <c r="C87" t="str">
        <f>IF(B87&lt;&gt;"",VLOOKUP(B87,Sorteo!$B$17:$G$143,2,FALSE),"")</f>
        <v/>
      </c>
    </row>
    <row r="88" spans="2:13" x14ac:dyDescent="0.3">
      <c r="B88" t="str">
        <f>Grupos!I1565</f>
        <v/>
      </c>
      <c r="C88" t="str">
        <f>IF(B88&lt;&gt;"",VLOOKUP(B88,Sorteo!$B$17:$G$143,2,FALSE),"")</f>
        <v/>
      </c>
    </row>
    <row r="89" spans="2:13" x14ac:dyDescent="0.3">
      <c r="B89" t="str">
        <f>Grupos!I1566</f>
        <v/>
      </c>
      <c r="C89" t="str">
        <f>IF(B89&lt;&gt;"",VLOOKUP(B89,Sorteo!$B$17:$G$143,2,FALSE),"")</f>
        <v/>
      </c>
    </row>
    <row r="90" spans="2:13" x14ac:dyDescent="0.3">
      <c r="B90" t="str">
        <f>Grupos!I1567</f>
        <v/>
      </c>
      <c r="C90" t="str">
        <f>Grupos!G1567</f>
        <v/>
      </c>
    </row>
  </sheetData>
  <sheetProtection algorithmName="SHA-512" hashValue="AJX15WsT/aR9qr1w3bWOaLqhEBHio5nC6mU+PmWkbAcwfhY8+CTA7S+DRbGw/+owGwvEvxQBi7L85VCzF3gKTQ==" saltValue="iUziofGi1PnQ1POZzkYpLw==" spinCount="100000" sheet="1" objects="1" scenarios="1"/>
  <pageMargins left="0.25" right="0.25" top="0.75" bottom="0.75" header="0.3" footer="0.3"/>
  <pageSetup scale="70" fitToHeight="2" orientation="landscape" r:id="rId1"/>
  <headerFooter>
    <oddFooter>&amp;C&amp;P of &amp;N</oddFooter>
  </headerFooter>
  <rowBreaks count="1" manualBreakCount="1">
    <brk id="35" min="1" max="11"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8231CAA88BB40AFB1020D9A645E9F" ma:contentTypeVersion="0" ma:contentTypeDescription="Create a new document." ma:contentTypeScope="" ma:versionID="c69645b331e995b09a590dc3b4e1cdea">
  <xsd:schema xmlns:xsd="http://www.w3.org/2001/XMLSchema" xmlns:xs="http://www.w3.org/2001/XMLSchema" xmlns:p="http://schemas.microsoft.com/office/2006/metadata/properties" targetNamespace="http://schemas.microsoft.com/office/2006/metadata/properties" ma:root="true" ma:fieldsID="e05ba864282b1c896e4362469d30d5c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37D584-392B-4A79-886B-C9BF2AA021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D3DC2DC-D0B2-47C8-85DC-4AFEE61DD3CD}">
  <ds:schemaRefs>
    <ds:schemaRef ds:uri="http://schemas.microsoft.com/office/infopath/2007/PartnerControls"/>
    <ds:schemaRef ds:uri="http://purl.org/dc/elements/1.1/"/>
    <ds:schemaRef ds:uri="http://schemas.microsoft.com/office/2006/documentManagement/types"/>
    <ds:schemaRef ds:uri="http://www.w3.org/XML/1998/namespace"/>
    <ds:schemaRef ds:uri="http://schemas.microsoft.com/office/2006/metadata/properties"/>
    <ds:schemaRef ds:uri="http://schemas.openxmlformats.org/package/2006/metadata/core-properties"/>
    <ds:schemaRef ds:uri="http://purl.org/dc/dcmitype/"/>
    <ds:schemaRef ds:uri="http://purl.org/dc/terms/"/>
  </ds:schemaRefs>
</ds:datastoreItem>
</file>

<file path=customXml/itemProps3.xml><?xml version="1.0" encoding="utf-8"?>
<ds:datastoreItem xmlns:ds="http://schemas.openxmlformats.org/officeDocument/2006/customXml" ds:itemID="{4698CE35-3E81-4C61-B0D9-7DF30843EC2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166</vt:i4>
      </vt:variant>
    </vt:vector>
  </HeadingPairs>
  <TitlesOfParts>
    <vt:vector size="175" baseType="lpstr">
      <vt:lpstr>DirTecTeMe</vt:lpstr>
      <vt:lpstr>Sorteo</vt:lpstr>
      <vt:lpstr>Sheet1</vt:lpstr>
      <vt:lpstr>Grupos</vt:lpstr>
      <vt:lpstr>Qadro</vt:lpstr>
      <vt:lpstr>Sheet2</vt:lpstr>
      <vt:lpstr>Ranking</vt:lpstr>
      <vt:lpstr>Tablas</vt:lpstr>
      <vt:lpstr>Table</vt:lpstr>
      <vt:lpstr>Advancing</vt:lpstr>
      <vt:lpstr>Dist_Llav</vt:lpstr>
      <vt:lpstr>Draw</vt:lpstr>
      <vt:lpstr>G_1</vt:lpstr>
      <vt:lpstr>G_10</vt:lpstr>
      <vt:lpstr>G_11</vt:lpstr>
      <vt:lpstr>G_12</vt:lpstr>
      <vt:lpstr>G_13</vt:lpstr>
      <vt:lpstr>G_14</vt:lpstr>
      <vt:lpstr>G_15</vt:lpstr>
      <vt:lpstr>G_16</vt:lpstr>
      <vt:lpstr>G_17</vt:lpstr>
      <vt:lpstr>G_18</vt:lpstr>
      <vt:lpstr>G_19</vt:lpstr>
      <vt:lpstr>G_2</vt:lpstr>
      <vt:lpstr>G_20</vt:lpstr>
      <vt:lpstr>G_21</vt:lpstr>
      <vt:lpstr>G_22</vt:lpstr>
      <vt:lpstr>G_23</vt:lpstr>
      <vt:lpstr>G_24</vt:lpstr>
      <vt:lpstr>G_25</vt:lpstr>
      <vt:lpstr>G_26</vt:lpstr>
      <vt:lpstr>G_27</vt:lpstr>
      <vt:lpstr>G_28</vt:lpstr>
      <vt:lpstr>G_29</vt:lpstr>
      <vt:lpstr>G_3</vt:lpstr>
      <vt:lpstr>G_30</vt:lpstr>
      <vt:lpstr>G_31</vt:lpstr>
      <vt:lpstr>G_32</vt:lpstr>
      <vt:lpstr>G_33</vt:lpstr>
      <vt:lpstr>G_34</vt:lpstr>
      <vt:lpstr>G_35</vt:lpstr>
      <vt:lpstr>G_36</vt:lpstr>
      <vt:lpstr>G_37</vt:lpstr>
      <vt:lpstr>G_38</vt:lpstr>
      <vt:lpstr>G_39</vt:lpstr>
      <vt:lpstr>G_4</vt:lpstr>
      <vt:lpstr>G_40</vt:lpstr>
      <vt:lpstr>G_41</vt:lpstr>
      <vt:lpstr>G_42</vt:lpstr>
      <vt:lpstr>G_43</vt:lpstr>
      <vt:lpstr>G_5</vt:lpstr>
      <vt:lpstr>G_6</vt:lpstr>
      <vt:lpstr>G_7</vt:lpstr>
      <vt:lpstr>G_8</vt:lpstr>
      <vt:lpstr>G_9</vt:lpstr>
      <vt:lpstr>GP_1</vt:lpstr>
      <vt:lpstr>GP_10</vt:lpstr>
      <vt:lpstr>GP_11</vt:lpstr>
      <vt:lpstr>GP_12</vt:lpstr>
      <vt:lpstr>GP_13</vt:lpstr>
      <vt:lpstr>GP_14</vt:lpstr>
      <vt:lpstr>GP_15</vt:lpstr>
      <vt:lpstr>GP_16</vt:lpstr>
      <vt:lpstr>GP_17</vt:lpstr>
      <vt:lpstr>GP_18</vt:lpstr>
      <vt:lpstr>GP_19</vt:lpstr>
      <vt:lpstr>GP_2</vt:lpstr>
      <vt:lpstr>GP_20</vt:lpstr>
      <vt:lpstr>GP_21</vt:lpstr>
      <vt:lpstr>GP_22</vt:lpstr>
      <vt:lpstr>GP_23</vt:lpstr>
      <vt:lpstr>GP_24</vt:lpstr>
      <vt:lpstr>GP_25</vt:lpstr>
      <vt:lpstr>GP_26</vt:lpstr>
      <vt:lpstr>GP_27</vt:lpstr>
      <vt:lpstr>GP_28</vt:lpstr>
      <vt:lpstr>GP_29</vt:lpstr>
      <vt:lpstr>GP_3</vt:lpstr>
      <vt:lpstr>GP_30</vt:lpstr>
      <vt:lpstr>GP_31</vt:lpstr>
      <vt:lpstr>GP_32</vt:lpstr>
      <vt:lpstr>GP_33</vt:lpstr>
      <vt:lpstr>GP_34</vt:lpstr>
      <vt:lpstr>GP_35</vt:lpstr>
      <vt:lpstr>GP_36</vt:lpstr>
      <vt:lpstr>GP_37</vt:lpstr>
      <vt:lpstr>GP_38</vt:lpstr>
      <vt:lpstr>GP_39</vt:lpstr>
      <vt:lpstr>GP_4</vt:lpstr>
      <vt:lpstr>GP_40</vt:lpstr>
      <vt:lpstr>GP_41</vt:lpstr>
      <vt:lpstr>GP_42</vt:lpstr>
      <vt:lpstr>GP_43</vt:lpstr>
      <vt:lpstr>GP_44</vt:lpstr>
      <vt:lpstr>GP_5</vt:lpstr>
      <vt:lpstr>GP_6</vt:lpstr>
      <vt:lpstr>GP_7</vt:lpstr>
      <vt:lpstr>GP_8</vt:lpstr>
      <vt:lpstr>GP_9</vt:lpstr>
      <vt:lpstr>Group_players</vt:lpstr>
      <vt:lpstr>Group_Points</vt:lpstr>
      <vt:lpstr>Group_Results</vt:lpstr>
      <vt:lpstr>Groups</vt:lpstr>
      <vt:lpstr>Grps</vt:lpstr>
      <vt:lpstr>Jug_llave</vt:lpstr>
      <vt:lpstr>Key</vt:lpstr>
      <vt:lpstr>Knockout</vt:lpstr>
      <vt:lpstr>Knok_dist</vt:lpstr>
      <vt:lpstr>LL_4</vt:lpstr>
      <vt:lpstr>Llave</vt:lpstr>
      <vt:lpstr>Llave2</vt:lpstr>
      <vt:lpstr>LLave4</vt:lpstr>
      <vt:lpstr>Mesas</vt:lpstr>
      <vt:lpstr>New_Rank</vt:lpstr>
      <vt:lpstr>PG_1</vt:lpstr>
      <vt:lpstr>PG_2</vt:lpstr>
      <vt:lpstr>PG_3</vt:lpstr>
      <vt:lpstr>PG_4</vt:lpstr>
      <vt:lpstr>PG_5</vt:lpstr>
      <vt:lpstr>Plyrs_val</vt:lpstr>
      <vt:lpstr>PlyrsTest</vt:lpstr>
      <vt:lpstr>Point_dif</vt:lpstr>
      <vt:lpstr>Pos_draw</vt:lpstr>
      <vt:lpstr>Pos_G1</vt:lpstr>
      <vt:lpstr>Pos_G10</vt:lpstr>
      <vt:lpstr>Pos_G11</vt:lpstr>
      <vt:lpstr>Pos_G12</vt:lpstr>
      <vt:lpstr>Pos_G13</vt:lpstr>
      <vt:lpstr>Pos_G14</vt:lpstr>
      <vt:lpstr>Pos_G15</vt:lpstr>
      <vt:lpstr>Pos_G16</vt:lpstr>
      <vt:lpstr>Pos_G17</vt:lpstr>
      <vt:lpstr>Pos_G18</vt:lpstr>
      <vt:lpstr>Pos_G19</vt:lpstr>
      <vt:lpstr>Pos_G2</vt:lpstr>
      <vt:lpstr>Pos_G20</vt:lpstr>
      <vt:lpstr>Pos_G21</vt:lpstr>
      <vt:lpstr>Pos_G23</vt:lpstr>
      <vt:lpstr>Pos_G24</vt:lpstr>
      <vt:lpstr>Pos_G25</vt:lpstr>
      <vt:lpstr>Pos_G26</vt:lpstr>
      <vt:lpstr>Pos_G27</vt:lpstr>
      <vt:lpstr>Pos_G28</vt:lpstr>
      <vt:lpstr>Pos_G29</vt:lpstr>
      <vt:lpstr>Pos_G3</vt:lpstr>
      <vt:lpstr>Pos_G30</vt:lpstr>
      <vt:lpstr>Pos_G31</vt:lpstr>
      <vt:lpstr>Pos_G32</vt:lpstr>
      <vt:lpstr>Pos_G4</vt:lpstr>
      <vt:lpstr>Pos_G5</vt:lpstr>
      <vt:lpstr>Pos_G6</vt:lpstr>
      <vt:lpstr>Pos_G7</vt:lpstr>
      <vt:lpstr>Pos_G8</vt:lpstr>
      <vt:lpstr>Pos_G9</vt:lpstr>
      <vt:lpstr>Pos_KO</vt:lpstr>
      <vt:lpstr>Premios</vt:lpstr>
      <vt:lpstr>DirTecTeMe!Print_Area</vt:lpstr>
      <vt:lpstr>Grupos!Print_Area</vt:lpstr>
      <vt:lpstr>Qadro!Print_Area</vt:lpstr>
      <vt:lpstr>Ranking!Print_Area</vt:lpstr>
      <vt:lpstr>Sheet1!Print_Area</vt:lpstr>
      <vt:lpstr>Sorteo!Print_Area</vt:lpstr>
      <vt:lpstr>Table!Print_Area</vt:lpstr>
      <vt:lpstr>Ranking!Print_Titles</vt:lpstr>
      <vt:lpstr>Sorteo!Print_Titles</vt:lpstr>
      <vt:lpstr>Q_16</vt:lpstr>
      <vt:lpstr>Q_32</vt:lpstr>
      <vt:lpstr>Q_4</vt:lpstr>
      <vt:lpstr>Q_8</vt:lpstr>
      <vt:lpstr>Rank_Points</vt:lpstr>
      <vt:lpstr>Ranking</vt:lpstr>
      <vt:lpstr>Registration</vt:lpstr>
      <vt:lpstr>Results</vt:lpstr>
      <vt:lpstr>Siembra</vt:lpstr>
      <vt:lpstr>Tot_Jug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Francisco E. Font</dc:creator>
  <cp:keywords/>
  <dc:description>Copyright - Francisco E. Font</dc:description>
  <cp:lastModifiedBy>Joel Vega</cp:lastModifiedBy>
  <cp:revision/>
  <cp:lastPrinted>2025-11-14T01:29:15Z</cp:lastPrinted>
  <dcterms:created xsi:type="dcterms:W3CDTF">2010-03-23T20:37:30Z</dcterms:created>
  <dcterms:modified xsi:type="dcterms:W3CDTF">2025-11-24T20:59:21Z</dcterms:modified>
  <cp:category/>
  <cp:contentStatus>Beta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2023-10-04T00:17:50Z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488400dd-4c9f-43dd-b984-0f3b5ab70340</vt:lpwstr>
  </property>
  <property fmtid="{D5CDD505-2E9C-101B-9397-08002B2CF9AE}" pid="7" name="MSIP_Label_defa4170-0d19-0005-0004-bc88714345d2_ActionId">
    <vt:lpwstr>b5c25495-d6cf-42af-bc6b-bfbb5ee19385</vt:lpwstr>
  </property>
  <property fmtid="{D5CDD505-2E9C-101B-9397-08002B2CF9AE}" pid="8" name="MSIP_Label_defa4170-0d19-0005-0004-bc88714345d2_ContentBits">
    <vt:lpwstr>0</vt:lpwstr>
  </property>
  <property fmtid="{D5CDD505-2E9C-101B-9397-08002B2CF9AE}" pid="9" name="ContentTypeId">
    <vt:lpwstr>0x0101005418231CAA88BB40AFB1020D9A645E9F</vt:lpwstr>
  </property>
</Properties>
</file>